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440" windowHeight="15600" tabRatio="880" firstSheet="1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Index!$A$27:$C$249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G45" i="2" l="1"/>
  <c r="G37" i="2"/>
  <c r="G28" i="2"/>
  <c r="G12" i="2"/>
  <c r="G35" i="2" l="1"/>
  <c r="G32" i="2" l="1"/>
  <c r="E32" i="2"/>
  <c r="E35" i="2" l="1"/>
  <c r="E28" i="2"/>
  <c r="E26" i="2"/>
  <c r="E25" i="2"/>
  <c r="E20" i="2"/>
  <c r="E19" i="2"/>
  <c r="E18" i="2"/>
  <c r="E17" i="2"/>
  <c r="E16" i="2"/>
  <c r="E12" i="2"/>
  <c r="G26" i="2"/>
  <c r="G25" i="2"/>
  <c r="G20" i="2"/>
  <c r="G19" i="2"/>
  <c r="G18" i="2"/>
  <c r="G17" i="2"/>
  <c r="G16" i="2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F82" i="24"/>
  <c r="F81" i="24"/>
  <c r="D81" i="24"/>
  <c r="C81" i="24"/>
  <c r="F80" i="24"/>
  <c r="F79" i="24"/>
  <c r="D79" i="24"/>
  <c r="C79" i="24"/>
  <c r="F78" i="24"/>
  <c r="F77" i="24"/>
  <c r="D77" i="24"/>
  <c r="C77" i="24"/>
  <c r="G76" i="24"/>
  <c r="F76" i="24"/>
  <c r="D76" i="24"/>
  <c r="C76" i="24"/>
  <c r="G75" i="24"/>
  <c r="F75" i="24"/>
  <c r="D75" i="24"/>
  <c r="C75" i="24"/>
  <c r="G74" i="24"/>
  <c r="F74" i="24"/>
  <c r="G73" i="24"/>
  <c r="F73" i="24"/>
  <c r="D73" i="24"/>
  <c r="C73" i="24"/>
  <c r="G72" i="24"/>
  <c r="F72" i="24"/>
  <c r="D72" i="24"/>
  <c r="C72" i="24"/>
  <c r="G71" i="24"/>
  <c r="F71" i="24"/>
  <c r="D71" i="24"/>
  <c r="C71" i="24"/>
  <c r="G70" i="24"/>
  <c r="F70" i="24"/>
  <c r="D70" i="24"/>
  <c r="C70" i="24"/>
  <c r="G66" i="24"/>
  <c r="F66" i="24"/>
  <c r="G65" i="24"/>
  <c r="F65" i="24"/>
  <c r="G64" i="24"/>
  <c r="F64" i="24"/>
  <c r="D64" i="24"/>
  <c r="G63" i="24"/>
  <c r="F63" i="24"/>
  <c r="D63" i="24"/>
  <c r="G62" i="24"/>
  <c r="F62" i="24"/>
  <c r="D62" i="24"/>
  <c r="G61" i="24"/>
  <c r="F61" i="24"/>
  <c r="D61" i="24"/>
  <c r="C61" i="24"/>
  <c r="G60" i="24"/>
  <c r="F60" i="24"/>
  <c r="D60" i="24"/>
  <c r="G59" i="24"/>
  <c r="F59" i="24"/>
  <c r="D59" i="24"/>
  <c r="C59" i="24"/>
  <c r="G58" i="24"/>
  <c r="F58" i="24"/>
  <c r="D58" i="24"/>
  <c r="C58" i="24"/>
  <c r="G57" i="24"/>
  <c r="F57" i="24"/>
  <c r="D57" i="24"/>
  <c r="G56" i="24"/>
  <c r="F56" i="24"/>
  <c r="D56" i="24"/>
  <c r="C56" i="24"/>
  <c r="A1" i="24"/>
  <c r="A1" i="23"/>
  <c r="A1" i="22"/>
  <c r="B14" i="21"/>
  <c r="A1" i="21"/>
  <c r="A1" i="20"/>
  <c r="A1" i="19"/>
  <c r="G442" i="18"/>
  <c r="F874" i="22" s="1"/>
  <c r="F442" i="18"/>
  <c r="E442" i="18"/>
  <c r="E874" i="22" s="1"/>
  <c r="D442" i="18"/>
  <c r="D874" i="22" s="1"/>
  <c r="C442" i="18"/>
  <c r="C874" i="22" s="1"/>
  <c r="B442" i="18"/>
  <c r="B874" i="22" s="1"/>
  <c r="G441" i="18"/>
  <c r="D842" i="22" s="1"/>
  <c r="F441" i="18"/>
  <c r="E441" i="18"/>
  <c r="C842" i="22" s="1"/>
  <c r="D441" i="18"/>
  <c r="C441" i="18"/>
  <c r="B441" i="18"/>
  <c r="B842" i="22" s="1"/>
  <c r="G440" i="18"/>
  <c r="F810" i="22" s="1"/>
  <c r="F440" i="18"/>
  <c r="E440" i="18"/>
  <c r="E810" i="22" s="1"/>
  <c r="D440" i="18"/>
  <c r="D810" i="22" s="1"/>
  <c r="C440" i="18"/>
  <c r="C810" i="22" s="1"/>
  <c r="B440" i="18"/>
  <c r="B810" i="22" s="1"/>
  <c r="G439" i="18"/>
  <c r="D778" i="22" s="1"/>
  <c r="F439" i="18"/>
  <c r="E439" i="18"/>
  <c r="C778" i="22" s="1"/>
  <c r="D439" i="18"/>
  <c r="C439" i="18"/>
  <c r="B439" i="18"/>
  <c r="B778" i="22" s="1"/>
  <c r="G438" i="18"/>
  <c r="F746" i="22" s="1"/>
  <c r="F438" i="18"/>
  <c r="E438" i="18"/>
  <c r="E746" i="22" s="1"/>
  <c r="D438" i="18"/>
  <c r="D746" i="22" s="1"/>
  <c r="C438" i="18"/>
  <c r="C746" i="22" s="1"/>
  <c r="B438" i="18"/>
  <c r="B746" i="22" s="1"/>
  <c r="G437" i="18"/>
  <c r="D714" i="22" s="1"/>
  <c r="F437" i="18"/>
  <c r="E437" i="18"/>
  <c r="C714" i="22" s="1"/>
  <c r="D437" i="18"/>
  <c r="C437" i="18"/>
  <c r="B437" i="18"/>
  <c r="B714" i="22" s="1"/>
  <c r="G436" i="18"/>
  <c r="F436" i="18"/>
  <c r="E436" i="18"/>
  <c r="C682" i="22" s="1"/>
  <c r="D436" i="18"/>
  <c r="C436" i="18"/>
  <c r="B436" i="18"/>
  <c r="B682" i="22" s="1"/>
  <c r="G435" i="18"/>
  <c r="F435" i="18"/>
  <c r="E435" i="18"/>
  <c r="C650" i="22" s="1"/>
  <c r="D435" i="18"/>
  <c r="C435" i="18"/>
  <c r="B435" i="18"/>
  <c r="B650" i="22" s="1"/>
  <c r="B367" i="18"/>
  <c r="B366" i="18"/>
  <c r="B365" i="18"/>
  <c r="B364" i="18"/>
  <c r="B363" i="18"/>
  <c r="B362" i="18"/>
  <c r="B361" i="18"/>
  <c r="B357" i="18"/>
  <c r="B356" i="18"/>
  <c r="B355" i="18"/>
  <c r="B354" i="18"/>
  <c r="B353" i="18"/>
  <c r="B352" i="18"/>
  <c r="B351" i="18"/>
  <c r="B350" i="18"/>
  <c r="B349" i="18"/>
  <c r="B348" i="18"/>
  <c r="B347" i="18"/>
  <c r="B346" i="18"/>
  <c r="B345" i="18"/>
  <c r="B344" i="18"/>
  <c r="B343" i="18"/>
  <c r="B342" i="18"/>
  <c r="B341" i="18"/>
  <c r="B340" i="18"/>
  <c r="B339" i="18"/>
  <c r="B338" i="18"/>
  <c r="B337" i="18"/>
  <c r="B336" i="18"/>
  <c r="B335" i="18"/>
  <c r="B334" i="18"/>
  <c r="B330" i="18"/>
  <c r="B329" i="18"/>
  <c r="B328" i="18"/>
  <c r="B327" i="18"/>
  <c r="B326" i="18"/>
  <c r="B325" i="18"/>
  <c r="B324" i="18"/>
  <c r="B323" i="18"/>
  <c r="B322" i="18"/>
  <c r="B321" i="18"/>
  <c r="B320" i="18"/>
  <c r="B311" i="18"/>
  <c r="B310" i="18"/>
  <c r="B309" i="18"/>
  <c r="B308" i="18"/>
  <c r="B307" i="18"/>
  <c r="B298" i="18"/>
  <c r="B295" i="18"/>
  <c r="B291" i="18"/>
  <c r="B289" i="18"/>
  <c r="B287" i="18"/>
  <c r="B286" i="18"/>
  <c r="B285" i="18"/>
  <c r="B283" i="18"/>
  <c r="B282" i="18"/>
  <c r="B281" i="18"/>
  <c r="B280" i="18"/>
  <c r="B274" i="18"/>
  <c r="B273" i="18"/>
  <c r="B272" i="18"/>
  <c r="B271" i="18"/>
  <c r="B270" i="18"/>
  <c r="B269" i="18"/>
  <c r="B268" i="18"/>
  <c r="B267" i="18"/>
  <c r="B266" i="18"/>
  <c r="B264" i="18"/>
  <c r="B262" i="18"/>
  <c r="B260" i="18"/>
  <c r="B259" i="18"/>
  <c r="B258" i="18"/>
  <c r="B256" i="18"/>
  <c r="B255" i="18"/>
  <c r="B254" i="18"/>
  <c r="B253" i="18"/>
  <c r="B244" i="18"/>
  <c r="B242" i="18"/>
  <c r="D242" i="18" s="1"/>
  <c r="B241" i="18"/>
  <c r="D241" i="18" s="1"/>
  <c r="B239" i="18"/>
  <c r="D239" i="18" s="1"/>
  <c r="H211" i="18"/>
  <c r="G108" i="18"/>
  <c r="C373" i="18" s="1"/>
  <c r="D108" i="18"/>
  <c r="C292" i="18" s="1"/>
  <c r="C108" i="18"/>
  <c r="C265" i="18" s="1"/>
  <c r="B108" i="18"/>
  <c r="C238" i="18" s="1"/>
  <c r="G107" i="18"/>
  <c r="C372" i="18" s="1"/>
  <c r="D107" i="18"/>
  <c r="C291" i="18" s="1"/>
  <c r="C107" i="18"/>
  <c r="C264" i="18" s="1"/>
  <c r="B107" i="18"/>
  <c r="C237" i="18" s="1"/>
  <c r="G106" i="18"/>
  <c r="C371" i="18" s="1"/>
  <c r="D106" i="18"/>
  <c r="C290" i="18" s="1"/>
  <c r="C106" i="18"/>
  <c r="C263" i="18" s="1"/>
  <c r="B106" i="18"/>
  <c r="C236" i="18" s="1"/>
  <c r="G105" i="18"/>
  <c r="C370" i="18" s="1"/>
  <c r="D105" i="18"/>
  <c r="C289" i="18" s="1"/>
  <c r="C105" i="18"/>
  <c r="C262" i="18" s="1"/>
  <c r="B105" i="18"/>
  <c r="C235" i="18" s="1"/>
  <c r="G104" i="18"/>
  <c r="C369" i="18" s="1"/>
  <c r="D104" i="18"/>
  <c r="C288" i="18" s="1"/>
  <c r="C104" i="18"/>
  <c r="C261" i="18" s="1"/>
  <c r="B104" i="18"/>
  <c r="C234" i="18" s="1"/>
  <c r="G103" i="18"/>
  <c r="C368" i="18" s="1"/>
  <c r="D103" i="18"/>
  <c r="C287" i="18" s="1"/>
  <c r="C103" i="18"/>
  <c r="C260" i="18" s="1"/>
  <c r="B103" i="18"/>
  <c r="C233" i="18" s="1"/>
  <c r="G102" i="18"/>
  <c r="C367" i="18" s="1"/>
  <c r="D102" i="18"/>
  <c r="C286" i="18" s="1"/>
  <c r="C102" i="18"/>
  <c r="C259" i="18" s="1"/>
  <c r="B102" i="18"/>
  <c r="C232" i="18" s="1"/>
  <c r="G101" i="18"/>
  <c r="C366" i="18" s="1"/>
  <c r="D101" i="18"/>
  <c r="C285" i="18" s="1"/>
  <c r="C101" i="18"/>
  <c r="C258" i="18" s="1"/>
  <c r="B101" i="18"/>
  <c r="C231" i="18" s="1"/>
  <c r="A1" i="18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E48" i="11"/>
  <c r="D48" i="11"/>
  <c r="E47" i="11"/>
  <c r="E46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34" i="7"/>
  <c r="C233" i="7"/>
  <c r="C232" i="7"/>
  <c r="A1" i="7"/>
  <c r="A1" i="6"/>
  <c r="A1" i="5"/>
  <c r="C32" i="4"/>
  <c r="B31" i="4"/>
  <c r="A1" i="4"/>
  <c r="I227" i="3"/>
  <c r="J226" i="3"/>
  <c r="B226" i="3"/>
  <c r="C225" i="3"/>
  <c r="H224" i="3"/>
  <c r="I223" i="3"/>
  <c r="J222" i="3"/>
  <c r="B222" i="3"/>
  <c r="C221" i="3"/>
  <c r="H220" i="3"/>
  <c r="I219" i="3"/>
  <c r="J218" i="3"/>
  <c r="B218" i="3"/>
  <c r="C217" i="3"/>
  <c r="H216" i="3"/>
  <c r="I215" i="3"/>
  <c r="J214" i="3"/>
  <c r="B214" i="3"/>
  <c r="C213" i="3"/>
  <c r="H212" i="3"/>
  <c r="J191" i="3"/>
  <c r="J227" i="3" s="1"/>
  <c r="I191" i="3"/>
  <c r="H191" i="3"/>
  <c r="H227" i="3" s="1"/>
  <c r="C191" i="3"/>
  <c r="C227" i="3" s="1"/>
  <c r="B191" i="3"/>
  <c r="B227" i="3" s="1"/>
  <c r="J190" i="3"/>
  <c r="I190" i="3"/>
  <c r="I226" i="3" s="1"/>
  <c r="H190" i="3"/>
  <c r="H226" i="3" s="1"/>
  <c r="C190" i="3"/>
  <c r="C226" i="3" s="1"/>
  <c r="B190" i="3"/>
  <c r="J189" i="3"/>
  <c r="J225" i="3" s="1"/>
  <c r="I189" i="3"/>
  <c r="I225" i="3" s="1"/>
  <c r="H189" i="3"/>
  <c r="H225" i="3" s="1"/>
  <c r="C189" i="3"/>
  <c r="B189" i="3"/>
  <c r="B225" i="3" s="1"/>
  <c r="J188" i="3"/>
  <c r="J224" i="3" s="1"/>
  <c r="I188" i="3"/>
  <c r="I224" i="3" s="1"/>
  <c r="H188" i="3"/>
  <c r="C188" i="3"/>
  <c r="C224" i="3" s="1"/>
  <c r="B188" i="3"/>
  <c r="B224" i="3" s="1"/>
  <c r="J187" i="3"/>
  <c r="J223" i="3" s="1"/>
  <c r="I187" i="3"/>
  <c r="H187" i="3"/>
  <c r="H223" i="3" s="1"/>
  <c r="C187" i="3"/>
  <c r="C223" i="3" s="1"/>
  <c r="B187" i="3"/>
  <c r="B223" i="3" s="1"/>
  <c r="J186" i="3"/>
  <c r="I186" i="3"/>
  <c r="I222" i="3" s="1"/>
  <c r="H186" i="3"/>
  <c r="H222" i="3" s="1"/>
  <c r="C186" i="3"/>
  <c r="C222" i="3" s="1"/>
  <c r="B186" i="3"/>
  <c r="J185" i="3"/>
  <c r="J221" i="3" s="1"/>
  <c r="I185" i="3"/>
  <c r="I221" i="3" s="1"/>
  <c r="H185" i="3"/>
  <c r="H221" i="3" s="1"/>
  <c r="C185" i="3"/>
  <c r="B185" i="3"/>
  <c r="B221" i="3" s="1"/>
  <c r="J184" i="3"/>
  <c r="J220" i="3" s="1"/>
  <c r="I184" i="3"/>
  <c r="I220" i="3" s="1"/>
  <c r="H184" i="3"/>
  <c r="C184" i="3"/>
  <c r="C220" i="3" s="1"/>
  <c r="B184" i="3"/>
  <c r="B220" i="3" s="1"/>
  <c r="J183" i="3"/>
  <c r="J219" i="3" s="1"/>
  <c r="I183" i="3"/>
  <c r="H183" i="3"/>
  <c r="H219" i="3" s="1"/>
  <c r="C183" i="3"/>
  <c r="C219" i="3" s="1"/>
  <c r="B183" i="3"/>
  <c r="B219" i="3" s="1"/>
  <c r="J182" i="3"/>
  <c r="I182" i="3"/>
  <c r="I218" i="3" s="1"/>
  <c r="H182" i="3"/>
  <c r="H218" i="3" s="1"/>
  <c r="C182" i="3"/>
  <c r="C218" i="3" s="1"/>
  <c r="B182" i="3"/>
  <c r="J181" i="3"/>
  <c r="J217" i="3" s="1"/>
  <c r="I181" i="3"/>
  <c r="I217" i="3" s="1"/>
  <c r="H181" i="3"/>
  <c r="H217" i="3" s="1"/>
  <c r="C181" i="3"/>
  <c r="B181" i="3"/>
  <c r="B217" i="3" s="1"/>
  <c r="J180" i="3"/>
  <c r="J216" i="3" s="1"/>
  <c r="I180" i="3"/>
  <c r="I216" i="3" s="1"/>
  <c r="H180" i="3"/>
  <c r="C180" i="3"/>
  <c r="C216" i="3" s="1"/>
  <c r="B180" i="3"/>
  <c r="B216" i="3" s="1"/>
  <c r="J179" i="3"/>
  <c r="J215" i="3" s="1"/>
  <c r="I179" i="3"/>
  <c r="H179" i="3"/>
  <c r="H215" i="3" s="1"/>
  <c r="C179" i="3"/>
  <c r="C215" i="3" s="1"/>
  <c r="B179" i="3"/>
  <c r="B215" i="3" s="1"/>
  <c r="J178" i="3"/>
  <c r="I178" i="3"/>
  <c r="I214" i="3" s="1"/>
  <c r="H178" i="3"/>
  <c r="H214" i="3" s="1"/>
  <c r="C178" i="3"/>
  <c r="C214" i="3" s="1"/>
  <c r="B178" i="3"/>
  <c r="J177" i="3"/>
  <c r="J213" i="3" s="1"/>
  <c r="I177" i="3"/>
  <c r="I213" i="3" s="1"/>
  <c r="H177" i="3"/>
  <c r="H213" i="3" s="1"/>
  <c r="C177" i="3"/>
  <c r="B177" i="3"/>
  <c r="B213" i="3" s="1"/>
  <c r="J176" i="3"/>
  <c r="J212" i="3" s="1"/>
  <c r="I176" i="3"/>
  <c r="I212" i="3" s="1"/>
  <c r="H176" i="3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B68" i="3"/>
  <c r="J77" i="3" s="1"/>
  <c r="B64" i="3"/>
  <c r="F77" i="3" s="1"/>
  <c r="I40" i="3"/>
  <c r="I36" i="3"/>
  <c r="I32" i="3"/>
  <c r="I28" i="3"/>
  <c r="I24" i="3"/>
  <c r="I20" i="3"/>
  <c r="I16" i="3"/>
  <c r="A1" i="3"/>
  <c r="B41" i="24"/>
  <c r="B40" i="24"/>
  <c r="B39" i="24"/>
  <c r="B38" i="24"/>
  <c r="B37" i="24"/>
  <c r="B36" i="24"/>
  <c r="B35" i="24"/>
  <c r="B34" i="24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27" i="24"/>
  <c r="B26" i="24"/>
  <c r="B25" i="24"/>
  <c r="B24" i="24"/>
  <c r="B23" i="24"/>
  <c r="B255" i="7"/>
  <c r="B254" i="7"/>
  <c r="B253" i="7"/>
  <c r="B252" i="7"/>
  <c r="B251" i="7"/>
  <c r="B250" i="7"/>
  <c r="B249" i="7"/>
  <c r="B248" i="7"/>
  <c r="B247" i="7"/>
  <c r="B662" i="7"/>
  <c r="B661" i="7"/>
  <c r="B660" i="7"/>
  <c r="B659" i="7"/>
  <c r="B76" i="7"/>
  <c r="E76" i="7" s="1"/>
  <c r="D89" i="7" s="1"/>
  <c r="B75" i="7"/>
  <c r="E75" i="7" s="1"/>
  <c r="D88" i="7" s="1"/>
  <c r="B74" i="7"/>
  <c r="B73" i="7"/>
  <c r="B72" i="7"/>
  <c r="E72" i="7" s="1"/>
  <c r="D85" i="7" s="1"/>
  <c r="B34" i="7"/>
  <c r="D34" i="7" s="1"/>
  <c r="C51" i="7" s="1"/>
  <c r="B33" i="7"/>
  <c r="D33" i="7" s="1"/>
  <c r="C50" i="7" s="1"/>
  <c r="B32" i="7"/>
  <c r="B31" i="7"/>
  <c r="B30" i="7"/>
  <c r="D30" i="7" s="1"/>
  <c r="C47" i="7" s="1"/>
  <c r="B29" i="7"/>
  <c r="D29" i="7" s="1"/>
  <c r="C46" i="7" s="1"/>
  <c r="C317" i="7" s="1"/>
  <c r="B28" i="7"/>
  <c r="B27" i="7"/>
  <c r="B26" i="7"/>
  <c r="D26" i="7" s="1"/>
  <c r="C43" i="7" s="1"/>
  <c r="C316" i="7" s="1"/>
  <c r="E45" i="11"/>
  <c r="E44" i="11"/>
  <c r="E43" i="11"/>
  <c r="E42" i="11"/>
  <c r="D47" i="11"/>
  <c r="D46" i="11"/>
  <c r="D45" i="11"/>
  <c r="D44" i="11"/>
  <c r="D43" i="11"/>
  <c r="D42" i="11"/>
  <c r="C48" i="11"/>
  <c r="C47" i="11"/>
  <c r="C46" i="11"/>
  <c r="C45" i="11"/>
  <c r="C44" i="11"/>
  <c r="C43" i="11"/>
  <c r="C42" i="11"/>
  <c r="B49" i="11"/>
  <c r="B48" i="11"/>
  <c r="B47" i="11"/>
  <c r="B46" i="11"/>
  <c r="B45" i="11"/>
  <c r="B44" i="11"/>
  <c r="B43" i="11"/>
  <c r="B42" i="11"/>
  <c r="B10" i="10"/>
  <c r="C141" i="21"/>
  <c r="J141" i="21" s="1"/>
  <c r="D82" i="24"/>
  <c r="C138" i="21"/>
  <c r="J138" i="21" s="1"/>
  <c r="B138" i="21"/>
  <c r="G81" i="24"/>
  <c r="C135" i="21"/>
  <c r="J135" i="21" s="1"/>
  <c r="B135" i="21"/>
  <c r="G80" i="24"/>
  <c r="D80" i="24"/>
  <c r="C80" i="24"/>
  <c r="C132" i="21"/>
  <c r="J132" i="21" s="1"/>
  <c r="B132" i="21"/>
  <c r="G79" i="24"/>
  <c r="C129" i="21"/>
  <c r="J129" i="21" s="1"/>
  <c r="B129" i="21"/>
  <c r="C128" i="21"/>
  <c r="J128" i="21" s="1"/>
  <c r="G78" i="24"/>
  <c r="D78" i="24"/>
  <c r="C78" i="24"/>
  <c r="C125" i="21"/>
  <c r="J125" i="21" s="1"/>
  <c r="B125" i="21"/>
  <c r="C124" i="21"/>
  <c r="J124" i="21" s="1"/>
  <c r="B124" i="21"/>
  <c r="G77" i="24"/>
  <c r="C121" i="21"/>
  <c r="J121" i="21" s="1"/>
  <c r="B121" i="21"/>
  <c r="C118" i="21"/>
  <c r="J118" i="21" s="1"/>
  <c r="B118" i="21"/>
  <c r="C117" i="21"/>
  <c r="J117" i="21" s="1"/>
  <c r="B117" i="21"/>
  <c r="C114" i="21"/>
  <c r="J114" i="21" s="1"/>
  <c r="C113" i="21"/>
  <c r="J113" i="21" s="1"/>
  <c r="D74" i="24"/>
  <c r="C74" i="24"/>
  <c r="C110" i="21"/>
  <c r="J110" i="21" s="1"/>
  <c r="B110" i="21"/>
  <c r="C109" i="21"/>
  <c r="J109" i="21" s="1"/>
  <c r="B109" i="21"/>
  <c r="C106" i="21"/>
  <c r="J106" i="21" s="1"/>
  <c r="B106" i="21"/>
  <c r="C105" i="21"/>
  <c r="J105" i="21" s="1"/>
  <c r="B105" i="21"/>
  <c r="C102" i="21"/>
  <c r="J102" i="21" s="1"/>
  <c r="B102" i="21"/>
  <c r="C101" i="21"/>
  <c r="J101" i="21" s="1"/>
  <c r="B101" i="21"/>
  <c r="C98" i="21"/>
  <c r="J98" i="21" s="1"/>
  <c r="B98" i="21"/>
  <c r="C97" i="21"/>
  <c r="J97" i="21" s="1"/>
  <c r="B97" i="21"/>
  <c r="C94" i="21"/>
  <c r="G69" i="24"/>
  <c r="F69" i="24"/>
  <c r="D69" i="24"/>
  <c r="C69" i="24"/>
  <c r="C91" i="21"/>
  <c r="J91" i="21" s="1"/>
  <c r="G68" i="24"/>
  <c r="F68" i="24"/>
  <c r="D68" i="24"/>
  <c r="C68" i="24"/>
  <c r="C88" i="21"/>
  <c r="C87" i="21"/>
  <c r="G67" i="24"/>
  <c r="F67" i="24"/>
  <c r="D67" i="24"/>
  <c r="C67" i="24"/>
  <c r="C84" i="21"/>
  <c r="C83" i="21"/>
  <c r="D66" i="24"/>
  <c r="C66" i="24"/>
  <c r="C80" i="21"/>
  <c r="J80" i="21" s="1"/>
  <c r="C79" i="21"/>
  <c r="J79" i="21" s="1"/>
  <c r="D65" i="24"/>
  <c r="C65" i="24"/>
  <c r="C64" i="24"/>
  <c r="C63" i="24"/>
  <c r="C72" i="21"/>
  <c r="J72" i="21" s="1"/>
  <c r="B72" i="21"/>
  <c r="C71" i="21"/>
  <c r="J71" i="21" s="1"/>
  <c r="C62" i="24"/>
  <c r="C68" i="21"/>
  <c r="J68" i="21" s="1"/>
  <c r="B68" i="21"/>
  <c r="C67" i="21"/>
  <c r="J67" i="21" s="1"/>
  <c r="B67" i="21"/>
  <c r="C64" i="21"/>
  <c r="C63" i="21"/>
  <c r="C60" i="24"/>
  <c r="C60" i="21"/>
  <c r="B60" i="21"/>
  <c r="C59" i="21"/>
  <c r="B59" i="21"/>
  <c r="C56" i="21"/>
  <c r="J56" i="21" s="1"/>
  <c r="B56" i="21"/>
  <c r="C55" i="21"/>
  <c r="J55" i="21" s="1"/>
  <c r="B55" i="21"/>
  <c r="C52" i="21"/>
  <c r="B52" i="21"/>
  <c r="C51" i="21"/>
  <c r="C57" i="24"/>
  <c r="C48" i="21"/>
  <c r="B48" i="21"/>
  <c r="C47" i="21"/>
  <c r="B47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284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B119" i="3"/>
  <c r="B49" i="4"/>
  <c r="B50" i="4" s="1"/>
  <c r="B51" i="4" s="1"/>
  <c r="B52" i="4" s="1"/>
  <c r="B53" i="4" s="1"/>
  <c r="B54" i="4" s="1"/>
  <c r="B55" i="4" s="1"/>
  <c r="C48" i="4"/>
  <c r="B12" i="4"/>
  <c r="F48" i="2"/>
  <c r="F47" i="2"/>
  <c r="F46" i="2"/>
  <c r="F45" i="2"/>
  <c r="F42" i="2"/>
  <c r="F41" i="2"/>
  <c r="F40" i="2"/>
  <c r="F39" i="2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21" i="2" s="1"/>
  <c r="F14" i="2"/>
  <c r="B58" i="17"/>
  <c r="A1" i="2"/>
  <c r="A1" i="1"/>
  <c r="F49" i="2" l="1"/>
  <c r="B239" i="3"/>
  <c r="B243" i="3"/>
  <c r="B247" i="3"/>
  <c r="B251" i="3"/>
  <c r="B255" i="3"/>
  <c r="B259" i="3"/>
  <c r="B45" i="12" s="1"/>
  <c r="B263" i="3"/>
  <c r="B49" i="12" s="1"/>
  <c r="F43" i="2"/>
  <c r="F34" i="2"/>
  <c r="C99" i="4"/>
  <c r="D150" i="3"/>
  <c r="B33" i="12"/>
  <c r="B68" i="4"/>
  <c r="E248" i="7"/>
  <c r="D248" i="7"/>
  <c r="C248" i="7"/>
  <c r="E250" i="7"/>
  <c r="D250" i="7"/>
  <c r="C250" i="7"/>
  <c r="E251" i="7"/>
  <c r="D251" i="7"/>
  <c r="C251" i="7"/>
  <c r="E252" i="7"/>
  <c r="D252" i="7"/>
  <c r="C252" i="7"/>
  <c r="E253" i="7"/>
  <c r="D253" i="7"/>
  <c r="C253" i="7"/>
  <c r="E255" i="7"/>
  <c r="D255" i="7"/>
  <c r="C255" i="7"/>
  <c r="C314" i="19"/>
  <c r="F314" i="19"/>
  <c r="D314" i="19"/>
  <c r="H284" i="6"/>
  <c r="F284" i="6"/>
  <c r="E284" i="6"/>
  <c r="C284" i="6"/>
  <c r="G284" i="6" s="1"/>
  <c r="B25" i="12"/>
  <c r="C220" i="7"/>
  <c r="C131" i="5"/>
  <c r="B45" i="5"/>
  <c r="C223" i="7"/>
  <c r="F263" i="3"/>
  <c r="F259" i="3"/>
  <c r="F255" i="3"/>
  <c r="F251" i="3"/>
  <c r="F247" i="3"/>
  <c r="F243" i="3"/>
  <c r="F239" i="3"/>
  <c r="D48" i="4"/>
  <c r="C49" i="4"/>
  <c r="B29" i="12"/>
  <c r="B37" i="12"/>
  <c r="B41" i="12"/>
  <c r="J263" i="3"/>
  <c r="J259" i="3"/>
  <c r="J255" i="3"/>
  <c r="J251" i="3"/>
  <c r="J247" i="3"/>
  <c r="J243" i="3"/>
  <c r="J239" i="3"/>
  <c r="E247" i="7"/>
  <c r="D247" i="7"/>
  <c r="C247" i="7"/>
  <c r="E249" i="7"/>
  <c r="D249" i="7"/>
  <c r="C249" i="7"/>
  <c r="E254" i="7"/>
  <c r="D254" i="7"/>
  <c r="C254" i="7"/>
  <c r="K72" i="21"/>
  <c r="I72" i="21"/>
  <c r="D25" i="25"/>
  <c r="E67" i="24"/>
  <c r="C86" i="21"/>
  <c r="B141" i="21"/>
  <c r="H84" i="11"/>
  <c r="I120" i="11" s="1"/>
  <c r="H83" i="11"/>
  <c r="I119" i="11" s="1"/>
  <c r="H82" i="11"/>
  <c r="I118" i="11" s="1"/>
  <c r="H81" i="11"/>
  <c r="I117" i="11" s="1"/>
  <c r="H80" i="11"/>
  <c r="I116" i="11" s="1"/>
  <c r="H79" i="11"/>
  <c r="I115" i="11" s="1"/>
  <c r="H78" i="11"/>
  <c r="I114" i="11" s="1"/>
  <c r="H77" i="11"/>
  <c r="I113" i="11" s="1"/>
  <c r="H76" i="11"/>
  <c r="I112" i="11" s="1"/>
  <c r="H75" i="11"/>
  <c r="I111" i="11" s="1"/>
  <c r="H74" i="11"/>
  <c r="I110" i="11" s="1"/>
  <c r="H73" i="11"/>
  <c r="I109" i="11" s="1"/>
  <c r="H72" i="11"/>
  <c r="I108" i="11" s="1"/>
  <c r="H71" i="11"/>
  <c r="I107" i="11" s="1"/>
  <c r="H70" i="11"/>
  <c r="I106" i="11" s="1"/>
  <c r="H69" i="11"/>
  <c r="I105" i="11" s="1"/>
  <c r="H68" i="11"/>
  <c r="I104" i="11" s="1"/>
  <c r="H67" i="11"/>
  <c r="I103" i="11" s="1"/>
  <c r="H66" i="11"/>
  <c r="I102" i="11" s="1"/>
  <c r="H65" i="11"/>
  <c r="I101" i="11" s="1"/>
  <c r="H64" i="11"/>
  <c r="I100" i="11" s="1"/>
  <c r="H63" i="11"/>
  <c r="I99" i="11" s="1"/>
  <c r="H62" i="11"/>
  <c r="I98" i="11" s="1"/>
  <c r="H61" i="11"/>
  <c r="I97" i="11" s="1"/>
  <c r="H60" i="11"/>
  <c r="I96" i="11" s="1"/>
  <c r="H59" i="11"/>
  <c r="I95" i="11" s="1"/>
  <c r="H58" i="11"/>
  <c r="I94" i="11" s="1"/>
  <c r="E660" i="7"/>
  <c r="D672" i="7" s="1"/>
  <c r="D660" i="7"/>
  <c r="C672" i="7" s="1"/>
  <c r="C660" i="7"/>
  <c r="B672" i="7" s="1"/>
  <c r="B65" i="4"/>
  <c r="B69" i="4"/>
  <c r="F101" i="4"/>
  <c r="B106" i="5"/>
  <c r="C107" i="5"/>
  <c r="B110" i="5"/>
  <c r="C111" i="5"/>
  <c r="B114" i="5"/>
  <c r="C115" i="5"/>
  <c r="B118" i="5"/>
  <c r="C119" i="5"/>
  <c r="B122" i="5"/>
  <c r="C123" i="5"/>
  <c r="B126" i="5"/>
  <c r="C127" i="5"/>
  <c r="B130" i="5"/>
  <c r="B193" i="6"/>
  <c r="B194" i="6"/>
  <c r="B195" i="6"/>
  <c r="B197" i="6"/>
  <c r="B198" i="6"/>
  <c r="E198" i="6" s="1"/>
  <c r="B199" i="6"/>
  <c r="E199" i="6" s="1"/>
  <c r="B201" i="6"/>
  <c r="B202" i="6"/>
  <c r="B203" i="6"/>
  <c r="B205" i="6"/>
  <c r="B206" i="6"/>
  <c r="B207" i="6"/>
  <c r="B209" i="6"/>
  <c r="D209" i="6" s="1"/>
  <c r="B210" i="6"/>
  <c r="E210" i="6" s="1"/>
  <c r="B211" i="6"/>
  <c r="B213" i="6"/>
  <c r="B214" i="6"/>
  <c r="B215" i="6"/>
  <c r="B217" i="6"/>
  <c r="B218" i="6"/>
  <c r="E218" i="6" s="1"/>
  <c r="B219" i="6"/>
  <c r="B221" i="6"/>
  <c r="B223" i="6"/>
  <c r="B225" i="6"/>
  <c r="F225" i="6" s="1"/>
  <c r="B226" i="6"/>
  <c r="F226" i="6" s="1"/>
  <c r="B227" i="6"/>
  <c r="B229" i="6"/>
  <c r="F229" i="6" s="1"/>
  <c r="B230" i="6"/>
  <c r="B231" i="6"/>
  <c r="B233" i="6"/>
  <c r="C233" i="6" s="1"/>
  <c r="G233" i="6" s="1"/>
  <c r="B234" i="6"/>
  <c r="C234" i="6" s="1"/>
  <c r="G234" i="6" s="1"/>
  <c r="B235" i="6"/>
  <c r="C235" i="6" s="1"/>
  <c r="B237" i="6"/>
  <c r="C237" i="6" s="1"/>
  <c r="G237" i="6" s="1"/>
  <c r="B238" i="6"/>
  <c r="C238" i="6" s="1"/>
  <c r="G238" i="6" s="1"/>
  <c r="B240" i="6"/>
  <c r="C240" i="6" s="1"/>
  <c r="G240" i="6" s="1"/>
  <c r="B241" i="6"/>
  <c r="C241" i="6" s="1"/>
  <c r="B243" i="6"/>
  <c r="D243" i="6" s="1"/>
  <c r="B244" i="6"/>
  <c r="B245" i="6"/>
  <c r="B247" i="6"/>
  <c r="B248" i="6"/>
  <c r="B249" i="6"/>
  <c r="B251" i="6"/>
  <c r="B252" i="6"/>
  <c r="B253" i="6"/>
  <c r="B255" i="6"/>
  <c r="B256" i="6"/>
  <c r="B257" i="6"/>
  <c r="B259" i="6"/>
  <c r="F259" i="6" s="1"/>
  <c r="B260" i="6"/>
  <c r="F260" i="6" s="1"/>
  <c r="B261" i="6"/>
  <c r="F261" i="6" s="1"/>
  <c r="B263" i="6"/>
  <c r="B264" i="6"/>
  <c r="D264" i="6" s="1"/>
  <c r="G264" i="6"/>
  <c r="B272" i="6"/>
  <c r="D272" i="6" s="1"/>
  <c r="G272" i="6"/>
  <c r="B281" i="6"/>
  <c r="F281" i="6" s="1"/>
  <c r="B282" i="6"/>
  <c r="F282" i="6" s="1"/>
  <c r="G282" i="6"/>
  <c r="B288" i="6"/>
  <c r="B56" i="24"/>
  <c r="B46" i="21"/>
  <c r="B61" i="24"/>
  <c r="B66" i="21"/>
  <c r="D20" i="25"/>
  <c r="E62" i="24"/>
  <c r="C70" i="21"/>
  <c r="J70" i="21" s="1"/>
  <c r="D22" i="25"/>
  <c r="E64" i="24"/>
  <c r="E173" i="24" s="1"/>
  <c r="C76" i="21"/>
  <c r="J76" i="21" s="1"/>
  <c r="D23" i="25"/>
  <c r="E65" i="24"/>
  <c r="C78" i="21"/>
  <c r="J78" i="21" s="1"/>
  <c r="G188" i="24"/>
  <c r="G187" i="24"/>
  <c r="G190" i="24"/>
  <c r="G191" i="24"/>
  <c r="D28" i="25"/>
  <c r="E70" i="24"/>
  <c r="C96" i="21"/>
  <c r="K135" i="21"/>
  <c r="I135" i="21"/>
  <c r="C82" i="24"/>
  <c r="I288" i="6"/>
  <c r="C33" i="7"/>
  <c r="B50" i="7" s="1"/>
  <c r="E33" i="7"/>
  <c r="D50" i="7" s="1"/>
  <c r="D74" i="7"/>
  <c r="C87" i="7" s="1"/>
  <c r="C74" i="7"/>
  <c r="B87" i="7" s="1"/>
  <c r="B13" i="7"/>
  <c r="D13" i="7" s="1"/>
  <c r="F12" i="2"/>
  <c r="D14" i="25"/>
  <c r="E56" i="24"/>
  <c r="C46" i="21"/>
  <c r="B51" i="21"/>
  <c r="K55" i="21"/>
  <c r="I55" i="21"/>
  <c r="B59" i="24"/>
  <c r="B58" i="21"/>
  <c r="D18" i="25"/>
  <c r="E60" i="24"/>
  <c r="C161" i="24" s="1"/>
  <c r="C62" i="21"/>
  <c r="B64" i="21"/>
  <c r="D19" i="25"/>
  <c r="E61" i="24"/>
  <c r="C66" i="21"/>
  <c r="B71" i="21"/>
  <c r="D21" i="25"/>
  <c r="E63" i="24"/>
  <c r="C74" i="21"/>
  <c r="J74" i="21" s="1"/>
  <c r="B65" i="24"/>
  <c r="B78" i="21"/>
  <c r="B79" i="21"/>
  <c r="B80" i="21"/>
  <c r="B66" i="24"/>
  <c r="B82" i="21"/>
  <c r="B83" i="21"/>
  <c r="B84" i="21"/>
  <c r="B67" i="24"/>
  <c r="B86" i="21"/>
  <c r="F183" i="24"/>
  <c r="F184" i="24"/>
  <c r="F185" i="24"/>
  <c r="B88" i="21"/>
  <c r="D188" i="24"/>
  <c r="D187" i="24"/>
  <c r="B91" i="21"/>
  <c r="D190" i="24"/>
  <c r="D191" i="24"/>
  <c r="B94" i="21"/>
  <c r="B71" i="24"/>
  <c r="B100" i="21"/>
  <c r="I105" i="21"/>
  <c r="K105" i="21"/>
  <c r="B73" i="24"/>
  <c r="B108" i="21"/>
  <c r="I110" i="21"/>
  <c r="K110" i="21"/>
  <c r="B76" i="24"/>
  <c r="B120" i="21"/>
  <c r="B77" i="24"/>
  <c r="B123" i="21"/>
  <c r="E78" i="24"/>
  <c r="C127" i="21"/>
  <c r="B79" i="24"/>
  <c r="B131" i="21"/>
  <c r="B81" i="24"/>
  <c r="B137" i="21"/>
  <c r="E288" i="6"/>
  <c r="E84" i="11"/>
  <c r="F120" i="11" s="1"/>
  <c r="E83" i="11"/>
  <c r="F119" i="11" s="1"/>
  <c r="E82" i="11"/>
  <c r="F118" i="11" s="1"/>
  <c r="E81" i="11"/>
  <c r="F117" i="11" s="1"/>
  <c r="E80" i="11"/>
  <c r="F116" i="11" s="1"/>
  <c r="E79" i="11"/>
  <c r="F115" i="11" s="1"/>
  <c r="E78" i="11"/>
  <c r="F114" i="11" s="1"/>
  <c r="E77" i="11"/>
  <c r="F113" i="11" s="1"/>
  <c r="E76" i="11"/>
  <c r="F112" i="11" s="1"/>
  <c r="E75" i="11"/>
  <c r="F111" i="11" s="1"/>
  <c r="E74" i="11"/>
  <c r="F110" i="11" s="1"/>
  <c r="E73" i="11"/>
  <c r="F109" i="11" s="1"/>
  <c r="E72" i="11"/>
  <c r="F108" i="11" s="1"/>
  <c r="E71" i="11"/>
  <c r="F107" i="11" s="1"/>
  <c r="E70" i="11"/>
  <c r="F106" i="11" s="1"/>
  <c r="E69" i="11"/>
  <c r="F105" i="11" s="1"/>
  <c r="E68" i="11"/>
  <c r="F104" i="11" s="1"/>
  <c r="E67" i="11"/>
  <c r="F103" i="11" s="1"/>
  <c r="E66" i="11"/>
  <c r="F102" i="11" s="1"/>
  <c r="E65" i="11"/>
  <c r="F101" i="11" s="1"/>
  <c r="E64" i="11"/>
  <c r="F100" i="11" s="1"/>
  <c r="E63" i="11"/>
  <c r="F99" i="11" s="1"/>
  <c r="E62" i="11"/>
  <c r="F98" i="11" s="1"/>
  <c r="E61" i="11"/>
  <c r="F97" i="11" s="1"/>
  <c r="E60" i="11"/>
  <c r="F96" i="11" s="1"/>
  <c r="E59" i="11"/>
  <c r="F95" i="11" s="1"/>
  <c r="E58" i="11"/>
  <c r="F94" i="11" s="1"/>
  <c r="I84" i="11"/>
  <c r="J120" i="11" s="1"/>
  <c r="I83" i="11"/>
  <c r="J119" i="11" s="1"/>
  <c r="I82" i="11"/>
  <c r="J118" i="11" s="1"/>
  <c r="I81" i="11"/>
  <c r="J117" i="11" s="1"/>
  <c r="I80" i="11"/>
  <c r="J116" i="11" s="1"/>
  <c r="I79" i="11"/>
  <c r="J115" i="11" s="1"/>
  <c r="I78" i="11"/>
  <c r="J114" i="11" s="1"/>
  <c r="I77" i="11"/>
  <c r="J113" i="11" s="1"/>
  <c r="I76" i="11"/>
  <c r="J112" i="11" s="1"/>
  <c r="I75" i="11"/>
  <c r="J111" i="11" s="1"/>
  <c r="I74" i="11"/>
  <c r="J110" i="11" s="1"/>
  <c r="I73" i="11"/>
  <c r="J109" i="11" s="1"/>
  <c r="I72" i="11"/>
  <c r="J108" i="11" s="1"/>
  <c r="I71" i="11"/>
  <c r="J107" i="11" s="1"/>
  <c r="I70" i="11"/>
  <c r="J106" i="11" s="1"/>
  <c r="I69" i="11"/>
  <c r="J105" i="11" s="1"/>
  <c r="I68" i="11"/>
  <c r="J104" i="11" s="1"/>
  <c r="I67" i="11"/>
  <c r="J103" i="11" s="1"/>
  <c r="I66" i="11"/>
  <c r="J102" i="11" s="1"/>
  <c r="I65" i="11"/>
  <c r="J101" i="11" s="1"/>
  <c r="I64" i="11"/>
  <c r="J100" i="11" s="1"/>
  <c r="I63" i="11"/>
  <c r="J99" i="11" s="1"/>
  <c r="I62" i="11"/>
  <c r="J98" i="11" s="1"/>
  <c r="I61" i="11"/>
  <c r="J97" i="11" s="1"/>
  <c r="I60" i="11"/>
  <c r="J96" i="11" s="1"/>
  <c r="I59" i="11"/>
  <c r="J95" i="11" s="1"/>
  <c r="I58" i="11"/>
  <c r="J94" i="11" s="1"/>
  <c r="C28" i="7"/>
  <c r="B45" i="7" s="1"/>
  <c r="B390" i="7" s="1"/>
  <c r="E28" i="7"/>
  <c r="D45" i="7" s="1"/>
  <c r="D390" i="7" s="1"/>
  <c r="C32" i="7"/>
  <c r="B49" i="7" s="1"/>
  <c r="E32" i="7"/>
  <c r="D49" i="7" s="1"/>
  <c r="D73" i="7"/>
  <c r="C86" i="7" s="1"/>
  <c r="C73" i="7"/>
  <c r="B86" i="7" s="1"/>
  <c r="E659" i="7"/>
  <c r="D671" i="7" s="1"/>
  <c r="D659" i="7"/>
  <c r="C671" i="7" s="1"/>
  <c r="C659" i="7"/>
  <c r="B671" i="7" s="1"/>
  <c r="B646" i="7"/>
  <c r="C646" i="7" s="1"/>
  <c r="I17" i="3"/>
  <c r="B240" i="3" s="1"/>
  <c r="I21" i="3"/>
  <c r="B244" i="3" s="1"/>
  <c r="I25" i="3"/>
  <c r="B248" i="3" s="1"/>
  <c r="I29" i="3"/>
  <c r="B252" i="3" s="1"/>
  <c r="I33" i="3"/>
  <c r="B256" i="3" s="1"/>
  <c r="B42" i="12" s="1"/>
  <c r="B34" i="16" s="1"/>
  <c r="I37" i="3"/>
  <c r="B260" i="3" s="1"/>
  <c r="B46" i="12" s="1"/>
  <c r="B38" i="16" s="1"/>
  <c r="B61" i="3"/>
  <c r="C77" i="3" s="1"/>
  <c r="B65" i="3"/>
  <c r="G77" i="3" s="1"/>
  <c r="B66" i="4"/>
  <c r="B70" i="4"/>
  <c r="C106" i="5"/>
  <c r="B109" i="5"/>
  <c r="C110" i="5"/>
  <c r="B113" i="5"/>
  <c r="C114" i="5"/>
  <c r="B117" i="5"/>
  <c r="C118" i="5"/>
  <c r="B121" i="5"/>
  <c r="C122" i="5"/>
  <c r="B125" i="5"/>
  <c r="C126" i="5"/>
  <c r="B129" i="5"/>
  <c r="C130" i="5"/>
  <c r="G235" i="6"/>
  <c r="G241" i="6"/>
  <c r="B270" i="6"/>
  <c r="D270" i="6" s="1"/>
  <c r="B271" i="6"/>
  <c r="G271" i="6"/>
  <c r="B278" i="6"/>
  <c r="B279" i="6"/>
  <c r="D279" i="6" s="1"/>
  <c r="G279" i="6"/>
  <c r="D284" i="6"/>
  <c r="I284" i="6"/>
  <c r="G285" i="6"/>
  <c r="G288" i="6"/>
  <c r="D15" i="25"/>
  <c r="E57" i="24"/>
  <c r="C148" i="24" s="1"/>
  <c r="C50" i="21"/>
  <c r="D16" i="25"/>
  <c r="E58" i="24"/>
  <c r="C54" i="21"/>
  <c r="C171" i="24"/>
  <c r="C188" i="24"/>
  <c r="C187" i="24"/>
  <c r="E75" i="24"/>
  <c r="C116" i="21"/>
  <c r="K124" i="21"/>
  <c r="I124" i="21"/>
  <c r="I132" i="21"/>
  <c r="K132" i="21"/>
  <c r="D84" i="11"/>
  <c r="E120" i="11" s="1"/>
  <c r="D83" i="11"/>
  <c r="E119" i="11" s="1"/>
  <c r="D82" i="11"/>
  <c r="E118" i="11" s="1"/>
  <c r="D81" i="11"/>
  <c r="E117" i="11" s="1"/>
  <c r="D80" i="11"/>
  <c r="E116" i="11" s="1"/>
  <c r="D79" i="11"/>
  <c r="E115" i="11" s="1"/>
  <c r="D78" i="11"/>
  <c r="E114" i="11" s="1"/>
  <c r="D77" i="11"/>
  <c r="E113" i="11" s="1"/>
  <c r="D76" i="11"/>
  <c r="E112" i="11" s="1"/>
  <c r="D75" i="11"/>
  <c r="E111" i="11" s="1"/>
  <c r="D74" i="11"/>
  <c r="E110" i="11" s="1"/>
  <c r="D73" i="11"/>
  <c r="E109" i="11" s="1"/>
  <c r="D72" i="11"/>
  <c r="E108" i="11" s="1"/>
  <c r="D71" i="11"/>
  <c r="E107" i="11" s="1"/>
  <c r="D70" i="11"/>
  <c r="E106" i="11" s="1"/>
  <c r="D69" i="11"/>
  <c r="E105" i="11" s="1"/>
  <c r="D68" i="11"/>
  <c r="E104" i="11" s="1"/>
  <c r="D67" i="11"/>
  <c r="E103" i="11" s="1"/>
  <c r="D66" i="11"/>
  <c r="E102" i="11" s="1"/>
  <c r="D65" i="11"/>
  <c r="E101" i="11" s="1"/>
  <c r="D64" i="11"/>
  <c r="E100" i="11" s="1"/>
  <c r="D63" i="11"/>
  <c r="E99" i="11" s="1"/>
  <c r="D62" i="11"/>
  <c r="E98" i="11" s="1"/>
  <c r="D61" i="11"/>
  <c r="E97" i="11" s="1"/>
  <c r="D60" i="11"/>
  <c r="E96" i="11" s="1"/>
  <c r="D59" i="11"/>
  <c r="E95" i="11" s="1"/>
  <c r="D58" i="11"/>
  <c r="E94" i="11" s="1"/>
  <c r="C29" i="7"/>
  <c r="B46" i="7" s="1"/>
  <c r="B317" i="7" s="1"/>
  <c r="E29" i="7"/>
  <c r="D46" i="7" s="1"/>
  <c r="D317" i="7" s="1"/>
  <c r="K30" i="9"/>
  <c r="C58" i="9" s="1"/>
  <c r="K26" i="9"/>
  <c r="C54" i="9" s="1"/>
  <c r="K22" i="9"/>
  <c r="C50" i="9" s="1"/>
  <c r="K18" i="9"/>
  <c r="C46" i="9" s="1"/>
  <c r="K14" i="9"/>
  <c r="C42" i="9" s="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B57" i="24"/>
  <c r="B50" i="21"/>
  <c r="D17" i="25"/>
  <c r="E59" i="24"/>
  <c r="C58" i="21"/>
  <c r="B63" i="21"/>
  <c r="K67" i="21"/>
  <c r="I67" i="21"/>
  <c r="B62" i="24"/>
  <c r="B70" i="21"/>
  <c r="B64" i="24"/>
  <c r="B173" i="24" s="1"/>
  <c r="B76" i="21"/>
  <c r="C175" i="24"/>
  <c r="C176" i="24"/>
  <c r="C177" i="24"/>
  <c r="C184" i="24"/>
  <c r="C185" i="24"/>
  <c r="C183" i="24"/>
  <c r="G184" i="24"/>
  <c r="G185" i="24"/>
  <c r="G183" i="24"/>
  <c r="D26" i="25"/>
  <c r="E68" i="24"/>
  <c r="C90" i="21"/>
  <c r="D27" i="25"/>
  <c r="E69" i="24"/>
  <c r="C93" i="21"/>
  <c r="D29" i="25"/>
  <c r="E71" i="24"/>
  <c r="C100" i="21"/>
  <c r="D31" i="25"/>
  <c r="E73" i="24"/>
  <c r="C108" i="21"/>
  <c r="D32" i="25"/>
  <c r="E74" i="24"/>
  <c r="C112" i="21"/>
  <c r="E76" i="24"/>
  <c r="C120" i="21"/>
  <c r="J120" i="21" s="1"/>
  <c r="E77" i="24"/>
  <c r="C123" i="21"/>
  <c r="B78" i="24"/>
  <c r="B127" i="21"/>
  <c r="E79" i="24"/>
  <c r="C131" i="21"/>
  <c r="E80" i="24"/>
  <c r="C134" i="21"/>
  <c r="E81" i="24"/>
  <c r="C137" i="21"/>
  <c r="E82" i="24"/>
  <c r="C140" i="21"/>
  <c r="F288" i="6"/>
  <c r="B79" i="10"/>
  <c r="B84" i="11"/>
  <c r="C120" i="11" s="1"/>
  <c r="B83" i="11"/>
  <c r="C119" i="11" s="1"/>
  <c r="B82" i="11"/>
  <c r="C118" i="11" s="1"/>
  <c r="B81" i="11"/>
  <c r="C117" i="11" s="1"/>
  <c r="B80" i="11"/>
  <c r="C116" i="11" s="1"/>
  <c r="B79" i="11"/>
  <c r="C115" i="11" s="1"/>
  <c r="B78" i="11"/>
  <c r="C114" i="11" s="1"/>
  <c r="B77" i="11"/>
  <c r="C113" i="11" s="1"/>
  <c r="B76" i="11"/>
  <c r="C112" i="11" s="1"/>
  <c r="B75" i="11"/>
  <c r="C111" i="11" s="1"/>
  <c r="B74" i="11"/>
  <c r="C110" i="11" s="1"/>
  <c r="B73" i="11"/>
  <c r="C109" i="11" s="1"/>
  <c r="B72" i="11"/>
  <c r="C108" i="11" s="1"/>
  <c r="B71" i="11"/>
  <c r="C107" i="11" s="1"/>
  <c r="B70" i="11"/>
  <c r="C106" i="11" s="1"/>
  <c r="B69" i="11"/>
  <c r="C105" i="11" s="1"/>
  <c r="B68" i="11"/>
  <c r="C104" i="11" s="1"/>
  <c r="B67" i="11"/>
  <c r="C103" i="11" s="1"/>
  <c r="B66" i="11"/>
  <c r="C102" i="11" s="1"/>
  <c r="B65" i="11"/>
  <c r="C101" i="11" s="1"/>
  <c r="B64" i="11"/>
  <c r="C100" i="11" s="1"/>
  <c r="B63" i="11"/>
  <c r="C99" i="11" s="1"/>
  <c r="B62" i="11"/>
  <c r="C98" i="11" s="1"/>
  <c r="B61" i="11"/>
  <c r="C97" i="11" s="1"/>
  <c r="B60" i="11"/>
  <c r="C96" i="11" s="1"/>
  <c r="B59" i="11"/>
  <c r="C95" i="11" s="1"/>
  <c r="B58" i="11"/>
  <c r="C94" i="11" s="1"/>
  <c r="F84" i="11"/>
  <c r="G120" i="11" s="1"/>
  <c r="F83" i="11"/>
  <c r="G119" i="11" s="1"/>
  <c r="F82" i="11"/>
  <c r="G118" i="11" s="1"/>
  <c r="F81" i="11"/>
  <c r="G117" i="11" s="1"/>
  <c r="F80" i="11"/>
  <c r="G116" i="11" s="1"/>
  <c r="F79" i="11"/>
  <c r="G115" i="11" s="1"/>
  <c r="F78" i="11"/>
  <c r="G114" i="11" s="1"/>
  <c r="F77" i="11"/>
  <c r="G113" i="11" s="1"/>
  <c r="F76" i="11"/>
  <c r="G112" i="11" s="1"/>
  <c r="F75" i="11"/>
  <c r="G111" i="11" s="1"/>
  <c r="F74" i="11"/>
  <c r="G110" i="11" s="1"/>
  <c r="F73" i="11"/>
  <c r="G109" i="11" s="1"/>
  <c r="F72" i="11"/>
  <c r="G108" i="11" s="1"/>
  <c r="F71" i="11"/>
  <c r="G107" i="11" s="1"/>
  <c r="F70" i="11"/>
  <c r="G106" i="11" s="1"/>
  <c r="F69" i="11"/>
  <c r="G105" i="11" s="1"/>
  <c r="F68" i="11"/>
  <c r="G104" i="11" s="1"/>
  <c r="F67" i="11"/>
  <c r="G103" i="11" s="1"/>
  <c r="F66" i="11"/>
  <c r="G102" i="11" s="1"/>
  <c r="F65" i="11"/>
  <c r="G101" i="11" s="1"/>
  <c r="F64" i="11"/>
  <c r="G100" i="11" s="1"/>
  <c r="F63" i="11"/>
  <c r="G99" i="11" s="1"/>
  <c r="F62" i="11"/>
  <c r="G98" i="11" s="1"/>
  <c r="F61" i="11"/>
  <c r="G97" i="11" s="1"/>
  <c r="F60" i="11"/>
  <c r="G96" i="11" s="1"/>
  <c r="F59" i="11"/>
  <c r="G95" i="11" s="1"/>
  <c r="F58" i="11"/>
  <c r="G94" i="11" s="1"/>
  <c r="C27" i="7"/>
  <c r="B44" i="7" s="1"/>
  <c r="E27" i="7"/>
  <c r="D44" i="7" s="1"/>
  <c r="C31" i="7"/>
  <c r="B48" i="7" s="1"/>
  <c r="B391" i="7" s="1"/>
  <c r="E31" i="7"/>
  <c r="D48" i="7" s="1"/>
  <c r="D391" i="7" s="1"/>
  <c r="D72" i="7"/>
  <c r="C85" i="7" s="1"/>
  <c r="C72" i="7"/>
  <c r="B85" i="7" s="1"/>
  <c r="D76" i="7"/>
  <c r="C89" i="7" s="1"/>
  <c r="C76" i="7"/>
  <c r="B89" i="7" s="1"/>
  <c r="E662" i="7"/>
  <c r="D674" i="7" s="1"/>
  <c r="D662" i="7"/>
  <c r="C674" i="7" s="1"/>
  <c r="C662" i="7"/>
  <c r="B674" i="7" s="1"/>
  <c r="D646" i="7"/>
  <c r="E13" i="7"/>
  <c r="I14" i="3"/>
  <c r="B237" i="3" s="1"/>
  <c r="I18" i="3"/>
  <c r="B241" i="3" s="1"/>
  <c r="I22" i="3"/>
  <c r="B245" i="3" s="1"/>
  <c r="I26" i="3"/>
  <c r="B249" i="3" s="1"/>
  <c r="I30" i="3"/>
  <c r="B253" i="3" s="1"/>
  <c r="I34" i="3"/>
  <c r="B257" i="3" s="1"/>
  <c r="B43" i="12" s="1"/>
  <c r="B35" i="16" s="1"/>
  <c r="I38" i="3"/>
  <c r="B65" i="15" s="1"/>
  <c r="B80" i="15" s="1"/>
  <c r="B222" i="16" s="1"/>
  <c r="B62" i="3"/>
  <c r="D77" i="3" s="1"/>
  <c r="B66" i="3"/>
  <c r="H77" i="3" s="1"/>
  <c r="B127" i="3"/>
  <c r="B67" i="4"/>
  <c r="B108" i="5"/>
  <c r="C109" i="5"/>
  <c r="B112" i="5"/>
  <c r="C113" i="5"/>
  <c r="B116" i="5"/>
  <c r="C117" i="5"/>
  <c r="B120" i="5"/>
  <c r="C121" i="5"/>
  <c r="B124" i="5"/>
  <c r="C125" i="5"/>
  <c r="B128" i="5"/>
  <c r="C129" i="5"/>
  <c r="B132" i="5"/>
  <c r="D193" i="6"/>
  <c r="D194" i="6"/>
  <c r="D195" i="6"/>
  <c r="D197" i="6"/>
  <c r="D198" i="6"/>
  <c r="D199" i="6"/>
  <c r="D202" i="6"/>
  <c r="D203" i="6"/>
  <c r="D205" i="6"/>
  <c r="D206" i="6"/>
  <c r="D207" i="6"/>
  <c r="D210" i="6"/>
  <c r="D211" i="6"/>
  <c r="D213" i="6"/>
  <c r="D214" i="6"/>
  <c r="D215" i="6"/>
  <c r="D217" i="6"/>
  <c r="D218" i="6"/>
  <c r="D219" i="6"/>
  <c r="D223" i="6"/>
  <c r="B310" i="6" s="1"/>
  <c r="D225" i="6"/>
  <c r="D226" i="6"/>
  <c r="D227" i="6"/>
  <c r="D229" i="6"/>
  <c r="D230" i="6"/>
  <c r="D231" i="6"/>
  <c r="D233" i="6"/>
  <c r="H233" i="6"/>
  <c r="D235" i="6"/>
  <c r="H237" i="6"/>
  <c r="D238" i="6"/>
  <c r="H240" i="6"/>
  <c r="D241" i="6"/>
  <c r="D244" i="6"/>
  <c r="D245" i="6"/>
  <c r="D247" i="6"/>
  <c r="D248" i="6"/>
  <c r="D249" i="6"/>
  <c r="D252" i="6"/>
  <c r="D253" i="6"/>
  <c r="D255" i="6"/>
  <c r="D256" i="6"/>
  <c r="D257" i="6"/>
  <c r="B267" i="6"/>
  <c r="D267" i="6" s="1"/>
  <c r="B268" i="6"/>
  <c r="G268" i="6"/>
  <c r="D271" i="6"/>
  <c r="B276" i="6"/>
  <c r="I276" i="6" s="1"/>
  <c r="G276" i="6"/>
  <c r="B285" i="6"/>
  <c r="I285" i="6" s="1"/>
  <c r="B287" i="6"/>
  <c r="E287" i="6" s="1"/>
  <c r="C328" i="6" s="1"/>
  <c r="C850" i="22" s="1"/>
  <c r="D27" i="7"/>
  <c r="C44" i="7" s="1"/>
  <c r="D31" i="7"/>
  <c r="C48" i="7" s="1"/>
  <c r="C391" i="7" s="1"/>
  <c r="E73" i="7"/>
  <c r="D86" i="7" s="1"/>
  <c r="I68" i="21"/>
  <c r="K68" i="21"/>
  <c r="D24" i="25"/>
  <c r="E66" i="24"/>
  <c r="C82" i="21"/>
  <c r="C190" i="24"/>
  <c r="C191" i="24"/>
  <c r="D30" i="25"/>
  <c r="E72" i="24"/>
  <c r="C104" i="21"/>
  <c r="K129" i="21"/>
  <c r="I129" i="21"/>
  <c r="F13" i="2"/>
  <c r="C147" i="24"/>
  <c r="C149" i="24"/>
  <c r="B58" i="24"/>
  <c r="B54" i="21"/>
  <c r="K56" i="21"/>
  <c r="I56" i="21"/>
  <c r="B60" i="24"/>
  <c r="B62" i="21"/>
  <c r="C168" i="24"/>
  <c r="C167" i="24"/>
  <c r="C169" i="24"/>
  <c r="B63" i="24"/>
  <c r="B171" i="24" s="1"/>
  <c r="B74" i="21"/>
  <c r="C173" i="24"/>
  <c r="D176" i="24"/>
  <c r="D177" i="24"/>
  <c r="D175" i="24"/>
  <c r="D181" i="24"/>
  <c r="D179" i="24"/>
  <c r="D180" i="24"/>
  <c r="D184" i="24"/>
  <c r="D185" i="24"/>
  <c r="D183" i="24"/>
  <c r="B87" i="21"/>
  <c r="B68" i="24"/>
  <c r="B90" i="21"/>
  <c r="F187" i="24"/>
  <c r="F188" i="24"/>
  <c r="B69" i="24"/>
  <c r="B93" i="21"/>
  <c r="F191" i="24"/>
  <c r="F190" i="24"/>
  <c r="B70" i="24"/>
  <c r="B96" i="21"/>
  <c r="B72" i="24"/>
  <c r="B104" i="21"/>
  <c r="I106" i="21"/>
  <c r="K106" i="21"/>
  <c r="K109" i="21"/>
  <c r="I109" i="21"/>
  <c r="B74" i="24"/>
  <c r="B112" i="21"/>
  <c r="B113" i="21"/>
  <c r="B114" i="21"/>
  <c r="B75" i="24"/>
  <c r="B116" i="21"/>
  <c r="K118" i="21"/>
  <c r="I118" i="21"/>
  <c r="I121" i="21"/>
  <c r="K121" i="21"/>
  <c r="B128" i="21"/>
  <c r="B80" i="24"/>
  <c r="B134" i="21"/>
  <c r="B82" i="24"/>
  <c r="B140" i="21"/>
  <c r="D287" i="6"/>
  <c r="G82" i="24"/>
  <c r="C84" i="11"/>
  <c r="D120" i="11" s="1"/>
  <c r="C83" i="11"/>
  <c r="D119" i="11" s="1"/>
  <c r="C82" i="11"/>
  <c r="D118" i="11" s="1"/>
  <c r="C81" i="11"/>
  <c r="D117" i="11" s="1"/>
  <c r="C80" i="11"/>
  <c r="D116" i="11" s="1"/>
  <c r="C79" i="11"/>
  <c r="D115" i="11" s="1"/>
  <c r="C78" i="11"/>
  <c r="D114" i="11" s="1"/>
  <c r="C77" i="11"/>
  <c r="D113" i="11" s="1"/>
  <c r="C76" i="11"/>
  <c r="D112" i="11" s="1"/>
  <c r="C75" i="11"/>
  <c r="D111" i="11" s="1"/>
  <c r="C74" i="11"/>
  <c r="D110" i="11" s="1"/>
  <c r="C73" i="11"/>
  <c r="D109" i="11" s="1"/>
  <c r="C72" i="11"/>
  <c r="D108" i="11" s="1"/>
  <c r="C71" i="11"/>
  <c r="D107" i="11" s="1"/>
  <c r="C70" i="11"/>
  <c r="D106" i="11" s="1"/>
  <c r="C69" i="11"/>
  <c r="D105" i="11" s="1"/>
  <c r="C68" i="11"/>
  <c r="D104" i="11" s="1"/>
  <c r="C67" i="11"/>
  <c r="D103" i="11" s="1"/>
  <c r="C66" i="11"/>
  <c r="D102" i="11" s="1"/>
  <c r="C65" i="11"/>
  <c r="D101" i="11" s="1"/>
  <c r="C64" i="11"/>
  <c r="D100" i="11" s="1"/>
  <c r="C63" i="11"/>
  <c r="D99" i="11" s="1"/>
  <c r="C62" i="11"/>
  <c r="D98" i="11" s="1"/>
  <c r="C61" i="11"/>
  <c r="D97" i="11" s="1"/>
  <c r="C60" i="11"/>
  <c r="D96" i="11" s="1"/>
  <c r="C59" i="11"/>
  <c r="D95" i="11" s="1"/>
  <c r="C58" i="11"/>
  <c r="D94" i="11" s="1"/>
  <c r="G84" i="11"/>
  <c r="H120" i="11" s="1"/>
  <c r="G83" i="11"/>
  <c r="H119" i="11" s="1"/>
  <c r="G82" i="11"/>
  <c r="H118" i="11" s="1"/>
  <c r="G81" i="11"/>
  <c r="H117" i="11" s="1"/>
  <c r="G80" i="11"/>
  <c r="H116" i="11" s="1"/>
  <c r="G79" i="11"/>
  <c r="H115" i="11" s="1"/>
  <c r="G78" i="11"/>
  <c r="H114" i="11" s="1"/>
  <c r="G77" i="11"/>
  <c r="H113" i="11" s="1"/>
  <c r="G76" i="11"/>
  <c r="H112" i="11" s="1"/>
  <c r="G75" i="11"/>
  <c r="H111" i="11" s="1"/>
  <c r="G74" i="11"/>
  <c r="H110" i="11" s="1"/>
  <c r="G73" i="11"/>
  <c r="H109" i="11" s="1"/>
  <c r="G72" i="11"/>
  <c r="H108" i="11" s="1"/>
  <c r="G71" i="11"/>
  <c r="H107" i="11" s="1"/>
  <c r="G70" i="11"/>
  <c r="H106" i="11" s="1"/>
  <c r="G69" i="11"/>
  <c r="H105" i="11" s="1"/>
  <c r="G68" i="11"/>
  <c r="H104" i="11" s="1"/>
  <c r="G67" i="11"/>
  <c r="H103" i="11" s="1"/>
  <c r="G66" i="11"/>
  <c r="H102" i="11" s="1"/>
  <c r="G65" i="11"/>
  <c r="H101" i="11" s="1"/>
  <c r="G64" i="11"/>
  <c r="H100" i="11" s="1"/>
  <c r="G63" i="11"/>
  <c r="H99" i="11" s="1"/>
  <c r="G62" i="11"/>
  <c r="H98" i="11" s="1"/>
  <c r="G61" i="11"/>
  <c r="H97" i="11" s="1"/>
  <c r="G60" i="11"/>
  <c r="H96" i="11" s="1"/>
  <c r="G59" i="11"/>
  <c r="H95" i="11" s="1"/>
  <c r="G58" i="11"/>
  <c r="H94" i="11" s="1"/>
  <c r="C26" i="7"/>
  <c r="B43" i="7" s="1"/>
  <c r="B316" i="7" s="1"/>
  <c r="E26" i="7"/>
  <c r="D43" i="7" s="1"/>
  <c r="D316" i="7" s="1"/>
  <c r="C30" i="7"/>
  <c r="B47" i="7" s="1"/>
  <c r="E30" i="7"/>
  <c r="D47" i="7" s="1"/>
  <c r="C34" i="7"/>
  <c r="B51" i="7" s="1"/>
  <c r="E34" i="7"/>
  <c r="D51" i="7" s="1"/>
  <c r="D75" i="7"/>
  <c r="C88" i="7" s="1"/>
  <c r="C75" i="7"/>
  <c r="B88" i="7" s="1"/>
  <c r="E661" i="7"/>
  <c r="D673" i="7" s="1"/>
  <c r="D661" i="7"/>
  <c r="C673" i="7" s="1"/>
  <c r="C661" i="7"/>
  <c r="B673" i="7" s="1"/>
  <c r="I15" i="3"/>
  <c r="B238" i="3" s="1"/>
  <c r="I19" i="3"/>
  <c r="B242" i="3" s="1"/>
  <c r="I23" i="3"/>
  <c r="B246" i="3" s="1"/>
  <c r="I27" i="3"/>
  <c r="B250" i="3" s="1"/>
  <c r="I31" i="3"/>
  <c r="B254" i="3" s="1"/>
  <c r="I35" i="3"/>
  <c r="B62" i="15" s="1"/>
  <c r="B77" i="15" s="1"/>
  <c r="B219" i="16" s="1"/>
  <c r="I39" i="3"/>
  <c r="B66" i="15" s="1"/>
  <c r="B81" i="15" s="1"/>
  <c r="B223" i="16" s="1"/>
  <c r="B63" i="3"/>
  <c r="E77" i="3" s="1"/>
  <c r="B67" i="3"/>
  <c r="I77" i="3" s="1"/>
  <c r="B135" i="3"/>
  <c r="F153" i="3"/>
  <c r="B64" i="4"/>
  <c r="B80" i="4" s="1"/>
  <c r="B107" i="5"/>
  <c r="C108" i="5"/>
  <c r="B111" i="5"/>
  <c r="D111" i="5" s="1"/>
  <c r="C112" i="5"/>
  <c r="B115" i="5"/>
  <c r="C116" i="5"/>
  <c r="B119" i="5"/>
  <c r="C120" i="5"/>
  <c r="B123" i="5"/>
  <c r="D123" i="5" s="1"/>
  <c r="C124" i="5"/>
  <c r="B127" i="5"/>
  <c r="C128" i="5"/>
  <c r="B131" i="5"/>
  <c r="C132" i="5"/>
  <c r="E197" i="6"/>
  <c r="C303" i="6" s="1"/>
  <c r="C68" i="22" s="1"/>
  <c r="E209" i="6"/>
  <c r="E217" i="6"/>
  <c r="E221" i="6"/>
  <c r="C309" i="6" s="1"/>
  <c r="C252" i="22" s="1"/>
  <c r="E223" i="6"/>
  <c r="C310" i="6" s="1"/>
  <c r="C284" i="22" s="1"/>
  <c r="E225" i="6"/>
  <c r="E229" i="6"/>
  <c r="E233" i="6"/>
  <c r="I233" i="6"/>
  <c r="E237" i="6"/>
  <c r="I237" i="6"/>
  <c r="E240" i="6"/>
  <c r="I240" i="6"/>
  <c r="E259" i="6"/>
  <c r="B265" i="6"/>
  <c r="G265" i="6"/>
  <c r="D268" i="6"/>
  <c r="B274" i="6"/>
  <c r="I274" i="6" s="1"/>
  <c r="B275" i="6"/>
  <c r="I275" i="6" s="1"/>
  <c r="G275" i="6"/>
  <c r="D278" i="6"/>
  <c r="E281" i="6"/>
  <c r="I281" i="6"/>
  <c r="D285" i="6"/>
  <c r="D28" i="7"/>
  <c r="C45" i="7" s="1"/>
  <c r="C390" i="7" s="1"/>
  <c r="D32" i="7"/>
  <c r="C49" i="7" s="1"/>
  <c r="E74" i="7"/>
  <c r="D87" i="7" s="1"/>
  <c r="B54" i="13"/>
  <c r="B58" i="13"/>
  <c r="B62" i="13"/>
  <c r="B66" i="13"/>
  <c r="B70" i="13"/>
  <c r="B64" i="15"/>
  <c r="B79" i="15" s="1"/>
  <c r="B221" i="16" s="1"/>
  <c r="B63" i="15"/>
  <c r="B78" i="15" s="1"/>
  <c r="B220" i="16" s="1"/>
  <c r="B67" i="15"/>
  <c r="B82" i="15" s="1"/>
  <c r="B224" i="16" s="1"/>
  <c r="D244" i="18"/>
  <c r="D253" i="18"/>
  <c r="D254" i="18"/>
  <c r="D255" i="18"/>
  <c r="D256" i="18"/>
  <c r="D258" i="18"/>
  <c r="D259" i="18"/>
  <c r="D260" i="18"/>
  <c r="D262" i="18"/>
  <c r="D264" i="18"/>
  <c r="D266" i="18"/>
  <c r="D267" i="18"/>
  <c r="D268" i="18"/>
  <c r="D269" i="18"/>
  <c r="D270" i="18"/>
  <c r="D271" i="18"/>
  <c r="D272" i="18"/>
  <c r="D273" i="18"/>
  <c r="D274" i="18"/>
  <c r="D280" i="18"/>
  <c r="D281" i="18"/>
  <c r="D282" i="18"/>
  <c r="D283" i="18"/>
  <c r="D285" i="18"/>
  <c r="D286" i="18"/>
  <c r="D287" i="18"/>
  <c r="D289" i="18"/>
  <c r="D291" i="18"/>
  <c r="D295" i="18"/>
  <c r="D298" i="18"/>
  <c r="D307" i="18"/>
  <c r="D308" i="18"/>
  <c r="D309" i="18"/>
  <c r="D310" i="18"/>
  <c r="D311" i="18"/>
  <c r="D320" i="18"/>
  <c r="D321" i="18"/>
  <c r="D322" i="18"/>
  <c r="D323" i="18"/>
  <c r="D324" i="18"/>
  <c r="D325" i="18"/>
  <c r="D326" i="18"/>
  <c r="D327" i="18"/>
  <c r="D328" i="18"/>
  <c r="D329" i="18"/>
  <c r="D330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61" i="18"/>
  <c r="D362" i="18"/>
  <c r="D363" i="18"/>
  <c r="D364" i="18"/>
  <c r="D365" i="18"/>
  <c r="D366" i="18"/>
  <c r="D367" i="18"/>
  <c r="D163" i="24"/>
  <c r="G171" i="24"/>
  <c r="D145" i="24"/>
  <c r="D167" i="24"/>
  <c r="G144" i="24"/>
  <c r="D153" i="24"/>
  <c r="D151" i="24"/>
  <c r="C157" i="24"/>
  <c r="C156" i="24"/>
  <c r="G157" i="24"/>
  <c r="G155" i="24"/>
  <c r="G161" i="24"/>
  <c r="F167" i="24"/>
  <c r="F168" i="24"/>
  <c r="G143" i="24"/>
  <c r="F169" i="24"/>
  <c r="C143" i="24"/>
  <c r="G147" i="24"/>
  <c r="G148" i="24"/>
  <c r="F151" i="24"/>
  <c r="F153" i="24"/>
  <c r="D173" i="24"/>
  <c r="G149" i="24"/>
  <c r="D143" i="24"/>
  <c r="D144" i="24"/>
  <c r="F171" i="24"/>
  <c r="F173" i="24"/>
  <c r="F179" i="24"/>
  <c r="F181" i="24"/>
  <c r="F180" i="24"/>
  <c r="F152" i="24"/>
  <c r="F161" i="24"/>
  <c r="F160" i="24"/>
  <c r="D164" i="24"/>
  <c r="D165" i="24"/>
  <c r="D169" i="24"/>
  <c r="D168" i="24"/>
  <c r="G173" i="24"/>
  <c r="F159" i="24"/>
  <c r="F145" i="24"/>
  <c r="D148" i="24"/>
  <c r="F156" i="24"/>
  <c r="D159" i="24"/>
  <c r="C163" i="24"/>
  <c r="G163" i="24"/>
  <c r="G175" i="24"/>
  <c r="F143" i="24"/>
  <c r="C145" i="24"/>
  <c r="G159" i="24"/>
  <c r="D161" i="24"/>
  <c r="G177" i="24"/>
  <c r="C152" i="24"/>
  <c r="G152" i="24"/>
  <c r="G168" i="24"/>
  <c r="G180" i="24"/>
  <c r="D147" i="24"/>
  <c r="F157" i="24"/>
  <c r="C164" i="24"/>
  <c r="G165" i="24"/>
  <c r="D326" i="6" l="1"/>
  <c r="D786" i="22" s="1"/>
  <c r="B323" i="6"/>
  <c r="B325" i="6"/>
  <c r="D282" i="6"/>
  <c r="D320" i="6"/>
  <c r="D596" i="22" s="1"/>
  <c r="F287" i="6"/>
  <c r="D328" i="6" s="1"/>
  <c r="D850" i="22" s="1"/>
  <c r="D276" i="6"/>
  <c r="F240" i="6"/>
  <c r="B307" i="6"/>
  <c r="B192" i="22" s="1"/>
  <c r="B322" i="6"/>
  <c r="B658" i="22" s="1"/>
  <c r="E313" i="6"/>
  <c r="E380" i="22" s="1"/>
  <c r="C13" i="7"/>
  <c r="E646" i="7"/>
  <c r="B319" i="6"/>
  <c r="B311" i="6"/>
  <c r="B308" i="6"/>
  <c r="B305" i="6"/>
  <c r="B302" i="6"/>
  <c r="E314" i="6"/>
  <c r="E412" i="22" s="1"/>
  <c r="B306" i="6"/>
  <c r="B160" i="22" s="1"/>
  <c r="B317" i="6"/>
  <c r="B312" i="6"/>
  <c r="B303" i="6"/>
  <c r="G324" i="6"/>
  <c r="F722" i="22" s="1"/>
  <c r="G327" i="6"/>
  <c r="D818" i="22" s="1"/>
  <c r="E315" i="6"/>
  <c r="E444" i="22" s="1"/>
  <c r="B327" i="6"/>
  <c r="B316" i="6"/>
  <c r="E327" i="6"/>
  <c r="C818" i="22" s="1"/>
  <c r="J240" i="3"/>
  <c r="J256" i="3"/>
  <c r="J245" i="3"/>
  <c r="J261" i="3"/>
  <c r="J250" i="3"/>
  <c r="F244" i="3"/>
  <c r="F260" i="3"/>
  <c r="F249" i="3"/>
  <c r="F238" i="3"/>
  <c r="F254" i="3"/>
  <c r="J244" i="3"/>
  <c r="J260" i="3"/>
  <c r="J249" i="3"/>
  <c r="J238" i="3"/>
  <c r="J254" i="3"/>
  <c r="F248" i="3"/>
  <c r="F237" i="3"/>
  <c r="F253" i="3"/>
  <c r="F242" i="3"/>
  <c r="F258" i="3"/>
  <c r="J248" i="3"/>
  <c r="J237" i="3"/>
  <c r="J253" i="3"/>
  <c r="J242" i="3"/>
  <c r="J258" i="3"/>
  <c r="F252" i="3"/>
  <c r="F241" i="3"/>
  <c r="F257" i="3"/>
  <c r="F246" i="3"/>
  <c r="F262" i="3"/>
  <c r="J252" i="3"/>
  <c r="J241" i="3"/>
  <c r="J257" i="3"/>
  <c r="J246" i="3"/>
  <c r="J262" i="3"/>
  <c r="F240" i="3"/>
  <c r="F256" i="3"/>
  <c r="F245" i="3"/>
  <c r="F261" i="3"/>
  <c r="F250" i="3"/>
  <c r="D124" i="5"/>
  <c r="D108" i="5"/>
  <c r="D120" i="5"/>
  <c r="D121" i="5"/>
  <c r="D122" i="5"/>
  <c r="B38" i="12"/>
  <c r="B67" i="13" s="1"/>
  <c r="B36" i="12"/>
  <c r="B65" i="13" s="1"/>
  <c r="B23" i="15" s="1"/>
  <c r="B35" i="15" s="1"/>
  <c r="B211" i="16" s="1"/>
  <c r="B27" i="12"/>
  <c r="B56" i="13" s="1"/>
  <c r="B30" i="12"/>
  <c r="B59" i="13" s="1"/>
  <c r="B28" i="12"/>
  <c r="B57" i="13" s="1"/>
  <c r="B32" i="12"/>
  <c r="B61" i="13" s="1"/>
  <c r="B39" i="12"/>
  <c r="B68" i="13" s="1"/>
  <c r="B23" i="12"/>
  <c r="B52" i="13" s="1"/>
  <c r="B26" i="12"/>
  <c r="B55" i="13" s="1"/>
  <c r="B476" i="22"/>
  <c r="C487" i="22" s="1"/>
  <c r="J22" i="23" s="1"/>
  <c r="B35" i="12"/>
  <c r="B64" i="13" s="1"/>
  <c r="B22" i="15" s="1"/>
  <c r="B34" i="15" s="1"/>
  <c r="B210" i="16" s="1"/>
  <c r="B40" i="12"/>
  <c r="B69" i="13" s="1"/>
  <c r="B24" i="12"/>
  <c r="B53" i="13" s="1"/>
  <c r="B31" i="12"/>
  <c r="B60" i="13" s="1"/>
  <c r="B34" i="12"/>
  <c r="B63" i="13" s="1"/>
  <c r="B21" i="15" s="1"/>
  <c r="B33" i="15" s="1"/>
  <c r="B209" i="16" s="1"/>
  <c r="B754" i="22"/>
  <c r="F274" i="6"/>
  <c r="C701" i="22"/>
  <c r="K150" i="16"/>
  <c r="D127" i="5"/>
  <c r="E455" i="22"/>
  <c r="K142" i="16"/>
  <c r="D119" i="5"/>
  <c r="G191" i="3"/>
  <c r="G227" i="3" s="1"/>
  <c r="G187" i="3"/>
  <c r="G223" i="3" s="1"/>
  <c r="G183" i="3"/>
  <c r="G219" i="3" s="1"/>
  <c r="G179" i="3"/>
  <c r="G215" i="3" s="1"/>
  <c r="G175" i="3"/>
  <c r="G211" i="3" s="1"/>
  <c r="G171" i="3"/>
  <c r="G207" i="3" s="1"/>
  <c r="G167" i="3"/>
  <c r="G203" i="3" s="1"/>
  <c r="G190" i="3"/>
  <c r="G226" i="3" s="1"/>
  <c r="G186" i="3"/>
  <c r="G222" i="3" s="1"/>
  <c r="G182" i="3"/>
  <c r="G218" i="3" s="1"/>
  <c r="G178" i="3"/>
  <c r="G214" i="3" s="1"/>
  <c r="G174" i="3"/>
  <c r="G210" i="3" s="1"/>
  <c r="G170" i="3"/>
  <c r="G206" i="3" s="1"/>
  <c r="G166" i="3"/>
  <c r="G202" i="3" s="1"/>
  <c r="G189" i="3"/>
  <c r="G225" i="3" s="1"/>
  <c r="G185" i="3"/>
  <c r="G221" i="3" s="1"/>
  <c r="G181" i="3"/>
  <c r="G217" i="3" s="1"/>
  <c r="G177" i="3"/>
  <c r="G213" i="3" s="1"/>
  <c r="G173" i="3"/>
  <c r="G209" i="3" s="1"/>
  <c r="G169" i="3"/>
  <c r="G205" i="3" s="1"/>
  <c r="G165" i="3"/>
  <c r="G201" i="3" s="1"/>
  <c r="G188" i="3"/>
  <c r="G224" i="3" s="1"/>
  <c r="G184" i="3"/>
  <c r="G220" i="3" s="1"/>
  <c r="G180" i="3"/>
  <c r="G216" i="3" s="1"/>
  <c r="G176" i="3"/>
  <c r="G212" i="3" s="1"/>
  <c r="G172" i="3"/>
  <c r="G208" i="3" s="1"/>
  <c r="G168" i="3"/>
  <c r="G204" i="3" s="1"/>
  <c r="H82" i="24"/>
  <c r="B237" i="24" s="1"/>
  <c r="B191" i="24"/>
  <c r="B190" i="24"/>
  <c r="B187" i="24"/>
  <c r="B188" i="24"/>
  <c r="H63" i="24"/>
  <c r="K74" i="21"/>
  <c r="I74" i="21"/>
  <c r="B151" i="24"/>
  <c r="B152" i="24"/>
  <c r="B153" i="24"/>
  <c r="E733" i="22"/>
  <c r="K151" i="16"/>
  <c r="D128" i="5"/>
  <c r="D231" i="22"/>
  <c r="K135" i="16"/>
  <c r="D112" i="5"/>
  <c r="D100" i="4"/>
  <c r="E151" i="3"/>
  <c r="AC276" i="7"/>
  <c r="AC381" i="7" s="1"/>
  <c r="E149" i="24"/>
  <c r="F149" i="24"/>
  <c r="E148" i="24"/>
  <c r="F147" i="24"/>
  <c r="E147" i="24"/>
  <c r="F148" i="24"/>
  <c r="D149" i="24"/>
  <c r="D309" i="19"/>
  <c r="C309" i="19"/>
  <c r="F309" i="19"/>
  <c r="E279" i="6"/>
  <c r="H279" i="6"/>
  <c r="F279" i="6"/>
  <c r="D301" i="19"/>
  <c r="C301" i="19"/>
  <c r="F301" i="19"/>
  <c r="E271" i="6"/>
  <c r="H271" i="6"/>
  <c r="F271" i="6"/>
  <c r="E798" i="22"/>
  <c r="L153" i="16"/>
  <c r="D296" i="22"/>
  <c r="L137" i="16"/>
  <c r="C48" i="22"/>
  <c r="L129" i="16"/>
  <c r="C261" i="3"/>
  <c r="C257" i="3"/>
  <c r="C253" i="3"/>
  <c r="C249" i="3"/>
  <c r="C245" i="3"/>
  <c r="C241" i="3"/>
  <c r="C237" i="3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C262" i="3"/>
  <c r="C258" i="3"/>
  <c r="C254" i="3"/>
  <c r="C250" i="3"/>
  <c r="C246" i="3"/>
  <c r="C242" i="3"/>
  <c r="C238" i="3"/>
  <c r="H81" i="24"/>
  <c r="H79" i="24"/>
  <c r="B228" i="24" s="1"/>
  <c r="H77" i="24"/>
  <c r="E220" i="24" s="1"/>
  <c r="K91" i="21"/>
  <c r="I91" i="21"/>
  <c r="B183" i="24"/>
  <c r="B184" i="24"/>
  <c r="B185" i="24"/>
  <c r="B179" i="24"/>
  <c r="B180" i="24"/>
  <c r="B181" i="24"/>
  <c r="B175" i="24"/>
  <c r="B177" i="24"/>
  <c r="B176" i="24"/>
  <c r="K71" i="21"/>
  <c r="I71" i="21"/>
  <c r="E144" i="24"/>
  <c r="E145" i="24"/>
  <c r="E143" i="24"/>
  <c r="F144" i="24"/>
  <c r="G145" i="24"/>
  <c r="C144" i="24"/>
  <c r="B145" i="24"/>
  <c r="B144" i="24"/>
  <c r="B143" i="24"/>
  <c r="C302" i="19"/>
  <c r="F302" i="19"/>
  <c r="D302" i="19"/>
  <c r="F272" i="6"/>
  <c r="E272" i="6"/>
  <c r="H272" i="6"/>
  <c r="G294" i="19"/>
  <c r="C294" i="19"/>
  <c r="F294" i="19"/>
  <c r="D294" i="19"/>
  <c r="F264" i="6"/>
  <c r="I264" i="6"/>
  <c r="E264" i="6"/>
  <c r="H264" i="6"/>
  <c r="D285" i="19"/>
  <c r="G285" i="19"/>
  <c r="C285" i="19"/>
  <c r="F285" i="19"/>
  <c r="I255" i="6"/>
  <c r="E255" i="6"/>
  <c r="H255" i="6"/>
  <c r="C255" i="6"/>
  <c r="F255" i="6"/>
  <c r="D279" i="19"/>
  <c r="G279" i="19"/>
  <c r="C279" i="19"/>
  <c r="F279" i="19"/>
  <c r="I249" i="6"/>
  <c r="E249" i="6"/>
  <c r="H249" i="6"/>
  <c r="C249" i="6"/>
  <c r="F249" i="6"/>
  <c r="D274" i="19"/>
  <c r="G274" i="19"/>
  <c r="C274" i="19"/>
  <c r="F274" i="19"/>
  <c r="I244" i="6"/>
  <c r="E244" i="6"/>
  <c r="H244" i="6"/>
  <c r="C244" i="6"/>
  <c r="F244" i="6"/>
  <c r="G261" i="19"/>
  <c r="F261" i="19"/>
  <c r="I231" i="6"/>
  <c r="H231" i="6"/>
  <c r="C231" i="6"/>
  <c r="G231" i="6" s="1"/>
  <c r="G257" i="19"/>
  <c r="F257" i="19"/>
  <c r="I227" i="6"/>
  <c r="H227" i="6"/>
  <c r="C227" i="6"/>
  <c r="G227" i="6" s="1"/>
  <c r="G253" i="19"/>
  <c r="F253" i="19"/>
  <c r="D253" i="19"/>
  <c r="I223" i="6"/>
  <c r="G310" i="6" s="1"/>
  <c r="H223" i="6"/>
  <c r="F310" i="6" s="1"/>
  <c r="C223" i="6"/>
  <c r="G223" i="6" s="1"/>
  <c r="E310" i="6" s="1"/>
  <c r="F223" i="6"/>
  <c r="D310" i="6" s="1"/>
  <c r="G247" i="19"/>
  <c r="F247" i="19"/>
  <c r="D247" i="19"/>
  <c r="I217" i="6"/>
  <c r="H217" i="6"/>
  <c r="C217" i="6"/>
  <c r="G217" i="6" s="1"/>
  <c r="F217" i="6"/>
  <c r="G241" i="19"/>
  <c r="F241" i="19"/>
  <c r="D241" i="19"/>
  <c r="I211" i="6"/>
  <c r="H211" i="6"/>
  <c r="C211" i="6"/>
  <c r="G211" i="6" s="1"/>
  <c r="F211" i="6"/>
  <c r="G236" i="19"/>
  <c r="C236" i="19"/>
  <c r="F236" i="19"/>
  <c r="D236" i="19"/>
  <c r="I206" i="6"/>
  <c r="E206" i="6"/>
  <c r="H206" i="6"/>
  <c r="C206" i="6"/>
  <c r="G206" i="6" s="1"/>
  <c r="F206" i="6"/>
  <c r="G231" i="19"/>
  <c r="C231" i="19"/>
  <c r="F231" i="19"/>
  <c r="D231" i="19"/>
  <c r="I201" i="6"/>
  <c r="E201" i="6"/>
  <c r="H201" i="6"/>
  <c r="C201" i="6"/>
  <c r="F201" i="6"/>
  <c r="G225" i="19"/>
  <c r="C225" i="19"/>
  <c r="F225" i="19"/>
  <c r="D225" i="19"/>
  <c r="I195" i="6"/>
  <c r="E195" i="6"/>
  <c r="H195" i="6"/>
  <c r="C195" i="6"/>
  <c r="G195" i="6" s="1"/>
  <c r="F195" i="6"/>
  <c r="C702" i="22"/>
  <c r="L150" i="16"/>
  <c r="E456" i="22"/>
  <c r="L142" i="16"/>
  <c r="E185" i="24"/>
  <c r="E183" i="24"/>
  <c r="E184" i="24"/>
  <c r="C159" i="24"/>
  <c r="B261" i="3"/>
  <c r="B47" i="12" s="1"/>
  <c r="K263" i="7"/>
  <c r="B769" i="7"/>
  <c r="C767" i="7"/>
  <c r="D263" i="7"/>
  <c r="D279" i="7" s="1"/>
  <c r="D382" i="7" s="1"/>
  <c r="F238" i="6"/>
  <c r="F276" i="6"/>
  <c r="I235" i="6"/>
  <c r="E227" i="6"/>
  <c r="C50" i="4"/>
  <c r="D49" i="4"/>
  <c r="E276" i="6"/>
  <c r="H238" i="6"/>
  <c r="F314" i="6" s="1"/>
  <c r="E260" i="6"/>
  <c r="M137" i="21"/>
  <c r="E40" i="20"/>
  <c r="C775" i="7"/>
  <c r="AJ263" i="7"/>
  <c r="AJ290" i="7" s="1"/>
  <c r="AJ572" i="7" s="1"/>
  <c r="AC263" i="7"/>
  <c r="AC288" i="7" s="1"/>
  <c r="AC570" i="7" s="1"/>
  <c r="D773" i="7"/>
  <c r="B771" i="7"/>
  <c r="S263" i="7"/>
  <c r="C770" i="7"/>
  <c r="P263" i="7"/>
  <c r="P288" i="7" s="1"/>
  <c r="P570" i="7" s="1"/>
  <c r="D768" i="7"/>
  <c r="I263" i="7"/>
  <c r="I279" i="7" s="1"/>
  <c r="I382" i="7" s="1"/>
  <c r="D261" i="6"/>
  <c r="D234" i="6"/>
  <c r="B313" i="6" s="1"/>
  <c r="F304" i="19"/>
  <c r="H274" i="6"/>
  <c r="C274" i="6"/>
  <c r="G274" i="6" s="1"/>
  <c r="E324" i="6" s="1"/>
  <c r="E862" i="22"/>
  <c r="L155" i="16"/>
  <c r="E360" i="22"/>
  <c r="L139" i="16"/>
  <c r="E101" i="4"/>
  <c r="F152" i="3"/>
  <c r="I287" i="6"/>
  <c r="G328" i="6" s="1"/>
  <c r="F850" i="22" s="1"/>
  <c r="B238" i="24"/>
  <c r="K114" i="21"/>
  <c r="I114" i="21"/>
  <c r="H72" i="24"/>
  <c r="E203" i="24" s="1"/>
  <c r="H60" i="24"/>
  <c r="E181" i="24"/>
  <c r="E180" i="24"/>
  <c r="G179" i="24"/>
  <c r="G181" i="24"/>
  <c r="E179" i="24"/>
  <c r="E274" i="6"/>
  <c r="D298" i="19"/>
  <c r="G298" i="19"/>
  <c r="C298" i="19"/>
  <c r="F298" i="19"/>
  <c r="H268" i="6"/>
  <c r="F268" i="6"/>
  <c r="I268" i="6"/>
  <c r="E268" i="6"/>
  <c r="B566" i="22"/>
  <c r="C577" i="22" s="1"/>
  <c r="J25" i="23" s="1"/>
  <c r="B316" i="22"/>
  <c r="B220" i="22"/>
  <c r="B128" i="22"/>
  <c r="B36" i="22"/>
  <c r="C638" i="22"/>
  <c r="L148" i="16"/>
  <c r="E392" i="22"/>
  <c r="L140" i="16"/>
  <c r="C140" i="22"/>
  <c r="L132" i="16"/>
  <c r="H260" i="3"/>
  <c r="H256" i="3"/>
  <c r="H252" i="3"/>
  <c r="H248" i="3"/>
  <c r="H244" i="3"/>
  <c r="H240" i="3"/>
  <c r="H263" i="3"/>
  <c r="H259" i="3"/>
  <c r="H255" i="3"/>
  <c r="H251" i="3"/>
  <c r="H247" i="3"/>
  <c r="H243" i="3"/>
  <c r="H239" i="3"/>
  <c r="H262" i="3"/>
  <c r="H258" i="3"/>
  <c r="H254" i="3"/>
  <c r="H250" i="3"/>
  <c r="H246" i="3"/>
  <c r="H242" i="3"/>
  <c r="H238" i="3"/>
  <c r="H261" i="3"/>
  <c r="H257" i="3"/>
  <c r="H253" i="3"/>
  <c r="H249" i="3"/>
  <c r="H245" i="3"/>
  <c r="H241" i="3"/>
  <c r="H237" i="3"/>
  <c r="E222" i="24"/>
  <c r="E221" i="24"/>
  <c r="E187" i="24"/>
  <c r="E188" i="24"/>
  <c r="C181" i="24"/>
  <c r="H62" i="24"/>
  <c r="I70" i="21"/>
  <c r="K70" i="21"/>
  <c r="H57" i="24"/>
  <c r="C153" i="24"/>
  <c r="E152" i="24"/>
  <c r="G151" i="24"/>
  <c r="E151" i="24"/>
  <c r="C151" i="24"/>
  <c r="G153" i="24"/>
  <c r="D152" i="24"/>
  <c r="E153" i="24"/>
  <c r="B818" i="22"/>
  <c r="E842" i="22" s="1"/>
  <c r="W33" i="23" s="1"/>
  <c r="C308" i="19"/>
  <c r="F308" i="19"/>
  <c r="D308" i="19"/>
  <c r="H278" i="6"/>
  <c r="C278" i="6"/>
  <c r="G278" i="6" s="1"/>
  <c r="E325" i="6" s="1"/>
  <c r="F278" i="6"/>
  <c r="D325" i="6" s="1"/>
  <c r="E278" i="6"/>
  <c r="C325" i="6" s="1"/>
  <c r="C300" i="19"/>
  <c r="F300" i="19"/>
  <c r="D300" i="19"/>
  <c r="H270" i="6"/>
  <c r="C270" i="6"/>
  <c r="G270" i="6" s="1"/>
  <c r="E323" i="6" s="1"/>
  <c r="F270" i="6"/>
  <c r="D323" i="6" s="1"/>
  <c r="E270" i="6"/>
  <c r="C323" i="6" s="1"/>
  <c r="C765" i="22"/>
  <c r="K152" i="16"/>
  <c r="D129" i="5"/>
  <c r="D263" i="22"/>
  <c r="K136" i="16"/>
  <c r="D113" i="5"/>
  <c r="B234" i="24"/>
  <c r="B235" i="24"/>
  <c r="B229" i="24"/>
  <c r="B220" i="24"/>
  <c r="B222" i="24"/>
  <c r="B221" i="24"/>
  <c r="H71" i="24"/>
  <c r="K80" i="21"/>
  <c r="I80" i="21"/>
  <c r="F15" i="2"/>
  <c r="F37" i="2" s="1"/>
  <c r="E177" i="24"/>
  <c r="F177" i="24"/>
  <c r="F176" i="24"/>
  <c r="E175" i="24"/>
  <c r="G176" i="24"/>
  <c r="E176" i="24"/>
  <c r="F175" i="24"/>
  <c r="H61" i="24"/>
  <c r="F318" i="19"/>
  <c r="H288" i="6"/>
  <c r="F311" i="19"/>
  <c r="H281" i="6"/>
  <c r="C281" i="6"/>
  <c r="G281" i="6" s="1"/>
  <c r="E326" i="6" s="1"/>
  <c r="I270" i="6"/>
  <c r="D293" i="19"/>
  <c r="G293" i="19"/>
  <c r="C293" i="19"/>
  <c r="F293" i="19"/>
  <c r="I263" i="6"/>
  <c r="E263" i="6"/>
  <c r="H263" i="6"/>
  <c r="C263" i="6"/>
  <c r="G263" i="6" s="1"/>
  <c r="E321" i="6" s="1"/>
  <c r="F263" i="6"/>
  <c r="G289" i="19"/>
  <c r="F289" i="19"/>
  <c r="I259" i="6"/>
  <c r="H259" i="6"/>
  <c r="C259" i="6"/>
  <c r="G283" i="19"/>
  <c r="C283" i="19"/>
  <c r="F283" i="19"/>
  <c r="D283" i="19"/>
  <c r="I253" i="6"/>
  <c r="E253" i="6"/>
  <c r="H253" i="6"/>
  <c r="C253" i="6"/>
  <c r="F253" i="6"/>
  <c r="G278" i="19"/>
  <c r="C278" i="19"/>
  <c r="F278" i="19"/>
  <c r="D278" i="19"/>
  <c r="I248" i="6"/>
  <c r="E248" i="6"/>
  <c r="H248" i="6"/>
  <c r="C248" i="6"/>
  <c r="F248" i="6"/>
  <c r="G273" i="19"/>
  <c r="C273" i="19"/>
  <c r="F273" i="19"/>
  <c r="D273" i="19"/>
  <c r="I243" i="6"/>
  <c r="E243" i="6"/>
  <c r="H243" i="6"/>
  <c r="C243" i="6"/>
  <c r="F243" i="6"/>
  <c r="G260" i="19"/>
  <c r="F260" i="19"/>
  <c r="I230" i="6"/>
  <c r="H230" i="6"/>
  <c r="C230" i="6"/>
  <c r="G230" i="6" s="1"/>
  <c r="G256" i="19"/>
  <c r="F256" i="19"/>
  <c r="I226" i="6"/>
  <c r="H226" i="6"/>
  <c r="C226" i="6"/>
  <c r="G226" i="6" s="1"/>
  <c r="D251" i="19"/>
  <c r="G251" i="19"/>
  <c r="F251" i="19"/>
  <c r="I221" i="6"/>
  <c r="G309" i="6" s="1"/>
  <c r="H221" i="6"/>
  <c r="F309" i="6" s="1"/>
  <c r="C221" i="6"/>
  <c r="G221" i="6" s="1"/>
  <c r="E309" i="6" s="1"/>
  <c r="F221" i="6"/>
  <c r="D309" i="6" s="1"/>
  <c r="D245" i="19"/>
  <c r="G245" i="19"/>
  <c r="C245" i="19"/>
  <c r="F245" i="19"/>
  <c r="I215" i="6"/>
  <c r="E215" i="6"/>
  <c r="H215" i="6"/>
  <c r="C215" i="6"/>
  <c r="F215" i="6"/>
  <c r="D240" i="19"/>
  <c r="G240" i="19"/>
  <c r="F240" i="19"/>
  <c r="I210" i="6"/>
  <c r="H210" i="6"/>
  <c r="C210" i="6"/>
  <c r="G210" i="6" s="1"/>
  <c r="F210" i="6"/>
  <c r="D235" i="19"/>
  <c r="G235" i="19"/>
  <c r="C235" i="19"/>
  <c r="F235" i="19"/>
  <c r="I205" i="6"/>
  <c r="E205" i="6"/>
  <c r="H205" i="6"/>
  <c r="C205" i="6"/>
  <c r="G205" i="6" s="1"/>
  <c r="F205" i="6"/>
  <c r="D229" i="19"/>
  <c r="G229" i="19"/>
  <c r="F229" i="19"/>
  <c r="I199" i="6"/>
  <c r="H199" i="6"/>
  <c r="C199" i="6"/>
  <c r="G199" i="6" s="1"/>
  <c r="F199" i="6"/>
  <c r="D224" i="19"/>
  <c r="G224" i="19"/>
  <c r="C224" i="19"/>
  <c r="F224" i="19"/>
  <c r="I194" i="6"/>
  <c r="E194" i="6"/>
  <c r="H194" i="6"/>
  <c r="C194" i="6"/>
  <c r="G194" i="6" s="1"/>
  <c r="F194" i="6"/>
  <c r="C669" i="22"/>
  <c r="K149" i="16"/>
  <c r="D126" i="5"/>
  <c r="E423" i="22"/>
  <c r="K141" i="16"/>
  <c r="D118" i="5"/>
  <c r="D171" i="22"/>
  <c r="K133" i="16"/>
  <c r="D110" i="5"/>
  <c r="D288" i="6"/>
  <c r="B328" i="6" s="1"/>
  <c r="B774" i="7"/>
  <c r="AE263" i="7"/>
  <c r="AE290" i="7" s="1"/>
  <c r="AE572" i="7" s="1"/>
  <c r="L263" i="7"/>
  <c r="L276" i="7" s="1"/>
  <c r="L381" i="7" s="1"/>
  <c r="C769" i="7"/>
  <c r="D767" i="7"/>
  <c r="E263" i="7"/>
  <c r="H234" i="6"/>
  <c r="D274" i="6"/>
  <c r="I238" i="6"/>
  <c r="G314" i="6" s="1"/>
  <c r="G412" i="22" s="1"/>
  <c r="E235" i="6"/>
  <c r="E226" i="6"/>
  <c r="C311" i="6" s="1"/>
  <c r="F275" i="6"/>
  <c r="H235" i="6"/>
  <c r="E275" i="6"/>
  <c r="D775" i="7"/>
  <c r="AK263" i="7"/>
  <c r="AK279" i="7" s="1"/>
  <c r="AK382" i="7" s="1"/>
  <c r="B772" i="7"/>
  <c r="W263" i="7"/>
  <c r="W288" i="7" s="1"/>
  <c r="W570" i="7" s="1"/>
  <c r="C771" i="7"/>
  <c r="T263" i="7"/>
  <c r="T279" i="7" s="1"/>
  <c r="T382" i="7" s="1"/>
  <c r="Q263" i="7"/>
  <c r="Q276" i="7" s="1"/>
  <c r="Q381" i="7" s="1"/>
  <c r="D770" i="7"/>
  <c r="D281" i="6"/>
  <c r="B326" i="6" s="1"/>
  <c r="D260" i="6"/>
  <c r="D240" i="6"/>
  <c r="B315" i="6" s="1"/>
  <c r="F231" i="6"/>
  <c r="D201" i="6"/>
  <c r="B304" i="6" s="1"/>
  <c r="B690" i="22"/>
  <c r="D295" i="19"/>
  <c r="G295" i="19"/>
  <c r="C295" i="19"/>
  <c r="F295" i="19"/>
  <c r="F265" i="6"/>
  <c r="I265" i="6"/>
  <c r="E265" i="6"/>
  <c r="H265" i="6"/>
  <c r="C829" i="22"/>
  <c r="K154" i="16"/>
  <c r="D131" i="5"/>
  <c r="E327" i="22"/>
  <c r="K138" i="16"/>
  <c r="D115" i="5"/>
  <c r="D79" i="22"/>
  <c r="K130" i="16"/>
  <c r="D107" i="5"/>
  <c r="I263" i="3"/>
  <c r="I259" i="3"/>
  <c r="I255" i="3"/>
  <c r="I251" i="3"/>
  <c r="I247" i="3"/>
  <c r="I243" i="3"/>
  <c r="I239" i="3"/>
  <c r="I262" i="3"/>
  <c r="I258" i="3"/>
  <c r="I254" i="3"/>
  <c r="I250" i="3"/>
  <c r="I246" i="3"/>
  <c r="I242" i="3"/>
  <c r="I238" i="3"/>
  <c r="I261" i="3"/>
  <c r="I257" i="3"/>
  <c r="I253" i="3"/>
  <c r="I249" i="3"/>
  <c r="I245" i="3"/>
  <c r="I241" i="3"/>
  <c r="I237" i="3"/>
  <c r="I260" i="3"/>
  <c r="I256" i="3"/>
  <c r="I252" i="3"/>
  <c r="I248" i="3"/>
  <c r="I244" i="3"/>
  <c r="I240" i="3"/>
  <c r="G238" i="24"/>
  <c r="G237" i="24"/>
  <c r="H80" i="24"/>
  <c r="I128" i="21"/>
  <c r="K128" i="21"/>
  <c r="K113" i="21"/>
  <c r="I113" i="21"/>
  <c r="B202" i="24"/>
  <c r="B203" i="24"/>
  <c r="B201" i="24"/>
  <c r="B161" i="24"/>
  <c r="B159" i="24"/>
  <c r="B160" i="24"/>
  <c r="F317" i="19"/>
  <c r="H287" i="6"/>
  <c r="F328" i="6" s="1"/>
  <c r="C287" i="6"/>
  <c r="G287" i="6" s="1"/>
  <c r="E328" i="6" s="1"/>
  <c r="G297" i="19"/>
  <c r="C297" i="19"/>
  <c r="F297" i="19"/>
  <c r="D297" i="19"/>
  <c r="C267" i="6"/>
  <c r="G267" i="6" s="1"/>
  <c r="E322" i="6" s="1"/>
  <c r="F267" i="6"/>
  <c r="I267" i="6"/>
  <c r="G322" i="6" s="1"/>
  <c r="E267" i="6"/>
  <c r="C322" i="6" s="1"/>
  <c r="H267" i="6"/>
  <c r="F322" i="6" s="1"/>
  <c r="B506" i="22"/>
  <c r="C517" i="22" s="1"/>
  <c r="J23" i="23" s="1"/>
  <c r="B348" i="22"/>
  <c r="B284" i="22"/>
  <c r="B127" i="7"/>
  <c r="B68" i="22"/>
  <c r="E861" i="22"/>
  <c r="K155" i="16"/>
  <c r="D132" i="5"/>
  <c r="E359" i="22"/>
  <c r="K139" i="16"/>
  <c r="D116" i="5"/>
  <c r="D260" i="3"/>
  <c r="D256" i="3"/>
  <c r="D252" i="3"/>
  <c r="D248" i="3"/>
  <c r="D244" i="3"/>
  <c r="D240" i="3"/>
  <c r="D263" i="3"/>
  <c r="D259" i="3"/>
  <c r="D255" i="3"/>
  <c r="D251" i="3"/>
  <c r="D247" i="3"/>
  <c r="D243" i="3"/>
  <c r="D239" i="3"/>
  <c r="D262" i="3"/>
  <c r="D258" i="3"/>
  <c r="D254" i="3"/>
  <c r="D250" i="3"/>
  <c r="D246" i="3"/>
  <c r="D242" i="3"/>
  <c r="D238" i="3"/>
  <c r="D261" i="3"/>
  <c r="D257" i="3"/>
  <c r="D253" i="3"/>
  <c r="D249" i="3"/>
  <c r="D245" i="3"/>
  <c r="D241" i="3"/>
  <c r="D237" i="3"/>
  <c r="E235" i="24"/>
  <c r="E234" i="24"/>
  <c r="E229" i="24"/>
  <c r="E228" i="24"/>
  <c r="H78" i="24"/>
  <c r="E190" i="24"/>
  <c r="E191" i="24"/>
  <c r="C179" i="24"/>
  <c r="B167" i="24"/>
  <c r="B169" i="24"/>
  <c r="B168" i="24"/>
  <c r="B148" i="24"/>
  <c r="B149" i="24"/>
  <c r="B147" i="24"/>
  <c r="C670" i="22"/>
  <c r="L149" i="16"/>
  <c r="E424" i="22"/>
  <c r="L141" i="16"/>
  <c r="D172" i="22"/>
  <c r="L133" i="16"/>
  <c r="H76" i="24"/>
  <c r="E217" i="24" s="1"/>
  <c r="K120" i="21"/>
  <c r="I120" i="21"/>
  <c r="B197" i="24"/>
  <c r="B198" i="24"/>
  <c r="B199" i="24"/>
  <c r="I79" i="21"/>
  <c r="K79" i="21"/>
  <c r="E171" i="24"/>
  <c r="D171" i="24"/>
  <c r="E165" i="24"/>
  <c r="E163" i="24"/>
  <c r="F164" i="24"/>
  <c r="C165" i="24"/>
  <c r="F163" i="24"/>
  <c r="G164" i="24"/>
  <c r="E164" i="24"/>
  <c r="F165" i="24"/>
  <c r="E160" i="24"/>
  <c r="E159" i="24"/>
  <c r="G160" i="24"/>
  <c r="D160" i="24"/>
  <c r="E161" i="24"/>
  <c r="H59" i="24"/>
  <c r="C238" i="24"/>
  <c r="C237" i="24"/>
  <c r="B165" i="24"/>
  <c r="B163" i="24"/>
  <c r="B164" i="24"/>
  <c r="I278" i="6"/>
  <c r="D265" i="6"/>
  <c r="G291" i="19"/>
  <c r="F291" i="19"/>
  <c r="I261" i="6"/>
  <c r="H261" i="6"/>
  <c r="C261" i="6"/>
  <c r="D287" i="19"/>
  <c r="G287" i="19"/>
  <c r="C287" i="19"/>
  <c r="F287" i="19"/>
  <c r="I257" i="6"/>
  <c r="E257" i="6"/>
  <c r="H257" i="6"/>
  <c r="C257" i="6"/>
  <c r="F257" i="6"/>
  <c r="D282" i="19"/>
  <c r="G282" i="19"/>
  <c r="C282" i="19"/>
  <c r="F282" i="19"/>
  <c r="I252" i="6"/>
  <c r="E252" i="6"/>
  <c r="H252" i="6"/>
  <c r="C252" i="6"/>
  <c r="F252" i="6"/>
  <c r="D277" i="19"/>
  <c r="G277" i="19"/>
  <c r="C277" i="19"/>
  <c r="F277" i="19"/>
  <c r="I247" i="6"/>
  <c r="E247" i="6"/>
  <c r="H247" i="6"/>
  <c r="F317" i="6" s="1"/>
  <c r="C247" i="6"/>
  <c r="F247" i="6"/>
  <c r="F237" i="6"/>
  <c r="D314" i="6" s="1"/>
  <c r="D412" i="22" s="1"/>
  <c r="F233" i="6"/>
  <c r="G249" i="19"/>
  <c r="F249" i="19"/>
  <c r="D249" i="19"/>
  <c r="I219" i="6"/>
  <c r="H219" i="6"/>
  <c r="C219" i="6"/>
  <c r="G219" i="6" s="1"/>
  <c r="F219" i="6"/>
  <c r="G244" i="19"/>
  <c r="C244" i="19"/>
  <c r="F244" i="19"/>
  <c r="D244" i="19"/>
  <c r="I214" i="6"/>
  <c r="E214" i="6"/>
  <c r="H214" i="6"/>
  <c r="C214" i="6"/>
  <c r="F214" i="6"/>
  <c r="G239" i="19"/>
  <c r="F239" i="19"/>
  <c r="D239" i="19"/>
  <c r="I209" i="6"/>
  <c r="G306" i="6" s="1"/>
  <c r="H209" i="6"/>
  <c r="C209" i="6"/>
  <c r="G209" i="6" s="1"/>
  <c r="F209" i="6"/>
  <c r="D306" i="6" s="1"/>
  <c r="G233" i="19"/>
  <c r="C233" i="19"/>
  <c r="F233" i="19"/>
  <c r="D233" i="19"/>
  <c r="I203" i="6"/>
  <c r="E203" i="6"/>
  <c r="H203" i="6"/>
  <c r="C203" i="6"/>
  <c r="F203" i="6"/>
  <c r="G228" i="19"/>
  <c r="F228" i="19"/>
  <c r="D228" i="19"/>
  <c r="I198" i="6"/>
  <c r="H198" i="6"/>
  <c r="C198" i="6"/>
  <c r="G198" i="6" s="1"/>
  <c r="F198" i="6"/>
  <c r="G223" i="19"/>
  <c r="C223" i="19"/>
  <c r="F223" i="19"/>
  <c r="D223" i="19"/>
  <c r="I193" i="6"/>
  <c r="G302" i="6" s="1"/>
  <c r="E193" i="6"/>
  <c r="H193" i="6"/>
  <c r="C193" i="6"/>
  <c r="G193" i="6" s="1"/>
  <c r="E302" i="6" s="1"/>
  <c r="F193" i="6"/>
  <c r="D302" i="6" s="1"/>
  <c r="E328" i="22"/>
  <c r="L138" i="16"/>
  <c r="D80" i="22"/>
  <c r="L130" i="16"/>
  <c r="B81" i="4"/>
  <c r="K141" i="21"/>
  <c r="I141" i="21"/>
  <c r="C160" i="24"/>
  <c r="C774" i="7"/>
  <c r="AF263" i="7"/>
  <c r="D769" i="7"/>
  <c r="M263" i="7"/>
  <c r="D275" i="6"/>
  <c r="F230" i="6"/>
  <c r="D312" i="6" s="1"/>
  <c r="D348" i="22" s="1"/>
  <c r="B258" i="3"/>
  <c r="B44" i="12" s="1"/>
  <c r="B36" i="16" s="1"/>
  <c r="I271" i="6"/>
  <c r="I241" i="6"/>
  <c r="G315" i="6" s="1"/>
  <c r="G444" i="22" s="1"/>
  <c r="E238" i="6"/>
  <c r="C314" i="6" s="1"/>
  <c r="C412" i="22" s="1"/>
  <c r="E231" i="6"/>
  <c r="F234" i="6"/>
  <c r="C830" i="22"/>
  <c r="E830" i="22" s="1"/>
  <c r="K33" i="23" s="1"/>
  <c r="L154" i="16"/>
  <c r="I234" i="6"/>
  <c r="G313" i="6" s="1"/>
  <c r="G380" i="22" s="1"/>
  <c r="N137" i="21"/>
  <c r="F40" i="20"/>
  <c r="AA263" i="7"/>
  <c r="AA279" i="7" s="1"/>
  <c r="AA382" i="7" s="1"/>
  <c r="B773" i="7"/>
  <c r="C772" i="7"/>
  <c r="X263" i="7"/>
  <c r="X288" i="7" s="1"/>
  <c r="X570" i="7" s="1"/>
  <c r="D771" i="7"/>
  <c r="U263" i="7"/>
  <c r="B768" i="7"/>
  <c r="G263" i="7"/>
  <c r="G276" i="7" s="1"/>
  <c r="G381" i="7" s="1"/>
  <c r="D259" i="6"/>
  <c r="D237" i="6"/>
  <c r="B314" i="6" s="1"/>
  <c r="F227" i="6"/>
  <c r="D311" i="6" s="1"/>
  <c r="D316" i="22" s="1"/>
  <c r="D190" i="3"/>
  <c r="D226" i="3" s="1"/>
  <c r="D186" i="3"/>
  <c r="D222" i="3" s="1"/>
  <c r="D182" i="3"/>
  <c r="D218" i="3" s="1"/>
  <c r="D178" i="3"/>
  <c r="D214" i="3" s="1"/>
  <c r="D174" i="3"/>
  <c r="D210" i="3" s="1"/>
  <c r="D170" i="3"/>
  <c r="D206" i="3" s="1"/>
  <c r="D166" i="3"/>
  <c r="D202" i="3" s="1"/>
  <c r="D189" i="3"/>
  <c r="D225" i="3" s="1"/>
  <c r="D185" i="3"/>
  <c r="D221" i="3" s="1"/>
  <c r="D181" i="3"/>
  <c r="D217" i="3" s="1"/>
  <c r="D177" i="3"/>
  <c r="D213" i="3" s="1"/>
  <c r="D173" i="3"/>
  <c r="D209" i="3" s="1"/>
  <c r="D169" i="3"/>
  <c r="D205" i="3" s="1"/>
  <c r="D165" i="3"/>
  <c r="D201" i="3" s="1"/>
  <c r="D188" i="3"/>
  <c r="D224" i="3" s="1"/>
  <c r="D184" i="3"/>
  <c r="D220" i="3" s="1"/>
  <c r="D180" i="3"/>
  <c r="D216" i="3" s="1"/>
  <c r="D176" i="3"/>
  <c r="D212" i="3" s="1"/>
  <c r="D172" i="3"/>
  <c r="D208" i="3" s="1"/>
  <c r="D168" i="3"/>
  <c r="D204" i="3" s="1"/>
  <c r="D191" i="3"/>
  <c r="D227" i="3" s="1"/>
  <c r="D187" i="3"/>
  <c r="D223" i="3" s="1"/>
  <c r="D183" i="3"/>
  <c r="D219" i="3" s="1"/>
  <c r="D179" i="3"/>
  <c r="D215" i="3" s="1"/>
  <c r="D175" i="3"/>
  <c r="D211" i="3" s="1"/>
  <c r="D171" i="3"/>
  <c r="D207" i="3" s="1"/>
  <c r="D167" i="3"/>
  <c r="D203" i="3" s="1"/>
  <c r="F305" i="19"/>
  <c r="H275" i="6"/>
  <c r="E734" i="22"/>
  <c r="L151" i="16"/>
  <c r="D232" i="22"/>
  <c r="L135" i="16"/>
  <c r="E263" i="3"/>
  <c r="E259" i="3"/>
  <c r="E255" i="3"/>
  <c r="E251" i="3"/>
  <c r="E247" i="3"/>
  <c r="E243" i="3"/>
  <c r="E239" i="3"/>
  <c r="E262" i="3"/>
  <c r="E258" i="3"/>
  <c r="E254" i="3"/>
  <c r="E250" i="3"/>
  <c r="E246" i="3"/>
  <c r="E242" i="3"/>
  <c r="E238" i="3"/>
  <c r="E261" i="3"/>
  <c r="E257" i="3"/>
  <c r="E253" i="3"/>
  <c r="E249" i="3"/>
  <c r="E245" i="3"/>
  <c r="E241" i="3"/>
  <c r="E237" i="3"/>
  <c r="E260" i="3"/>
  <c r="E256" i="3"/>
  <c r="E252" i="3"/>
  <c r="E248" i="3"/>
  <c r="E244" i="3"/>
  <c r="E240" i="3"/>
  <c r="B231" i="24"/>
  <c r="B232" i="24"/>
  <c r="H75" i="24"/>
  <c r="B214" i="24" s="1"/>
  <c r="H74" i="24"/>
  <c r="B209" i="24" s="1"/>
  <c r="H70" i="24"/>
  <c r="E195" i="24" s="1"/>
  <c r="H69" i="24"/>
  <c r="H68" i="24"/>
  <c r="H58" i="24"/>
  <c r="D315" i="19"/>
  <c r="C315" i="19"/>
  <c r="F315" i="19"/>
  <c r="E285" i="6"/>
  <c r="C327" i="6" s="1"/>
  <c r="H285" i="6"/>
  <c r="F327" i="6" s="1"/>
  <c r="F285" i="6"/>
  <c r="D327" i="6" s="1"/>
  <c r="F306" i="19"/>
  <c r="H276" i="6"/>
  <c r="C766" i="22"/>
  <c r="L152" i="16"/>
  <c r="D264" i="22"/>
  <c r="L136" i="16"/>
  <c r="E238" i="24"/>
  <c r="E237" i="24"/>
  <c r="B225" i="24"/>
  <c r="B224" i="24"/>
  <c r="B226" i="24"/>
  <c r="E218" i="24"/>
  <c r="E197" i="24"/>
  <c r="E198" i="24"/>
  <c r="E199" i="24"/>
  <c r="C180" i="24"/>
  <c r="H64" i="24"/>
  <c r="K76" i="21"/>
  <c r="I76" i="21"/>
  <c r="E155" i="24"/>
  <c r="D155" i="24"/>
  <c r="D157" i="24"/>
  <c r="E156" i="24"/>
  <c r="F155" i="24"/>
  <c r="G156" i="24"/>
  <c r="C155" i="24"/>
  <c r="D156" i="24"/>
  <c r="E157" i="24"/>
  <c r="C637" i="22"/>
  <c r="K148" i="16"/>
  <c r="D125" i="5"/>
  <c r="E391" i="22"/>
  <c r="K140" i="16"/>
  <c r="D117" i="5"/>
  <c r="C139" i="22"/>
  <c r="K132" i="16"/>
  <c r="D109" i="5"/>
  <c r="G261" i="3"/>
  <c r="G257" i="3"/>
  <c r="G253" i="3"/>
  <c r="G249" i="3"/>
  <c r="G245" i="3"/>
  <c r="G241" i="3"/>
  <c r="G237" i="3"/>
  <c r="G260" i="3"/>
  <c r="G256" i="3"/>
  <c r="G252" i="3"/>
  <c r="G248" i="3"/>
  <c r="G244" i="3"/>
  <c r="G240" i="3"/>
  <c r="G263" i="3"/>
  <c r="G259" i="3"/>
  <c r="G255" i="3"/>
  <c r="G251" i="3"/>
  <c r="G247" i="3"/>
  <c r="G243" i="3"/>
  <c r="G239" i="3"/>
  <c r="G262" i="3"/>
  <c r="G258" i="3"/>
  <c r="G254" i="3"/>
  <c r="G250" i="3"/>
  <c r="G246" i="3"/>
  <c r="G242" i="3"/>
  <c r="G238" i="3"/>
  <c r="E224" i="24"/>
  <c r="E226" i="24"/>
  <c r="E225" i="24"/>
  <c r="B217" i="24"/>
  <c r="H73" i="24"/>
  <c r="H67" i="24"/>
  <c r="H66" i="24"/>
  <c r="H65" i="24"/>
  <c r="I78" i="21"/>
  <c r="K78" i="21"/>
  <c r="B156" i="24"/>
  <c r="B155" i="24"/>
  <c r="B157" i="24"/>
  <c r="C156" i="21"/>
  <c r="S289" i="7"/>
  <c r="S571" i="7" s="1"/>
  <c r="G288" i="7"/>
  <c r="G570" i="7" s="1"/>
  <c r="K279" i="7"/>
  <c r="K382" i="7" s="1"/>
  <c r="W276" i="7"/>
  <c r="W381" i="7" s="1"/>
  <c r="S290" i="7"/>
  <c r="S572" i="7" s="1"/>
  <c r="W289" i="7"/>
  <c r="W571" i="7" s="1"/>
  <c r="K288" i="7"/>
  <c r="K570" i="7" s="1"/>
  <c r="AE279" i="7"/>
  <c r="AE382" i="7" s="1"/>
  <c r="K276" i="7"/>
  <c r="K381" i="7" s="1"/>
  <c r="K289" i="7"/>
  <c r="K571" i="7" s="1"/>
  <c r="S279" i="7"/>
  <c r="S382" i="7" s="1"/>
  <c r="AE276" i="7"/>
  <c r="AE381" i="7" s="1"/>
  <c r="K290" i="7"/>
  <c r="K572" i="7" s="1"/>
  <c r="S288" i="7"/>
  <c r="S570" i="7" s="1"/>
  <c r="W279" i="7"/>
  <c r="W382" i="7" s="1"/>
  <c r="G279" i="7"/>
  <c r="G382" i="7" s="1"/>
  <c r="S276" i="7"/>
  <c r="S381" i="7" s="1"/>
  <c r="C276" i="7"/>
  <c r="C381" i="7" s="1"/>
  <c r="G169" i="24"/>
  <c r="E167" i="24"/>
  <c r="E169" i="24"/>
  <c r="G167" i="24"/>
  <c r="E168" i="24"/>
  <c r="H56" i="24"/>
  <c r="B156" i="21"/>
  <c r="F312" i="19"/>
  <c r="H282" i="6"/>
  <c r="G290" i="19"/>
  <c r="F290" i="19"/>
  <c r="I260" i="6"/>
  <c r="H260" i="6"/>
  <c r="C260" i="6"/>
  <c r="G286" i="19"/>
  <c r="C286" i="19"/>
  <c r="F286" i="19"/>
  <c r="D286" i="19"/>
  <c r="I256" i="6"/>
  <c r="E256" i="6"/>
  <c r="H256" i="6"/>
  <c r="C256" i="6"/>
  <c r="F256" i="6"/>
  <c r="G281" i="19"/>
  <c r="C281" i="19"/>
  <c r="F281" i="19"/>
  <c r="D281" i="19"/>
  <c r="I251" i="6"/>
  <c r="G318" i="6" s="1"/>
  <c r="E251" i="6"/>
  <c r="C318" i="6" s="1"/>
  <c r="H251" i="6"/>
  <c r="F318" i="6" s="1"/>
  <c r="C251" i="6"/>
  <c r="F251" i="6"/>
  <c r="D318" i="6" s="1"/>
  <c r="G275" i="19"/>
  <c r="C275" i="19"/>
  <c r="F275" i="19"/>
  <c r="D275" i="19"/>
  <c r="I245" i="6"/>
  <c r="E245" i="6"/>
  <c r="H245" i="6"/>
  <c r="C245" i="6"/>
  <c r="F245" i="6"/>
  <c r="G259" i="19"/>
  <c r="F259" i="19"/>
  <c r="I229" i="6"/>
  <c r="G312" i="6" s="1"/>
  <c r="H229" i="6"/>
  <c r="F312" i="6" s="1"/>
  <c r="C229" i="6"/>
  <c r="G229" i="6" s="1"/>
  <c r="E312" i="6" s="1"/>
  <c r="G255" i="19"/>
  <c r="F255" i="19"/>
  <c r="I225" i="6"/>
  <c r="G311" i="6" s="1"/>
  <c r="H225" i="6"/>
  <c r="F311" i="6" s="1"/>
  <c r="C225" i="6"/>
  <c r="G225" i="6" s="1"/>
  <c r="E311" i="6" s="1"/>
  <c r="D248" i="19"/>
  <c r="G248" i="19"/>
  <c r="F248" i="19"/>
  <c r="I218" i="6"/>
  <c r="H218" i="6"/>
  <c r="C218" i="6"/>
  <c r="G218" i="6" s="1"/>
  <c r="F218" i="6"/>
  <c r="D243" i="19"/>
  <c r="G243" i="19"/>
  <c r="C243" i="19"/>
  <c r="F243" i="19"/>
  <c r="I213" i="6"/>
  <c r="G307" i="6" s="1"/>
  <c r="E213" i="6"/>
  <c r="C307" i="6" s="1"/>
  <c r="H213" i="6"/>
  <c r="F307" i="6" s="1"/>
  <c r="C213" i="6"/>
  <c r="F213" i="6"/>
  <c r="D307" i="6" s="1"/>
  <c r="D237" i="19"/>
  <c r="G237" i="19"/>
  <c r="C237" i="19"/>
  <c r="F237" i="19"/>
  <c r="I207" i="6"/>
  <c r="E207" i="6"/>
  <c r="H207" i="6"/>
  <c r="C207" i="6"/>
  <c r="G207" i="6" s="1"/>
  <c r="F207" i="6"/>
  <c r="D232" i="19"/>
  <c r="G232" i="19"/>
  <c r="C232" i="19"/>
  <c r="F232" i="19"/>
  <c r="I202" i="6"/>
  <c r="E202" i="6"/>
  <c r="H202" i="6"/>
  <c r="C202" i="6"/>
  <c r="F202" i="6"/>
  <c r="D227" i="19"/>
  <c r="G227" i="19"/>
  <c r="F227" i="19"/>
  <c r="I197" i="6"/>
  <c r="G303" i="6" s="1"/>
  <c r="H197" i="6"/>
  <c r="F303" i="6" s="1"/>
  <c r="C197" i="6"/>
  <c r="G197" i="6" s="1"/>
  <c r="E303" i="6" s="1"/>
  <c r="F197" i="6"/>
  <c r="D303" i="6" s="1"/>
  <c r="B120" i="7" s="1"/>
  <c r="E797" i="22"/>
  <c r="K153" i="16"/>
  <c r="D130" i="5"/>
  <c r="D295" i="22"/>
  <c r="K137" i="16"/>
  <c r="D114" i="5"/>
  <c r="C47" i="22"/>
  <c r="K129" i="16"/>
  <c r="D106" i="5"/>
  <c r="B262" i="3"/>
  <c r="B48" i="12" s="1"/>
  <c r="B40" i="16" s="1"/>
  <c r="AG263" i="7"/>
  <c r="D774" i="7"/>
  <c r="B767" i="7"/>
  <c r="C263" i="7"/>
  <c r="F241" i="6"/>
  <c r="D315" i="6" s="1"/>
  <c r="D444" i="22" s="1"/>
  <c r="I279" i="6"/>
  <c r="E241" i="6"/>
  <c r="C315" i="6" s="1"/>
  <c r="C444" i="22" s="1"/>
  <c r="E230" i="6"/>
  <c r="C312" i="6" s="1"/>
  <c r="E211" i="6"/>
  <c r="C306" i="6" s="1"/>
  <c r="C160" i="22" s="1"/>
  <c r="E282" i="6"/>
  <c r="C326" i="6" s="1"/>
  <c r="C786" i="22" s="1"/>
  <c r="I272" i="6"/>
  <c r="H241" i="6"/>
  <c r="F315" i="6" s="1"/>
  <c r="E219" i="6"/>
  <c r="C308" i="6" s="1"/>
  <c r="C220" i="22" s="1"/>
  <c r="I282" i="6"/>
  <c r="G326" i="6" s="1"/>
  <c r="F786" i="22" s="1"/>
  <c r="E261" i="6"/>
  <c r="E234" i="6"/>
  <c r="C313" i="6" s="1"/>
  <c r="C380" i="22" s="1"/>
  <c r="G137" i="21"/>
  <c r="H40" i="20"/>
  <c r="AI263" i="7"/>
  <c r="B775" i="7"/>
  <c r="AB263" i="7"/>
  <c r="C773" i="7"/>
  <c r="D772" i="7"/>
  <c r="Y263" i="7"/>
  <c r="B770" i="7"/>
  <c r="O263" i="7"/>
  <c r="O290" i="7" s="1"/>
  <c r="O572" i="7" s="1"/>
  <c r="C768" i="7"/>
  <c r="H263" i="7"/>
  <c r="D263" i="6"/>
  <c r="B321" i="6" s="1"/>
  <c r="D251" i="6"/>
  <c r="B318" i="6" s="1"/>
  <c r="F235" i="6"/>
  <c r="D221" i="6"/>
  <c r="B309" i="6" s="1"/>
  <c r="C317" i="6" l="1"/>
  <c r="C302" i="6"/>
  <c r="F306" i="6"/>
  <c r="B144" i="7"/>
  <c r="F323" i="6"/>
  <c r="H441" i="18"/>
  <c r="C320" i="6"/>
  <c r="C596" i="22" s="1"/>
  <c r="F313" i="6"/>
  <c r="F380" i="22" s="1"/>
  <c r="C324" i="6"/>
  <c r="C722" i="22" s="1"/>
  <c r="E768" i="7"/>
  <c r="F768" i="7"/>
  <c r="C786" i="7" s="1"/>
  <c r="H801" i="7" s="1"/>
  <c r="E769" i="7"/>
  <c r="F769" i="7"/>
  <c r="C787" i="7" s="1"/>
  <c r="L801" i="7" s="1"/>
  <c r="E773" i="7"/>
  <c r="F773" i="7"/>
  <c r="C791" i="7" s="1"/>
  <c r="AB801" i="7" s="1"/>
  <c r="AI276" i="7"/>
  <c r="AI381" i="7" s="1"/>
  <c r="G290" i="7"/>
  <c r="G572" i="7" s="1"/>
  <c r="G289" i="7"/>
  <c r="G571" i="7" s="1"/>
  <c r="E775" i="7"/>
  <c r="F775" i="7"/>
  <c r="C793" i="7" s="1"/>
  <c r="AJ801" i="7" s="1"/>
  <c r="AC289" i="7"/>
  <c r="AC571" i="7" s="1"/>
  <c r="AI288" i="7"/>
  <c r="AI570" i="7" s="1"/>
  <c r="E767" i="7"/>
  <c r="F767" i="7"/>
  <c r="C785" i="7" s="1"/>
  <c r="D801" i="7" s="1"/>
  <c r="E774" i="7"/>
  <c r="F774" i="7"/>
  <c r="C792" i="7" s="1"/>
  <c r="AF801" i="7" s="1"/>
  <c r="E771" i="7"/>
  <c r="F771" i="7"/>
  <c r="C789" i="7" s="1"/>
  <c r="T801" i="7" s="1"/>
  <c r="E770" i="7"/>
  <c r="F770" i="7"/>
  <c r="C788" i="7" s="1"/>
  <c r="P801" i="7" s="1"/>
  <c r="AC279" i="7"/>
  <c r="AC382" i="7" s="1"/>
  <c r="AA290" i="7"/>
  <c r="AA572" i="7" s="1"/>
  <c r="AA289" i="7"/>
  <c r="AA571" i="7" s="1"/>
  <c r="AA288" i="7"/>
  <c r="AA570" i="7" s="1"/>
  <c r="C289" i="7"/>
  <c r="C571" i="7" s="1"/>
  <c r="E772" i="7"/>
  <c r="F772" i="7"/>
  <c r="C790" i="7" s="1"/>
  <c r="X801" i="7" s="1"/>
  <c r="AC290" i="7"/>
  <c r="AC572" i="7" s="1"/>
  <c r="H289" i="7"/>
  <c r="H571" i="7" s="1"/>
  <c r="H290" i="7"/>
  <c r="H572" i="7" s="1"/>
  <c r="H276" i="7"/>
  <c r="H381" i="7" s="1"/>
  <c r="H288" i="7"/>
  <c r="H570" i="7" s="1"/>
  <c r="H279" i="7"/>
  <c r="H382" i="7" s="1"/>
  <c r="Y290" i="7"/>
  <c r="Y572" i="7" s="1"/>
  <c r="Y276" i="7"/>
  <c r="Y381" i="7" s="1"/>
  <c r="Y288" i="7"/>
  <c r="Y570" i="7" s="1"/>
  <c r="Y289" i="7"/>
  <c r="Y571" i="7" s="1"/>
  <c r="Y279" i="7"/>
  <c r="Y382" i="7" s="1"/>
  <c r="AA276" i="7"/>
  <c r="AA381" i="7" s="1"/>
  <c r="E288" i="7"/>
  <c r="E570" i="7" s="1"/>
  <c r="E289" i="7"/>
  <c r="E571" i="7" s="1"/>
  <c r="E290" i="7"/>
  <c r="E572" i="7" s="1"/>
  <c r="E279" i="7"/>
  <c r="E382" i="7" s="1"/>
  <c r="E276" i="7"/>
  <c r="E381" i="7" s="1"/>
  <c r="AI289" i="7"/>
  <c r="AI571" i="7" s="1"/>
  <c r="AI290" i="7"/>
  <c r="AI572" i="7" s="1"/>
  <c r="C288" i="7"/>
  <c r="C570" i="7" s="1"/>
  <c r="AE289" i="7"/>
  <c r="AE571" i="7" s="1"/>
  <c r="O276" i="7"/>
  <c r="O381" i="7" s="1"/>
  <c r="AI279" i="7"/>
  <c r="AI382" i="7" s="1"/>
  <c r="AE288" i="7"/>
  <c r="AE570" i="7" s="1"/>
  <c r="W290" i="7"/>
  <c r="W572" i="7" s="1"/>
  <c r="C290" i="7"/>
  <c r="C572" i="7" s="1"/>
  <c r="U279" i="7"/>
  <c r="U382" i="7" s="1"/>
  <c r="U276" i="7"/>
  <c r="U381" i="7" s="1"/>
  <c r="U288" i="7"/>
  <c r="U570" i="7" s="1"/>
  <c r="U289" i="7"/>
  <c r="U571" i="7" s="1"/>
  <c r="U290" i="7"/>
  <c r="U572" i="7" s="1"/>
  <c r="AF279" i="7"/>
  <c r="AF382" i="7" s="1"/>
  <c r="AF276" i="7"/>
  <c r="AF381" i="7" s="1"/>
  <c r="AF288" i="7"/>
  <c r="AF570" i="7" s="1"/>
  <c r="AF289" i="7"/>
  <c r="AF571" i="7" s="1"/>
  <c r="AF290" i="7"/>
  <c r="AF572" i="7" s="1"/>
  <c r="C279" i="7"/>
  <c r="C382" i="7" s="1"/>
  <c r="O279" i="7"/>
  <c r="O382" i="7" s="1"/>
  <c r="AB276" i="7"/>
  <c r="AB381" i="7" s="1"/>
  <c r="AB279" i="7"/>
  <c r="AB382" i="7" s="1"/>
  <c r="AB288" i="7"/>
  <c r="AB570" i="7" s="1"/>
  <c r="AB289" i="7"/>
  <c r="AB571" i="7" s="1"/>
  <c r="AB290" i="7"/>
  <c r="AB572" i="7" s="1"/>
  <c r="AG288" i="7"/>
  <c r="AG570" i="7" s="1"/>
  <c r="AG289" i="7"/>
  <c r="AG571" i="7" s="1"/>
  <c r="AG290" i="7"/>
  <c r="AG572" i="7" s="1"/>
  <c r="AG276" i="7"/>
  <c r="AG381" i="7" s="1"/>
  <c r="AG279" i="7"/>
  <c r="AG382" i="7" s="1"/>
  <c r="O289" i="7"/>
  <c r="O571" i="7" s="1"/>
  <c r="O288" i="7"/>
  <c r="O570" i="7" s="1"/>
  <c r="E616" i="7" s="1"/>
  <c r="E893" i="7" s="1"/>
  <c r="M288" i="7"/>
  <c r="M570" i="7" s="1"/>
  <c r="M279" i="7"/>
  <c r="M382" i="7" s="1"/>
  <c r="M289" i="7"/>
  <c r="M571" i="7" s="1"/>
  <c r="M290" i="7"/>
  <c r="M572" i="7" s="1"/>
  <c r="M276" i="7"/>
  <c r="M381" i="7" s="1"/>
  <c r="X276" i="7"/>
  <c r="X381" i="7" s="1"/>
  <c r="D289" i="7"/>
  <c r="D571" i="7" s="1"/>
  <c r="D288" i="7"/>
  <c r="D570" i="7" s="1"/>
  <c r="P276" i="7"/>
  <c r="P381" i="7" s="1"/>
  <c r="AJ279" i="7"/>
  <c r="AJ382" i="7" s="1"/>
  <c r="X290" i="7"/>
  <c r="X572" i="7" s="1"/>
  <c r="X289" i="7"/>
  <c r="X571" i="7" s="1"/>
  <c r="I289" i="7"/>
  <c r="I571" i="7" s="1"/>
  <c r="AK290" i="7"/>
  <c r="AK572" i="7" s="1"/>
  <c r="I288" i="7"/>
  <c r="I570" i="7" s="1"/>
  <c r="AK289" i="7"/>
  <c r="AK571" i="7" s="1"/>
  <c r="AK288" i="7"/>
  <c r="AK570" i="7" s="1"/>
  <c r="T289" i="7"/>
  <c r="T571" i="7" s="1"/>
  <c r="D276" i="7"/>
  <c r="D381" i="7" s="1"/>
  <c r="X279" i="7"/>
  <c r="X382" i="7" s="1"/>
  <c r="T288" i="7"/>
  <c r="T570" i="7" s="1"/>
  <c r="L290" i="7"/>
  <c r="L572" i="7" s="1"/>
  <c r="L289" i="7"/>
  <c r="L571" i="7" s="1"/>
  <c r="P279" i="7"/>
  <c r="P382" i="7" s="1"/>
  <c r="L288" i="7"/>
  <c r="L570" i="7" s="1"/>
  <c r="D290" i="7"/>
  <c r="D572" i="7" s="1"/>
  <c r="I276" i="7"/>
  <c r="I381" i="7" s="1"/>
  <c r="Q290" i="7"/>
  <c r="Q572" i="7" s="1"/>
  <c r="AK276" i="7"/>
  <c r="AK381" i="7" s="1"/>
  <c r="Q289" i="7"/>
  <c r="Q571" i="7" s="1"/>
  <c r="Q288" i="7"/>
  <c r="Q570" i="7" s="1"/>
  <c r="I290" i="7"/>
  <c r="I572" i="7" s="1"/>
  <c r="L279" i="7"/>
  <c r="L382" i="7" s="1"/>
  <c r="AJ289" i="7"/>
  <c r="AJ571" i="7" s="1"/>
  <c r="T276" i="7"/>
  <c r="T381" i="7" s="1"/>
  <c r="AJ288" i="7"/>
  <c r="AJ570" i="7" s="1"/>
  <c r="T290" i="7"/>
  <c r="T572" i="7" s="1"/>
  <c r="Q279" i="7"/>
  <c r="Q382" i="7" s="1"/>
  <c r="P290" i="7"/>
  <c r="P572" i="7" s="1"/>
  <c r="AJ276" i="7"/>
  <c r="AJ381" i="7" s="1"/>
  <c r="J400" i="7" s="1"/>
  <c r="P289" i="7"/>
  <c r="P571" i="7" s="1"/>
  <c r="G842" i="22"/>
  <c r="C348" i="22"/>
  <c r="B129" i="7"/>
  <c r="C70" i="9"/>
  <c r="C110" i="9" s="1"/>
  <c r="I70" i="9"/>
  <c r="I110" i="9" s="1"/>
  <c r="J70" i="9"/>
  <c r="J110" i="9" s="1"/>
  <c r="F70" i="9"/>
  <c r="F110" i="9" s="1"/>
  <c r="H70" i="9"/>
  <c r="H110" i="9" s="1"/>
  <c r="B70" i="9"/>
  <c r="B110" i="9" s="1"/>
  <c r="B380" i="22"/>
  <c r="B145" i="7"/>
  <c r="B850" i="22"/>
  <c r="B71" i="9"/>
  <c r="B111" i="9" s="1"/>
  <c r="F412" i="22"/>
  <c r="J71" i="9"/>
  <c r="J111" i="9" s="1"/>
  <c r="F71" i="9"/>
  <c r="F111" i="9" s="1"/>
  <c r="F444" i="22"/>
  <c r="H72" i="9"/>
  <c r="H112" i="9" s="1"/>
  <c r="J72" i="9"/>
  <c r="J112" i="9" s="1"/>
  <c r="C72" i="9"/>
  <c r="C112" i="9" s="1"/>
  <c r="F72" i="9"/>
  <c r="F112" i="9" s="1"/>
  <c r="B72" i="9"/>
  <c r="B112" i="9" s="1"/>
  <c r="C316" i="22"/>
  <c r="B128" i="7"/>
  <c r="B218" i="24"/>
  <c r="B320" i="6"/>
  <c r="F302" i="6"/>
  <c r="E306" i="6"/>
  <c r="D317" i="6"/>
  <c r="B134" i="7" s="1"/>
  <c r="G317" i="6"/>
  <c r="D70" i="9"/>
  <c r="D110" i="9" s="1"/>
  <c r="D322" i="6"/>
  <c r="I72" i="9"/>
  <c r="I112" i="9" s="1"/>
  <c r="F321" i="6"/>
  <c r="F325" i="6"/>
  <c r="G830" i="22"/>
  <c r="E308" i="6"/>
  <c r="C71" i="9"/>
  <c r="C111" i="9" s="1"/>
  <c r="G325" i="6"/>
  <c r="D754" i="22" s="1"/>
  <c r="E193" i="24"/>
  <c r="E305" i="6"/>
  <c r="D313" i="6"/>
  <c r="D380" i="22" s="1"/>
  <c r="B324" i="6"/>
  <c r="G321" i="6"/>
  <c r="B140" i="7"/>
  <c r="G72" i="9"/>
  <c r="G112" i="9" s="1"/>
  <c r="E71" i="9"/>
  <c r="E111" i="9" s="1"/>
  <c r="B123" i="7"/>
  <c r="F87" i="9" s="1"/>
  <c r="F104" i="9" s="1"/>
  <c r="G323" i="6"/>
  <c r="D690" i="22" s="1"/>
  <c r="D324" i="6"/>
  <c r="D722" i="22" s="1"/>
  <c r="B124" i="7"/>
  <c r="C192" i="22" s="1"/>
  <c r="B139" i="7"/>
  <c r="G90" i="8" s="1"/>
  <c r="G127" i="8" s="1"/>
  <c r="C316" i="6"/>
  <c r="C321" i="6"/>
  <c r="F326" i="6"/>
  <c r="B142" i="7"/>
  <c r="E754" i="22" s="1"/>
  <c r="F324" i="6"/>
  <c r="D308" i="6"/>
  <c r="B125" i="7" s="1"/>
  <c r="F319" i="6"/>
  <c r="F305" i="6"/>
  <c r="D316" i="6"/>
  <c r="G316" i="6"/>
  <c r="F320" i="6"/>
  <c r="D321" i="6"/>
  <c r="F304" i="6"/>
  <c r="C319" i="6"/>
  <c r="B119" i="7"/>
  <c r="E84" i="9" s="1"/>
  <c r="E101" i="9" s="1"/>
  <c r="C305" i="6"/>
  <c r="G320" i="6"/>
  <c r="C304" i="6"/>
  <c r="F308" i="6"/>
  <c r="D319" i="6"/>
  <c r="G319" i="6"/>
  <c r="D305" i="6"/>
  <c r="G305" i="6"/>
  <c r="F316" i="6"/>
  <c r="D304" i="6"/>
  <c r="G304" i="6"/>
  <c r="G308" i="6"/>
  <c r="F44" i="2"/>
  <c r="F50" i="2" s="1"/>
  <c r="J90" i="8"/>
  <c r="J127" i="8" s="1"/>
  <c r="B70" i="8"/>
  <c r="E68" i="22"/>
  <c r="B28" i="14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B178" i="7"/>
  <c r="B335" i="7"/>
  <c r="D178" i="7"/>
  <c r="D353" i="7" s="1"/>
  <c r="C178" i="7"/>
  <c r="C353" i="7" s="1"/>
  <c r="E160" i="22"/>
  <c r="B30" i="14"/>
  <c r="J87" i="9"/>
  <c r="J104" i="9" s="1"/>
  <c r="B87" i="9"/>
  <c r="B104" i="9" s="1"/>
  <c r="G74" i="8"/>
  <c r="C74" i="8"/>
  <c r="E87" i="9"/>
  <c r="E104" i="9" s="1"/>
  <c r="J74" i="8"/>
  <c r="F74" i="8"/>
  <c r="H87" i="9"/>
  <c r="H104" i="9" s="1"/>
  <c r="D87" i="9"/>
  <c r="D104" i="9" s="1"/>
  <c r="I74" i="8"/>
  <c r="G87" i="9"/>
  <c r="G104" i="9" s="1"/>
  <c r="C87" i="9"/>
  <c r="C104" i="9" s="1"/>
  <c r="H74" i="8"/>
  <c r="B336" i="7"/>
  <c r="B179" i="7"/>
  <c r="D179" i="7"/>
  <c r="D354" i="7" s="1"/>
  <c r="H93" i="8"/>
  <c r="H130" i="8" s="1"/>
  <c r="G93" i="8"/>
  <c r="G130" i="8" s="1"/>
  <c r="B93" i="8"/>
  <c r="B130" i="8" s="1"/>
  <c r="H98" i="21"/>
  <c r="I72" i="20"/>
  <c r="B252" i="22"/>
  <c r="B126" i="7"/>
  <c r="G50" i="21"/>
  <c r="H16" i="20"/>
  <c r="E595" i="7"/>
  <c r="E871" i="7" s="1"/>
  <c r="E632" i="7"/>
  <c r="E910" i="7" s="1"/>
  <c r="C597" i="7"/>
  <c r="C873" i="7" s="1"/>
  <c r="C634" i="7"/>
  <c r="C912" i="7" s="1"/>
  <c r="C618" i="7"/>
  <c r="C895" i="7" s="1"/>
  <c r="H400" i="7"/>
  <c r="D790" i="7"/>
  <c r="Y801" i="7" s="1"/>
  <c r="G772" i="7"/>
  <c r="B790" i="7" s="1"/>
  <c r="W801" i="7" s="1"/>
  <c r="D68" i="22"/>
  <c r="F79" i="22" s="1"/>
  <c r="J9" i="23" s="1"/>
  <c r="C28" i="14"/>
  <c r="H50" i="21"/>
  <c r="I16" i="20"/>
  <c r="M55" i="21"/>
  <c r="E44" i="20"/>
  <c r="G60" i="21"/>
  <c r="H63" i="20"/>
  <c r="N66" i="21"/>
  <c r="F20" i="20"/>
  <c r="E316" i="22"/>
  <c r="C34" i="14"/>
  <c r="H78" i="21"/>
  <c r="I24" i="20"/>
  <c r="G82" i="21"/>
  <c r="H25" i="20"/>
  <c r="G98" i="21"/>
  <c r="H72" i="20"/>
  <c r="E281" i="19"/>
  <c r="G251" i="6"/>
  <c r="N104" i="21"/>
  <c r="F31" i="20"/>
  <c r="H109" i="21"/>
  <c r="I55" i="20"/>
  <c r="G113" i="21"/>
  <c r="H56" i="20"/>
  <c r="C401" i="7"/>
  <c r="B632" i="7"/>
  <c r="B910" i="7" s="1"/>
  <c r="B616" i="7"/>
  <c r="B893" i="7" s="1"/>
  <c r="B595" i="7"/>
  <c r="B871" i="7" s="1"/>
  <c r="I633" i="7"/>
  <c r="I911" i="7" s="1"/>
  <c r="I617" i="7"/>
  <c r="I894" i="7" s="1"/>
  <c r="I596" i="7"/>
  <c r="I872" i="7" s="1"/>
  <c r="E400" i="7"/>
  <c r="J401" i="7"/>
  <c r="I595" i="7"/>
  <c r="I871" i="7" s="1"/>
  <c r="I632" i="7"/>
  <c r="I910" i="7" s="1"/>
  <c r="I616" i="7"/>
  <c r="I893" i="7" s="1"/>
  <c r="G597" i="7"/>
  <c r="G873" i="7" s="1"/>
  <c r="G634" i="7"/>
  <c r="G912" i="7" s="1"/>
  <c r="G618" i="7"/>
  <c r="G895" i="7" s="1"/>
  <c r="G633" i="7"/>
  <c r="G911" i="7" s="1"/>
  <c r="G617" i="7"/>
  <c r="G894" i="7" s="1"/>
  <c r="G596" i="7"/>
  <c r="G872" i="7" s="1"/>
  <c r="C400" i="7"/>
  <c r="H401" i="7"/>
  <c r="G632" i="7"/>
  <c r="G910" i="7" s="1"/>
  <c r="G616" i="7"/>
  <c r="G893" i="7" s="1"/>
  <c r="G57" i="8" s="1"/>
  <c r="G129" i="8" s="1"/>
  <c r="G595" i="7"/>
  <c r="G871" i="7" s="1"/>
  <c r="E634" i="7"/>
  <c r="E912" i="7" s="1"/>
  <c r="E618" i="7"/>
  <c r="E895" i="7" s="1"/>
  <c r="E597" i="7"/>
  <c r="E873" i="7" s="1"/>
  <c r="F207" i="24"/>
  <c r="F205" i="24"/>
  <c r="G206" i="24"/>
  <c r="F206" i="24"/>
  <c r="C207" i="24"/>
  <c r="D205" i="24"/>
  <c r="C205" i="24"/>
  <c r="C206" i="24"/>
  <c r="G207" i="24"/>
  <c r="D206" i="24"/>
  <c r="G205" i="24"/>
  <c r="D207" i="24"/>
  <c r="N138" i="21"/>
  <c r="F83" i="20"/>
  <c r="G193" i="24"/>
  <c r="C193" i="24"/>
  <c r="G194" i="24"/>
  <c r="C194" i="24"/>
  <c r="G195" i="24"/>
  <c r="C195" i="24"/>
  <c r="D193" i="24"/>
  <c r="F193" i="24"/>
  <c r="D195" i="24"/>
  <c r="F194" i="24"/>
  <c r="D194" i="24"/>
  <c r="F195" i="24"/>
  <c r="B412" i="22"/>
  <c r="B131" i="7"/>
  <c r="G46" i="21"/>
  <c r="H15" i="20"/>
  <c r="G51" i="21"/>
  <c r="H43" i="20"/>
  <c r="G56" i="21"/>
  <c r="H62" i="20"/>
  <c r="D160" i="22"/>
  <c r="C30" i="14"/>
  <c r="G62" i="21"/>
  <c r="H19" i="20"/>
  <c r="G67" i="21"/>
  <c r="H47" i="20"/>
  <c r="G72" i="21"/>
  <c r="H66" i="20"/>
  <c r="N100" i="21"/>
  <c r="F30" i="20"/>
  <c r="H105" i="21"/>
  <c r="I54" i="20"/>
  <c r="M110" i="21"/>
  <c r="E75" i="20"/>
  <c r="I424" i="22"/>
  <c r="K20" i="23" s="1"/>
  <c r="C658" i="22"/>
  <c r="H436" i="18"/>
  <c r="H120" i="21"/>
  <c r="I35" i="20"/>
  <c r="C231" i="24"/>
  <c r="D232" i="24"/>
  <c r="F231" i="24"/>
  <c r="D231" i="24"/>
  <c r="G232" i="24"/>
  <c r="F232" i="24"/>
  <c r="C232" i="24"/>
  <c r="G231" i="24"/>
  <c r="M118" i="21"/>
  <c r="E77" i="20"/>
  <c r="B100" i="22"/>
  <c r="B121" i="7"/>
  <c r="B786" i="22"/>
  <c r="B143" i="7"/>
  <c r="D793" i="7"/>
  <c r="AK801" i="7" s="1"/>
  <c r="G775" i="7"/>
  <c r="B793" i="7" s="1"/>
  <c r="AI801" i="7" s="1"/>
  <c r="B722" i="22"/>
  <c r="B57" i="8"/>
  <c r="B129" i="8" s="1"/>
  <c r="I57" i="8"/>
  <c r="I129" i="8" s="1"/>
  <c r="B141" i="7"/>
  <c r="M47" i="21"/>
  <c r="E42" i="20"/>
  <c r="H52" i="21"/>
  <c r="I61" i="20"/>
  <c r="M58" i="21"/>
  <c r="E18" i="20"/>
  <c r="H63" i="21"/>
  <c r="I46" i="20"/>
  <c r="M68" i="21"/>
  <c r="E65" i="20"/>
  <c r="D252" i="22"/>
  <c r="C32" i="14"/>
  <c r="H74" i="21"/>
  <c r="I22" i="20"/>
  <c r="H96" i="21"/>
  <c r="I29" i="20"/>
  <c r="M101" i="21"/>
  <c r="E53" i="20"/>
  <c r="G106" i="21"/>
  <c r="H74" i="20"/>
  <c r="N116" i="21"/>
  <c r="F34" i="20"/>
  <c r="G134" i="21"/>
  <c r="H39" i="20"/>
  <c r="N123" i="21"/>
  <c r="F36" i="20"/>
  <c r="G131" i="21"/>
  <c r="H38" i="20"/>
  <c r="G121" i="21"/>
  <c r="H78" i="20"/>
  <c r="G48" i="21"/>
  <c r="H60" i="20"/>
  <c r="E231" i="19"/>
  <c r="G201" i="6"/>
  <c r="F17" i="20"/>
  <c r="N54" i="21"/>
  <c r="H59" i="21"/>
  <c r="I45" i="20"/>
  <c r="F21" i="20"/>
  <c r="N70" i="21"/>
  <c r="D284" i="22"/>
  <c r="C33" i="14"/>
  <c r="G76" i="21"/>
  <c r="H23" i="20"/>
  <c r="N97" i="21"/>
  <c r="F52" i="20"/>
  <c r="H102" i="21"/>
  <c r="I73" i="20"/>
  <c r="M108" i="21"/>
  <c r="E32" i="20"/>
  <c r="G117" i="21"/>
  <c r="H57" i="20"/>
  <c r="M125" i="21"/>
  <c r="E79" i="20"/>
  <c r="B206" i="24"/>
  <c r="D229" i="24"/>
  <c r="C229" i="24"/>
  <c r="G229" i="24"/>
  <c r="D228" i="24"/>
  <c r="F229" i="24"/>
  <c r="F228" i="24"/>
  <c r="G228" i="24"/>
  <c r="C228" i="24"/>
  <c r="G124" i="21"/>
  <c r="H58" i="20"/>
  <c r="N132" i="21"/>
  <c r="F81" i="20"/>
  <c r="E214" i="24"/>
  <c r="E232" i="24"/>
  <c r="B210" i="24"/>
  <c r="B215" i="24"/>
  <c r="D237" i="24"/>
  <c r="D238" i="24"/>
  <c r="F237" i="24"/>
  <c r="F238" i="24"/>
  <c r="D792" i="7"/>
  <c r="AG801" i="7" s="1"/>
  <c r="G774" i="7"/>
  <c r="B792" i="7" s="1"/>
  <c r="AE801" i="7" s="1"/>
  <c r="E232" i="19"/>
  <c r="G202" i="6"/>
  <c r="H66" i="21"/>
  <c r="I20" i="20"/>
  <c r="G78" i="21"/>
  <c r="H24" i="20"/>
  <c r="E275" i="19"/>
  <c r="G245" i="6"/>
  <c r="M109" i="21"/>
  <c r="E55" i="20"/>
  <c r="E633" i="7"/>
  <c r="E911" i="7" s="1"/>
  <c r="E617" i="7"/>
  <c r="E894" i="7" s="1"/>
  <c r="E596" i="7"/>
  <c r="E872" i="7" s="1"/>
  <c r="B536" i="22"/>
  <c r="B135" i="7"/>
  <c r="N50" i="21"/>
  <c r="F16" i="20"/>
  <c r="H55" i="21"/>
  <c r="I44" i="20"/>
  <c r="E63" i="20"/>
  <c r="M60" i="21"/>
  <c r="E243" i="19"/>
  <c r="G213" i="6"/>
  <c r="G66" i="21"/>
  <c r="H20" i="20"/>
  <c r="G71" i="21"/>
  <c r="H48" i="20"/>
  <c r="E348" i="22"/>
  <c r="G359" i="22" s="1"/>
  <c r="J18" i="23" s="1"/>
  <c r="C35" i="14"/>
  <c r="H82" i="21"/>
  <c r="I25" i="20"/>
  <c r="M98" i="21"/>
  <c r="E72" i="20"/>
  <c r="G104" i="21"/>
  <c r="H31" i="20"/>
  <c r="E286" i="19"/>
  <c r="G256" i="6"/>
  <c r="N109" i="21"/>
  <c r="F55" i="20"/>
  <c r="E290" i="19"/>
  <c r="G260" i="6"/>
  <c r="H113" i="21"/>
  <c r="I56" i="20"/>
  <c r="B400" i="7"/>
  <c r="G401" i="7"/>
  <c r="F632" i="7"/>
  <c r="F910" i="7" s="1"/>
  <c r="F616" i="7"/>
  <c r="F893" i="7" s="1"/>
  <c r="F595" i="7"/>
  <c r="F871" i="7" s="1"/>
  <c r="D634" i="7"/>
  <c r="D912" i="7" s="1"/>
  <c r="D618" i="7"/>
  <c r="D895" i="7" s="1"/>
  <c r="D597" i="7"/>
  <c r="D873" i="7" s="1"/>
  <c r="I400" i="7"/>
  <c r="D596" i="7"/>
  <c r="D872" i="7" s="1"/>
  <c r="D633" i="7"/>
  <c r="D911" i="7" s="1"/>
  <c r="D617" i="7"/>
  <c r="D894" i="7" s="1"/>
  <c r="E401" i="7"/>
  <c r="D632" i="7"/>
  <c r="D910" i="7" s="1"/>
  <c r="D616" i="7"/>
  <c r="D893" i="7" s="1"/>
  <c r="D595" i="7"/>
  <c r="D871" i="7" s="1"/>
  <c r="B634" i="7"/>
  <c r="B912" i="7" s="1"/>
  <c r="B618" i="7"/>
  <c r="B895" i="7" s="1"/>
  <c r="B597" i="7"/>
  <c r="B873" i="7" s="1"/>
  <c r="G400" i="7"/>
  <c r="B633" i="7"/>
  <c r="B911" i="7" s="1"/>
  <c r="B617" i="7"/>
  <c r="B894" i="7" s="1"/>
  <c r="B596" i="7"/>
  <c r="B872" i="7" s="1"/>
  <c r="I634" i="7"/>
  <c r="I912" i="7" s="1"/>
  <c r="I618" i="7"/>
  <c r="I895" i="7" s="1"/>
  <c r="I597" i="7"/>
  <c r="I873" i="7" s="1"/>
  <c r="G850" i="22"/>
  <c r="I96" i="8"/>
  <c r="E96" i="8"/>
  <c r="H96" i="8"/>
  <c r="D96" i="8"/>
  <c r="G96" i="8"/>
  <c r="C96" i="8"/>
  <c r="J96" i="8"/>
  <c r="F96" i="8"/>
  <c r="B96" i="8"/>
  <c r="G128" i="21"/>
  <c r="H59" i="20"/>
  <c r="B596" i="22"/>
  <c r="B137" i="7"/>
  <c r="D789" i="7"/>
  <c r="U801" i="7" s="1"/>
  <c r="G771" i="7"/>
  <c r="B789" i="7" s="1"/>
  <c r="S801" i="7" s="1"/>
  <c r="G328" i="22"/>
  <c r="K17" i="23" s="1"/>
  <c r="M46" i="21"/>
  <c r="E15" i="20"/>
  <c r="I43" i="20"/>
  <c r="H51" i="21"/>
  <c r="M56" i="21"/>
  <c r="E62" i="20"/>
  <c r="H62" i="21"/>
  <c r="I19" i="20"/>
  <c r="M67" i="21"/>
  <c r="E47" i="20"/>
  <c r="H72" i="21"/>
  <c r="I66" i="20"/>
  <c r="E277" i="19"/>
  <c r="G247" i="6"/>
  <c r="G100" i="21"/>
  <c r="H30" i="20"/>
  <c r="N105" i="21"/>
  <c r="F54" i="20"/>
  <c r="H110" i="21"/>
  <c r="I75" i="20"/>
  <c r="E194" i="24"/>
  <c r="D72" i="9"/>
  <c r="D112" i="9" s="1"/>
  <c r="N120" i="21"/>
  <c r="F35" i="20"/>
  <c r="E850" i="22"/>
  <c r="H442" i="18"/>
  <c r="H118" i="21"/>
  <c r="I77" i="20"/>
  <c r="D788" i="7"/>
  <c r="Q801" i="7" s="1"/>
  <c r="G770" i="7"/>
  <c r="B788" i="7" s="1"/>
  <c r="O801" i="7" s="1"/>
  <c r="D669" i="22"/>
  <c r="J28" i="23" s="1"/>
  <c r="H47" i="21"/>
  <c r="I42" i="20"/>
  <c r="N52" i="21"/>
  <c r="F61" i="20"/>
  <c r="H58" i="21"/>
  <c r="I18" i="20"/>
  <c r="F46" i="20"/>
  <c r="N63" i="21"/>
  <c r="H68" i="21"/>
  <c r="I65" i="20"/>
  <c r="N74" i="21"/>
  <c r="F22" i="20"/>
  <c r="G79" i="21"/>
  <c r="H49" i="20"/>
  <c r="E273" i="19"/>
  <c r="G243" i="6"/>
  <c r="N96" i="21"/>
  <c r="F29" i="20"/>
  <c r="H101" i="21"/>
  <c r="I53" i="20"/>
  <c r="M106" i="21"/>
  <c r="E74" i="20"/>
  <c r="C626" i="22"/>
  <c r="H435" i="18"/>
  <c r="G116" i="21"/>
  <c r="H34" i="20"/>
  <c r="D199" i="24"/>
  <c r="D197" i="24"/>
  <c r="G199" i="24"/>
  <c r="F198" i="24"/>
  <c r="C199" i="24"/>
  <c r="G197" i="24"/>
  <c r="G198" i="24"/>
  <c r="F197" i="24"/>
  <c r="C198" i="24"/>
  <c r="D198" i="24"/>
  <c r="F199" i="24"/>
  <c r="C197" i="24"/>
  <c r="G123" i="21"/>
  <c r="H36" i="20"/>
  <c r="C754" i="22"/>
  <c r="E766" i="22" s="1"/>
  <c r="K31" i="23" s="1"/>
  <c r="H439" i="18"/>
  <c r="M131" i="21"/>
  <c r="E38" i="20"/>
  <c r="E210" i="24"/>
  <c r="M121" i="21"/>
  <c r="E78" i="20"/>
  <c r="F203" i="24"/>
  <c r="D203" i="24"/>
  <c r="C203" i="24"/>
  <c r="D201" i="24"/>
  <c r="G203" i="24"/>
  <c r="F202" i="24"/>
  <c r="C201" i="24"/>
  <c r="G201" i="24"/>
  <c r="C202" i="24"/>
  <c r="D202" i="24"/>
  <c r="G202" i="24"/>
  <c r="F201" i="24"/>
  <c r="F188" i="3"/>
  <c r="F224" i="3" s="1"/>
  <c r="F184" i="3"/>
  <c r="F220" i="3" s="1"/>
  <c r="F180" i="3"/>
  <c r="F216" i="3" s="1"/>
  <c r="F176" i="3"/>
  <c r="F212" i="3" s="1"/>
  <c r="F172" i="3"/>
  <c r="F208" i="3" s="1"/>
  <c r="F168" i="3"/>
  <c r="F204" i="3" s="1"/>
  <c r="F191" i="3"/>
  <c r="F227" i="3" s="1"/>
  <c r="F187" i="3"/>
  <c r="F223" i="3" s="1"/>
  <c r="F183" i="3"/>
  <c r="F219" i="3" s="1"/>
  <c r="F179" i="3"/>
  <c r="F215" i="3" s="1"/>
  <c r="F175" i="3"/>
  <c r="F211" i="3" s="1"/>
  <c r="F171" i="3"/>
  <c r="F207" i="3" s="1"/>
  <c r="F167" i="3"/>
  <c r="F203" i="3" s="1"/>
  <c r="F190" i="3"/>
  <c r="F226" i="3" s="1"/>
  <c r="F186" i="3"/>
  <c r="F222" i="3" s="1"/>
  <c r="F182" i="3"/>
  <c r="F218" i="3" s="1"/>
  <c r="F178" i="3"/>
  <c r="F214" i="3" s="1"/>
  <c r="F174" i="3"/>
  <c r="F210" i="3" s="1"/>
  <c r="F170" i="3"/>
  <c r="F206" i="3" s="1"/>
  <c r="F166" i="3"/>
  <c r="F202" i="3" s="1"/>
  <c r="F189" i="3"/>
  <c r="F225" i="3" s="1"/>
  <c r="F185" i="3"/>
  <c r="F221" i="3" s="1"/>
  <c r="F181" i="3"/>
  <c r="F217" i="3" s="1"/>
  <c r="F177" i="3"/>
  <c r="F213" i="3" s="1"/>
  <c r="F173" i="3"/>
  <c r="F209" i="3" s="1"/>
  <c r="F169" i="3"/>
  <c r="F205" i="3" s="1"/>
  <c r="F165" i="3"/>
  <c r="F201" i="3" s="1"/>
  <c r="G127" i="21"/>
  <c r="H37" i="20"/>
  <c r="M48" i="21"/>
  <c r="E60" i="20"/>
  <c r="G54" i="21"/>
  <c r="H17" i="20"/>
  <c r="N59" i="21"/>
  <c r="F45" i="20"/>
  <c r="N64" i="21"/>
  <c r="F64" i="20"/>
  <c r="D220" i="22"/>
  <c r="F232" i="22" s="1"/>
  <c r="K14" i="23" s="1"/>
  <c r="C31" i="14"/>
  <c r="G70" i="21"/>
  <c r="H21" i="20"/>
  <c r="H76" i="21"/>
  <c r="I23" i="20"/>
  <c r="G80" i="21"/>
  <c r="H67" i="20"/>
  <c r="E274" i="19"/>
  <c r="G244" i="6"/>
  <c r="G97" i="21"/>
  <c r="H52" i="20"/>
  <c r="N102" i="21"/>
  <c r="F73" i="20"/>
  <c r="H108" i="21"/>
  <c r="I32" i="20"/>
  <c r="M117" i="21"/>
  <c r="E57" i="20"/>
  <c r="B205" i="24"/>
  <c r="F221" i="24"/>
  <c r="D222" i="24"/>
  <c r="C222" i="24"/>
  <c r="G221" i="24"/>
  <c r="G220" i="24"/>
  <c r="D220" i="24"/>
  <c r="F222" i="24"/>
  <c r="G222" i="24"/>
  <c r="C221" i="24"/>
  <c r="C220" i="24"/>
  <c r="D221" i="24"/>
  <c r="F220" i="24"/>
  <c r="M124" i="21"/>
  <c r="E58" i="20"/>
  <c r="E215" i="24"/>
  <c r="E205" i="24"/>
  <c r="E231" i="24"/>
  <c r="I71" i="9"/>
  <c r="I111" i="9" s="1"/>
  <c r="E202" i="24"/>
  <c r="B195" i="24"/>
  <c r="B211" i="24"/>
  <c r="B626" i="22"/>
  <c r="B138" i="7"/>
  <c r="N55" i="21"/>
  <c r="F44" i="20"/>
  <c r="M66" i="21"/>
  <c r="E20" i="20"/>
  <c r="G109" i="21"/>
  <c r="H55" i="20"/>
  <c r="J632" i="7"/>
  <c r="J910" i="7" s="1"/>
  <c r="J616" i="7"/>
  <c r="J893" i="7" s="1"/>
  <c r="J595" i="7"/>
  <c r="J871" i="7" s="1"/>
  <c r="B401" i="7"/>
  <c r="H596" i="7"/>
  <c r="H872" i="7" s="1"/>
  <c r="H633" i="7"/>
  <c r="H911" i="7" s="1"/>
  <c r="H617" i="7"/>
  <c r="H894" i="7" s="1"/>
  <c r="D400" i="7"/>
  <c r="I401" i="7"/>
  <c r="H632" i="7"/>
  <c r="H910" i="7" s="1"/>
  <c r="H616" i="7"/>
  <c r="H893" i="7" s="1"/>
  <c r="H595" i="7"/>
  <c r="H871" i="7" s="1"/>
  <c r="F634" i="7"/>
  <c r="F912" i="7" s="1"/>
  <c r="F618" i="7"/>
  <c r="F895" i="7" s="1"/>
  <c r="F597" i="7"/>
  <c r="F873" i="7" s="1"/>
  <c r="F633" i="7"/>
  <c r="F911" i="7" s="1"/>
  <c r="F617" i="7"/>
  <c r="F894" i="7" s="1"/>
  <c r="F596" i="7"/>
  <c r="F872" i="7" s="1"/>
  <c r="G129" i="21"/>
  <c r="H80" i="20"/>
  <c r="G138" i="21"/>
  <c r="H83" i="20"/>
  <c r="D214" i="24"/>
  <c r="D213" i="24"/>
  <c r="G213" i="24"/>
  <c r="F214" i="24"/>
  <c r="D215" i="24"/>
  <c r="C213" i="24"/>
  <c r="F215" i="24"/>
  <c r="C215" i="24"/>
  <c r="C214" i="24"/>
  <c r="F213" i="24"/>
  <c r="G215" i="24"/>
  <c r="G214" i="24"/>
  <c r="H46" i="21"/>
  <c r="I15" i="20"/>
  <c r="H56" i="21"/>
  <c r="I62" i="20"/>
  <c r="H67" i="21"/>
  <c r="I47" i="20"/>
  <c r="M100" i="21"/>
  <c r="E30" i="20"/>
  <c r="E282" i="19"/>
  <c r="G252" i="6"/>
  <c r="G105" i="21"/>
  <c r="H54" i="20"/>
  <c r="N110" i="21"/>
  <c r="F75" i="20"/>
  <c r="G114" i="21"/>
  <c r="H76" i="20"/>
  <c r="F172" i="22"/>
  <c r="K12" i="23" s="1"/>
  <c r="D670" i="22"/>
  <c r="K28" i="23" s="1"/>
  <c r="D226" i="24"/>
  <c r="G224" i="24"/>
  <c r="C225" i="24"/>
  <c r="F226" i="24"/>
  <c r="D225" i="24"/>
  <c r="D224" i="24"/>
  <c r="G226" i="24"/>
  <c r="C226" i="24"/>
  <c r="F224" i="24"/>
  <c r="G225" i="24"/>
  <c r="C224" i="24"/>
  <c r="F225" i="24"/>
  <c r="F348" i="22"/>
  <c r="B35" i="14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B410" i="7"/>
  <c r="B202" i="7"/>
  <c r="D202" i="7"/>
  <c r="D428" i="7" s="1"/>
  <c r="C202" i="7"/>
  <c r="C428" i="7" s="1"/>
  <c r="G120" i="21"/>
  <c r="H35" i="20"/>
  <c r="E829" i="22"/>
  <c r="N118" i="21"/>
  <c r="F77" i="20"/>
  <c r="B444" i="22"/>
  <c r="I455" i="22" s="1"/>
  <c r="J21" i="23" s="1"/>
  <c r="B132" i="7"/>
  <c r="D785" i="7"/>
  <c r="E801" i="7" s="1"/>
  <c r="G767" i="7"/>
  <c r="B785" i="7" s="1"/>
  <c r="C801" i="7" s="1"/>
  <c r="I423" i="22"/>
  <c r="J20" i="23" s="1"/>
  <c r="N47" i="21"/>
  <c r="F42" i="20"/>
  <c r="F18" i="20"/>
  <c r="N58" i="21"/>
  <c r="N68" i="21"/>
  <c r="F65" i="20"/>
  <c r="H79" i="21"/>
  <c r="I49" i="20"/>
  <c r="G83" i="21"/>
  <c r="H50" i="20"/>
  <c r="G96" i="21"/>
  <c r="H29" i="20"/>
  <c r="E278" i="19"/>
  <c r="G248" i="6"/>
  <c r="N101" i="21"/>
  <c r="F53" i="20"/>
  <c r="H106" i="21"/>
  <c r="I74" i="20"/>
  <c r="G112" i="21"/>
  <c r="H33" i="20"/>
  <c r="M116" i="21"/>
  <c r="E34" i="20"/>
  <c r="E786" i="22"/>
  <c r="H798" i="22" s="1"/>
  <c r="K32" i="23" s="1"/>
  <c r="H440" i="18"/>
  <c r="G141" i="21"/>
  <c r="H84" i="20"/>
  <c r="C690" i="22"/>
  <c r="H437" i="18"/>
  <c r="M123" i="21"/>
  <c r="E36" i="20"/>
  <c r="E818" i="22"/>
  <c r="F818" i="22" s="1"/>
  <c r="J95" i="8"/>
  <c r="J132" i="8" s="1"/>
  <c r="F95" i="8"/>
  <c r="F132" i="8" s="1"/>
  <c r="B95" i="8"/>
  <c r="B132" i="8" s="1"/>
  <c r="I95" i="8"/>
  <c r="I132" i="8" s="1"/>
  <c r="E95" i="8"/>
  <c r="E132" i="8" s="1"/>
  <c r="H95" i="8"/>
  <c r="H132" i="8" s="1"/>
  <c r="D95" i="8"/>
  <c r="D132" i="8" s="1"/>
  <c r="G95" i="8"/>
  <c r="G132" i="8" s="1"/>
  <c r="C95" i="8"/>
  <c r="C132" i="8" s="1"/>
  <c r="E211" i="24"/>
  <c r="F316" i="22"/>
  <c r="B34" i="14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B201" i="7"/>
  <c r="B409" i="7"/>
  <c r="D201" i="7"/>
  <c r="D427" i="7" s="1"/>
  <c r="C201" i="7"/>
  <c r="C427" i="7" s="1"/>
  <c r="H121" i="21"/>
  <c r="I78" i="20"/>
  <c r="H862" i="22"/>
  <c r="K34" i="23" s="1"/>
  <c r="D786" i="7"/>
  <c r="I801" i="7" s="1"/>
  <c r="G768" i="7"/>
  <c r="B786" i="7" s="1"/>
  <c r="G801" i="7" s="1"/>
  <c r="I60" i="20"/>
  <c r="H48" i="21"/>
  <c r="M54" i="21"/>
  <c r="E17" i="20"/>
  <c r="G59" i="21"/>
  <c r="H45" i="20"/>
  <c r="G64" i="21"/>
  <c r="H64" i="20"/>
  <c r="I21" i="20"/>
  <c r="H70" i="21"/>
  <c r="H80" i="21"/>
  <c r="I67" i="20"/>
  <c r="G84" i="21"/>
  <c r="H68" i="20"/>
  <c r="M97" i="21"/>
  <c r="E52" i="20"/>
  <c r="E279" i="19"/>
  <c r="G249" i="6"/>
  <c r="G102" i="21"/>
  <c r="H73" i="20"/>
  <c r="N108" i="21"/>
  <c r="F32" i="20"/>
  <c r="H117" i="21"/>
  <c r="I57" i="20"/>
  <c r="N125" i="21"/>
  <c r="F79" i="20"/>
  <c r="B207" i="24"/>
  <c r="F296" i="22"/>
  <c r="K16" i="23" s="1"/>
  <c r="N124" i="21"/>
  <c r="F58" i="20"/>
  <c r="G132" i="21"/>
  <c r="H81" i="20"/>
  <c r="E213" i="24"/>
  <c r="E206" i="24"/>
  <c r="D71" i="9"/>
  <c r="D111" i="9" s="1"/>
  <c r="G71" i="9"/>
  <c r="G111" i="9" s="1"/>
  <c r="E201" i="24"/>
  <c r="B194" i="24"/>
  <c r="I63" i="20"/>
  <c r="H60" i="21"/>
  <c r="H71" i="21"/>
  <c r="I48" i="20"/>
  <c r="M104" i="21"/>
  <c r="E31" i="20"/>
  <c r="F400" i="7"/>
  <c r="H634" i="7"/>
  <c r="H912" i="7" s="1"/>
  <c r="H618" i="7"/>
  <c r="H895" i="7" s="1"/>
  <c r="H597" i="7"/>
  <c r="H873" i="7" s="1"/>
  <c r="F295" i="22"/>
  <c r="J16" i="23" s="1"/>
  <c r="G55" i="21"/>
  <c r="H44" i="20"/>
  <c r="N60" i="21"/>
  <c r="F63" i="20"/>
  <c r="N71" i="21"/>
  <c r="F48" i="20"/>
  <c r="N98" i="21"/>
  <c r="F72" i="20"/>
  <c r="H104" i="21"/>
  <c r="I31" i="20"/>
  <c r="G135" i="21"/>
  <c r="H82" i="20"/>
  <c r="F401" i="7"/>
  <c r="C633" i="7"/>
  <c r="C911" i="7" s="1"/>
  <c r="C617" i="7"/>
  <c r="C894" i="7" s="1"/>
  <c r="C596" i="7"/>
  <c r="C872" i="7" s="1"/>
  <c r="J634" i="7"/>
  <c r="J912" i="7" s="1"/>
  <c r="J618" i="7"/>
  <c r="J895" i="7" s="1"/>
  <c r="J597" i="7"/>
  <c r="J873" i="7" s="1"/>
  <c r="D401" i="7"/>
  <c r="C632" i="7"/>
  <c r="C910" i="7" s="1"/>
  <c r="C616" i="7"/>
  <c r="C893" i="7" s="1"/>
  <c r="C595" i="7"/>
  <c r="C871" i="7" s="1"/>
  <c r="J633" i="7"/>
  <c r="J911" i="7" s="1"/>
  <c r="J617" i="7"/>
  <c r="J894" i="7" s="1"/>
  <c r="J596" i="7"/>
  <c r="J872" i="7" s="1"/>
  <c r="F264" i="22"/>
  <c r="K15" i="23" s="1"/>
  <c r="M138" i="21"/>
  <c r="E83" i="20"/>
  <c r="G211" i="24"/>
  <c r="D210" i="24"/>
  <c r="F209" i="24"/>
  <c r="C210" i="24"/>
  <c r="D209" i="24"/>
  <c r="C209" i="24"/>
  <c r="F211" i="24"/>
  <c r="C211" i="24"/>
  <c r="D211" i="24"/>
  <c r="F210" i="24"/>
  <c r="G209" i="24"/>
  <c r="G210" i="24"/>
  <c r="D787" i="7"/>
  <c r="M801" i="7" s="1"/>
  <c r="G769" i="7"/>
  <c r="B787" i="7" s="1"/>
  <c r="K801" i="7" s="1"/>
  <c r="F80" i="22"/>
  <c r="K9" i="23" s="1"/>
  <c r="C36" i="22"/>
  <c r="C27" i="14"/>
  <c r="F15" i="20"/>
  <c r="N46" i="21"/>
  <c r="F43" i="20"/>
  <c r="N51" i="21"/>
  <c r="E233" i="19"/>
  <c r="G203" i="6"/>
  <c r="N56" i="21"/>
  <c r="F62" i="20"/>
  <c r="N62" i="21"/>
  <c r="F19" i="20"/>
  <c r="E244" i="19"/>
  <c r="G214" i="6"/>
  <c r="F47" i="20"/>
  <c r="N67" i="21"/>
  <c r="N72" i="21"/>
  <c r="F66" i="20"/>
  <c r="H100" i="21"/>
  <c r="I30" i="20"/>
  <c r="M105" i="21"/>
  <c r="E54" i="20"/>
  <c r="E287" i="19"/>
  <c r="G257" i="6"/>
  <c r="G110" i="21"/>
  <c r="H75" i="20"/>
  <c r="E291" i="19"/>
  <c r="G261" i="6"/>
  <c r="H114" i="21"/>
  <c r="I76" i="20"/>
  <c r="D217" i="24"/>
  <c r="D218" i="24"/>
  <c r="F217" i="24"/>
  <c r="C218" i="24"/>
  <c r="G218" i="24"/>
  <c r="F218" i="24"/>
  <c r="C217" i="24"/>
  <c r="G217" i="24"/>
  <c r="H861" i="22"/>
  <c r="J34" i="23" s="1"/>
  <c r="E284" i="22"/>
  <c r="B33" i="14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B182" i="7"/>
  <c r="E182" i="7" s="1"/>
  <c r="B226" i="7" s="1"/>
  <c r="C226" i="7" s="1"/>
  <c r="D182" i="7"/>
  <c r="C182" i="7"/>
  <c r="G70" i="9"/>
  <c r="G110" i="9" s="1"/>
  <c r="E72" i="9"/>
  <c r="E112" i="9" s="1"/>
  <c r="M120" i="21"/>
  <c r="E35" i="20"/>
  <c r="G140" i="21"/>
  <c r="H41" i="20"/>
  <c r="G327" i="22"/>
  <c r="J17" i="23" s="1"/>
  <c r="G118" i="21"/>
  <c r="H77" i="20"/>
  <c r="E690" i="22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F171" i="22"/>
  <c r="J12" i="23" s="1"/>
  <c r="G47" i="21"/>
  <c r="H42" i="20"/>
  <c r="G52" i="21"/>
  <c r="H61" i="20"/>
  <c r="C128" i="22"/>
  <c r="D139" i="22" s="1"/>
  <c r="J11" i="23" s="1"/>
  <c r="C29" i="14"/>
  <c r="G58" i="21"/>
  <c r="H18" i="20"/>
  <c r="G63" i="21"/>
  <c r="H46" i="20"/>
  <c r="E245" i="19"/>
  <c r="G215" i="6"/>
  <c r="G68" i="21"/>
  <c r="H65" i="20"/>
  <c r="G74" i="21"/>
  <c r="H22" i="20"/>
  <c r="H83" i="21"/>
  <c r="I50" i="20"/>
  <c r="M96" i="21"/>
  <c r="E29" i="20"/>
  <c r="G101" i="21"/>
  <c r="H53" i="20"/>
  <c r="E283" i="19"/>
  <c r="G253" i="6"/>
  <c r="N106" i="21"/>
  <c r="F74" i="20"/>
  <c r="E289" i="19"/>
  <c r="G259" i="6"/>
  <c r="H112" i="21"/>
  <c r="I33" i="20"/>
  <c r="H116" i="21"/>
  <c r="I34" i="20"/>
  <c r="E765" i="22"/>
  <c r="J31" i="23" s="1"/>
  <c r="N131" i="21"/>
  <c r="F38" i="20"/>
  <c r="E209" i="24"/>
  <c r="E220" i="22"/>
  <c r="B31" i="14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B180" i="7"/>
  <c r="E180" i="7" s="1"/>
  <c r="B224" i="7" s="1"/>
  <c r="C224" i="7" s="1"/>
  <c r="D180" i="7"/>
  <c r="C180" i="7"/>
  <c r="N121" i="21"/>
  <c r="F78" i="20"/>
  <c r="E722" i="22"/>
  <c r="H438" i="18"/>
  <c r="D791" i="7"/>
  <c r="AC801" i="7" s="1"/>
  <c r="G773" i="7"/>
  <c r="B791" i="7" s="1"/>
  <c r="AA801" i="7" s="1"/>
  <c r="C51" i="4"/>
  <c r="D50" i="4"/>
  <c r="I456" i="22"/>
  <c r="K21" i="23" s="1"/>
  <c r="F60" i="20"/>
  <c r="N48" i="21"/>
  <c r="H54" i="21"/>
  <c r="I17" i="20"/>
  <c r="M59" i="21"/>
  <c r="E45" i="20"/>
  <c r="H64" i="21"/>
  <c r="I64" i="20"/>
  <c r="N76" i="21"/>
  <c r="F23" i="20"/>
  <c r="H84" i="21"/>
  <c r="I68" i="20"/>
  <c r="H97" i="21"/>
  <c r="I52" i="20"/>
  <c r="M102" i="21"/>
  <c r="E73" i="20"/>
  <c r="E285" i="19"/>
  <c r="G255" i="6"/>
  <c r="E319" i="6" s="1"/>
  <c r="G108" i="21"/>
  <c r="H32" i="20"/>
  <c r="N117" i="21"/>
  <c r="F57" i="20"/>
  <c r="G125" i="21"/>
  <c r="H79" i="20"/>
  <c r="F235" i="24"/>
  <c r="F234" i="24"/>
  <c r="G234" i="24"/>
  <c r="G235" i="24"/>
  <c r="C235" i="24"/>
  <c r="D234" i="24"/>
  <c r="C234" i="24"/>
  <c r="D235" i="24"/>
  <c r="M132" i="21"/>
  <c r="E81" i="20"/>
  <c r="E207" i="24"/>
  <c r="E189" i="3"/>
  <c r="E225" i="3" s="1"/>
  <c r="E185" i="3"/>
  <c r="E221" i="3" s="1"/>
  <c r="E181" i="3"/>
  <c r="E217" i="3" s="1"/>
  <c r="E177" i="3"/>
  <c r="E213" i="3" s="1"/>
  <c r="E173" i="3"/>
  <c r="E209" i="3" s="1"/>
  <c r="E169" i="3"/>
  <c r="E205" i="3" s="1"/>
  <c r="E165" i="3"/>
  <c r="E201" i="3" s="1"/>
  <c r="E188" i="3"/>
  <c r="E224" i="3" s="1"/>
  <c r="E184" i="3"/>
  <c r="E220" i="3" s="1"/>
  <c r="E180" i="3"/>
  <c r="E216" i="3" s="1"/>
  <c r="E176" i="3"/>
  <c r="E212" i="3" s="1"/>
  <c r="E172" i="3"/>
  <c r="E208" i="3" s="1"/>
  <c r="E168" i="3"/>
  <c r="E204" i="3" s="1"/>
  <c r="E191" i="3"/>
  <c r="E227" i="3" s="1"/>
  <c r="E187" i="3"/>
  <c r="E223" i="3" s="1"/>
  <c r="E183" i="3"/>
  <c r="E219" i="3" s="1"/>
  <c r="E179" i="3"/>
  <c r="E215" i="3" s="1"/>
  <c r="E175" i="3"/>
  <c r="E211" i="3" s="1"/>
  <c r="E171" i="3"/>
  <c r="E207" i="3" s="1"/>
  <c r="E167" i="3"/>
  <c r="E203" i="3" s="1"/>
  <c r="E190" i="3"/>
  <c r="E226" i="3" s="1"/>
  <c r="E186" i="3"/>
  <c r="E222" i="3" s="1"/>
  <c r="E182" i="3"/>
  <c r="E218" i="3" s="1"/>
  <c r="E178" i="3"/>
  <c r="E214" i="3" s="1"/>
  <c r="E174" i="3"/>
  <c r="E210" i="3" s="1"/>
  <c r="E170" i="3"/>
  <c r="E206" i="3" s="1"/>
  <c r="E166" i="3"/>
  <c r="E202" i="3" s="1"/>
  <c r="F231" i="22"/>
  <c r="J14" i="23" s="1"/>
  <c r="H71" i="9"/>
  <c r="H111" i="9" s="1"/>
  <c r="L424" i="22"/>
  <c r="B193" i="24"/>
  <c r="B213" i="24"/>
  <c r="E701" i="22"/>
  <c r="J29" i="23" s="1"/>
  <c r="K424" i="22"/>
  <c r="K455" i="22"/>
  <c r="E70" i="8" l="1"/>
  <c r="I84" i="9"/>
  <c r="I101" i="9" s="1"/>
  <c r="B160" i="7"/>
  <c r="E160" i="7" s="1"/>
  <c r="B218" i="7" s="1"/>
  <c r="C218" i="7" s="1"/>
  <c r="J70" i="8"/>
  <c r="B373" i="7"/>
  <c r="F84" i="9"/>
  <c r="F101" i="9" s="1"/>
  <c r="G70" i="8"/>
  <c r="D75" i="8"/>
  <c r="H70" i="8"/>
  <c r="F70" i="8"/>
  <c r="D36" i="22"/>
  <c r="B136" i="7"/>
  <c r="I87" i="8" s="1"/>
  <c r="B31" i="10"/>
  <c r="I391" i="22"/>
  <c r="L391" i="22" s="1"/>
  <c r="I392" i="22"/>
  <c r="L392" i="22" s="1"/>
  <c r="B307" i="7"/>
  <c r="I70" i="8"/>
  <c r="C70" i="8"/>
  <c r="E90" i="8"/>
  <c r="E127" i="8" s="1"/>
  <c r="B75" i="8"/>
  <c r="E70" i="9"/>
  <c r="E110" i="9" s="1"/>
  <c r="C58" i="17"/>
  <c r="D85" i="8"/>
  <c r="C85" i="8"/>
  <c r="C701" i="7"/>
  <c r="F85" i="8"/>
  <c r="B701" i="7"/>
  <c r="E701" i="7" s="1"/>
  <c r="B737" i="7" s="1"/>
  <c r="C737" i="7" s="1"/>
  <c r="H85" i="8"/>
  <c r="B85" i="8"/>
  <c r="G85" i="8"/>
  <c r="I85" i="8"/>
  <c r="F93" i="8"/>
  <c r="F130" i="8" s="1"/>
  <c r="J87" i="8"/>
  <c r="H90" i="8"/>
  <c r="H127" i="8" s="1"/>
  <c r="C90" i="8"/>
  <c r="C127" i="8" s="1"/>
  <c r="E75" i="8"/>
  <c r="E320" i="6"/>
  <c r="E93" i="8"/>
  <c r="E130" i="8" s="1"/>
  <c r="D93" i="8"/>
  <c r="D130" i="8" s="1"/>
  <c r="E87" i="8"/>
  <c r="F90" i="8"/>
  <c r="F127" i="8" s="1"/>
  <c r="C75" i="8"/>
  <c r="F75" i="8"/>
  <c r="B427" i="7"/>
  <c r="E201" i="7"/>
  <c r="B227" i="7" s="1"/>
  <c r="C227" i="7" s="1"/>
  <c r="B130" i="7"/>
  <c r="B428" i="7"/>
  <c r="E202" i="7"/>
  <c r="B228" i="7" s="1"/>
  <c r="C228" i="7" s="1"/>
  <c r="K456" i="22"/>
  <c r="K423" i="22"/>
  <c r="G58" i="8"/>
  <c r="G131" i="8" s="1"/>
  <c r="I58" i="8"/>
  <c r="I131" i="8" s="1"/>
  <c r="L280" i="7"/>
  <c r="L562" i="7" s="1"/>
  <c r="T280" i="7"/>
  <c r="T562" i="7" s="1"/>
  <c r="AK280" i="7"/>
  <c r="AK562" i="7" s="1"/>
  <c r="I280" i="7"/>
  <c r="I562" i="7" s="1"/>
  <c r="AF280" i="7"/>
  <c r="AF562" i="7" s="1"/>
  <c r="D280" i="7"/>
  <c r="D562" i="7" s="1"/>
  <c r="U280" i="7"/>
  <c r="U562" i="7" s="1"/>
  <c r="AC280" i="7"/>
  <c r="AC562" i="7" s="1"/>
  <c r="P280" i="7"/>
  <c r="P562" i="7" s="1"/>
  <c r="X280" i="7"/>
  <c r="X562" i="7" s="1"/>
  <c r="AG280" i="7"/>
  <c r="AG562" i="7" s="1"/>
  <c r="E280" i="7"/>
  <c r="E562" i="7" s="1"/>
  <c r="M280" i="7"/>
  <c r="M562" i="7" s="1"/>
  <c r="AB280" i="7"/>
  <c r="AB562" i="7" s="1"/>
  <c r="AJ280" i="7"/>
  <c r="AJ562" i="7" s="1"/>
  <c r="H280" i="7"/>
  <c r="H562" i="7" s="1"/>
  <c r="Q280" i="7"/>
  <c r="Q562" i="7" s="1"/>
  <c r="Y280" i="7"/>
  <c r="Y562" i="7" s="1"/>
  <c r="K280" i="7"/>
  <c r="K562" i="7" s="1"/>
  <c r="S280" i="7"/>
  <c r="S562" i="7" s="1"/>
  <c r="O280" i="7"/>
  <c r="O562" i="7" s="1"/>
  <c r="W280" i="7"/>
  <c r="W562" i="7" s="1"/>
  <c r="AE280" i="7"/>
  <c r="AE562" i="7" s="1"/>
  <c r="C280" i="7"/>
  <c r="C562" i="7" s="1"/>
  <c r="G280" i="7"/>
  <c r="G562" i="7" s="1"/>
  <c r="AA280" i="7"/>
  <c r="AA562" i="7" s="1"/>
  <c r="AI280" i="7"/>
  <c r="AI562" i="7" s="1"/>
  <c r="E57" i="8"/>
  <c r="E129" i="8" s="1"/>
  <c r="AJ274" i="7"/>
  <c r="AJ298" i="7" s="1"/>
  <c r="H274" i="7"/>
  <c r="H298" i="7" s="1"/>
  <c r="P274" i="7"/>
  <c r="P298" i="7" s="1"/>
  <c r="Y274" i="7"/>
  <c r="Y298" i="7" s="1"/>
  <c r="AG274" i="7"/>
  <c r="AG298" i="7" s="1"/>
  <c r="E274" i="7"/>
  <c r="E298" i="7" s="1"/>
  <c r="T274" i="7"/>
  <c r="T298" i="7" s="1"/>
  <c r="AB274" i="7"/>
  <c r="AB298" i="7" s="1"/>
  <c r="I274" i="7"/>
  <c r="I298" i="7" s="1"/>
  <c r="Q274" i="7"/>
  <c r="Q298" i="7" s="1"/>
  <c r="D274" i="7"/>
  <c r="D298" i="7" s="1"/>
  <c r="L274" i="7"/>
  <c r="L298" i="7" s="1"/>
  <c r="AC274" i="7"/>
  <c r="AC298" i="7" s="1"/>
  <c r="AK274" i="7"/>
  <c r="AK298" i="7" s="1"/>
  <c r="X274" i="7"/>
  <c r="X298" i="7" s="1"/>
  <c r="AF274" i="7"/>
  <c r="AF298" i="7" s="1"/>
  <c r="M274" i="7"/>
  <c r="M298" i="7" s="1"/>
  <c r="U274" i="7"/>
  <c r="U298" i="7" s="1"/>
  <c r="AI274" i="7"/>
  <c r="AI298" i="7" s="1"/>
  <c r="G274" i="7"/>
  <c r="G298" i="7" s="1"/>
  <c r="O274" i="7"/>
  <c r="O298" i="7" s="1"/>
  <c r="S274" i="7"/>
  <c r="S298" i="7" s="1"/>
  <c r="K274" i="7"/>
  <c r="K298" i="7" s="1"/>
  <c r="C274" i="7"/>
  <c r="C298" i="7" s="1"/>
  <c r="W274" i="7"/>
  <c r="W298" i="7" s="1"/>
  <c r="AE274" i="7"/>
  <c r="AE298" i="7" s="1"/>
  <c r="AA274" i="7"/>
  <c r="AA298" i="7" s="1"/>
  <c r="D282" i="7"/>
  <c r="D564" i="7" s="1"/>
  <c r="L282" i="7"/>
  <c r="L564" i="7" s="1"/>
  <c r="AC282" i="7"/>
  <c r="AC564" i="7" s="1"/>
  <c r="AK282" i="7"/>
  <c r="AK564" i="7" s="1"/>
  <c r="X282" i="7"/>
  <c r="X564" i="7" s="1"/>
  <c r="AF282" i="7"/>
  <c r="AF564" i="7" s="1"/>
  <c r="M282" i="7"/>
  <c r="M564" i="7" s="1"/>
  <c r="U282" i="7"/>
  <c r="U564" i="7" s="1"/>
  <c r="AJ282" i="7"/>
  <c r="AJ564" i="7" s="1"/>
  <c r="H282" i="7"/>
  <c r="H564" i="7" s="1"/>
  <c r="P282" i="7"/>
  <c r="P564" i="7" s="1"/>
  <c r="Y282" i="7"/>
  <c r="Y564" i="7" s="1"/>
  <c r="AG282" i="7"/>
  <c r="AG564" i="7" s="1"/>
  <c r="E282" i="7"/>
  <c r="E564" i="7" s="1"/>
  <c r="T282" i="7"/>
  <c r="T564" i="7" s="1"/>
  <c r="AB282" i="7"/>
  <c r="AB564" i="7" s="1"/>
  <c r="I282" i="7"/>
  <c r="I564" i="7" s="1"/>
  <c r="Q282" i="7"/>
  <c r="Q564" i="7" s="1"/>
  <c r="AE282" i="7"/>
  <c r="AE564" i="7" s="1"/>
  <c r="K282" i="7"/>
  <c r="K564" i="7" s="1"/>
  <c r="W282" i="7"/>
  <c r="W564" i="7" s="1"/>
  <c r="O282" i="7"/>
  <c r="O564" i="7" s="1"/>
  <c r="S282" i="7"/>
  <c r="S564" i="7" s="1"/>
  <c r="AA282" i="7"/>
  <c r="AA564" i="7" s="1"/>
  <c r="C282" i="7"/>
  <c r="C564" i="7" s="1"/>
  <c r="AI282" i="7"/>
  <c r="AI564" i="7" s="1"/>
  <c r="G282" i="7"/>
  <c r="G564" i="7" s="1"/>
  <c r="D57" i="8"/>
  <c r="D129" i="8" s="1"/>
  <c r="E58" i="8"/>
  <c r="E131" i="8" s="1"/>
  <c r="B354" i="7"/>
  <c r="E179" i="7"/>
  <c r="B222" i="7" s="1"/>
  <c r="C222" i="7" s="1"/>
  <c r="B353" i="7"/>
  <c r="E178" i="7"/>
  <c r="B219" i="7" s="1"/>
  <c r="C219" i="7" s="1"/>
  <c r="L423" i="22"/>
  <c r="K19" i="23"/>
  <c r="K392" i="22"/>
  <c r="E304" i="6"/>
  <c r="D701" i="7"/>
  <c r="B29" i="10"/>
  <c r="C506" i="22"/>
  <c r="J93" i="8"/>
  <c r="J130" i="8" s="1"/>
  <c r="C179" i="7"/>
  <c r="C354" i="7" s="1"/>
  <c r="D74" i="8"/>
  <c r="E74" i="8"/>
  <c r="B74" i="8"/>
  <c r="I87" i="9"/>
  <c r="I104" i="9" s="1"/>
  <c r="D739" i="7"/>
  <c r="G87" i="8"/>
  <c r="B87" i="8"/>
  <c r="D160" i="7"/>
  <c r="B84" i="9"/>
  <c r="B101" i="9" s="1"/>
  <c r="C84" i="9"/>
  <c r="C101" i="9" s="1"/>
  <c r="H84" i="9"/>
  <c r="H101" i="9" s="1"/>
  <c r="B27" i="14"/>
  <c r="I90" i="8"/>
  <c r="I127" i="8" s="1"/>
  <c r="D658" i="22"/>
  <c r="H75" i="8"/>
  <c r="J75" i="8"/>
  <c r="J33" i="23"/>
  <c r="G829" i="22"/>
  <c r="E317" i="6"/>
  <c r="E318" i="6"/>
  <c r="E307" i="6"/>
  <c r="L455" i="22"/>
  <c r="E316" i="6"/>
  <c r="L456" i="22"/>
  <c r="D637" i="22"/>
  <c r="J27" i="23" s="1"/>
  <c r="D737" i="7"/>
  <c r="E85" i="8"/>
  <c r="J85" i="8"/>
  <c r="I93" i="8"/>
  <c r="I130" i="8" s="1"/>
  <c r="C93" i="8"/>
  <c r="C130" i="8" s="1"/>
  <c r="D703" i="7"/>
  <c r="H87" i="8"/>
  <c r="C160" i="7"/>
  <c r="D70" i="8"/>
  <c r="J84" i="9"/>
  <c r="J101" i="9" s="1"/>
  <c r="G84" i="9"/>
  <c r="G101" i="9" s="1"/>
  <c r="D84" i="9"/>
  <c r="D101" i="9" s="1"/>
  <c r="D90" i="8"/>
  <c r="D127" i="8" s="1"/>
  <c r="B90" i="8"/>
  <c r="B127" i="8" s="1"/>
  <c r="G75" i="8"/>
  <c r="I75" i="8"/>
  <c r="B133" i="7"/>
  <c r="B122" i="7"/>
  <c r="J58" i="8"/>
  <c r="J131" i="8" s="1"/>
  <c r="F57" i="8"/>
  <c r="F129" i="8" s="1"/>
  <c r="E36" i="22"/>
  <c r="F829" i="22"/>
  <c r="F842" i="22"/>
  <c r="F830" i="22"/>
  <c r="G701" i="22"/>
  <c r="F690" i="22"/>
  <c r="E714" i="22"/>
  <c r="W29" i="23" s="1"/>
  <c r="F101" i="21"/>
  <c r="G53" i="20"/>
  <c r="F105" i="21"/>
  <c r="G54" i="20"/>
  <c r="J862" i="22"/>
  <c r="J861" i="22"/>
  <c r="H850" i="22"/>
  <c r="H874" i="22"/>
  <c r="W34" i="23" s="1"/>
  <c r="F607" i="22"/>
  <c r="J26" i="23" s="1"/>
  <c r="B81" i="12"/>
  <c r="B39" i="16" s="1"/>
  <c r="B127" i="12"/>
  <c r="B117" i="16" s="1"/>
  <c r="D59" i="8"/>
  <c r="D133" i="8" s="1"/>
  <c r="F113" i="21"/>
  <c r="G56" i="20"/>
  <c r="F109" i="21"/>
  <c r="G55" i="20"/>
  <c r="C547" i="22"/>
  <c r="J24" i="23" s="1"/>
  <c r="F55" i="21"/>
  <c r="G44" i="20"/>
  <c r="G360" i="22"/>
  <c r="K18" i="23" s="1"/>
  <c r="H275" i="22"/>
  <c r="H271" i="22"/>
  <c r="H267" i="22"/>
  <c r="H259" i="22"/>
  <c r="H255" i="22"/>
  <c r="H272" i="22"/>
  <c r="H269" i="22"/>
  <c r="H266" i="22"/>
  <c r="H260" i="22"/>
  <c r="H257" i="22"/>
  <c r="F252" i="22"/>
  <c r="H277" i="22"/>
  <c r="H268" i="22"/>
  <c r="H265" i="22"/>
  <c r="H256" i="22"/>
  <c r="H276" i="22"/>
  <c r="H264" i="22"/>
  <c r="H263" i="22"/>
  <c r="H262" i="22"/>
  <c r="H274" i="22"/>
  <c r="H273" i="22"/>
  <c r="H270" i="22"/>
  <c r="H261" i="22"/>
  <c r="H258" i="22"/>
  <c r="F58" i="8"/>
  <c r="F131" i="8" s="1"/>
  <c r="D58" i="8"/>
  <c r="D131" i="8" s="1"/>
  <c r="F683" i="22"/>
  <c r="F682" i="22"/>
  <c r="F681" i="22"/>
  <c r="F677" i="22"/>
  <c r="F673" i="22"/>
  <c r="F669" i="22"/>
  <c r="F665" i="22"/>
  <c r="F661" i="22"/>
  <c r="F678" i="22"/>
  <c r="F674" i="22"/>
  <c r="F670" i="22"/>
  <c r="F666" i="22"/>
  <c r="F662" i="22"/>
  <c r="F679" i="22"/>
  <c r="F675" i="22"/>
  <c r="F671" i="22"/>
  <c r="F667" i="22"/>
  <c r="F663" i="22"/>
  <c r="F680" i="22"/>
  <c r="F676" i="22"/>
  <c r="F672" i="22"/>
  <c r="F668" i="22"/>
  <c r="F664" i="22"/>
  <c r="E658" i="22"/>
  <c r="D682" i="22"/>
  <c r="W28" i="23" s="1"/>
  <c r="H172" i="22"/>
  <c r="F160" i="22"/>
  <c r="H171" i="22"/>
  <c r="E59" i="8"/>
  <c r="E133" i="8" s="1"/>
  <c r="B105" i="12"/>
  <c r="B75" i="16" s="1"/>
  <c r="E680" i="22"/>
  <c r="E676" i="22"/>
  <c r="E672" i="22"/>
  <c r="E668" i="22"/>
  <c r="E664" i="22"/>
  <c r="E683" i="22"/>
  <c r="E682" i="22"/>
  <c r="E681" i="22"/>
  <c r="E677" i="22"/>
  <c r="E673" i="22"/>
  <c r="E669" i="22"/>
  <c r="E665" i="22"/>
  <c r="E661" i="22"/>
  <c r="E678" i="22"/>
  <c r="E674" i="22"/>
  <c r="E670" i="22"/>
  <c r="E666" i="22"/>
  <c r="E662" i="22"/>
  <c r="E679" i="22"/>
  <c r="E675" i="22"/>
  <c r="E671" i="22"/>
  <c r="E667" i="22"/>
  <c r="E663" i="22"/>
  <c r="G245" i="22"/>
  <c r="E243" i="22"/>
  <c r="G241" i="22"/>
  <c r="E239" i="22"/>
  <c r="G237" i="22"/>
  <c r="E244" i="22"/>
  <c r="G243" i="22"/>
  <c r="G242" i="22"/>
  <c r="G235" i="22"/>
  <c r="E233" i="22"/>
  <c r="E231" i="22"/>
  <c r="E229" i="22"/>
  <c r="G227" i="22"/>
  <c r="E225" i="22"/>
  <c r="G223" i="22"/>
  <c r="E242" i="22"/>
  <c r="E241" i="22"/>
  <c r="G240" i="22"/>
  <c r="E238" i="22"/>
  <c r="E234" i="22"/>
  <c r="G232" i="22"/>
  <c r="E230" i="22"/>
  <c r="G228" i="22"/>
  <c r="E226" i="22"/>
  <c r="G224" i="22"/>
  <c r="E240" i="22"/>
  <c r="G239" i="22"/>
  <c r="E237" i="22"/>
  <c r="G236" i="22"/>
  <c r="E235" i="22"/>
  <c r="G233" i="22"/>
  <c r="G231" i="22"/>
  <c r="G229" i="22"/>
  <c r="E227" i="22"/>
  <c r="G225" i="22"/>
  <c r="E223" i="22"/>
  <c r="E245" i="22"/>
  <c r="G244" i="22"/>
  <c r="G238" i="22"/>
  <c r="E236" i="22"/>
  <c r="G234" i="22"/>
  <c r="E232" i="22"/>
  <c r="G230" i="22"/>
  <c r="E228" i="22"/>
  <c r="G226" i="22"/>
  <c r="E224" i="22"/>
  <c r="F139" i="22"/>
  <c r="F701" i="22"/>
  <c r="G47" i="20"/>
  <c r="F67" i="21"/>
  <c r="F102" i="21"/>
  <c r="G73" i="20"/>
  <c r="H444" i="22"/>
  <c r="I444" i="22" s="1"/>
  <c r="J83" i="8"/>
  <c r="F83" i="8"/>
  <c r="B83" i="8"/>
  <c r="I83" i="8"/>
  <c r="E83" i="8"/>
  <c r="H83" i="8"/>
  <c r="D83" i="8"/>
  <c r="G83" i="8"/>
  <c r="C83" i="8"/>
  <c r="B205" i="7"/>
  <c r="E205" i="7" s="1"/>
  <c r="B231" i="7" s="1"/>
  <c r="C231" i="7" s="1"/>
  <c r="D205" i="7"/>
  <c r="C205" i="7"/>
  <c r="F97" i="21"/>
  <c r="G52" i="20"/>
  <c r="F637" i="22"/>
  <c r="D650" i="22"/>
  <c r="W27" i="23" s="1"/>
  <c r="F96" i="21"/>
  <c r="G29" i="20"/>
  <c r="G874" i="22"/>
  <c r="G861" i="22"/>
  <c r="G862" i="22"/>
  <c r="G873" i="22"/>
  <c r="G872" i="22"/>
  <c r="I862" i="22"/>
  <c r="I861" i="22"/>
  <c r="I59" i="8"/>
  <c r="I133" i="8" s="1"/>
  <c r="B106" i="12"/>
  <c r="B77" i="16" s="1"/>
  <c r="I360" i="22"/>
  <c r="G348" i="22"/>
  <c r="I359" i="22"/>
  <c r="D48" i="22"/>
  <c r="K8" i="23" s="1"/>
  <c r="H308" i="22"/>
  <c r="H306" i="22"/>
  <c r="H304" i="22"/>
  <c r="H300" i="22"/>
  <c r="H296" i="22"/>
  <c r="H292" i="22"/>
  <c r="H288" i="22"/>
  <c r="H307" i="22"/>
  <c r="H301" i="22"/>
  <c r="H298" i="22"/>
  <c r="H289" i="22"/>
  <c r="F284" i="22"/>
  <c r="H309" i="22"/>
  <c r="H297" i="22"/>
  <c r="H303" i="22"/>
  <c r="H295" i="22"/>
  <c r="H294" i="22"/>
  <c r="H291" i="22"/>
  <c r="H305" i="22"/>
  <c r="H302" i="22"/>
  <c r="H299" i="22"/>
  <c r="H293" i="22"/>
  <c r="H290" i="22"/>
  <c r="H287" i="22"/>
  <c r="F54" i="21"/>
  <c r="G17" i="20"/>
  <c r="D638" i="22"/>
  <c r="F263" i="22"/>
  <c r="J15" i="23" s="1"/>
  <c r="G722" i="22"/>
  <c r="I92" i="8"/>
  <c r="E92" i="8"/>
  <c r="H92" i="8"/>
  <c r="D92" i="8"/>
  <c r="G92" i="8"/>
  <c r="C92" i="8"/>
  <c r="J92" i="8"/>
  <c r="F92" i="8"/>
  <c r="B92" i="8"/>
  <c r="H57" i="8"/>
  <c r="H129" i="8" s="1"/>
  <c r="H58" i="8"/>
  <c r="H131" i="8" s="1"/>
  <c r="C100" i="22"/>
  <c r="I72" i="8"/>
  <c r="E72" i="8"/>
  <c r="H72" i="8"/>
  <c r="D72" i="8"/>
  <c r="G72" i="8"/>
  <c r="C72" i="8"/>
  <c r="J72" i="8"/>
  <c r="F72" i="8"/>
  <c r="B72" i="8"/>
  <c r="B372" i="7"/>
  <c r="H412" i="22"/>
  <c r="I412" i="22" s="1"/>
  <c r="G82" i="8"/>
  <c r="C82" i="8"/>
  <c r="J82" i="8"/>
  <c r="F82" i="8"/>
  <c r="B82" i="8"/>
  <c r="I82" i="8"/>
  <c r="E82" i="8"/>
  <c r="H82" i="8"/>
  <c r="D82" i="8"/>
  <c r="B204" i="7"/>
  <c r="E204" i="7" s="1"/>
  <c r="B230" i="7" s="1"/>
  <c r="C230" i="7" s="1"/>
  <c r="D204" i="7"/>
  <c r="C204" i="7"/>
  <c r="G59" i="8"/>
  <c r="G133" i="8" s="1"/>
  <c r="B125" i="12"/>
  <c r="B113" i="16" s="1"/>
  <c r="F104" i="21"/>
  <c r="G31" i="20"/>
  <c r="H79" i="22"/>
  <c r="H80" i="22"/>
  <c r="F68" i="22"/>
  <c r="C59" i="8"/>
  <c r="C133" i="8" s="1"/>
  <c r="E252" i="22"/>
  <c r="B32" i="14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B181" i="7"/>
  <c r="E181" i="7" s="1"/>
  <c r="B225" i="7" s="1"/>
  <c r="C225" i="7" s="1"/>
  <c r="D181" i="7"/>
  <c r="C181" i="7"/>
  <c r="D517" i="22"/>
  <c r="F766" i="22"/>
  <c r="F765" i="22"/>
  <c r="D51" i="4"/>
  <c r="C52" i="4"/>
  <c r="B82" i="4"/>
  <c r="H722" i="22"/>
  <c r="H746" i="22"/>
  <c r="W30" i="23" s="1"/>
  <c r="F112" i="21"/>
  <c r="G33" i="20"/>
  <c r="F106" i="21"/>
  <c r="G74" i="20"/>
  <c r="G65" i="20"/>
  <c r="F68" i="21"/>
  <c r="H734" i="22"/>
  <c r="K30" i="23" s="1"/>
  <c r="H59" i="8"/>
  <c r="H133" i="8" s="1"/>
  <c r="F338" i="22"/>
  <c r="H327" i="22"/>
  <c r="F337" i="22"/>
  <c r="F335" i="22"/>
  <c r="F333" i="22"/>
  <c r="F331" i="22"/>
  <c r="F329" i="22"/>
  <c r="H326" i="22"/>
  <c r="F325" i="22"/>
  <c r="H324" i="22"/>
  <c r="F323" i="22"/>
  <c r="H322" i="22"/>
  <c r="F321" i="22"/>
  <c r="H320" i="22"/>
  <c r="F319" i="22"/>
  <c r="F341" i="22"/>
  <c r="H340" i="22"/>
  <c r="F339" i="22"/>
  <c r="H336" i="22"/>
  <c r="H334" i="22"/>
  <c r="H332" i="22"/>
  <c r="H330" i="22"/>
  <c r="H328" i="22"/>
  <c r="F336" i="22"/>
  <c r="F334" i="22"/>
  <c r="F332" i="22"/>
  <c r="F330" i="22"/>
  <c r="F328" i="22"/>
  <c r="F327" i="22"/>
  <c r="F326" i="22"/>
  <c r="H325" i="22"/>
  <c r="F324" i="22"/>
  <c r="H323" i="22"/>
  <c r="F322" i="22"/>
  <c r="H321" i="22"/>
  <c r="F320" i="22"/>
  <c r="H319" i="22"/>
  <c r="H341" i="22"/>
  <c r="F340" i="22"/>
  <c r="H339" i="22"/>
  <c r="H338" i="22"/>
  <c r="H337" i="22"/>
  <c r="H335" i="22"/>
  <c r="H333" i="22"/>
  <c r="H331" i="22"/>
  <c r="H329" i="22"/>
  <c r="J798" i="22"/>
  <c r="H810" i="22"/>
  <c r="W32" i="23" s="1"/>
  <c r="F371" i="22"/>
  <c r="F360" i="22"/>
  <c r="F359" i="22"/>
  <c r="H360" i="22"/>
  <c r="F370" i="22"/>
  <c r="H359" i="22"/>
  <c r="F59" i="8"/>
  <c r="F133" i="8" s="1"/>
  <c r="D626" i="22"/>
  <c r="E626" i="22" s="1"/>
  <c r="H89" i="8"/>
  <c r="H126" i="8" s="1"/>
  <c r="D89" i="8"/>
  <c r="D126" i="8" s="1"/>
  <c r="G89" i="8"/>
  <c r="G126" i="8" s="1"/>
  <c r="C89" i="8"/>
  <c r="C126" i="8" s="1"/>
  <c r="J89" i="8"/>
  <c r="J126" i="8" s="1"/>
  <c r="F89" i="8"/>
  <c r="F126" i="8" s="1"/>
  <c r="B89" i="8"/>
  <c r="B126" i="8" s="1"/>
  <c r="I89" i="8"/>
  <c r="I126" i="8" s="1"/>
  <c r="E89" i="8"/>
  <c r="E126" i="8" s="1"/>
  <c r="H238" i="22"/>
  <c r="H240" i="22"/>
  <c r="H237" i="22"/>
  <c r="H232" i="22"/>
  <c r="H228" i="22"/>
  <c r="H224" i="22"/>
  <c r="H245" i="22"/>
  <c r="H239" i="22"/>
  <c r="H236" i="22"/>
  <c r="H233" i="22"/>
  <c r="H231" i="22"/>
  <c r="H229" i="22"/>
  <c r="H225" i="22"/>
  <c r="H244" i="22"/>
  <c r="H234" i="22"/>
  <c r="H230" i="22"/>
  <c r="H226" i="22"/>
  <c r="F220" i="22"/>
  <c r="H243" i="22"/>
  <c r="H242" i="22"/>
  <c r="H241" i="22"/>
  <c r="H235" i="22"/>
  <c r="H227" i="22"/>
  <c r="H223" i="22"/>
  <c r="F100" i="21"/>
  <c r="G30" i="20"/>
  <c r="E596" i="22"/>
  <c r="I88" i="8"/>
  <c r="E88" i="8"/>
  <c r="H88" i="8"/>
  <c r="D88" i="8"/>
  <c r="G88" i="8"/>
  <c r="C88" i="8"/>
  <c r="B32" i="10"/>
  <c r="J88" i="8"/>
  <c r="F88" i="8"/>
  <c r="B88" i="8"/>
  <c r="D722" i="7"/>
  <c r="C722" i="7"/>
  <c r="B722" i="7"/>
  <c r="E722" i="7" s="1"/>
  <c r="B740" i="7" s="1"/>
  <c r="C740" i="7" s="1"/>
  <c r="D740" i="7"/>
  <c r="B126" i="12"/>
  <c r="B115" i="16" s="1"/>
  <c r="B82" i="12"/>
  <c r="B41" i="16" s="1"/>
  <c r="B59" i="8"/>
  <c r="B133" i="8" s="1"/>
  <c r="C536" i="22"/>
  <c r="G86" i="8"/>
  <c r="C86" i="8"/>
  <c r="B30" i="10"/>
  <c r="J86" i="8"/>
  <c r="F86" i="8"/>
  <c r="B86" i="8"/>
  <c r="I86" i="8"/>
  <c r="E86" i="8"/>
  <c r="H86" i="8"/>
  <c r="D86" i="8"/>
  <c r="D702" i="7"/>
  <c r="C702" i="7"/>
  <c r="B702" i="7"/>
  <c r="E702" i="7" s="1"/>
  <c r="B738" i="7" s="1"/>
  <c r="C738" i="7" s="1"/>
  <c r="D738" i="7"/>
  <c r="F98" i="21"/>
  <c r="G72" i="20"/>
  <c r="D140" i="22"/>
  <c r="C57" i="8"/>
  <c r="C129" i="8" s="1"/>
  <c r="J57" i="8"/>
  <c r="J129" i="8" s="1"/>
  <c r="G786" i="22"/>
  <c r="H786" i="22" s="1"/>
  <c r="G94" i="8"/>
  <c r="C94" i="8"/>
  <c r="J94" i="8"/>
  <c r="F94" i="8"/>
  <c r="B94" i="8"/>
  <c r="I94" i="8"/>
  <c r="E94" i="8"/>
  <c r="H94" i="8"/>
  <c r="D94" i="8"/>
  <c r="C58" i="8"/>
  <c r="C131" i="8" s="1"/>
  <c r="I341" i="22"/>
  <c r="I340" i="22"/>
  <c r="I339" i="22"/>
  <c r="I326" i="22"/>
  <c r="I325" i="22"/>
  <c r="I324" i="22"/>
  <c r="I323" i="22"/>
  <c r="I322" i="22"/>
  <c r="I321" i="22"/>
  <c r="I320" i="22"/>
  <c r="I319" i="22"/>
  <c r="G316" i="22"/>
  <c r="I336" i="22"/>
  <c r="I334" i="22"/>
  <c r="I332" i="22"/>
  <c r="I330" i="22"/>
  <c r="I328" i="22"/>
  <c r="I327" i="22"/>
  <c r="I338" i="22"/>
  <c r="I337" i="22"/>
  <c r="I335" i="22"/>
  <c r="I333" i="22"/>
  <c r="I331" i="22"/>
  <c r="I329" i="22"/>
  <c r="D47" i="22"/>
  <c r="E47" i="22" s="1"/>
  <c r="E183" i="22"/>
  <c r="G171" i="22"/>
  <c r="E182" i="22"/>
  <c r="E172" i="22"/>
  <c r="E171" i="22"/>
  <c r="G172" i="22"/>
  <c r="G80" i="22"/>
  <c r="E80" i="22"/>
  <c r="E79" i="22"/>
  <c r="E91" i="22"/>
  <c r="E90" i="22"/>
  <c r="G79" i="22"/>
  <c r="B465" i="7"/>
  <c r="D465" i="7"/>
  <c r="C465" i="7"/>
  <c r="E48" i="22"/>
  <c r="F108" i="21"/>
  <c r="G32" i="20"/>
  <c r="E309" i="22"/>
  <c r="G307" i="22"/>
  <c r="E305" i="22"/>
  <c r="G303" i="22"/>
  <c r="E301" i="22"/>
  <c r="G299" i="22"/>
  <c r="E297" i="22"/>
  <c r="E295" i="22"/>
  <c r="E293" i="22"/>
  <c r="G291" i="22"/>
  <c r="E289" i="22"/>
  <c r="G287" i="22"/>
  <c r="G306" i="22"/>
  <c r="G305" i="22"/>
  <c r="E303" i="22"/>
  <c r="G302" i="22"/>
  <c r="E300" i="22"/>
  <c r="E294" i="22"/>
  <c r="G293" i="22"/>
  <c r="E291" i="22"/>
  <c r="G290" i="22"/>
  <c r="E288" i="22"/>
  <c r="E308" i="22"/>
  <c r="G304" i="22"/>
  <c r="E302" i="22"/>
  <c r="G301" i="22"/>
  <c r="E299" i="22"/>
  <c r="G298" i="22"/>
  <c r="E296" i="22"/>
  <c r="G292" i="22"/>
  <c r="E290" i="22"/>
  <c r="G289" i="22"/>
  <c r="E287" i="22"/>
  <c r="G309" i="22"/>
  <c r="E307" i="22"/>
  <c r="E306" i="22"/>
  <c r="G300" i="22"/>
  <c r="E298" i="22"/>
  <c r="G297" i="22"/>
  <c r="G288" i="22"/>
  <c r="G308" i="22"/>
  <c r="E304" i="22"/>
  <c r="G296" i="22"/>
  <c r="G295" i="22"/>
  <c r="G294" i="22"/>
  <c r="E292" i="22"/>
  <c r="F114" i="21"/>
  <c r="G76" i="20"/>
  <c r="F110" i="21"/>
  <c r="G75" i="20"/>
  <c r="G62" i="20"/>
  <c r="F56" i="21"/>
  <c r="B53" i="14"/>
  <c r="E53" i="14"/>
  <c r="E63" i="14" s="1"/>
  <c r="D53" i="14"/>
  <c r="D63" i="14" s="1"/>
  <c r="C53" i="14"/>
  <c r="C63" i="14" s="1"/>
  <c r="J59" i="8"/>
  <c r="J133" i="8" s="1"/>
  <c r="H733" i="22"/>
  <c r="J30" i="23" s="1"/>
  <c r="E702" i="22"/>
  <c r="G766" i="22"/>
  <c r="G765" i="22"/>
  <c r="F754" i="22"/>
  <c r="E778" i="22"/>
  <c r="W31" i="23" s="1"/>
  <c r="B107" i="12"/>
  <c r="B79" i="16" s="1"/>
  <c r="F66" i="21"/>
  <c r="G20" i="20"/>
  <c r="H797" i="22"/>
  <c r="J32" i="23" s="1"/>
  <c r="B58" i="8"/>
  <c r="B131" i="8" s="1"/>
  <c r="B80" i="12"/>
  <c r="B37" i="16" s="1"/>
  <c r="J19" i="23" l="1"/>
  <c r="K391" i="22"/>
  <c r="F326" i="7"/>
  <c r="B703" i="7"/>
  <c r="E703" i="7" s="1"/>
  <c r="B739" i="7" s="1"/>
  <c r="C739" i="7" s="1"/>
  <c r="C87" i="8"/>
  <c r="C566" i="22"/>
  <c r="D577" i="22" s="1"/>
  <c r="D87" i="8"/>
  <c r="F87" i="8"/>
  <c r="C703" i="7"/>
  <c r="I326" i="7"/>
  <c r="H326" i="7"/>
  <c r="D326" i="7"/>
  <c r="J326" i="7"/>
  <c r="M286" i="7"/>
  <c r="M568" i="7" s="1"/>
  <c r="P286" i="7"/>
  <c r="P568" i="7" s="1"/>
  <c r="T286" i="7"/>
  <c r="T568" i="7" s="1"/>
  <c r="D286" i="7"/>
  <c r="D568" i="7" s="1"/>
  <c r="O286" i="7"/>
  <c r="O568" i="7" s="1"/>
  <c r="AI286" i="7"/>
  <c r="AI568" i="7" s="1"/>
  <c r="AA286" i="7"/>
  <c r="AA568" i="7" s="1"/>
  <c r="G286" i="7"/>
  <c r="G568" i="7" s="1"/>
  <c r="U286" i="7"/>
  <c r="U568" i="7" s="1"/>
  <c r="Y286" i="7"/>
  <c r="Y568" i="7" s="1"/>
  <c r="AB286" i="7"/>
  <c r="AB568" i="7" s="1"/>
  <c r="L286" i="7"/>
  <c r="L568" i="7" s="1"/>
  <c r="AE286" i="7"/>
  <c r="AE568" i="7" s="1"/>
  <c r="S286" i="7"/>
  <c r="S568" i="7" s="1"/>
  <c r="X286" i="7"/>
  <c r="X568" i="7" s="1"/>
  <c r="AJ286" i="7"/>
  <c r="AJ568" i="7" s="1"/>
  <c r="AG286" i="7"/>
  <c r="AG568" i="7" s="1"/>
  <c r="I286" i="7"/>
  <c r="I568" i="7" s="1"/>
  <c r="AC286" i="7"/>
  <c r="AC568" i="7" s="1"/>
  <c r="K286" i="7"/>
  <c r="K568" i="7" s="1"/>
  <c r="C286" i="7"/>
  <c r="C568" i="7" s="1"/>
  <c r="AF286" i="7"/>
  <c r="AF568" i="7" s="1"/>
  <c r="H286" i="7"/>
  <c r="H568" i="7" s="1"/>
  <c r="E286" i="7"/>
  <c r="E568" i="7" s="1"/>
  <c r="Q286" i="7"/>
  <c r="Q568" i="7" s="1"/>
  <c r="AK286" i="7"/>
  <c r="AK568" i="7" s="1"/>
  <c r="W286" i="7"/>
  <c r="W568" i="7" s="1"/>
  <c r="W283" i="7"/>
  <c r="W418" i="7" s="1"/>
  <c r="AI283" i="7"/>
  <c r="AI418" i="7" s="1"/>
  <c r="U283" i="7"/>
  <c r="U418" i="7" s="1"/>
  <c r="E283" i="7"/>
  <c r="E418" i="7" s="1"/>
  <c r="Y283" i="7"/>
  <c r="Y418" i="7" s="1"/>
  <c r="AK283" i="7"/>
  <c r="AK418" i="7" s="1"/>
  <c r="C283" i="7"/>
  <c r="C418" i="7" s="1"/>
  <c r="K283" i="7"/>
  <c r="K418" i="7" s="1"/>
  <c r="AF283" i="7"/>
  <c r="AF418" i="7" s="1"/>
  <c r="AC283" i="7"/>
  <c r="AC418" i="7" s="1"/>
  <c r="M283" i="7"/>
  <c r="M418" i="7" s="1"/>
  <c r="AG283" i="7"/>
  <c r="AG418" i="7" s="1"/>
  <c r="I283" i="7"/>
  <c r="I418" i="7" s="1"/>
  <c r="AE283" i="7"/>
  <c r="AE418" i="7" s="1"/>
  <c r="G283" i="7"/>
  <c r="G418" i="7" s="1"/>
  <c r="D283" i="7"/>
  <c r="D418" i="7" s="1"/>
  <c r="P283" i="7"/>
  <c r="P418" i="7" s="1"/>
  <c r="AJ283" i="7"/>
  <c r="AJ418" i="7" s="1"/>
  <c r="T283" i="7"/>
  <c r="T418" i="7" s="1"/>
  <c r="Q283" i="7"/>
  <c r="Q418" i="7" s="1"/>
  <c r="S283" i="7"/>
  <c r="S418" i="7" s="1"/>
  <c r="AA283" i="7"/>
  <c r="AA418" i="7" s="1"/>
  <c r="L283" i="7"/>
  <c r="L418" i="7" s="1"/>
  <c r="X283" i="7"/>
  <c r="X418" i="7" s="1"/>
  <c r="H283" i="7"/>
  <c r="H418" i="7" s="1"/>
  <c r="AB283" i="7"/>
  <c r="AB418" i="7" s="1"/>
  <c r="O283" i="7"/>
  <c r="O418" i="7" s="1"/>
  <c r="K287" i="7"/>
  <c r="K569" i="7" s="1"/>
  <c r="S287" i="7"/>
  <c r="S569" i="7" s="1"/>
  <c r="P287" i="7"/>
  <c r="P569" i="7" s="1"/>
  <c r="AJ287" i="7"/>
  <c r="AJ569" i="7" s="1"/>
  <c r="T287" i="7"/>
  <c r="T569" i="7" s="1"/>
  <c r="Q287" i="7"/>
  <c r="Q569" i="7" s="1"/>
  <c r="U287" i="7"/>
  <c r="U569" i="7" s="1"/>
  <c r="W287" i="7"/>
  <c r="W569" i="7" s="1"/>
  <c r="X287" i="7"/>
  <c r="X569" i="7" s="1"/>
  <c r="H287" i="7"/>
  <c r="H569" i="7" s="1"/>
  <c r="AB287" i="7"/>
  <c r="AB569" i="7" s="1"/>
  <c r="AF287" i="7"/>
  <c r="AF569" i="7" s="1"/>
  <c r="AC287" i="7"/>
  <c r="AC569" i="7" s="1"/>
  <c r="AA287" i="7"/>
  <c r="AA569" i="7" s="1"/>
  <c r="C287" i="7"/>
  <c r="C569" i="7" s="1"/>
  <c r="AE287" i="7"/>
  <c r="AE569" i="7" s="1"/>
  <c r="E287" i="7"/>
  <c r="E569" i="7" s="1"/>
  <c r="Y287" i="7"/>
  <c r="Y569" i="7" s="1"/>
  <c r="AK287" i="7"/>
  <c r="AK569" i="7" s="1"/>
  <c r="D287" i="7"/>
  <c r="D569" i="7" s="1"/>
  <c r="O287" i="7"/>
  <c r="O569" i="7" s="1"/>
  <c r="AI287" i="7"/>
  <c r="AI569" i="7" s="1"/>
  <c r="G287" i="7"/>
  <c r="G569" i="7" s="1"/>
  <c r="M287" i="7"/>
  <c r="M569" i="7" s="1"/>
  <c r="AG287" i="7"/>
  <c r="AG569" i="7" s="1"/>
  <c r="I287" i="7"/>
  <c r="I569" i="7" s="1"/>
  <c r="L287" i="7"/>
  <c r="L569" i="7" s="1"/>
  <c r="AC284" i="7"/>
  <c r="AC419" i="7" s="1"/>
  <c r="E284" i="7"/>
  <c r="E419" i="7" s="1"/>
  <c r="H284" i="7"/>
  <c r="H419" i="7" s="1"/>
  <c r="T284" i="7"/>
  <c r="T419" i="7" s="1"/>
  <c r="O284" i="7"/>
  <c r="O419" i="7" s="1"/>
  <c r="AI284" i="7"/>
  <c r="AI419" i="7" s="1"/>
  <c r="AF284" i="7"/>
  <c r="AF419" i="7" s="1"/>
  <c r="P284" i="7"/>
  <c r="P419" i="7" s="1"/>
  <c r="M284" i="7"/>
  <c r="M419" i="7" s="1"/>
  <c r="Q284" i="7"/>
  <c r="Q419" i="7" s="1"/>
  <c r="AK284" i="7"/>
  <c r="AK419" i="7" s="1"/>
  <c r="G284" i="7"/>
  <c r="G419" i="7" s="1"/>
  <c r="C284" i="7"/>
  <c r="C419" i="7" s="1"/>
  <c r="D284" i="7"/>
  <c r="D419" i="7" s="1"/>
  <c r="X284" i="7"/>
  <c r="X419" i="7" s="1"/>
  <c r="AB284" i="7"/>
  <c r="AB419" i="7" s="1"/>
  <c r="Y284" i="7"/>
  <c r="Y419" i="7" s="1"/>
  <c r="I284" i="7"/>
  <c r="I419" i="7" s="1"/>
  <c r="S284" i="7"/>
  <c r="S419" i="7" s="1"/>
  <c r="K284" i="7"/>
  <c r="K419" i="7" s="1"/>
  <c r="AE284" i="7"/>
  <c r="AE419" i="7" s="1"/>
  <c r="AA284" i="7"/>
  <c r="AA419" i="7" s="1"/>
  <c r="U284" i="7"/>
  <c r="U419" i="7" s="1"/>
  <c r="AG284" i="7"/>
  <c r="AG419" i="7" s="1"/>
  <c r="AJ284" i="7"/>
  <c r="AJ419" i="7" s="1"/>
  <c r="L284" i="7"/>
  <c r="L419" i="7" s="1"/>
  <c r="W284" i="7"/>
  <c r="W419" i="7" s="1"/>
  <c r="D81" i="8"/>
  <c r="F81" i="8"/>
  <c r="B203" i="7"/>
  <c r="E203" i="7" s="1"/>
  <c r="B229" i="7" s="1"/>
  <c r="C229" i="7" s="1"/>
  <c r="G81" i="8"/>
  <c r="B81" i="8"/>
  <c r="D203" i="7"/>
  <c r="H380" i="22"/>
  <c r="C81" i="8"/>
  <c r="I81" i="8"/>
  <c r="C203" i="7"/>
  <c r="H81" i="8"/>
  <c r="J81" i="8"/>
  <c r="E81" i="8"/>
  <c r="B326" i="7"/>
  <c r="C326" i="7"/>
  <c r="G326" i="7"/>
  <c r="E326" i="7"/>
  <c r="L281" i="7"/>
  <c r="L563" i="7" s="1"/>
  <c r="T281" i="7"/>
  <c r="T563" i="7" s="1"/>
  <c r="AC281" i="7"/>
  <c r="AC563" i="7" s="1"/>
  <c r="AK281" i="7"/>
  <c r="AK563" i="7" s="1"/>
  <c r="I281" i="7"/>
  <c r="I563" i="7" s="1"/>
  <c r="X281" i="7"/>
  <c r="X563" i="7" s="1"/>
  <c r="AF281" i="7"/>
  <c r="AF563" i="7" s="1"/>
  <c r="D281" i="7"/>
  <c r="D563" i="7" s="1"/>
  <c r="M281" i="7"/>
  <c r="M563" i="7" s="1"/>
  <c r="U281" i="7"/>
  <c r="U563" i="7" s="1"/>
  <c r="H281" i="7"/>
  <c r="H563" i="7" s="1"/>
  <c r="P281" i="7"/>
  <c r="P563" i="7" s="1"/>
  <c r="AG281" i="7"/>
  <c r="AG563" i="7" s="1"/>
  <c r="E281" i="7"/>
  <c r="E563" i="7" s="1"/>
  <c r="AB281" i="7"/>
  <c r="AB563" i="7" s="1"/>
  <c r="AJ281" i="7"/>
  <c r="AJ563" i="7" s="1"/>
  <c r="Q281" i="7"/>
  <c r="Q563" i="7" s="1"/>
  <c r="Y281" i="7"/>
  <c r="Y563" i="7" s="1"/>
  <c r="C281" i="7"/>
  <c r="C563" i="7" s="1"/>
  <c r="S281" i="7"/>
  <c r="S563" i="7" s="1"/>
  <c r="K281" i="7"/>
  <c r="K563" i="7" s="1"/>
  <c r="O281" i="7"/>
  <c r="O563" i="7" s="1"/>
  <c r="W281" i="7"/>
  <c r="W563" i="7" s="1"/>
  <c r="AE281" i="7"/>
  <c r="AE563" i="7" s="1"/>
  <c r="G281" i="7"/>
  <c r="G563" i="7" s="1"/>
  <c r="AI281" i="7"/>
  <c r="AI563" i="7" s="1"/>
  <c r="AA281" i="7"/>
  <c r="AA563" i="7" s="1"/>
  <c r="B610" i="7"/>
  <c r="B886" i="7" s="1"/>
  <c r="B98" i="12" s="1"/>
  <c r="B110" i="13" s="1"/>
  <c r="B61" i="16" s="1"/>
  <c r="B589" i="7"/>
  <c r="B860" i="7" s="1"/>
  <c r="G589" i="7"/>
  <c r="G860" i="7" s="1"/>
  <c r="G610" i="7"/>
  <c r="G886" i="7" s="1"/>
  <c r="B608" i="7"/>
  <c r="B884" i="7" s="1"/>
  <c r="B96" i="12" s="1"/>
  <c r="B108" i="13" s="1"/>
  <c r="B59" i="16" s="1"/>
  <c r="B587" i="7"/>
  <c r="B858" i="7" s="1"/>
  <c r="F608" i="7"/>
  <c r="F884" i="7" s="1"/>
  <c r="F587" i="7"/>
  <c r="F858" i="7" s="1"/>
  <c r="T278" i="7"/>
  <c r="T345" i="7" s="1"/>
  <c r="AB278" i="7"/>
  <c r="AB345" i="7" s="1"/>
  <c r="I278" i="7"/>
  <c r="I345" i="7" s="1"/>
  <c r="Q278" i="7"/>
  <c r="Q345" i="7" s="1"/>
  <c r="D278" i="7"/>
  <c r="D345" i="7" s="1"/>
  <c r="L278" i="7"/>
  <c r="L345" i="7" s="1"/>
  <c r="AC278" i="7"/>
  <c r="AC345" i="7" s="1"/>
  <c r="AK278" i="7"/>
  <c r="AK345" i="7" s="1"/>
  <c r="X278" i="7"/>
  <c r="X345" i="7" s="1"/>
  <c r="AF278" i="7"/>
  <c r="AF345" i="7" s="1"/>
  <c r="M278" i="7"/>
  <c r="M345" i="7" s="1"/>
  <c r="U278" i="7"/>
  <c r="U345" i="7" s="1"/>
  <c r="AJ278" i="7"/>
  <c r="AJ345" i="7" s="1"/>
  <c r="H278" i="7"/>
  <c r="H345" i="7" s="1"/>
  <c r="P278" i="7"/>
  <c r="P345" i="7" s="1"/>
  <c r="Y278" i="7"/>
  <c r="Y345" i="7" s="1"/>
  <c r="AG278" i="7"/>
  <c r="AG345" i="7" s="1"/>
  <c r="E278" i="7"/>
  <c r="E345" i="7" s="1"/>
  <c r="AE278" i="7"/>
  <c r="AE345" i="7" s="1"/>
  <c r="C278" i="7"/>
  <c r="C345" i="7" s="1"/>
  <c r="O278" i="7"/>
  <c r="O345" i="7" s="1"/>
  <c r="E364" i="7" s="1"/>
  <c r="AI278" i="7"/>
  <c r="AI345" i="7" s="1"/>
  <c r="G278" i="7"/>
  <c r="G345" i="7" s="1"/>
  <c r="C364" i="7" s="1"/>
  <c r="S278" i="7"/>
  <c r="S345" i="7" s="1"/>
  <c r="AA278" i="7"/>
  <c r="AA345" i="7" s="1"/>
  <c r="K278" i="7"/>
  <c r="K345" i="7" s="1"/>
  <c r="W278" i="7"/>
  <c r="W345" i="7" s="1"/>
  <c r="H610" i="7"/>
  <c r="H886" i="7" s="1"/>
  <c r="H589" i="7"/>
  <c r="H860" i="7" s="1"/>
  <c r="D610" i="7"/>
  <c r="D886" i="7" s="1"/>
  <c r="D589" i="7"/>
  <c r="D860" i="7" s="1"/>
  <c r="J608" i="7"/>
  <c r="J884" i="7" s="1"/>
  <c r="J587" i="7"/>
  <c r="J858" i="7" s="1"/>
  <c r="I587" i="7"/>
  <c r="I858" i="7" s="1"/>
  <c r="I608" i="7"/>
  <c r="I884" i="7" s="1"/>
  <c r="D608" i="7"/>
  <c r="D884" i="7" s="1"/>
  <c r="D587" i="7"/>
  <c r="D858" i="7" s="1"/>
  <c r="C589" i="7"/>
  <c r="C860" i="7" s="1"/>
  <c r="C610" i="7"/>
  <c r="C886" i="7" s="1"/>
  <c r="F610" i="7"/>
  <c r="F886" i="7" s="1"/>
  <c r="F589" i="7"/>
  <c r="F860" i="7" s="1"/>
  <c r="I610" i="7"/>
  <c r="I886" i="7" s="1"/>
  <c r="I589" i="7"/>
  <c r="I860" i="7" s="1"/>
  <c r="H608" i="7"/>
  <c r="H884" i="7" s="1"/>
  <c r="H587" i="7"/>
  <c r="H858" i="7" s="1"/>
  <c r="G587" i="7"/>
  <c r="G858" i="7" s="1"/>
  <c r="G608" i="7"/>
  <c r="G884" i="7" s="1"/>
  <c r="AJ275" i="7"/>
  <c r="AJ344" i="7" s="1"/>
  <c r="H275" i="7"/>
  <c r="H344" i="7" s="1"/>
  <c r="Y275" i="7"/>
  <c r="Y344" i="7" s="1"/>
  <c r="AG275" i="7"/>
  <c r="AG344" i="7" s="1"/>
  <c r="T275" i="7"/>
  <c r="T344" i="7" s="1"/>
  <c r="AB275" i="7"/>
  <c r="AB344" i="7" s="1"/>
  <c r="AK275" i="7"/>
  <c r="AK344" i="7" s="1"/>
  <c r="I275" i="7"/>
  <c r="I344" i="7" s="1"/>
  <c r="Q275" i="7"/>
  <c r="Q344" i="7" s="1"/>
  <c r="AF275" i="7"/>
  <c r="AF344" i="7" s="1"/>
  <c r="D275" i="7"/>
  <c r="D344" i="7" s="1"/>
  <c r="L275" i="7"/>
  <c r="L344" i="7" s="1"/>
  <c r="U275" i="7"/>
  <c r="U344" i="7" s="1"/>
  <c r="AC275" i="7"/>
  <c r="AC344" i="7" s="1"/>
  <c r="P275" i="7"/>
  <c r="P344" i="7" s="1"/>
  <c r="X275" i="7"/>
  <c r="X344" i="7" s="1"/>
  <c r="E275" i="7"/>
  <c r="E344" i="7" s="1"/>
  <c r="M275" i="7"/>
  <c r="M344" i="7" s="1"/>
  <c r="AA275" i="7"/>
  <c r="AA344" i="7" s="1"/>
  <c r="AI275" i="7"/>
  <c r="AI344" i="7" s="1"/>
  <c r="S275" i="7"/>
  <c r="S344" i="7" s="1"/>
  <c r="F363" i="7" s="1"/>
  <c r="F451" i="7" s="1"/>
  <c r="AE275" i="7"/>
  <c r="AE344" i="7" s="1"/>
  <c r="K275" i="7"/>
  <c r="K344" i="7" s="1"/>
  <c r="O275" i="7"/>
  <c r="O344" i="7" s="1"/>
  <c r="W275" i="7"/>
  <c r="W344" i="7" s="1"/>
  <c r="G363" i="7" s="1"/>
  <c r="G451" i="7" s="1"/>
  <c r="G275" i="7"/>
  <c r="G344" i="7" s="1"/>
  <c r="C275" i="7"/>
  <c r="C344" i="7" s="1"/>
  <c r="J610" i="7"/>
  <c r="J886" i="7" s="1"/>
  <c r="J589" i="7"/>
  <c r="J860" i="7" s="1"/>
  <c r="E610" i="7"/>
  <c r="E886" i="7" s="1"/>
  <c r="E589" i="7"/>
  <c r="E860" i="7" s="1"/>
  <c r="C587" i="7"/>
  <c r="C858" i="7" s="1"/>
  <c r="C608" i="7"/>
  <c r="C884" i="7" s="1"/>
  <c r="E587" i="7"/>
  <c r="E858" i="7" s="1"/>
  <c r="E608" i="7"/>
  <c r="E884" i="7" s="1"/>
  <c r="F714" i="22"/>
  <c r="I874" i="22"/>
  <c r="G714" i="22"/>
  <c r="J810" i="22"/>
  <c r="G778" i="22"/>
  <c r="E311" i="22"/>
  <c r="G311" i="22"/>
  <c r="J8" i="23"/>
  <c r="J40" i="23" s="1"/>
  <c r="F47" i="22"/>
  <c r="F343" i="22"/>
  <c r="J733" i="22"/>
  <c r="J746" i="22"/>
  <c r="J797" i="22"/>
  <c r="J734" i="22"/>
  <c r="I343" i="22"/>
  <c r="H247" i="22"/>
  <c r="H343" i="22"/>
  <c r="K27" i="23"/>
  <c r="F638" i="22"/>
  <c r="K29" i="23"/>
  <c r="F702" i="22"/>
  <c r="G702" i="22"/>
  <c r="K11" i="23"/>
  <c r="F140" i="22"/>
  <c r="F778" i="22"/>
  <c r="H311" i="22"/>
  <c r="E247" i="22"/>
  <c r="F685" i="22"/>
  <c r="C56" i="10"/>
  <c r="H56" i="10" s="1"/>
  <c r="L68" i="10" s="1"/>
  <c r="B56" i="10"/>
  <c r="F650" i="22"/>
  <c r="G247" i="22"/>
  <c r="E685" i="22"/>
  <c r="H279" i="22"/>
  <c r="F48" i="22"/>
  <c r="J874" i="22"/>
  <c r="B29" i="14"/>
  <c r="D73" i="8"/>
  <c r="G73" i="8"/>
  <c r="J73" i="8"/>
  <c r="D86" i="9"/>
  <c r="D103" i="9" s="1"/>
  <c r="D120" i="9" s="1"/>
  <c r="B308" i="7"/>
  <c r="G86" i="9"/>
  <c r="G103" i="9" s="1"/>
  <c r="G120" i="9" s="1"/>
  <c r="J86" i="9"/>
  <c r="J103" i="9" s="1"/>
  <c r="J120" i="9" s="1"/>
  <c r="C73" i="8"/>
  <c r="F73" i="8"/>
  <c r="I73" i="8"/>
  <c r="D161" i="7"/>
  <c r="C86" i="9"/>
  <c r="C103" i="9" s="1"/>
  <c r="C120" i="9" s="1"/>
  <c r="F86" i="9"/>
  <c r="F103" i="9" s="1"/>
  <c r="F120" i="9" s="1"/>
  <c r="I86" i="9"/>
  <c r="I103" i="9" s="1"/>
  <c r="I120" i="9" s="1"/>
  <c r="B73" i="8"/>
  <c r="E73" i="8"/>
  <c r="C161" i="7"/>
  <c r="D128" i="22"/>
  <c r="E128" i="22" s="1"/>
  <c r="H73" i="8"/>
  <c r="B86" i="9"/>
  <c r="B103" i="9" s="1"/>
  <c r="B120" i="9" s="1"/>
  <c r="E86" i="9"/>
  <c r="E103" i="9" s="1"/>
  <c r="E120" i="9" s="1"/>
  <c r="H86" i="9"/>
  <c r="H103" i="9" s="1"/>
  <c r="H120" i="9" s="1"/>
  <c r="B161" i="7"/>
  <c r="E161" i="7" s="1"/>
  <c r="B221" i="7" s="1"/>
  <c r="C221" i="7" s="1"/>
  <c r="C476" i="22"/>
  <c r="D84" i="8"/>
  <c r="J84" i="8"/>
  <c r="C700" i="7"/>
  <c r="I84" i="8"/>
  <c r="G84" i="8"/>
  <c r="F84" i="8"/>
  <c r="B700" i="7"/>
  <c r="E700" i="7" s="1"/>
  <c r="B736" i="7" s="1"/>
  <c r="C736" i="7" s="1"/>
  <c r="E84" i="8"/>
  <c r="C84" i="8"/>
  <c r="B84" i="8"/>
  <c r="D736" i="7"/>
  <c r="H84" i="8"/>
  <c r="B28" i="10"/>
  <c r="B40" i="10" s="1"/>
  <c r="D56" i="10" s="1"/>
  <c r="E56" i="10" s="1"/>
  <c r="G56" i="10" s="1"/>
  <c r="K68" i="10" s="1"/>
  <c r="D700" i="7"/>
  <c r="F475" i="7"/>
  <c r="J475" i="7"/>
  <c r="G475" i="7"/>
  <c r="G485" i="7" s="1"/>
  <c r="B475" i="7"/>
  <c r="I475" i="7"/>
  <c r="C475" i="7"/>
  <c r="H475" i="7"/>
  <c r="E475" i="7"/>
  <c r="D475" i="7"/>
  <c r="D547" i="22"/>
  <c r="E650" i="22"/>
  <c r="E637" i="22"/>
  <c r="E638" i="22"/>
  <c r="G607" i="22"/>
  <c r="E607" i="22"/>
  <c r="D52" i="4"/>
  <c r="C53" i="4"/>
  <c r="B83" i="4"/>
  <c r="E276" i="22"/>
  <c r="E274" i="22"/>
  <c r="E272" i="22"/>
  <c r="G270" i="22"/>
  <c r="E268" i="22"/>
  <c r="G266" i="22"/>
  <c r="E264" i="22"/>
  <c r="G262" i="22"/>
  <c r="E260" i="22"/>
  <c r="G258" i="22"/>
  <c r="E256" i="22"/>
  <c r="G275" i="22"/>
  <c r="G274" i="22"/>
  <c r="G273" i="22"/>
  <c r="E271" i="22"/>
  <c r="E263" i="22"/>
  <c r="E262" i="22"/>
  <c r="G261" i="22"/>
  <c r="E259" i="22"/>
  <c r="E273" i="22"/>
  <c r="G272" i="22"/>
  <c r="E270" i="22"/>
  <c r="G269" i="22"/>
  <c r="E267" i="22"/>
  <c r="E261" i="22"/>
  <c r="G260" i="22"/>
  <c r="E258" i="22"/>
  <c r="G257" i="22"/>
  <c r="E255" i="22"/>
  <c r="G277" i="22"/>
  <c r="E275" i="22"/>
  <c r="G271" i="22"/>
  <c r="E269" i="22"/>
  <c r="G268" i="22"/>
  <c r="E266" i="22"/>
  <c r="G265" i="22"/>
  <c r="G259" i="22"/>
  <c r="E257" i="22"/>
  <c r="G256" i="22"/>
  <c r="E277" i="22"/>
  <c r="G276" i="22"/>
  <c r="G267" i="22"/>
  <c r="E265" i="22"/>
  <c r="G264" i="22"/>
  <c r="G263" i="22"/>
  <c r="G255" i="22"/>
  <c r="G746" i="22"/>
  <c r="G745" i="22"/>
  <c r="I746" i="22"/>
  <c r="G744" i="22"/>
  <c r="I733" i="22"/>
  <c r="I734" i="22"/>
  <c r="G734" i="22"/>
  <c r="G733" i="22"/>
  <c r="H435" i="22"/>
  <c r="J423" i="22"/>
  <c r="H434" i="22"/>
  <c r="H424" i="22"/>
  <c r="H423" i="22"/>
  <c r="J424" i="22"/>
  <c r="I810" i="22"/>
  <c r="G808" i="22"/>
  <c r="G810" i="22"/>
  <c r="I798" i="22"/>
  <c r="I797" i="22"/>
  <c r="G798" i="22"/>
  <c r="G809" i="22"/>
  <c r="G797" i="22"/>
  <c r="H466" i="22"/>
  <c r="H456" i="22"/>
  <c r="J455" i="22"/>
  <c r="H467" i="22"/>
  <c r="H455" i="22"/>
  <c r="J456" i="22"/>
  <c r="F485" i="7" l="1"/>
  <c r="C363" i="7"/>
  <c r="C451" i="7" s="1"/>
  <c r="C485" i="7" s="1"/>
  <c r="I363" i="7"/>
  <c r="I451" i="7" s="1"/>
  <c r="I485" i="7" s="1"/>
  <c r="D364" i="7"/>
  <c r="B438" i="7"/>
  <c r="D438" i="7"/>
  <c r="I438" i="7"/>
  <c r="E437" i="7"/>
  <c r="G34" i="8"/>
  <c r="G113" i="8" s="1"/>
  <c r="G135" i="9" s="1"/>
  <c r="C36" i="8"/>
  <c r="C115" i="8" s="1"/>
  <c r="C137" i="9" s="1"/>
  <c r="E36" i="8"/>
  <c r="E115" i="8" s="1"/>
  <c r="E137" i="9" s="1"/>
  <c r="B363" i="7"/>
  <c r="B451" i="7" s="1"/>
  <c r="D363" i="7"/>
  <c r="D451" i="7" s="1"/>
  <c r="D485" i="7" s="1"/>
  <c r="H363" i="7"/>
  <c r="H451" i="7" s="1"/>
  <c r="D36" i="8"/>
  <c r="D115" i="8" s="1"/>
  <c r="D137" i="9" s="1"/>
  <c r="C438" i="7"/>
  <c r="I437" i="7"/>
  <c r="H485" i="7"/>
  <c r="H364" i="7"/>
  <c r="E438" i="7"/>
  <c r="I615" i="7"/>
  <c r="I891" i="7" s="1"/>
  <c r="I594" i="7"/>
  <c r="I865" i="7" s="1"/>
  <c r="I631" i="7"/>
  <c r="I908" i="7" s="1"/>
  <c r="G594" i="7"/>
  <c r="G865" i="7" s="1"/>
  <c r="G631" i="7"/>
  <c r="G908" i="7" s="1"/>
  <c r="G615" i="7"/>
  <c r="G891" i="7" s="1"/>
  <c r="C437" i="7"/>
  <c r="C502" i="7" s="1"/>
  <c r="B437" i="7"/>
  <c r="D630" i="7"/>
  <c r="D907" i="7" s="1"/>
  <c r="D614" i="7"/>
  <c r="D890" i="7" s="1"/>
  <c r="D593" i="7"/>
  <c r="D864" i="7" s="1"/>
  <c r="C593" i="7"/>
  <c r="C864" i="7" s="1"/>
  <c r="C630" i="7"/>
  <c r="C907" i="7" s="1"/>
  <c r="C614" i="7"/>
  <c r="C890" i="7" s="1"/>
  <c r="B749" i="7"/>
  <c r="G364" i="7"/>
  <c r="G36" i="8"/>
  <c r="G115" i="8" s="1"/>
  <c r="G137" i="9" s="1"/>
  <c r="C631" i="7"/>
  <c r="C908" i="7" s="1"/>
  <c r="C615" i="7"/>
  <c r="C891" i="7" s="1"/>
  <c r="C594" i="7"/>
  <c r="C865" i="7" s="1"/>
  <c r="B631" i="7"/>
  <c r="B908" i="7" s="1"/>
  <c r="B123" i="12" s="1"/>
  <c r="B129" i="13" s="1"/>
  <c r="B104" i="16" s="1"/>
  <c r="B615" i="7"/>
  <c r="B891" i="7" s="1"/>
  <c r="B103" i="12" s="1"/>
  <c r="B115" i="13" s="1"/>
  <c r="B66" i="16" s="1"/>
  <c r="B594" i="7"/>
  <c r="B865" i="7" s="1"/>
  <c r="H437" i="7"/>
  <c r="J437" i="7"/>
  <c r="G614" i="7"/>
  <c r="G890" i="7" s="1"/>
  <c r="G593" i="7"/>
  <c r="G864" i="7" s="1"/>
  <c r="G630" i="7"/>
  <c r="G907" i="7" s="1"/>
  <c r="H630" i="7"/>
  <c r="H907" i="7" s="1"/>
  <c r="H614" i="7"/>
  <c r="H890" i="7" s="1"/>
  <c r="H593" i="7"/>
  <c r="H864" i="7" s="1"/>
  <c r="G438" i="7"/>
  <c r="F438" i="7"/>
  <c r="J594" i="7"/>
  <c r="J865" i="7" s="1"/>
  <c r="J631" i="7"/>
  <c r="J908" i="7" s="1"/>
  <c r="J615" i="7"/>
  <c r="J891" i="7" s="1"/>
  <c r="H615" i="7"/>
  <c r="H891" i="7" s="1"/>
  <c r="H594" i="7"/>
  <c r="H865" i="7" s="1"/>
  <c r="H631" i="7"/>
  <c r="H908" i="7" s="1"/>
  <c r="F594" i="7"/>
  <c r="F865" i="7" s="1"/>
  <c r="F631" i="7"/>
  <c r="F908" i="7" s="1"/>
  <c r="F615" i="7"/>
  <c r="F891" i="7" s="1"/>
  <c r="F437" i="7"/>
  <c r="F502" i="7" s="1"/>
  <c r="G437" i="7"/>
  <c r="G502" i="7" s="1"/>
  <c r="F630" i="7"/>
  <c r="F907" i="7" s="1"/>
  <c r="F614" i="7"/>
  <c r="F890" i="7" s="1"/>
  <c r="F593" i="7"/>
  <c r="F864" i="7" s="1"/>
  <c r="J614" i="7"/>
  <c r="J890" i="7" s="1"/>
  <c r="J593" i="7"/>
  <c r="J864" i="7" s="1"/>
  <c r="J630" i="7"/>
  <c r="J907" i="7" s="1"/>
  <c r="H502" i="7"/>
  <c r="K40" i="23"/>
  <c r="I380" i="22"/>
  <c r="H392" i="22"/>
  <c r="H403" i="22"/>
  <c r="J391" i="22"/>
  <c r="J392" i="22"/>
  <c r="H391" i="22"/>
  <c r="H402" i="22"/>
  <c r="W285" i="7"/>
  <c r="W567" i="7" s="1"/>
  <c r="S285" i="7"/>
  <c r="S567" i="7" s="1"/>
  <c r="C285" i="7"/>
  <c r="C567" i="7" s="1"/>
  <c r="AE285" i="7"/>
  <c r="AE567" i="7" s="1"/>
  <c r="D285" i="7"/>
  <c r="D567" i="7" s="1"/>
  <c r="P285" i="7"/>
  <c r="P567" i="7" s="1"/>
  <c r="AJ285" i="7"/>
  <c r="AJ567" i="7" s="1"/>
  <c r="T285" i="7"/>
  <c r="T567" i="7" s="1"/>
  <c r="G285" i="7"/>
  <c r="G567" i="7" s="1"/>
  <c r="M285" i="7"/>
  <c r="M567" i="7" s="1"/>
  <c r="AG285" i="7"/>
  <c r="AG567" i="7" s="1"/>
  <c r="Q285" i="7"/>
  <c r="Q567" i="7" s="1"/>
  <c r="AC285" i="7"/>
  <c r="AC567" i="7" s="1"/>
  <c r="X285" i="7"/>
  <c r="X567" i="7" s="1"/>
  <c r="U285" i="7"/>
  <c r="U567" i="7" s="1"/>
  <c r="E285" i="7"/>
  <c r="E567" i="7" s="1"/>
  <c r="Y285" i="7"/>
  <c r="Y567" i="7" s="1"/>
  <c r="AK285" i="7"/>
  <c r="AK567" i="7" s="1"/>
  <c r="AA285" i="7"/>
  <c r="AA567" i="7" s="1"/>
  <c r="AI285" i="7"/>
  <c r="AI567" i="7" s="1"/>
  <c r="AF285" i="7"/>
  <c r="AF567" i="7" s="1"/>
  <c r="H285" i="7"/>
  <c r="H567" i="7" s="1"/>
  <c r="AB285" i="7"/>
  <c r="AB567" i="7" s="1"/>
  <c r="L285" i="7"/>
  <c r="L567" i="7" s="1"/>
  <c r="I285" i="7"/>
  <c r="I567" i="7" s="1"/>
  <c r="K285" i="7"/>
  <c r="K567" i="7" s="1"/>
  <c r="O285" i="7"/>
  <c r="O567" i="7" s="1"/>
  <c r="H438" i="7"/>
  <c r="J438" i="7"/>
  <c r="E631" i="7"/>
  <c r="E908" i="7" s="1"/>
  <c r="E615" i="7"/>
  <c r="E891" i="7" s="1"/>
  <c r="E594" i="7"/>
  <c r="E865" i="7" s="1"/>
  <c r="D631" i="7"/>
  <c r="D908" i="7" s="1"/>
  <c r="D615" i="7"/>
  <c r="D891" i="7" s="1"/>
  <c r="D594" i="7"/>
  <c r="D865" i="7" s="1"/>
  <c r="D437" i="7"/>
  <c r="B630" i="7"/>
  <c r="B907" i="7" s="1"/>
  <c r="B122" i="12" s="1"/>
  <c r="B128" i="13" s="1"/>
  <c r="B103" i="16" s="1"/>
  <c r="B614" i="7"/>
  <c r="B890" i="7" s="1"/>
  <c r="B102" i="12" s="1"/>
  <c r="B114" i="13" s="1"/>
  <c r="B65" i="16" s="1"/>
  <c r="B593" i="7"/>
  <c r="B864" i="7" s="1"/>
  <c r="I593" i="7"/>
  <c r="I864" i="7" s="1"/>
  <c r="I630" i="7"/>
  <c r="I907" i="7" s="1"/>
  <c r="I614" i="7"/>
  <c r="I890" i="7" s="1"/>
  <c r="E630" i="7"/>
  <c r="E907" i="7" s="1"/>
  <c r="E614" i="7"/>
  <c r="E890" i="7" s="1"/>
  <c r="E593" i="7"/>
  <c r="E864" i="7" s="1"/>
  <c r="B485" i="7"/>
  <c r="B502" i="7" s="1"/>
  <c r="C34" i="8"/>
  <c r="C113" i="8" s="1"/>
  <c r="C135" i="9" s="1"/>
  <c r="E363" i="7"/>
  <c r="E451" i="7" s="1"/>
  <c r="E485" i="7" s="1"/>
  <c r="E502" i="7" s="1"/>
  <c r="J363" i="7"/>
  <c r="J451" i="7" s="1"/>
  <c r="J485" i="7" s="1"/>
  <c r="J502" i="7" s="1"/>
  <c r="F364" i="7"/>
  <c r="B364" i="7"/>
  <c r="I364" i="7"/>
  <c r="H34" i="8"/>
  <c r="H113" i="8" s="1"/>
  <c r="H135" i="9" s="1"/>
  <c r="F36" i="8"/>
  <c r="F115" i="8" s="1"/>
  <c r="F137" i="9" s="1"/>
  <c r="J364" i="7"/>
  <c r="AB277" i="7"/>
  <c r="AB299" i="7" s="1"/>
  <c r="AJ277" i="7"/>
  <c r="AJ299" i="7" s="1"/>
  <c r="Q277" i="7"/>
  <c r="Q299" i="7" s="1"/>
  <c r="Y277" i="7"/>
  <c r="Y299" i="7" s="1"/>
  <c r="L277" i="7"/>
  <c r="L299" i="7" s="1"/>
  <c r="T277" i="7"/>
  <c r="T299" i="7" s="1"/>
  <c r="AC277" i="7"/>
  <c r="AC299" i="7" s="1"/>
  <c r="AK277" i="7"/>
  <c r="AK299" i="7" s="1"/>
  <c r="I277" i="7"/>
  <c r="I299" i="7" s="1"/>
  <c r="X277" i="7"/>
  <c r="X299" i="7" s="1"/>
  <c r="AF277" i="7"/>
  <c r="AF299" i="7" s="1"/>
  <c r="D277" i="7"/>
  <c r="D299" i="7" s="1"/>
  <c r="M277" i="7"/>
  <c r="M299" i="7" s="1"/>
  <c r="U277" i="7"/>
  <c r="U299" i="7" s="1"/>
  <c r="H277" i="7"/>
  <c r="H299" i="7" s="1"/>
  <c r="P277" i="7"/>
  <c r="P299" i="7" s="1"/>
  <c r="AG277" i="7"/>
  <c r="AG299" i="7" s="1"/>
  <c r="E277" i="7"/>
  <c r="E299" i="7" s="1"/>
  <c r="S277" i="7"/>
  <c r="S299" i="7" s="1"/>
  <c r="C277" i="7"/>
  <c r="C299" i="7" s="1"/>
  <c r="AA277" i="7"/>
  <c r="AA299" i="7" s="1"/>
  <c r="K277" i="7"/>
  <c r="K299" i="7" s="1"/>
  <c r="AE277" i="7"/>
  <c r="AE299" i="7" s="1"/>
  <c r="AI277" i="7"/>
  <c r="AI299" i="7" s="1"/>
  <c r="G277" i="7"/>
  <c r="G299" i="7" s="1"/>
  <c r="O277" i="7"/>
  <c r="O299" i="7" s="1"/>
  <c r="W277" i="7"/>
  <c r="W299" i="7" s="1"/>
  <c r="J36" i="8"/>
  <c r="J115" i="8" s="1"/>
  <c r="J137" i="9" s="1"/>
  <c r="D34" i="8"/>
  <c r="D113" i="8" s="1"/>
  <c r="D135" i="9" s="1"/>
  <c r="J34" i="8"/>
  <c r="J113" i="8" s="1"/>
  <c r="J135" i="9" s="1"/>
  <c r="H36" i="8"/>
  <c r="H115" i="8" s="1"/>
  <c r="H137" i="9" s="1"/>
  <c r="I588" i="7"/>
  <c r="I859" i="7" s="1"/>
  <c r="I609" i="7"/>
  <c r="I885" i="7" s="1"/>
  <c r="F588" i="7"/>
  <c r="F859" i="7" s="1"/>
  <c r="F609" i="7"/>
  <c r="F885" i="7" s="1"/>
  <c r="I36" i="8"/>
  <c r="I115" i="8" s="1"/>
  <c r="I137" i="9" s="1"/>
  <c r="F34" i="8"/>
  <c r="F113" i="8" s="1"/>
  <c r="F135" i="9" s="1"/>
  <c r="H588" i="7"/>
  <c r="H859" i="7" s="1"/>
  <c r="H609" i="7"/>
  <c r="H885" i="7" s="1"/>
  <c r="G609" i="7"/>
  <c r="G885" i="7" s="1"/>
  <c r="G588" i="7"/>
  <c r="G859" i="7" s="1"/>
  <c r="B588" i="7"/>
  <c r="B859" i="7" s="1"/>
  <c r="B609" i="7"/>
  <c r="B885" i="7" s="1"/>
  <c r="B97" i="12" s="1"/>
  <c r="B109" i="13" s="1"/>
  <c r="B60" i="16" s="1"/>
  <c r="J609" i="7"/>
  <c r="J885" i="7" s="1"/>
  <c r="J588" i="7"/>
  <c r="J859" i="7" s="1"/>
  <c r="E609" i="7"/>
  <c r="E885" i="7" s="1"/>
  <c r="E588" i="7"/>
  <c r="E859" i="7" s="1"/>
  <c r="E34" i="8"/>
  <c r="E113" i="8" s="1"/>
  <c r="E135" i="9" s="1"/>
  <c r="I34" i="8"/>
  <c r="I113" i="8" s="1"/>
  <c r="I135" i="9" s="1"/>
  <c r="B67" i="12"/>
  <c r="B85" i="13" s="1"/>
  <c r="B21" i="16" s="1"/>
  <c r="B34" i="8"/>
  <c r="B113" i="8" s="1"/>
  <c r="B135" i="9" s="1"/>
  <c r="B69" i="12"/>
  <c r="B87" i="13" s="1"/>
  <c r="B23" i="16" s="1"/>
  <c r="B36" i="8"/>
  <c r="B115" i="8" s="1"/>
  <c r="B137" i="9" s="1"/>
  <c r="C588" i="7"/>
  <c r="C859" i="7" s="1"/>
  <c r="C609" i="7"/>
  <c r="C885" i="7" s="1"/>
  <c r="D609" i="7"/>
  <c r="D885" i="7" s="1"/>
  <c r="D588" i="7"/>
  <c r="D859" i="7" s="1"/>
  <c r="G812" i="7"/>
  <c r="AE812" i="7"/>
  <c r="C812" i="7"/>
  <c r="AF812" i="7"/>
  <c r="D812" i="7"/>
  <c r="AG812" i="7"/>
  <c r="E812" i="7"/>
  <c r="M812" i="7"/>
  <c r="O812" i="7"/>
  <c r="P812" i="7"/>
  <c r="X812" i="7"/>
  <c r="Q812" i="7"/>
  <c r="Y812" i="7"/>
  <c r="AI812" i="7"/>
  <c r="AK812" i="7"/>
  <c r="I812" i="7"/>
  <c r="W812" i="7"/>
  <c r="K812" i="7"/>
  <c r="S812" i="7"/>
  <c r="L812" i="7"/>
  <c r="T812" i="7"/>
  <c r="U812" i="7"/>
  <c r="AC812" i="7"/>
  <c r="AA812" i="7"/>
  <c r="AB812" i="7"/>
  <c r="AJ812" i="7"/>
  <c r="H812" i="7"/>
  <c r="G279" i="22"/>
  <c r="E279" i="22"/>
  <c r="C44" i="14"/>
  <c r="B44" i="14"/>
  <c r="B63" i="14" s="1"/>
  <c r="E44" i="14"/>
  <c r="D44" i="14"/>
  <c r="E140" i="22"/>
  <c r="E139" i="22"/>
  <c r="B466" i="7"/>
  <c r="C466" i="7"/>
  <c r="D466" i="7"/>
  <c r="D487" i="22"/>
  <c r="C54" i="4"/>
  <c r="D53" i="4"/>
  <c r="B84" i="4"/>
  <c r="E543" i="7"/>
  <c r="E565" i="7" s="1"/>
  <c r="E532" i="7"/>
  <c r="E558" i="7" s="1"/>
  <c r="C532" i="7"/>
  <c r="C558" i="7" s="1"/>
  <c r="C522" i="7"/>
  <c r="C557" i="7" s="1"/>
  <c r="E512" i="7"/>
  <c r="E556" i="7" s="1"/>
  <c r="C512" i="7"/>
  <c r="C556" i="7" s="1"/>
  <c r="D532" i="7"/>
  <c r="D558" i="7" s="1"/>
  <c r="E522" i="7"/>
  <c r="E557" i="7" s="1"/>
  <c r="D543" i="7"/>
  <c r="D565" i="7" s="1"/>
  <c r="D522" i="7"/>
  <c r="D557" i="7" s="1"/>
  <c r="D512" i="7"/>
  <c r="D556" i="7" s="1"/>
  <c r="C543" i="7"/>
  <c r="C565" i="7" s="1"/>
  <c r="AC532" i="7"/>
  <c r="AC558" i="7" s="1"/>
  <c r="AA543" i="7"/>
  <c r="AA565" i="7" s="1"/>
  <c r="AB522" i="7"/>
  <c r="AB557" i="7" s="1"/>
  <c r="AA532" i="7"/>
  <c r="AA558" i="7" s="1"/>
  <c r="AA512" i="7"/>
  <c r="AA556" i="7" s="1"/>
  <c r="AB543" i="7"/>
  <c r="AB565" i="7" s="1"/>
  <c r="AC543" i="7"/>
  <c r="AC565" i="7" s="1"/>
  <c r="AA522" i="7"/>
  <c r="AA557" i="7" s="1"/>
  <c r="AB532" i="7"/>
  <c r="AB558" i="7" s="1"/>
  <c r="AB512" i="7"/>
  <c r="AB556" i="7" s="1"/>
  <c r="AC522" i="7"/>
  <c r="AC557" i="7" s="1"/>
  <c r="AC512" i="7"/>
  <c r="AC556" i="7" s="1"/>
  <c r="I502" i="7" l="1"/>
  <c r="AF522" i="7" s="1"/>
  <c r="AF557" i="7" s="1"/>
  <c r="G543" i="7"/>
  <c r="G565" i="7" s="1"/>
  <c r="I543" i="7"/>
  <c r="I565" i="7" s="1"/>
  <c r="G512" i="7"/>
  <c r="G556" i="7" s="1"/>
  <c r="G522" i="7"/>
  <c r="G557" i="7" s="1"/>
  <c r="I532" i="7"/>
  <c r="I558" i="7" s="1"/>
  <c r="G532" i="7"/>
  <c r="G558" i="7" s="1"/>
  <c r="H532" i="7"/>
  <c r="H558" i="7" s="1"/>
  <c r="I522" i="7"/>
  <c r="I557" i="7" s="1"/>
  <c r="H543" i="7"/>
  <c r="H565" i="7" s="1"/>
  <c r="H522" i="7"/>
  <c r="H557" i="7" s="1"/>
  <c r="I512" i="7"/>
  <c r="I556" i="7" s="1"/>
  <c r="H512" i="7"/>
  <c r="H556" i="7" s="1"/>
  <c r="AJ522" i="7"/>
  <c r="AJ557" i="7" s="1"/>
  <c r="AJ512" i="7"/>
  <c r="AJ556" i="7" s="1"/>
  <c r="AK543" i="7"/>
  <c r="AK565" i="7" s="1"/>
  <c r="AJ532" i="7"/>
  <c r="AJ558" i="7" s="1"/>
  <c r="AJ543" i="7"/>
  <c r="AJ565" i="7" s="1"/>
  <c r="AI512" i="7"/>
  <c r="AI556" i="7" s="1"/>
  <c r="AK532" i="7"/>
  <c r="AK558" i="7" s="1"/>
  <c r="AK512" i="7"/>
  <c r="AK556" i="7" s="1"/>
  <c r="AI532" i="7"/>
  <c r="AI558" i="7" s="1"/>
  <c r="AK522" i="7"/>
  <c r="AK557" i="7" s="1"/>
  <c r="AI543" i="7"/>
  <c r="AI565" i="7" s="1"/>
  <c r="AI522" i="7"/>
  <c r="AI557" i="7" s="1"/>
  <c r="D327" i="7"/>
  <c r="D452" i="7" s="1"/>
  <c r="H581" i="7"/>
  <c r="H852" i="7" s="1"/>
  <c r="F55" i="8"/>
  <c r="F120" i="8" s="1"/>
  <c r="F142" i="9" s="1"/>
  <c r="E55" i="8"/>
  <c r="E120" i="8" s="1"/>
  <c r="E142" i="9" s="1"/>
  <c r="F54" i="8"/>
  <c r="F119" i="8" s="1"/>
  <c r="F141" i="9" s="1"/>
  <c r="C55" i="8"/>
  <c r="C120" i="8" s="1"/>
  <c r="C142" i="9" s="1"/>
  <c r="AG532" i="7"/>
  <c r="AG558" i="7" s="1"/>
  <c r="AF543" i="7"/>
  <c r="AF565" i="7" s="1"/>
  <c r="AE543" i="7"/>
  <c r="AE565" i="7" s="1"/>
  <c r="AF512" i="7"/>
  <c r="AF556" i="7" s="1"/>
  <c r="AF532" i="7"/>
  <c r="AF558" i="7" s="1"/>
  <c r="AE512" i="7"/>
  <c r="AE556" i="7" s="1"/>
  <c r="D502" i="7"/>
  <c r="K543" i="7" s="1"/>
  <c r="K565" i="7" s="1"/>
  <c r="I327" i="7"/>
  <c r="I452" i="7" s="1"/>
  <c r="I55" i="8"/>
  <c r="I120" i="8" s="1"/>
  <c r="I142" i="9" s="1"/>
  <c r="E54" i="8"/>
  <c r="E119" i="8" s="1"/>
  <c r="E141" i="9" s="1"/>
  <c r="M532" i="7"/>
  <c r="M558" i="7" s="1"/>
  <c r="K522" i="7"/>
  <c r="K557" i="7" s="1"/>
  <c r="L512" i="7"/>
  <c r="L556" i="7" s="1"/>
  <c r="M543" i="7"/>
  <c r="M565" i="7" s="1"/>
  <c r="U532" i="7"/>
  <c r="U558" i="7" s="1"/>
  <c r="T543" i="7"/>
  <c r="T565" i="7" s="1"/>
  <c r="U522" i="7"/>
  <c r="U557" i="7" s="1"/>
  <c r="S522" i="7"/>
  <c r="S557" i="7" s="1"/>
  <c r="U543" i="7"/>
  <c r="U565" i="7" s="1"/>
  <c r="U512" i="7"/>
  <c r="U556" i="7" s="1"/>
  <c r="T512" i="7"/>
  <c r="T556" i="7" s="1"/>
  <c r="S532" i="7"/>
  <c r="S558" i="7" s="1"/>
  <c r="T522" i="7"/>
  <c r="T557" i="7" s="1"/>
  <c r="S512" i="7"/>
  <c r="S556" i="7" s="1"/>
  <c r="S543" i="7"/>
  <c r="S565" i="7" s="1"/>
  <c r="T532" i="7"/>
  <c r="T558" i="7" s="1"/>
  <c r="O522" i="7"/>
  <c r="O557" i="7" s="1"/>
  <c r="Q512" i="7"/>
  <c r="Q556" i="7" s="1"/>
  <c r="Q532" i="7"/>
  <c r="Q558" i="7" s="1"/>
  <c r="P512" i="7"/>
  <c r="P556" i="7" s="1"/>
  <c r="P532" i="7"/>
  <c r="P558" i="7" s="1"/>
  <c r="Q543" i="7"/>
  <c r="Q565" i="7" s="1"/>
  <c r="O532" i="7"/>
  <c r="O558" i="7" s="1"/>
  <c r="P522" i="7"/>
  <c r="P557" i="7" s="1"/>
  <c r="P543" i="7"/>
  <c r="P565" i="7" s="1"/>
  <c r="O512" i="7"/>
  <c r="O556" i="7" s="1"/>
  <c r="Q522" i="7"/>
  <c r="Q557" i="7" s="1"/>
  <c r="O543" i="7"/>
  <c r="O565" i="7" s="1"/>
  <c r="W512" i="7"/>
  <c r="W556" i="7" s="1"/>
  <c r="Y543" i="7"/>
  <c r="Y565" i="7" s="1"/>
  <c r="Y512" i="7"/>
  <c r="Y556" i="7" s="1"/>
  <c r="W532" i="7"/>
  <c r="W558" i="7" s="1"/>
  <c r="X522" i="7"/>
  <c r="X557" i="7" s="1"/>
  <c r="X532" i="7"/>
  <c r="X558" i="7" s="1"/>
  <c r="W543" i="7"/>
  <c r="W565" i="7" s="1"/>
  <c r="X512" i="7"/>
  <c r="X556" i="7" s="1"/>
  <c r="Y532" i="7"/>
  <c r="Y558" i="7" s="1"/>
  <c r="W522" i="7"/>
  <c r="W557" i="7" s="1"/>
  <c r="Y522" i="7"/>
  <c r="Y557" i="7" s="1"/>
  <c r="X543" i="7"/>
  <c r="X565" i="7" s="1"/>
  <c r="C629" i="7"/>
  <c r="C906" i="7" s="1"/>
  <c r="C613" i="7"/>
  <c r="C889" i="7" s="1"/>
  <c r="C592" i="7"/>
  <c r="C863" i="7" s="1"/>
  <c r="G592" i="7"/>
  <c r="G863" i="7" s="1"/>
  <c r="G629" i="7"/>
  <c r="G906" i="7" s="1"/>
  <c r="G613" i="7"/>
  <c r="G889" i="7" s="1"/>
  <c r="G327" i="7"/>
  <c r="G452" i="7" s="1"/>
  <c r="I54" i="8"/>
  <c r="I119" i="8" s="1"/>
  <c r="I141" i="9" s="1"/>
  <c r="J629" i="7"/>
  <c r="J906" i="7" s="1"/>
  <c r="J613" i="7"/>
  <c r="J889" i="7" s="1"/>
  <c r="J592" i="7"/>
  <c r="J863" i="7" s="1"/>
  <c r="I613" i="7"/>
  <c r="I889" i="7" s="1"/>
  <c r="I592" i="7"/>
  <c r="I863" i="7" s="1"/>
  <c r="I629" i="7"/>
  <c r="I906" i="7" s="1"/>
  <c r="C35" i="8"/>
  <c r="C114" i="8" s="1"/>
  <c r="C136" i="9" s="1"/>
  <c r="H35" i="8"/>
  <c r="H114" i="8" s="1"/>
  <c r="H136" i="9" s="1"/>
  <c r="F35" i="8"/>
  <c r="F114" i="8" s="1"/>
  <c r="F136" i="9" s="1"/>
  <c r="E327" i="7"/>
  <c r="E452" i="7" s="1"/>
  <c r="B54" i="8"/>
  <c r="B119" i="8" s="1"/>
  <c r="B141" i="9" s="1"/>
  <c r="B73" i="12"/>
  <c r="B91" i="13" s="1"/>
  <c r="B27" i="16" s="1"/>
  <c r="D55" i="8"/>
  <c r="D120" i="8" s="1"/>
  <c r="D142" i="9" s="1"/>
  <c r="E592" i="7"/>
  <c r="E863" i="7" s="1"/>
  <c r="E629" i="7"/>
  <c r="E906" i="7" s="1"/>
  <c r="E613" i="7"/>
  <c r="E889" i="7" s="1"/>
  <c r="H613" i="7"/>
  <c r="H889" i="7" s="1"/>
  <c r="H592" i="7"/>
  <c r="H863" i="7" s="1"/>
  <c r="H629" i="7"/>
  <c r="H906" i="7" s="1"/>
  <c r="B613" i="7"/>
  <c r="B889" i="7" s="1"/>
  <c r="B101" i="12" s="1"/>
  <c r="B113" i="13" s="1"/>
  <c r="B64" i="16" s="1"/>
  <c r="B592" i="7"/>
  <c r="B863" i="7" s="1"/>
  <c r="B629" i="7"/>
  <c r="B906" i="7" s="1"/>
  <c r="B121" i="12" s="1"/>
  <c r="B127" i="13" s="1"/>
  <c r="B102" i="16" s="1"/>
  <c r="H55" i="8"/>
  <c r="H120" i="8" s="1"/>
  <c r="H142" i="9" s="1"/>
  <c r="J55" i="8"/>
  <c r="J120" i="8" s="1"/>
  <c r="J142" i="9" s="1"/>
  <c r="H54" i="8"/>
  <c r="H119" i="8" s="1"/>
  <c r="H141" i="9" s="1"/>
  <c r="G54" i="8"/>
  <c r="G119" i="8" s="1"/>
  <c r="G141" i="9" s="1"/>
  <c r="B55" i="8"/>
  <c r="B120" i="8" s="1"/>
  <c r="B142" i="9" s="1"/>
  <c r="B74" i="12"/>
  <c r="B92" i="13" s="1"/>
  <c r="B28" i="16" s="1"/>
  <c r="C54" i="8"/>
  <c r="C119" i="8" s="1"/>
  <c r="C141" i="9" s="1"/>
  <c r="G55" i="8"/>
  <c r="G120" i="8" s="1"/>
  <c r="G142" i="9" s="1"/>
  <c r="D35" i="8"/>
  <c r="D114" i="8" s="1"/>
  <c r="D136" i="9" s="1"/>
  <c r="J35" i="8"/>
  <c r="J114" i="8" s="1"/>
  <c r="J136" i="9" s="1"/>
  <c r="G35" i="8"/>
  <c r="G114" i="8" s="1"/>
  <c r="G136" i="9" s="1"/>
  <c r="D592" i="7"/>
  <c r="D863" i="7" s="1"/>
  <c r="D629" i="7"/>
  <c r="D906" i="7" s="1"/>
  <c r="D613" i="7"/>
  <c r="D889" i="7" s="1"/>
  <c r="F592" i="7"/>
  <c r="F863" i="7" s="1"/>
  <c r="F629" i="7"/>
  <c r="F906" i="7" s="1"/>
  <c r="F613" i="7"/>
  <c r="F889" i="7" s="1"/>
  <c r="J54" i="8"/>
  <c r="J119" i="8" s="1"/>
  <c r="J141" i="9" s="1"/>
  <c r="D54" i="8"/>
  <c r="D119" i="8" s="1"/>
  <c r="D141" i="9" s="1"/>
  <c r="C581" i="7"/>
  <c r="C852" i="7" s="1"/>
  <c r="B583" i="7"/>
  <c r="B854" i="7" s="1"/>
  <c r="J583" i="7"/>
  <c r="J854" i="7" s="1"/>
  <c r="G581" i="7"/>
  <c r="G852" i="7" s="1"/>
  <c r="F583" i="7"/>
  <c r="F854" i="7" s="1"/>
  <c r="J327" i="7"/>
  <c r="J452" i="7" s="1"/>
  <c r="B327" i="7"/>
  <c r="B452" i="7" s="1"/>
  <c r="B581" i="7"/>
  <c r="B852" i="7" s="1"/>
  <c r="J581" i="7"/>
  <c r="J852" i="7" s="1"/>
  <c r="F327" i="7"/>
  <c r="F452" i="7" s="1"/>
  <c r="H583" i="7"/>
  <c r="H854" i="7" s="1"/>
  <c r="E581" i="7"/>
  <c r="E852" i="7" s="1"/>
  <c r="C583" i="7"/>
  <c r="C854" i="7" s="1"/>
  <c r="G583" i="7"/>
  <c r="G854" i="7" s="1"/>
  <c r="C327" i="7"/>
  <c r="C452" i="7" s="1"/>
  <c r="H327" i="7"/>
  <c r="H452" i="7" s="1"/>
  <c r="I35" i="8"/>
  <c r="I114" i="8" s="1"/>
  <c r="I136" i="9" s="1"/>
  <c r="E35" i="8"/>
  <c r="E114" i="8" s="1"/>
  <c r="E136" i="9" s="1"/>
  <c r="B68" i="12"/>
  <c r="B86" i="13" s="1"/>
  <c r="B22" i="16" s="1"/>
  <c r="B35" i="8"/>
  <c r="B114" i="8" s="1"/>
  <c r="B136" i="9" s="1"/>
  <c r="H834" i="7"/>
  <c r="H892" i="7" s="1"/>
  <c r="H821" i="7"/>
  <c r="H866" i="7" s="1"/>
  <c r="H16" i="8" s="1"/>
  <c r="H121" i="8" s="1"/>
  <c r="H143" i="9" s="1"/>
  <c r="H823" i="7"/>
  <c r="H868" i="7" s="1"/>
  <c r="H18" i="8" s="1"/>
  <c r="H123" i="8" s="1"/>
  <c r="H145" i="9" s="1"/>
  <c r="H843" i="7"/>
  <c r="H909" i="7" s="1"/>
  <c r="H822" i="7"/>
  <c r="H867" i="7" s="1"/>
  <c r="H17" i="8" s="1"/>
  <c r="H122" i="8" s="1"/>
  <c r="H144" i="9" s="1"/>
  <c r="H824" i="7"/>
  <c r="H869" i="7" s="1"/>
  <c r="H19" i="8" s="1"/>
  <c r="H124" i="8" s="1"/>
  <c r="H146" i="9" s="1"/>
  <c r="H825" i="7"/>
  <c r="H870" i="7" s="1"/>
  <c r="F825" i="7"/>
  <c r="F870" i="7" s="1"/>
  <c r="F822" i="7"/>
  <c r="F867" i="7" s="1"/>
  <c r="F17" i="8" s="1"/>
  <c r="F122" i="8" s="1"/>
  <c r="F144" i="9" s="1"/>
  <c r="F821" i="7"/>
  <c r="F866" i="7" s="1"/>
  <c r="F16" i="8" s="1"/>
  <c r="F121" i="8" s="1"/>
  <c r="F143" i="9" s="1"/>
  <c r="F834" i="7"/>
  <c r="F892" i="7" s="1"/>
  <c r="F824" i="7"/>
  <c r="F869" i="7" s="1"/>
  <c r="F19" i="8" s="1"/>
  <c r="F124" i="8" s="1"/>
  <c r="F146" i="9" s="1"/>
  <c r="F843" i="7"/>
  <c r="F909" i="7" s="1"/>
  <c r="F823" i="7"/>
  <c r="F868" i="7" s="1"/>
  <c r="F18" i="8" s="1"/>
  <c r="F123" i="8" s="1"/>
  <c r="F145" i="9" s="1"/>
  <c r="B824" i="7"/>
  <c r="B869" i="7" s="1"/>
  <c r="B822" i="7"/>
  <c r="B867" i="7" s="1"/>
  <c r="B843" i="7"/>
  <c r="B909" i="7" s="1"/>
  <c r="B124" i="12" s="1"/>
  <c r="B825" i="7"/>
  <c r="B870" i="7" s="1"/>
  <c r="B823" i="7"/>
  <c r="B868" i="7" s="1"/>
  <c r="B821" i="7"/>
  <c r="B866" i="7" s="1"/>
  <c r="B834" i="7"/>
  <c r="B892" i="7" s="1"/>
  <c r="B104" i="12" s="1"/>
  <c r="D822" i="7"/>
  <c r="D867" i="7" s="1"/>
  <c r="D17" i="8" s="1"/>
  <c r="D122" i="8" s="1"/>
  <c r="D144" i="9" s="1"/>
  <c r="D834" i="7"/>
  <c r="D892" i="7" s="1"/>
  <c r="D825" i="7"/>
  <c r="D870" i="7" s="1"/>
  <c r="D823" i="7"/>
  <c r="D868" i="7" s="1"/>
  <c r="D18" i="8" s="1"/>
  <c r="D123" i="8" s="1"/>
  <c r="D145" i="9" s="1"/>
  <c r="D821" i="7"/>
  <c r="D866" i="7" s="1"/>
  <c r="D16" i="8" s="1"/>
  <c r="D121" i="8" s="1"/>
  <c r="D143" i="9" s="1"/>
  <c r="D843" i="7"/>
  <c r="D909" i="7" s="1"/>
  <c r="D824" i="7"/>
  <c r="D869" i="7" s="1"/>
  <c r="D19" i="8" s="1"/>
  <c r="D124" i="8" s="1"/>
  <c r="D146" i="9" s="1"/>
  <c r="J824" i="7"/>
  <c r="J869" i="7" s="1"/>
  <c r="J19" i="8" s="1"/>
  <c r="J124" i="8" s="1"/>
  <c r="J146" i="9" s="1"/>
  <c r="J834" i="7"/>
  <c r="J892" i="7" s="1"/>
  <c r="J843" i="7"/>
  <c r="J909" i="7" s="1"/>
  <c r="J825" i="7"/>
  <c r="J870" i="7" s="1"/>
  <c r="J823" i="7"/>
  <c r="J868" i="7" s="1"/>
  <c r="J18" i="8" s="1"/>
  <c r="J123" i="8" s="1"/>
  <c r="J145" i="9" s="1"/>
  <c r="J821" i="7"/>
  <c r="J866" i="7" s="1"/>
  <c r="J16" i="8" s="1"/>
  <c r="J121" i="8" s="1"/>
  <c r="J143" i="9" s="1"/>
  <c r="J822" i="7"/>
  <c r="J867" i="7" s="1"/>
  <c r="J17" i="8" s="1"/>
  <c r="J122" i="8" s="1"/>
  <c r="J144" i="9" s="1"/>
  <c r="I821" i="7"/>
  <c r="I866" i="7" s="1"/>
  <c r="I16" i="8" s="1"/>
  <c r="I121" i="8" s="1"/>
  <c r="I143" i="9" s="1"/>
  <c r="I843" i="7"/>
  <c r="I909" i="7" s="1"/>
  <c r="I824" i="7"/>
  <c r="I869" i="7" s="1"/>
  <c r="I19" i="8" s="1"/>
  <c r="I124" i="8" s="1"/>
  <c r="I146" i="9" s="1"/>
  <c r="I822" i="7"/>
  <c r="I867" i="7" s="1"/>
  <c r="I17" i="8" s="1"/>
  <c r="I122" i="8" s="1"/>
  <c r="I144" i="9" s="1"/>
  <c r="I834" i="7"/>
  <c r="I892" i="7" s="1"/>
  <c r="I825" i="7"/>
  <c r="I870" i="7" s="1"/>
  <c r="I823" i="7"/>
  <c r="I868" i="7" s="1"/>
  <c r="I18" i="8" s="1"/>
  <c r="I123" i="8" s="1"/>
  <c r="I145" i="9" s="1"/>
  <c r="G843" i="7"/>
  <c r="G909" i="7" s="1"/>
  <c r="G822" i="7"/>
  <c r="G867" i="7" s="1"/>
  <c r="G17" i="8" s="1"/>
  <c r="G122" i="8" s="1"/>
  <c r="G144" i="9" s="1"/>
  <c r="G834" i="7"/>
  <c r="G892" i="7" s="1"/>
  <c r="G825" i="7"/>
  <c r="G870" i="7" s="1"/>
  <c r="G824" i="7"/>
  <c r="G869" i="7" s="1"/>
  <c r="G19" i="8" s="1"/>
  <c r="G124" i="8" s="1"/>
  <c r="G146" i="9" s="1"/>
  <c r="G821" i="7"/>
  <c r="G866" i="7" s="1"/>
  <c r="G16" i="8" s="1"/>
  <c r="G121" i="8" s="1"/>
  <c r="G143" i="9" s="1"/>
  <c r="G823" i="7"/>
  <c r="G868" i="7" s="1"/>
  <c r="G18" i="8" s="1"/>
  <c r="G123" i="8" s="1"/>
  <c r="G145" i="9" s="1"/>
  <c r="E825" i="7"/>
  <c r="E870" i="7" s="1"/>
  <c r="E843" i="7"/>
  <c r="E909" i="7" s="1"/>
  <c r="E821" i="7"/>
  <c r="E866" i="7" s="1"/>
  <c r="E16" i="8" s="1"/>
  <c r="E121" i="8" s="1"/>
  <c r="E143" i="9" s="1"/>
  <c r="E824" i="7"/>
  <c r="E869" i="7" s="1"/>
  <c r="E19" i="8" s="1"/>
  <c r="E124" i="8" s="1"/>
  <c r="E146" i="9" s="1"/>
  <c r="E834" i="7"/>
  <c r="E892" i="7" s="1"/>
  <c r="E823" i="7"/>
  <c r="E868" i="7" s="1"/>
  <c r="E18" i="8" s="1"/>
  <c r="E123" i="8" s="1"/>
  <c r="E145" i="9" s="1"/>
  <c r="E822" i="7"/>
  <c r="E867" i="7" s="1"/>
  <c r="E17" i="8" s="1"/>
  <c r="E122" i="8" s="1"/>
  <c r="E144" i="9" s="1"/>
  <c r="C834" i="7"/>
  <c r="C892" i="7" s="1"/>
  <c r="C843" i="7"/>
  <c r="C909" i="7" s="1"/>
  <c r="C822" i="7"/>
  <c r="C867" i="7" s="1"/>
  <c r="C17" i="8" s="1"/>
  <c r="C122" i="8" s="1"/>
  <c r="C144" i="9" s="1"/>
  <c r="C824" i="7"/>
  <c r="C869" i="7" s="1"/>
  <c r="C19" i="8" s="1"/>
  <c r="C124" i="8" s="1"/>
  <c r="C146" i="9" s="1"/>
  <c r="C825" i="7"/>
  <c r="C870" i="7" s="1"/>
  <c r="C823" i="7"/>
  <c r="C868" i="7" s="1"/>
  <c r="C18" i="8" s="1"/>
  <c r="C123" i="8" s="1"/>
  <c r="C145" i="9" s="1"/>
  <c r="C821" i="7"/>
  <c r="C866" i="7" s="1"/>
  <c r="C16" i="8" s="1"/>
  <c r="C121" i="8" s="1"/>
  <c r="C143" i="9" s="1"/>
  <c r="B80" i="14"/>
  <c r="B75" i="14"/>
  <c r="B76" i="14"/>
  <c r="B78" i="14"/>
  <c r="B72" i="14"/>
  <c r="B74" i="14"/>
  <c r="B79" i="14"/>
  <c r="B77" i="14"/>
  <c r="B73" i="14"/>
  <c r="F476" i="7"/>
  <c r="F486" i="7" s="1"/>
  <c r="F503" i="7" s="1"/>
  <c r="C476" i="7"/>
  <c r="C486" i="7" s="1"/>
  <c r="C503" i="7" s="1"/>
  <c r="E476" i="7"/>
  <c r="E486" i="7" s="1"/>
  <c r="E503" i="7" s="1"/>
  <c r="J476" i="7"/>
  <c r="J486" i="7" s="1"/>
  <c r="J503" i="7" s="1"/>
  <c r="I476" i="7"/>
  <c r="I486" i="7" s="1"/>
  <c r="I503" i="7" s="1"/>
  <c r="H476" i="7"/>
  <c r="H486" i="7" s="1"/>
  <c r="H503" i="7" s="1"/>
  <c r="G476" i="7"/>
  <c r="G486" i="7" s="1"/>
  <c r="G503" i="7" s="1"/>
  <c r="D476" i="7"/>
  <c r="D486" i="7" s="1"/>
  <c r="D503" i="7" s="1"/>
  <c r="B476" i="7"/>
  <c r="B486" i="7" s="1"/>
  <c r="B503" i="7" s="1"/>
  <c r="B190" i="9"/>
  <c r="G202" i="9" s="1"/>
  <c r="J13" i="8"/>
  <c r="J109" i="8" s="1"/>
  <c r="J131" i="9" s="1"/>
  <c r="G12" i="8"/>
  <c r="G107" i="8" s="1"/>
  <c r="F13" i="8"/>
  <c r="F109" i="8" s="1"/>
  <c r="F131" i="9" s="1"/>
  <c r="C627" i="7"/>
  <c r="C904" i="7" s="1"/>
  <c r="C611" i="7"/>
  <c r="C887" i="7" s="1"/>
  <c r="C590" i="7"/>
  <c r="C861" i="7" s="1"/>
  <c r="H12" i="8"/>
  <c r="H107" i="8" s="1"/>
  <c r="B63" i="12"/>
  <c r="B81" i="13" s="1"/>
  <c r="B17" i="16" s="1"/>
  <c r="B13" i="8"/>
  <c r="B109" i="8" s="1"/>
  <c r="B131" i="9" s="1"/>
  <c r="J12" i="8"/>
  <c r="J107" i="8" s="1"/>
  <c r="C55" i="4"/>
  <c r="B86" i="4" s="1"/>
  <c r="B120" i="4" s="1"/>
  <c r="D54" i="4"/>
  <c r="B192" i="9" s="1"/>
  <c r="I202" i="9" s="1"/>
  <c r="B85" i="4"/>
  <c r="B119" i="4" s="1"/>
  <c r="G606" i="7"/>
  <c r="G882" i="7" s="1"/>
  <c r="G582" i="7"/>
  <c r="G853" i="7" s="1"/>
  <c r="F606" i="7"/>
  <c r="F882" i="7" s="1"/>
  <c r="F582" i="7"/>
  <c r="F853" i="7" s="1"/>
  <c r="H627" i="7"/>
  <c r="H904" i="7" s="1"/>
  <c r="H611" i="7"/>
  <c r="H887" i="7" s="1"/>
  <c r="H590" i="7"/>
  <c r="H861" i="7" s="1"/>
  <c r="H606" i="7"/>
  <c r="H882" i="7" s="1"/>
  <c r="H582" i="7"/>
  <c r="H853" i="7" s="1"/>
  <c r="H13" i="8"/>
  <c r="H109" i="8" s="1"/>
  <c r="H131" i="9" s="1"/>
  <c r="E606" i="7"/>
  <c r="E882" i="7" s="1"/>
  <c r="E582" i="7"/>
  <c r="E853" i="7" s="1"/>
  <c r="C13" i="8"/>
  <c r="C109" i="8" s="1"/>
  <c r="C131" i="9" s="1"/>
  <c r="B61" i="12"/>
  <c r="B79" i="13" s="1"/>
  <c r="B15" i="16" s="1"/>
  <c r="B12" i="8"/>
  <c r="B107" i="8" s="1"/>
  <c r="G627" i="7"/>
  <c r="G904" i="7" s="1"/>
  <c r="G611" i="7"/>
  <c r="G887" i="7" s="1"/>
  <c r="G590" i="7"/>
  <c r="G861" i="7" s="1"/>
  <c r="B590" i="7"/>
  <c r="B861" i="7" s="1"/>
  <c r="B627" i="7"/>
  <c r="B904" i="7" s="1"/>
  <c r="B611" i="7"/>
  <c r="B887" i="7" s="1"/>
  <c r="B606" i="7"/>
  <c r="B882" i="7" s="1"/>
  <c r="B582" i="7"/>
  <c r="B853" i="7" s="1"/>
  <c r="J590" i="7"/>
  <c r="J861" i="7" s="1"/>
  <c r="J627" i="7"/>
  <c r="J904" i="7" s="1"/>
  <c r="J611" i="7"/>
  <c r="J887" i="7" s="1"/>
  <c r="E627" i="7"/>
  <c r="E904" i="7" s="1"/>
  <c r="E611" i="7"/>
  <c r="E887" i="7" s="1"/>
  <c r="E590" i="7"/>
  <c r="E861" i="7" s="1"/>
  <c r="E12" i="8"/>
  <c r="E107" i="8" s="1"/>
  <c r="C606" i="7"/>
  <c r="C882" i="7" s="1"/>
  <c r="C582" i="7"/>
  <c r="C853" i="7" s="1"/>
  <c r="C12" i="8"/>
  <c r="C107" i="8" s="1"/>
  <c r="J606" i="7"/>
  <c r="J882" i="7" s="1"/>
  <c r="J582" i="7"/>
  <c r="J853" i="7" s="1"/>
  <c r="G13" i="8"/>
  <c r="G109" i="8" s="1"/>
  <c r="G131" i="9" s="1"/>
  <c r="F590" i="7"/>
  <c r="F861" i="7" s="1"/>
  <c r="F627" i="7"/>
  <c r="F904" i="7" s="1"/>
  <c r="F611" i="7"/>
  <c r="F887" i="7" s="1"/>
  <c r="M512" i="7" l="1"/>
  <c r="M556" i="7" s="1"/>
  <c r="K532" i="7"/>
  <c r="K558" i="7" s="1"/>
  <c r="M522" i="7"/>
  <c r="M557" i="7" s="1"/>
  <c r="E583" i="7"/>
  <c r="E854" i="7" s="1"/>
  <c r="E13" i="8" s="1"/>
  <c r="E109" i="8" s="1"/>
  <c r="E131" i="9" s="1"/>
  <c r="L543" i="7"/>
  <c r="L565" i="7" s="1"/>
  <c r="L522" i="7"/>
  <c r="L557" i="7" s="1"/>
  <c r="AG522" i="7"/>
  <c r="AG557" i="7" s="1"/>
  <c r="AE522" i="7"/>
  <c r="AE557" i="7" s="1"/>
  <c r="I582" i="7" s="1"/>
  <c r="I853" i="7" s="1"/>
  <c r="AG512" i="7"/>
  <c r="AG556" i="7" s="1"/>
  <c r="I581" i="7" s="1"/>
  <c r="I852" i="7" s="1"/>
  <c r="I12" i="8" s="1"/>
  <c r="I107" i="8" s="1"/>
  <c r="AE532" i="7"/>
  <c r="AE558" i="7" s="1"/>
  <c r="I583" i="7" s="1"/>
  <c r="I854" i="7" s="1"/>
  <c r="I13" i="8" s="1"/>
  <c r="I109" i="8" s="1"/>
  <c r="I131" i="9" s="1"/>
  <c r="AG543" i="7"/>
  <c r="AG565" i="7" s="1"/>
  <c r="D627" i="7"/>
  <c r="D904" i="7" s="1"/>
  <c r="D611" i="7"/>
  <c r="D887" i="7" s="1"/>
  <c r="D590" i="7"/>
  <c r="D861" i="7" s="1"/>
  <c r="L532" i="7"/>
  <c r="L558" i="7" s="1"/>
  <c r="D583" i="7" s="1"/>
  <c r="D854" i="7" s="1"/>
  <c r="D13" i="8" s="1"/>
  <c r="D109" i="8" s="1"/>
  <c r="D131" i="9" s="1"/>
  <c r="K512" i="7"/>
  <c r="K556" i="7" s="1"/>
  <c r="D581" i="7" s="1"/>
  <c r="D852" i="7" s="1"/>
  <c r="D12" i="8" s="1"/>
  <c r="D107" i="8" s="1"/>
  <c r="D129" i="9" s="1"/>
  <c r="J53" i="8"/>
  <c r="J118" i="8" s="1"/>
  <c r="J140" i="9" s="1"/>
  <c r="F581" i="7"/>
  <c r="F852" i="7" s="1"/>
  <c r="F12" i="8" s="1"/>
  <c r="F107" i="8" s="1"/>
  <c r="F129" i="9" s="1"/>
  <c r="G53" i="8"/>
  <c r="G118" i="8" s="1"/>
  <c r="G140" i="9" s="1"/>
  <c r="C53" i="8"/>
  <c r="C118" i="8" s="1"/>
  <c r="C140" i="9" s="1"/>
  <c r="D53" i="8"/>
  <c r="D118" i="8" s="1"/>
  <c r="D140" i="9" s="1"/>
  <c r="H53" i="8"/>
  <c r="H118" i="8" s="1"/>
  <c r="H140" i="9" s="1"/>
  <c r="E53" i="8"/>
  <c r="E118" i="8" s="1"/>
  <c r="E140" i="9" s="1"/>
  <c r="F53" i="8"/>
  <c r="F118" i="8" s="1"/>
  <c r="F140" i="9" s="1"/>
  <c r="B53" i="8"/>
  <c r="B118" i="8" s="1"/>
  <c r="B140" i="9" s="1"/>
  <c r="B72" i="12"/>
  <c r="B90" i="13" s="1"/>
  <c r="B26" i="16" s="1"/>
  <c r="I53" i="8"/>
  <c r="I118" i="8" s="1"/>
  <c r="I140" i="9" s="1"/>
  <c r="G56" i="8"/>
  <c r="G125" i="8" s="1"/>
  <c r="G147" i="9" s="1"/>
  <c r="J56" i="8"/>
  <c r="J125" i="8" s="1"/>
  <c r="J147" i="9" s="1"/>
  <c r="D56" i="8"/>
  <c r="D125" i="8" s="1"/>
  <c r="D147" i="9" s="1"/>
  <c r="H56" i="8"/>
  <c r="H125" i="8" s="1"/>
  <c r="H147" i="9" s="1"/>
  <c r="C56" i="8"/>
  <c r="C125" i="8" s="1"/>
  <c r="C147" i="9" s="1"/>
  <c r="I56" i="8"/>
  <c r="I125" i="8" s="1"/>
  <c r="I147" i="9" s="1"/>
  <c r="B75" i="12"/>
  <c r="B16" i="8"/>
  <c r="B121" i="8" s="1"/>
  <c r="B143" i="9" s="1"/>
  <c r="B76" i="12"/>
  <c r="B17" i="8"/>
  <c r="B122" i="8" s="1"/>
  <c r="B144" i="9" s="1"/>
  <c r="F56" i="8"/>
  <c r="F125" i="8" s="1"/>
  <c r="F147" i="9" s="1"/>
  <c r="B18" i="8"/>
  <c r="B123" i="8" s="1"/>
  <c r="B145" i="9" s="1"/>
  <c r="B77" i="12"/>
  <c r="B78" i="12"/>
  <c r="B19" i="8"/>
  <c r="B124" i="8" s="1"/>
  <c r="B146" i="9" s="1"/>
  <c r="B56" i="8"/>
  <c r="B125" i="8" s="1"/>
  <c r="B147" i="9" s="1"/>
  <c r="B79" i="12"/>
  <c r="E56" i="8"/>
  <c r="E125" i="8" s="1"/>
  <c r="E147" i="9" s="1"/>
  <c r="B71" i="16"/>
  <c r="B116" i="13"/>
  <c r="B109" i="16"/>
  <c r="B130" i="13"/>
  <c r="X533" i="7"/>
  <c r="X561" i="7" s="1"/>
  <c r="X513" i="7"/>
  <c r="X559" i="7" s="1"/>
  <c r="X544" i="7"/>
  <c r="X566" i="7" s="1"/>
  <c r="Y523" i="7"/>
  <c r="Y560" i="7" s="1"/>
  <c r="W544" i="7"/>
  <c r="W566" i="7" s="1"/>
  <c r="Y513" i="7"/>
  <c r="Y559" i="7" s="1"/>
  <c r="W533" i="7"/>
  <c r="W561" i="7" s="1"/>
  <c r="Y533" i="7"/>
  <c r="Y561" i="7" s="1"/>
  <c r="W523" i="7"/>
  <c r="W560" i="7" s="1"/>
  <c r="X523" i="7"/>
  <c r="X560" i="7" s="1"/>
  <c r="W513" i="7"/>
  <c r="W559" i="7" s="1"/>
  <c r="Y544" i="7"/>
  <c r="Y566" i="7" s="1"/>
  <c r="Q533" i="7"/>
  <c r="Q561" i="7" s="1"/>
  <c r="P533" i="7"/>
  <c r="P561" i="7" s="1"/>
  <c r="Q513" i="7"/>
  <c r="Q559" i="7" s="1"/>
  <c r="O513" i="7"/>
  <c r="O559" i="7" s="1"/>
  <c r="Q523" i="7"/>
  <c r="Q560" i="7" s="1"/>
  <c r="P544" i="7"/>
  <c r="P566" i="7" s="1"/>
  <c r="O533" i="7"/>
  <c r="O561" i="7" s="1"/>
  <c r="Q544" i="7"/>
  <c r="Q566" i="7" s="1"/>
  <c r="O523" i="7"/>
  <c r="O560" i="7" s="1"/>
  <c r="P523" i="7"/>
  <c r="P560" i="7" s="1"/>
  <c r="O544" i="7"/>
  <c r="O566" i="7" s="1"/>
  <c r="P513" i="7"/>
  <c r="P559" i="7" s="1"/>
  <c r="AB533" i="7"/>
  <c r="AB561" i="7" s="1"/>
  <c r="AC544" i="7"/>
  <c r="AC566" i="7" s="1"/>
  <c r="AC533" i="7"/>
  <c r="AC561" i="7" s="1"/>
  <c r="AB523" i="7"/>
  <c r="AB560" i="7" s="1"/>
  <c r="AA533" i="7"/>
  <c r="AA561" i="7" s="1"/>
  <c r="AC523" i="7"/>
  <c r="AC560" i="7" s="1"/>
  <c r="AB513" i="7"/>
  <c r="AB559" i="7" s="1"/>
  <c r="AA513" i="7"/>
  <c r="AA559" i="7" s="1"/>
  <c r="AC513" i="7"/>
  <c r="AC559" i="7" s="1"/>
  <c r="AA523" i="7"/>
  <c r="AA560" i="7" s="1"/>
  <c r="AA544" i="7"/>
  <c r="AA566" i="7" s="1"/>
  <c r="AB544" i="7"/>
  <c r="AB566" i="7" s="1"/>
  <c r="H533" i="7"/>
  <c r="H561" i="7" s="1"/>
  <c r="I533" i="7"/>
  <c r="I561" i="7" s="1"/>
  <c r="G513" i="7"/>
  <c r="G559" i="7" s="1"/>
  <c r="H523" i="7"/>
  <c r="H560" i="7" s="1"/>
  <c r="I523" i="7"/>
  <c r="I560" i="7" s="1"/>
  <c r="I544" i="7"/>
  <c r="I566" i="7" s="1"/>
  <c r="G523" i="7"/>
  <c r="G560" i="7" s="1"/>
  <c r="H544" i="7"/>
  <c r="H566" i="7" s="1"/>
  <c r="I513" i="7"/>
  <c r="I559" i="7" s="1"/>
  <c r="G544" i="7"/>
  <c r="G566" i="7" s="1"/>
  <c r="G533" i="7"/>
  <c r="G561" i="7" s="1"/>
  <c r="H513" i="7"/>
  <c r="H559" i="7" s="1"/>
  <c r="E533" i="7"/>
  <c r="E561" i="7" s="1"/>
  <c r="D544" i="7"/>
  <c r="D566" i="7" s="1"/>
  <c r="E544" i="7"/>
  <c r="E566" i="7" s="1"/>
  <c r="C523" i="7"/>
  <c r="C560" i="7" s="1"/>
  <c r="D513" i="7"/>
  <c r="D559" i="7" s="1"/>
  <c r="C533" i="7"/>
  <c r="C561" i="7" s="1"/>
  <c r="C544" i="7"/>
  <c r="C566" i="7" s="1"/>
  <c r="E523" i="7"/>
  <c r="E560" i="7" s="1"/>
  <c r="D533" i="7"/>
  <c r="D561" i="7" s="1"/>
  <c r="C513" i="7"/>
  <c r="C559" i="7" s="1"/>
  <c r="E513" i="7"/>
  <c r="E559" i="7" s="1"/>
  <c r="D523" i="7"/>
  <c r="D560" i="7" s="1"/>
  <c r="U513" i="7"/>
  <c r="U559" i="7" s="1"/>
  <c r="U523" i="7"/>
  <c r="U560" i="7" s="1"/>
  <c r="T533" i="7"/>
  <c r="T561" i="7" s="1"/>
  <c r="S533" i="7"/>
  <c r="S561" i="7" s="1"/>
  <c r="T544" i="7"/>
  <c r="T566" i="7" s="1"/>
  <c r="S523" i="7"/>
  <c r="S560" i="7" s="1"/>
  <c r="S513" i="7"/>
  <c r="S559" i="7" s="1"/>
  <c r="U544" i="7"/>
  <c r="U566" i="7" s="1"/>
  <c r="T523" i="7"/>
  <c r="T560" i="7" s="1"/>
  <c r="S544" i="7"/>
  <c r="S566" i="7" s="1"/>
  <c r="T513" i="7"/>
  <c r="T559" i="7" s="1"/>
  <c r="U533" i="7"/>
  <c r="U561" i="7" s="1"/>
  <c r="AI544" i="7"/>
  <c r="AI566" i="7" s="1"/>
  <c r="AJ523" i="7"/>
  <c r="AJ560" i="7" s="1"/>
  <c r="AJ544" i="7"/>
  <c r="AJ566" i="7" s="1"/>
  <c r="AK523" i="7"/>
  <c r="AK560" i="7" s="1"/>
  <c r="AK533" i="7"/>
  <c r="AK561" i="7" s="1"/>
  <c r="AI513" i="7"/>
  <c r="AI559" i="7" s="1"/>
  <c r="AJ513" i="7"/>
  <c r="AJ559" i="7" s="1"/>
  <c r="AK513" i="7"/>
  <c r="AK559" i="7" s="1"/>
  <c r="AK544" i="7"/>
  <c r="AK566" i="7" s="1"/>
  <c r="AI523" i="7"/>
  <c r="AI560" i="7" s="1"/>
  <c r="AJ533" i="7"/>
  <c r="AJ561" i="7" s="1"/>
  <c r="AI533" i="7"/>
  <c r="AI561" i="7" s="1"/>
  <c r="K533" i="7"/>
  <c r="K561" i="7" s="1"/>
  <c r="L544" i="7"/>
  <c r="L566" i="7" s="1"/>
  <c r="L513" i="7"/>
  <c r="L559" i="7" s="1"/>
  <c r="M533" i="7"/>
  <c r="M561" i="7" s="1"/>
  <c r="K513" i="7"/>
  <c r="K559" i="7" s="1"/>
  <c r="K544" i="7"/>
  <c r="K566" i="7" s="1"/>
  <c r="M513" i="7"/>
  <c r="M559" i="7" s="1"/>
  <c r="M523" i="7"/>
  <c r="M560" i="7" s="1"/>
  <c r="L533" i="7"/>
  <c r="L561" i="7" s="1"/>
  <c r="K523" i="7"/>
  <c r="K560" i="7" s="1"/>
  <c r="M544" i="7"/>
  <c r="M566" i="7" s="1"/>
  <c r="L523" i="7"/>
  <c r="L560" i="7" s="1"/>
  <c r="AG544" i="7"/>
  <c r="AG566" i="7" s="1"/>
  <c r="AE513" i="7"/>
  <c r="AE559" i="7" s="1"/>
  <c r="AF513" i="7"/>
  <c r="AF559" i="7" s="1"/>
  <c r="AG533" i="7"/>
  <c r="AG561" i="7" s="1"/>
  <c r="AE533" i="7"/>
  <c r="AE561" i="7" s="1"/>
  <c r="AF533" i="7"/>
  <c r="AF561" i="7" s="1"/>
  <c r="AF544" i="7"/>
  <c r="AF566" i="7" s="1"/>
  <c r="AG523" i="7"/>
  <c r="AG560" i="7" s="1"/>
  <c r="AE523" i="7"/>
  <c r="AE560" i="7" s="1"/>
  <c r="AE544" i="7"/>
  <c r="AE566" i="7" s="1"/>
  <c r="AG513" i="7"/>
  <c r="AG559" i="7" s="1"/>
  <c r="AF523" i="7"/>
  <c r="AF560" i="7" s="1"/>
  <c r="B136" i="4"/>
  <c r="I11" i="12" s="1"/>
  <c r="I11" i="13" s="1"/>
  <c r="B137" i="4"/>
  <c r="J11" i="12" s="1"/>
  <c r="J119" i="12" s="1"/>
  <c r="J125" i="13" s="1"/>
  <c r="B114" i="4"/>
  <c r="B118" i="4"/>
  <c r="B117" i="4"/>
  <c r="B115" i="4"/>
  <c r="B116" i="4"/>
  <c r="B113" i="4"/>
  <c r="B189" i="9"/>
  <c r="F202" i="9" s="1"/>
  <c r="B188" i="9"/>
  <c r="E202" i="9" s="1"/>
  <c r="B186" i="9"/>
  <c r="C202" i="9" s="1"/>
  <c r="B185" i="9"/>
  <c r="B202" i="9" s="1"/>
  <c r="B11" i="13" s="1"/>
  <c r="B193" i="9"/>
  <c r="B191" i="9"/>
  <c r="H202" i="9" s="1"/>
  <c r="B187" i="9"/>
  <c r="D202" i="9" s="1"/>
  <c r="E51" i="8"/>
  <c r="E116" i="8" s="1"/>
  <c r="E138" i="9" s="1"/>
  <c r="H51" i="8"/>
  <c r="H116" i="8" s="1"/>
  <c r="H138" i="9" s="1"/>
  <c r="C32" i="8"/>
  <c r="C108" i="8" s="1"/>
  <c r="C130" i="9" s="1"/>
  <c r="B70" i="12"/>
  <c r="B88" i="13" s="1"/>
  <c r="B24" i="16" s="1"/>
  <c r="B51" i="8"/>
  <c r="B116" i="8" s="1"/>
  <c r="B138" i="9" s="1"/>
  <c r="I129" i="9"/>
  <c r="C51" i="8"/>
  <c r="C116" i="8" s="1"/>
  <c r="C138" i="9" s="1"/>
  <c r="G129" i="9"/>
  <c r="B119" i="12"/>
  <c r="B125" i="13" s="1"/>
  <c r="B100" i="16" s="1"/>
  <c r="E129" i="9"/>
  <c r="B62" i="12"/>
  <c r="B80" i="13" s="1"/>
  <c r="B16" i="16" s="1"/>
  <c r="B32" i="8"/>
  <c r="B108" i="8" s="1"/>
  <c r="B130" i="9" s="1"/>
  <c r="J129" i="9"/>
  <c r="J62" i="12"/>
  <c r="J80" i="13" s="1"/>
  <c r="J32" i="8"/>
  <c r="J108" i="8" s="1"/>
  <c r="J130" i="9" s="1"/>
  <c r="C129" i="9"/>
  <c r="J99" i="12"/>
  <c r="J111" i="13" s="1"/>
  <c r="B94" i="12"/>
  <c r="B106" i="13" s="1"/>
  <c r="B54" i="16" s="1"/>
  <c r="G51" i="8"/>
  <c r="G116" i="8" s="1"/>
  <c r="G138" i="9" s="1"/>
  <c r="B129" i="9"/>
  <c r="H129" i="9"/>
  <c r="J70" i="12"/>
  <c r="J88" i="13" s="1"/>
  <c r="J51" i="8"/>
  <c r="J116" i="8" s="1"/>
  <c r="J138" i="9" s="1"/>
  <c r="D51" i="8"/>
  <c r="D116" i="8" s="1"/>
  <c r="D138" i="9" s="1"/>
  <c r="E32" i="8"/>
  <c r="E108" i="8" s="1"/>
  <c r="E130" i="9" s="1"/>
  <c r="F32" i="8"/>
  <c r="F108" i="8" s="1"/>
  <c r="F130" i="9" s="1"/>
  <c r="F51" i="8"/>
  <c r="F116" i="8" s="1"/>
  <c r="F138" i="9" s="1"/>
  <c r="J94" i="12"/>
  <c r="J106" i="13" s="1"/>
  <c r="B99" i="12"/>
  <c r="B111" i="13" s="1"/>
  <c r="B62" i="16" s="1"/>
  <c r="H32" i="8"/>
  <c r="H108" i="8" s="1"/>
  <c r="H130" i="9" s="1"/>
  <c r="G32" i="8"/>
  <c r="G108" i="8" s="1"/>
  <c r="G130" i="9" s="1"/>
  <c r="I606" i="7" l="1"/>
  <c r="I882" i="7" s="1"/>
  <c r="I32" i="8" s="1"/>
  <c r="I108" i="8" s="1"/>
  <c r="I130" i="9" s="1"/>
  <c r="D582" i="7"/>
  <c r="D853" i="7" s="1"/>
  <c r="D606" i="7"/>
  <c r="D882" i="7" s="1"/>
  <c r="I627" i="7"/>
  <c r="I904" i="7" s="1"/>
  <c r="I119" i="12" s="1"/>
  <c r="I125" i="13" s="1"/>
  <c r="I611" i="7"/>
  <c r="I887" i="7" s="1"/>
  <c r="I590" i="7"/>
  <c r="I861" i="7" s="1"/>
  <c r="I51" i="8" s="1"/>
  <c r="I116" i="8" s="1"/>
  <c r="I138" i="9" s="1"/>
  <c r="I586" i="7"/>
  <c r="I857" i="7" s="1"/>
  <c r="I15" i="8" s="1"/>
  <c r="I112" i="8" s="1"/>
  <c r="I134" i="9" s="1"/>
  <c r="I584" i="7"/>
  <c r="I855" i="7" s="1"/>
  <c r="I14" i="8" s="1"/>
  <c r="I110" i="8" s="1"/>
  <c r="I132" i="9" s="1"/>
  <c r="J584" i="7"/>
  <c r="J855" i="7" s="1"/>
  <c r="J14" i="8" s="1"/>
  <c r="J110" i="8" s="1"/>
  <c r="J132" i="9" s="1"/>
  <c r="D584" i="7"/>
  <c r="D855" i="7" s="1"/>
  <c r="D14" i="8" s="1"/>
  <c r="D110" i="8" s="1"/>
  <c r="D132" i="9" s="1"/>
  <c r="H586" i="7"/>
  <c r="H857" i="7" s="1"/>
  <c r="H15" i="8" s="1"/>
  <c r="H112" i="8" s="1"/>
  <c r="H134" i="9" s="1"/>
  <c r="I70" i="12"/>
  <c r="I88" i="13" s="1"/>
  <c r="I99" i="12"/>
  <c r="I111" i="13" s="1"/>
  <c r="C325" i="22" s="1"/>
  <c r="I94" i="12"/>
  <c r="I106" i="13" s="1"/>
  <c r="I62" i="12"/>
  <c r="I80" i="13" s="1"/>
  <c r="F584" i="7"/>
  <c r="F855" i="7" s="1"/>
  <c r="F14" i="8" s="1"/>
  <c r="F110" i="8" s="1"/>
  <c r="F132" i="9" s="1"/>
  <c r="C586" i="7"/>
  <c r="C857" i="7" s="1"/>
  <c r="C15" i="8" s="1"/>
  <c r="C112" i="8" s="1"/>
  <c r="C134" i="9" s="1"/>
  <c r="C584" i="7"/>
  <c r="C855" i="7" s="1"/>
  <c r="C14" i="8" s="1"/>
  <c r="C110" i="8" s="1"/>
  <c r="E586" i="7"/>
  <c r="E857" i="7" s="1"/>
  <c r="E15" i="8" s="1"/>
  <c r="E112" i="8" s="1"/>
  <c r="E134" i="9" s="1"/>
  <c r="G584" i="7"/>
  <c r="G855" i="7" s="1"/>
  <c r="G14" i="8" s="1"/>
  <c r="G110" i="8" s="1"/>
  <c r="G586" i="7"/>
  <c r="G857" i="7" s="1"/>
  <c r="G15" i="8" s="1"/>
  <c r="G112" i="8" s="1"/>
  <c r="G134" i="9" s="1"/>
  <c r="B584" i="7"/>
  <c r="B855" i="7" s="1"/>
  <c r="B586" i="7"/>
  <c r="B857" i="7" s="1"/>
  <c r="B66" i="12" s="1"/>
  <c r="B84" i="13" s="1"/>
  <c r="B20" i="16" s="1"/>
  <c r="D586" i="7"/>
  <c r="D857" i="7" s="1"/>
  <c r="D15" i="8" s="1"/>
  <c r="D112" i="8" s="1"/>
  <c r="D134" i="9" s="1"/>
  <c r="J586" i="7"/>
  <c r="J857" i="7" s="1"/>
  <c r="J15" i="8" s="1"/>
  <c r="J112" i="8" s="1"/>
  <c r="J134" i="9" s="1"/>
  <c r="F586" i="7"/>
  <c r="F857" i="7" s="1"/>
  <c r="F15" i="8" s="1"/>
  <c r="F112" i="8" s="1"/>
  <c r="F134" i="9" s="1"/>
  <c r="H584" i="7"/>
  <c r="H855" i="7" s="1"/>
  <c r="H14" i="8" s="1"/>
  <c r="H110" i="8" s="1"/>
  <c r="H132" i="9" s="1"/>
  <c r="E584" i="7"/>
  <c r="E855" i="7" s="1"/>
  <c r="E14" i="8" s="1"/>
  <c r="E110" i="8" s="1"/>
  <c r="B29" i="16"/>
  <c r="B93" i="13"/>
  <c r="B32" i="16"/>
  <c r="B96" i="13"/>
  <c r="B33" i="16"/>
  <c r="B97" i="13"/>
  <c r="B31" i="16"/>
  <c r="B95" i="13"/>
  <c r="B30" i="16"/>
  <c r="B94" i="13"/>
  <c r="B607" i="7"/>
  <c r="B883" i="7" s="1"/>
  <c r="B95" i="12" s="1"/>
  <c r="B107" i="13" s="1"/>
  <c r="B57" i="16" s="1"/>
  <c r="B585" i="7"/>
  <c r="B856" i="7" s="1"/>
  <c r="B628" i="7"/>
  <c r="B905" i="7" s="1"/>
  <c r="B120" i="12" s="1"/>
  <c r="B126" i="13" s="1"/>
  <c r="B101" i="16" s="1"/>
  <c r="B612" i="7"/>
  <c r="B888" i="7" s="1"/>
  <c r="B100" i="12" s="1"/>
  <c r="B112" i="13" s="1"/>
  <c r="B63" i="16" s="1"/>
  <c r="B591" i="7"/>
  <c r="B862" i="7" s="1"/>
  <c r="C585" i="7"/>
  <c r="C856" i="7" s="1"/>
  <c r="C607" i="7"/>
  <c r="C883" i="7" s="1"/>
  <c r="H612" i="7"/>
  <c r="H888" i="7" s="1"/>
  <c r="H591" i="7"/>
  <c r="H862" i="7" s="1"/>
  <c r="H628" i="7"/>
  <c r="H905" i="7" s="1"/>
  <c r="E591" i="7"/>
  <c r="E862" i="7" s="1"/>
  <c r="E628" i="7"/>
  <c r="E905" i="7" s="1"/>
  <c r="E612" i="7"/>
  <c r="E888" i="7" s="1"/>
  <c r="I612" i="7"/>
  <c r="I888" i="7" s="1"/>
  <c r="I100" i="12" s="1"/>
  <c r="I112" i="13" s="1"/>
  <c r="I63" i="16" s="1"/>
  <c r="I591" i="7"/>
  <c r="I862" i="7" s="1"/>
  <c r="I628" i="7"/>
  <c r="I905" i="7" s="1"/>
  <c r="I120" i="12" s="1"/>
  <c r="I126" i="13" s="1"/>
  <c r="J585" i="7"/>
  <c r="J856" i="7" s="1"/>
  <c r="J607" i="7"/>
  <c r="J883" i="7" s="1"/>
  <c r="J95" i="12" s="1"/>
  <c r="J107" i="13" s="1"/>
  <c r="J57" i="16" s="1"/>
  <c r="F591" i="7"/>
  <c r="F862" i="7" s="1"/>
  <c r="F628" i="7"/>
  <c r="F905" i="7" s="1"/>
  <c r="F612" i="7"/>
  <c r="F888" i="7" s="1"/>
  <c r="F585" i="7"/>
  <c r="F856" i="7" s="1"/>
  <c r="F607" i="7"/>
  <c r="F883" i="7" s="1"/>
  <c r="B14" i="8"/>
  <c r="B110" i="8" s="1"/>
  <c r="B64" i="12"/>
  <c r="B82" i="13" s="1"/>
  <c r="B18" i="16" s="1"/>
  <c r="C628" i="7"/>
  <c r="C905" i="7" s="1"/>
  <c r="C612" i="7"/>
  <c r="C888" i="7" s="1"/>
  <c r="C591" i="7"/>
  <c r="C862" i="7" s="1"/>
  <c r="H607" i="7"/>
  <c r="H883" i="7" s="1"/>
  <c r="H585" i="7"/>
  <c r="H856" i="7" s="1"/>
  <c r="I585" i="7"/>
  <c r="I856" i="7" s="1"/>
  <c r="I607" i="7"/>
  <c r="I883" i="7" s="1"/>
  <c r="I95" i="12" s="1"/>
  <c r="I107" i="13" s="1"/>
  <c r="D607" i="7"/>
  <c r="D883" i="7" s="1"/>
  <c r="D585" i="7"/>
  <c r="D856" i="7" s="1"/>
  <c r="D628" i="7"/>
  <c r="D905" i="7" s="1"/>
  <c r="D612" i="7"/>
  <c r="D888" i="7" s="1"/>
  <c r="D591" i="7"/>
  <c r="D862" i="7" s="1"/>
  <c r="J591" i="7"/>
  <c r="J862" i="7" s="1"/>
  <c r="J628" i="7"/>
  <c r="J905" i="7" s="1"/>
  <c r="J120" i="12" s="1"/>
  <c r="J126" i="13" s="1"/>
  <c r="J612" i="7"/>
  <c r="J888" i="7" s="1"/>
  <c r="J100" i="12" s="1"/>
  <c r="J112" i="13" s="1"/>
  <c r="E585" i="7"/>
  <c r="E856" i="7" s="1"/>
  <c r="E607" i="7"/>
  <c r="E883" i="7" s="1"/>
  <c r="G607" i="7"/>
  <c r="G883" i="7" s="1"/>
  <c r="G585" i="7"/>
  <c r="G856" i="7" s="1"/>
  <c r="G628" i="7"/>
  <c r="G905" i="7" s="1"/>
  <c r="G612" i="7"/>
  <c r="G888" i="7" s="1"/>
  <c r="G591" i="7"/>
  <c r="G862" i="7" s="1"/>
  <c r="I32" i="13"/>
  <c r="I94" i="14" s="1"/>
  <c r="I136" i="16" s="1"/>
  <c r="I40" i="13"/>
  <c r="I28" i="13"/>
  <c r="I91" i="14" s="1"/>
  <c r="C137" i="22" s="1"/>
  <c r="I41" i="13"/>
  <c r="I27" i="13"/>
  <c r="I31" i="13"/>
  <c r="I93" i="14" s="1"/>
  <c r="I26" i="13"/>
  <c r="I90" i="14" s="1"/>
  <c r="I130" i="16" s="1"/>
  <c r="I38" i="13"/>
  <c r="I36" i="13"/>
  <c r="I29" i="13"/>
  <c r="I92" i="14" s="1"/>
  <c r="I37" i="13"/>
  <c r="I25" i="13"/>
  <c r="I89" i="14" s="1"/>
  <c r="I30" i="13"/>
  <c r="I43" i="13"/>
  <c r="I35" i="13"/>
  <c r="I97" i="14" s="1"/>
  <c r="E357" i="22" s="1"/>
  <c r="I39" i="13"/>
  <c r="I42" i="13"/>
  <c r="I33" i="13"/>
  <c r="I95" i="14" s="1"/>
  <c r="I137" i="16" s="1"/>
  <c r="I34" i="13"/>
  <c r="I96" i="14" s="1"/>
  <c r="E325" i="22" s="1"/>
  <c r="B133" i="4"/>
  <c r="F11" i="12" s="1"/>
  <c r="J78" i="12"/>
  <c r="J74" i="12"/>
  <c r="J92" i="13" s="1"/>
  <c r="J67" i="15"/>
  <c r="J82" i="15" s="1"/>
  <c r="J62" i="15"/>
  <c r="J77" i="15" s="1"/>
  <c r="J39" i="12"/>
  <c r="J68" i="13" s="1"/>
  <c r="J23" i="12"/>
  <c r="J52" i="13" s="1"/>
  <c r="J38" i="12"/>
  <c r="J67" i="13" s="1"/>
  <c r="J47" i="12"/>
  <c r="J32" i="12"/>
  <c r="J61" i="13" s="1"/>
  <c r="J42" i="12"/>
  <c r="J26" i="12"/>
  <c r="J55" i="13" s="1"/>
  <c r="J68" i="12"/>
  <c r="J86" i="13" s="1"/>
  <c r="J121" i="12"/>
  <c r="J127" i="13" s="1"/>
  <c r="J73" i="12"/>
  <c r="J91" i="13" s="1"/>
  <c r="J65" i="15"/>
  <c r="J80" i="15" s="1"/>
  <c r="J49" i="12"/>
  <c r="J36" i="12"/>
  <c r="J65" i="13" s="1"/>
  <c r="J23" i="15" s="1"/>
  <c r="J35" i="15" s="1"/>
  <c r="J48" i="12"/>
  <c r="J33" i="12"/>
  <c r="J62" i="13" s="1"/>
  <c r="J43" i="12"/>
  <c r="J27" i="12"/>
  <c r="J56" i="13" s="1"/>
  <c r="J37" i="12"/>
  <c r="J66" i="13" s="1"/>
  <c r="J75" i="12"/>
  <c r="J102" i="12"/>
  <c r="J114" i="13" s="1"/>
  <c r="J107" i="12"/>
  <c r="J63" i="15"/>
  <c r="J78" i="15" s="1"/>
  <c r="J64" i="15"/>
  <c r="J79" i="15" s="1"/>
  <c r="J31" i="12"/>
  <c r="J60" i="13" s="1"/>
  <c r="J44" i="12"/>
  <c r="J30" i="12"/>
  <c r="J59" i="13" s="1"/>
  <c r="J40" i="12"/>
  <c r="J69" i="13" s="1"/>
  <c r="J24" i="12"/>
  <c r="J53" i="13" s="1"/>
  <c r="J34" i="12"/>
  <c r="J63" i="13" s="1"/>
  <c r="J21" i="15" s="1"/>
  <c r="J33" i="15" s="1"/>
  <c r="J127" i="12"/>
  <c r="J97" i="12"/>
  <c r="J109" i="13" s="1"/>
  <c r="J106" i="12"/>
  <c r="J66" i="15"/>
  <c r="J81" i="15" s="1"/>
  <c r="J45" i="12"/>
  <c r="J28" i="12"/>
  <c r="J57" i="13" s="1"/>
  <c r="J41" i="12"/>
  <c r="J70" i="13" s="1"/>
  <c r="J25" i="12"/>
  <c r="J54" i="13" s="1"/>
  <c r="J35" i="12"/>
  <c r="J64" i="13" s="1"/>
  <c r="J22" i="15" s="1"/>
  <c r="J34" i="15" s="1"/>
  <c r="J46" i="12"/>
  <c r="J29" i="12"/>
  <c r="J58" i="13" s="1"/>
  <c r="J126" i="12"/>
  <c r="J76" i="12"/>
  <c r="J80" i="12"/>
  <c r="J122" i="12"/>
  <c r="J128" i="13" s="1"/>
  <c r="J101" i="12"/>
  <c r="J113" i="13" s="1"/>
  <c r="J77" i="12"/>
  <c r="J69" i="12"/>
  <c r="J87" i="13" s="1"/>
  <c r="J81" i="12"/>
  <c r="J79" i="12"/>
  <c r="J105" i="12"/>
  <c r="J67" i="12"/>
  <c r="J85" i="13" s="1"/>
  <c r="J82" i="12"/>
  <c r="J125" i="12"/>
  <c r="J72" i="12"/>
  <c r="J90" i="13" s="1"/>
  <c r="J103" i="12"/>
  <c r="J115" i="13" s="1"/>
  <c r="J124" i="12"/>
  <c r="J123" i="12"/>
  <c r="J129" i="13" s="1"/>
  <c r="J104" i="12"/>
  <c r="J96" i="12"/>
  <c r="J108" i="13" s="1"/>
  <c r="J98" i="12"/>
  <c r="J110" i="13" s="1"/>
  <c r="J63" i="12"/>
  <c r="J81" i="13" s="1"/>
  <c r="J66" i="12"/>
  <c r="J84" i="13" s="1"/>
  <c r="J61" i="12"/>
  <c r="J79" i="13" s="1"/>
  <c r="F11" i="13"/>
  <c r="B132" i="4"/>
  <c r="E11" i="12" s="1"/>
  <c r="B135" i="4"/>
  <c r="H11" i="12" s="1"/>
  <c r="H11" i="13" s="1"/>
  <c r="I103" i="12"/>
  <c r="I115" i="13" s="1"/>
  <c r="I98" i="12"/>
  <c r="I110" i="13" s="1"/>
  <c r="I97" i="12"/>
  <c r="I109" i="13" s="1"/>
  <c r="I78" i="12"/>
  <c r="I74" i="12"/>
  <c r="I92" i="13" s="1"/>
  <c r="I80" i="12"/>
  <c r="I72" i="12"/>
  <c r="I90" i="13" s="1"/>
  <c r="I82" i="12"/>
  <c r="I106" i="12"/>
  <c r="I122" i="12"/>
  <c r="I128" i="13" s="1"/>
  <c r="I96" i="12"/>
  <c r="I108" i="13" s="1"/>
  <c r="I75" i="12"/>
  <c r="I124" i="12"/>
  <c r="I81" i="12"/>
  <c r="I101" i="12"/>
  <c r="I113" i="13" s="1"/>
  <c r="I67" i="12"/>
  <c r="I85" i="13" s="1"/>
  <c r="I77" i="12"/>
  <c r="I126" i="12"/>
  <c r="I48" i="12"/>
  <c r="I35" i="12"/>
  <c r="I64" i="13" s="1"/>
  <c r="I22" i="15" s="1"/>
  <c r="I34" i="15" s="1"/>
  <c r="I38" i="12"/>
  <c r="I67" i="13" s="1"/>
  <c r="I104" i="12"/>
  <c r="I79" i="12"/>
  <c r="I123" i="12"/>
  <c r="I129" i="13" s="1"/>
  <c r="I65" i="15"/>
  <c r="I80" i="15" s="1"/>
  <c r="I46" i="12"/>
  <c r="I49" i="12"/>
  <c r="I41" i="12"/>
  <c r="I70" i="13" s="1"/>
  <c r="I33" i="12"/>
  <c r="I62" i="13" s="1"/>
  <c r="I25" i="12"/>
  <c r="I54" i="13" s="1"/>
  <c r="I26" i="12"/>
  <c r="I55" i="13" s="1"/>
  <c r="I30" i="12"/>
  <c r="I59" i="13" s="1"/>
  <c r="I76" i="12"/>
  <c r="I73" i="12"/>
  <c r="I91" i="13" s="1"/>
  <c r="I63" i="15"/>
  <c r="I78" i="15" s="1"/>
  <c r="I44" i="12"/>
  <c r="I47" i="12"/>
  <c r="I39" i="12"/>
  <c r="I68" i="13" s="1"/>
  <c r="I31" i="12"/>
  <c r="I60" i="13" s="1"/>
  <c r="I23" i="12"/>
  <c r="I52" i="13" s="1"/>
  <c r="I36" i="12"/>
  <c r="I65" i="13" s="1"/>
  <c r="I23" i="15" s="1"/>
  <c r="I35" i="15" s="1"/>
  <c r="I40" i="12"/>
  <c r="I69" i="13" s="1"/>
  <c r="I102" i="12"/>
  <c r="I114" i="13" s="1"/>
  <c r="I107" i="12"/>
  <c r="I105" i="12"/>
  <c r="I121" i="12"/>
  <c r="I127" i="13" s="1"/>
  <c r="I64" i="15"/>
  <c r="I79" i="15" s="1"/>
  <c r="I66" i="15"/>
  <c r="I81" i="15" s="1"/>
  <c r="I45" i="12"/>
  <c r="I37" i="12"/>
  <c r="I66" i="13" s="1"/>
  <c r="I29" i="12"/>
  <c r="I58" i="13" s="1"/>
  <c r="I42" i="12"/>
  <c r="I28" i="12"/>
  <c r="I57" i="13" s="1"/>
  <c r="I32" i="12"/>
  <c r="I61" i="13" s="1"/>
  <c r="I68" i="12"/>
  <c r="I86" i="13" s="1"/>
  <c r="I125" i="12"/>
  <c r="I67" i="15"/>
  <c r="I82" i="15" s="1"/>
  <c r="I62" i="15"/>
  <c r="I77" i="15" s="1"/>
  <c r="I43" i="12"/>
  <c r="I27" i="12"/>
  <c r="I56" i="13" s="1"/>
  <c r="I34" i="12"/>
  <c r="I63" i="13" s="1"/>
  <c r="I21" i="15" s="1"/>
  <c r="I33" i="15" s="1"/>
  <c r="I24" i="12"/>
  <c r="I53" i="13" s="1"/>
  <c r="I69" i="12"/>
  <c r="I87" i="13" s="1"/>
  <c r="I127" i="12"/>
  <c r="I61" i="12"/>
  <c r="I79" i="13" s="1"/>
  <c r="I66" i="12"/>
  <c r="I84" i="13" s="1"/>
  <c r="I64" i="12"/>
  <c r="I82" i="13" s="1"/>
  <c r="I63" i="12"/>
  <c r="I81" i="13" s="1"/>
  <c r="B130" i="4"/>
  <c r="C11" i="12" s="1"/>
  <c r="B134" i="4"/>
  <c r="G11" i="12" s="1"/>
  <c r="B131" i="4"/>
  <c r="D11" i="12" s="1"/>
  <c r="B40" i="13"/>
  <c r="B31" i="13"/>
  <c r="B93" i="14" s="1"/>
  <c r="B135" i="16" s="1"/>
  <c r="B43" i="13"/>
  <c r="B38" i="13"/>
  <c r="B176" i="16" s="1"/>
  <c r="B37" i="13"/>
  <c r="B175" i="16" s="1"/>
  <c r="B33" i="13"/>
  <c r="B95" i="14" s="1"/>
  <c r="B137" i="16" s="1"/>
  <c r="B27" i="13"/>
  <c r="B36" i="13"/>
  <c r="B174" i="16" s="1"/>
  <c r="B28" i="13"/>
  <c r="B91" i="14" s="1"/>
  <c r="B132" i="16" s="1"/>
  <c r="B29" i="13"/>
  <c r="B92" i="14" s="1"/>
  <c r="B133" i="16" s="1"/>
  <c r="B32" i="13"/>
  <c r="B94" i="14" s="1"/>
  <c r="B136" i="16" s="1"/>
  <c r="B34" i="13"/>
  <c r="B96" i="14" s="1"/>
  <c r="B138" i="16" s="1"/>
  <c r="B35" i="13"/>
  <c r="B97" i="14" s="1"/>
  <c r="B139" i="16" s="1"/>
  <c r="B42" i="13"/>
  <c r="B25" i="13"/>
  <c r="B89" i="14" s="1"/>
  <c r="B129" i="16" s="1"/>
  <c r="B30" i="13"/>
  <c r="B39" i="13"/>
  <c r="B41" i="13"/>
  <c r="B26" i="13"/>
  <c r="B90" i="14" s="1"/>
  <c r="B130" i="16" s="1"/>
  <c r="I132" i="16"/>
  <c r="D261" i="22"/>
  <c r="D293" i="22"/>
  <c r="C45" i="22"/>
  <c r="I129" i="16"/>
  <c r="F421" i="22"/>
  <c r="I175" i="16"/>
  <c r="D169" i="22"/>
  <c r="I133" i="16"/>
  <c r="F41" i="13"/>
  <c r="F25" i="13"/>
  <c r="F89" i="14" s="1"/>
  <c r="F29" i="13"/>
  <c r="F92" i="14" s="1"/>
  <c r="F42" i="13"/>
  <c r="F30" i="13"/>
  <c r="F38" i="13"/>
  <c r="F26" i="13"/>
  <c r="F90" i="14" s="1"/>
  <c r="F39" i="13"/>
  <c r="F27" i="13"/>
  <c r="F31" i="13"/>
  <c r="F93" i="14" s="1"/>
  <c r="F36" i="13"/>
  <c r="F40" i="13"/>
  <c r="F32" i="13"/>
  <c r="F94" i="14" s="1"/>
  <c r="F28" i="13"/>
  <c r="F91" i="14" s="1"/>
  <c r="F33" i="13"/>
  <c r="F95" i="14" s="1"/>
  <c r="F37" i="13"/>
  <c r="F34" i="13"/>
  <c r="F96" i="14" s="1"/>
  <c r="F35" i="13"/>
  <c r="F97" i="14" s="1"/>
  <c r="F43" i="13"/>
  <c r="F389" i="22"/>
  <c r="I174" i="16"/>
  <c r="I176" i="16"/>
  <c r="F453" i="22"/>
  <c r="D229" i="22"/>
  <c r="I135" i="16"/>
  <c r="C169" i="22"/>
  <c r="I57" i="16"/>
  <c r="B325" i="22"/>
  <c r="I24" i="16"/>
  <c r="B77" i="22"/>
  <c r="I16" i="16"/>
  <c r="I62" i="16"/>
  <c r="C77" i="22"/>
  <c r="I54" i="16"/>
  <c r="C326" i="22"/>
  <c r="J62" i="16"/>
  <c r="D358" i="22"/>
  <c r="J101" i="16"/>
  <c r="D326" i="22"/>
  <c r="J100" i="16"/>
  <c r="B78" i="22"/>
  <c r="J16" i="16"/>
  <c r="C78" i="22"/>
  <c r="J54" i="16"/>
  <c r="B326" i="22"/>
  <c r="J24" i="16"/>
  <c r="D357" i="22"/>
  <c r="I101" i="16"/>
  <c r="C358" i="22"/>
  <c r="J63" i="16"/>
  <c r="D32" i="8" l="1"/>
  <c r="D108" i="8" s="1"/>
  <c r="D130" i="9" s="1"/>
  <c r="D325" i="22"/>
  <c r="I100" i="16"/>
  <c r="C357" i="22"/>
  <c r="C170" i="22"/>
  <c r="D77" i="22"/>
  <c r="J64" i="12"/>
  <c r="J82" i="13" s="1"/>
  <c r="I139" i="16"/>
  <c r="I138" i="16"/>
  <c r="B15" i="8"/>
  <c r="B112" i="8" s="1"/>
  <c r="B134" i="9" s="1"/>
  <c r="C132" i="9"/>
  <c r="B132" i="9"/>
  <c r="G132" i="9"/>
  <c r="E132" i="9"/>
  <c r="F33" i="8"/>
  <c r="F111" i="8" s="1"/>
  <c r="F133" i="9" s="1"/>
  <c r="E77" i="22"/>
  <c r="D33" i="8"/>
  <c r="D111" i="8" s="1"/>
  <c r="E78" i="22"/>
  <c r="H33" i="8"/>
  <c r="H111" i="8" s="1"/>
  <c r="C33" i="8"/>
  <c r="C111" i="8" s="1"/>
  <c r="C133" i="9" s="1"/>
  <c r="G33" i="8"/>
  <c r="G111" i="8" s="1"/>
  <c r="G133" i="9" s="1"/>
  <c r="G52" i="8"/>
  <c r="G117" i="8" s="1"/>
  <c r="G139" i="9" s="1"/>
  <c r="F52" i="8"/>
  <c r="F117" i="8" s="1"/>
  <c r="F139" i="9" s="1"/>
  <c r="H52" i="8"/>
  <c r="H117" i="8" s="1"/>
  <c r="H139" i="9" s="1"/>
  <c r="B71" i="12"/>
  <c r="B89" i="13" s="1"/>
  <c r="B25" i="16" s="1"/>
  <c r="B52" i="8"/>
  <c r="B117" i="8" s="1"/>
  <c r="B139" i="9" s="1"/>
  <c r="B65" i="12"/>
  <c r="B83" i="13" s="1"/>
  <c r="B19" i="16" s="1"/>
  <c r="B33" i="8"/>
  <c r="B111" i="8" s="1"/>
  <c r="B133" i="9" s="1"/>
  <c r="J71" i="12"/>
  <c r="J89" i="13" s="1"/>
  <c r="J52" i="8"/>
  <c r="J117" i="8" s="1"/>
  <c r="J139" i="9" s="1"/>
  <c r="C52" i="8"/>
  <c r="C117" i="8" s="1"/>
  <c r="C139" i="9" s="1"/>
  <c r="E33" i="8"/>
  <c r="E111" i="8" s="1"/>
  <c r="E133" i="9" s="1"/>
  <c r="D52" i="8"/>
  <c r="D117" i="8" s="1"/>
  <c r="D139" i="9" s="1"/>
  <c r="I65" i="12"/>
  <c r="I83" i="13" s="1"/>
  <c r="I33" i="8"/>
  <c r="I111" i="8" s="1"/>
  <c r="J65" i="12"/>
  <c r="J83" i="13" s="1"/>
  <c r="J33" i="8"/>
  <c r="J111" i="8" s="1"/>
  <c r="I71" i="12"/>
  <c r="I89" i="13" s="1"/>
  <c r="I52" i="8"/>
  <c r="I117" i="8" s="1"/>
  <c r="I139" i="9" s="1"/>
  <c r="E52" i="8"/>
  <c r="E117" i="8" s="1"/>
  <c r="E139" i="9" s="1"/>
  <c r="H29" i="13"/>
  <c r="H92" i="14" s="1"/>
  <c r="H37" i="13"/>
  <c r="H36" i="13"/>
  <c r="H25" i="13"/>
  <c r="H89" i="14" s="1"/>
  <c r="C44" i="22" s="1"/>
  <c r="H28" i="13"/>
  <c r="H91" i="14" s="1"/>
  <c r="H26" i="13"/>
  <c r="H90" i="14" s="1"/>
  <c r="H39" i="13"/>
  <c r="H42" i="13"/>
  <c r="H35" i="13"/>
  <c r="H97" i="14" s="1"/>
  <c r="H34" i="13"/>
  <c r="H96" i="14" s="1"/>
  <c r="H32" i="13"/>
  <c r="H94" i="14" s="1"/>
  <c r="H30" i="13"/>
  <c r="H33" i="13"/>
  <c r="H95" i="14" s="1"/>
  <c r="H41" i="13"/>
  <c r="H38" i="13"/>
  <c r="H43" i="13"/>
  <c r="H31" i="13"/>
  <c r="H93" i="14" s="1"/>
  <c r="H40" i="13"/>
  <c r="H27" i="13"/>
  <c r="D79" i="12"/>
  <c r="D82" i="12"/>
  <c r="D97" i="12"/>
  <c r="D109" i="13" s="1"/>
  <c r="D123" i="12"/>
  <c r="D129" i="13" s="1"/>
  <c r="D104" i="12"/>
  <c r="D81" i="12"/>
  <c r="D122" i="12"/>
  <c r="D128" i="13" s="1"/>
  <c r="D96" i="12"/>
  <c r="D108" i="13" s="1"/>
  <c r="D103" i="12"/>
  <c r="D115" i="13" s="1"/>
  <c r="D101" i="12"/>
  <c r="D113" i="13" s="1"/>
  <c r="D68" i="12"/>
  <c r="D86" i="13" s="1"/>
  <c r="D98" i="12"/>
  <c r="D110" i="13" s="1"/>
  <c r="D76" i="12"/>
  <c r="D80" i="12"/>
  <c r="D107" i="12"/>
  <c r="D121" i="12"/>
  <c r="D127" i="13" s="1"/>
  <c r="D124" i="12"/>
  <c r="D127" i="12"/>
  <c r="D66" i="15"/>
  <c r="D81" i="15" s="1"/>
  <c r="D67" i="15"/>
  <c r="D82" i="15" s="1"/>
  <c r="D42" i="12"/>
  <c r="D26" i="12"/>
  <c r="D55" i="13" s="1"/>
  <c r="D41" i="12"/>
  <c r="D70" i="13" s="1"/>
  <c r="D25" i="12"/>
  <c r="D54" i="13" s="1"/>
  <c r="D35" i="12"/>
  <c r="D64" i="13" s="1"/>
  <c r="D22" i="15" s="1"/>
  <c r="D34" i="15" s="1"/>
  <c r="D24" i="12"/>
  <c r="D53" i="13" s="1"/>
  <c r="D74" i="12"/>
  <c r="D92" i="13" s="1"/>
  <c r="D67" i="12"/>
  <c r="D85" i="13" s="1"/>
  <c r="D69" i="12"/>
  <c r="D87" i="13" s="1"/>
  <c r="D78" i="12"/>
  <c r="D64" i="15"/>
  <c r="D79" i="15" s="1"/>
  <c r="D63" i="15"/>
  <c r="D78" i="15" s="1"/>
  <c r="D39" i="12"/>
  <c r="D68" i="13" s="1"/>
  <c r="D23" i="12"/>
  <c r="D52" i="13" s="1"/>
  <c r="D36" i="12"/>
  <c r="D65" i="13" s="1"/>
  <c r="D23" i="15" s="1"/>
  <c r="D35" i="15" s="1"/>
  <c r="D46" i="12"/>
  <c r="D30" i="12"/>
  <c r="D59" i="13" s="1"/>
  <c r="D37" i="12"/>
  <c r="D66" i="13" s="1"/>
  <c r="D72" i="12"/>
  <c r="D90" i="13" s="1"/>
  <c r="D73" i="12"/>
  <c r="D91" i="13" s="1"/>
  <c r="D125" i="12"/>
  <c r="D62" i="15"/>
  <c r="D77" i="15" s="1"/>
  <c r="D48" i="12"/>
  <c r="D34" i="12"/>
  <c r="D63" i="13" s="1"/>
  <c r="D21" i="15" s="1"/>
  <c r="D33" i="15" s="1"/>
  <c r="D49" i="12"/>
  <c r="D33" i="12"/>
  <c r="D62" i="13" s="1"/>
  <c r="D43" i="12"/>
  <c r="D27" i="12"/>
  <c r="D56" i="13" s="1"/>
  <c r="D32" i="12"/>
  <c r="D61" i="13" s="1"/>
  <c r="D77" i="12"/>
  <c r="D105" i="12"/>
  <c r="D106" i="12"/>
  <c r="D65" i="15"/>
  <c r="D80" i="15" s="1"/>
  <c r="D44" i="12"/>
  <c r="D31" i="12"/>
  <c r="D60" i="13" s="1"/>
  <c r="D47" i="12"/>
  <c r="D28" i="12"/>
  <c r="D57" i="13" s="1"/>
  <c r="D38" i="12"/>
  <c r="D67" i="13" s="1"/>
  <c r="D45" i="12"/>
  <c r="D29" i="12"/>
  <c r="D58" i="13" s="1"/>
  <c r="D126" i="12"/>
  <c r="D102" i="12"/>
  <c r="D114" i="13" s="1"/>
  <c r="D40" i="12"/>
  <c r="D69" i="13" s="1"/>
  <c r="D75" i="12"/>
  <c r="D66" i="12"/>
  <c r="D84" i="13" s="1"/>
  <c r="D63" i="12"/>
  <c r="D81" i="13" s="1"/>
  <c r="D61" i="12"/>
  <c r="D79" i="13" s="1"/>
  <c r="D64" i="12"/>
  <c r="D82" i="13" s="1"/>
  <c r="D95" i="12"/>
  <c r="D107" i="13" s="1"/>
  <c r="D70" i="12"/>
  <c r="D88" i="13" s="1"/>
  <c r="D100" i="12"/>
  <c r="D112" i="13" s="1"/>
  <c r="D99" i="12"/>
  <c r="D111" i="13" s="1"/>
  <c r="D71" i="12"/>
  <c r="D89" i="13" s="1"/>
  <c r="D119" i="12"/>
  <c r="D125" i="13" s="1"/>
  <c r="D62" i="12"/>
  <c r="D80" i="13" s="1"/>
  <c r="D65" i="12"/>
  <c r="D83" i="13" s="1"/>
  <c r="D94" i="12"/>
  <c r="D106" i="13" s="1"/>
  <c r="D120" i="12"/>
  <c r="D126" i="13" s="1"/>
  <c r="B137" i="22"/>
  <c r="D137" i="22" s="1"/>
  <c r="I18" i="16"/>
  <c r="I23" i="16"/>
  <c r="B293" i="22"/>
  <c r="I35" i="16"/>
  <c r="B667" i="22"/>
  <c r="D667" i="22" s="1"/>
  <c r="H28" i="23" s="1"/>
  <c r="B261" i="22"/>
  <c r="I22" i="16"/>
  <c r="D763" i="22"/>
  <c r="I221" i="16"/>
  <c r="C421" i="22"/>
  <c r="I65" i="16"/>
  <c r="F731" i="22"/>
  <c r="I220" i="16"/>
  <c r="I97" i="13"/>
  <c r="B605" i="22"/>
  <c r="I33" i="16"/>
  <c r="B827" i="22"/>
  <c r="I40" i="16"/>
  <c r="C389" i="22"/>
  <c r="I64" i="16"/>
  <c r="C229" i="22"/>
  <c r="I59" i="16"/>
  <c r="B389" i="22"/>
  <c r="I26" i="16"/>
  <c r="C261" i="22"/>
  <c r="I60" i="16"/>
  <c r="D11" i="13"/>
  <c r="B202" i="22"/>
  <c r="C202" i="22" s="1"/>
  <c r="J20" i="16"/>
  <c r="J116" i="13"/>
  <c r="C606" i="22"/>
  <c r="J71" i="16"/>
  <c r="B390" i="22"/>
  <c r="J26" i="16"/>
  <c r="J75" i="16"/>
  <c r="C732" i="22"/>
  <c r="B546" i="22"/>
  <c r="C546" i="22" s="1"/>
  <c r="J31" i="16"/>
  <c r="J95" i="13"/>
  <c r="J30" i="16"/>
  <c r="J94" i="13"/>
  <c r="B516" i="22"/>
  <c r="C516" i="22" s="1"/>
  <c r="J210" i="16"/>
  <c r="G422" i="22"/>
  <c r="J117" i="16"/>
  <c r="D860" i="22"/>
  <c r="F732" i="22"/>
  <c r="J220" i="16"/>
  <c r="J40" i="16"/>
  <c r="B828" i="22"/>
  <c r="B422" i="22"/>
  <c r="J27" i="16"/>
  <c r="B636" i="22"/>
  <c r="D636" i="22" s="1"/>
  <c r="J34" i="16"/>
  <c r="J28" i="16"/>
  <c r="B454" i="22"/>
  <c r="C125" i="12"/>
  <c r="C68" i="12"/>
  <c r="C86" i="13" s="1"/>
  <c r="C124" i="12"/>
  <c r="C67" i="15"/>
  <c r="C82" i="15" s="1"/>
  <c r="C45" i="12"/>
  <c r="C44" i="12"/>
  <c r="C36" i="12"/>
  <c r="C65" i="13" s="1"/>
  <c r="C23" i="15" s="1"/>
  <c r="C35" i="15" s="1"/>
  <c r="C28" i="12"/>
  <c r="C57" i="13" s="1"/>
  <c r="C29" i="12"/>
  <c r="C58" i="13" s="1"/>
  <c r="C41" i="12"/>
  <c r="C70" i="13" s="1"/>
  <c r="C35" i="12"/>
  <c r="C64" i="13" s="1"/>
  <c r="C22" i="15" s="1"/>
  <c r="C34" i="15" s="1"/>
  <c r="C103" i="12"/>
  <c r="C115" i="13" s="1"/>
  <c r="C82" i="12"/>
  <c r="C66" i="15"/>
  <c r="C81" i="15" s="1"/>
  <c r="C63" i="15"/>
  <c r="C78" i="15" s="1"/>
  <c r="C65" i="15"/>
  <c r="C80" i="15" s="1"/>
  <c r="C42" i="12"/>
  <c r="C34" i="12"/>
  <c r="C63" i="13" s="1"/>
  <c r="C21" i="15" s="1"/>
  <c r="C33" i="15" s="1"/>
  <c r="C26" i="12"/>
  <c r="C55" i="13" s="1"/>
  <c r="C39" i="12"/>
  <c r="C68" i="13" s="1"/>
  <c r="C33" i="12"/>
  <c r="C62" i="13" s="1"/>
  <c r="C27" i="12"/>
  <c r="C56" i="13" s="1"/>
  <c r="C102" i="12"/>
  <c r="C114" i="13" s="1"/>
  <c r="C97" i="12"/>
  <c r="C109" i="13" s="1"/>
  <c r="C104" i="12"/>
  <c r="C101" i="12"/>
  <c r="C113" i="13" s="1"/>
  <c r="C76" i="12"/>
  <c r="C127" i="12"/>
  <c r="C64" i="15"/>
  <c r="C79" i="15" s="1"/>
  <c r="C49" i="12"/>
  <c r="C48" i="12"/>
  <c r="C40" i="12"/>
  <c r="C69" i="13" s="1"/>
  <c r="C32" i="12"/>
  <c r="C61" i="13" s="1"/>
  <c r="C24" i="12"/>
  <c r="C53" i="13" s="1"/>
  <c r="C31" i="12"/>
  <c r="C60" i="13" s="1"/>
  <c r="C25" i="12"/>
  <c r="C54" i="13" s="1"/>
  <c r="C121" i="12"/>
  <c r="C127" i="13" s="1"/>
  <c r="C126" i="12"/>
  <c r="C74" i="12"/>
  <c r="C92" i="13" s="1"/>
  <c r="C62" i="15"/>
  <c r="C77" i="15" s="1"/>
  <c r="C47" i="12"/>
  <c r="C46" i="12"/>
  <c r="C38" i="12"/>
  <c r="C67" i="13" s="1"/>
  <c r="C30" i="12"/>
  <c r="C59" i="13" s="1"/>
  <c r="C37" i="12"/>
  <c r="C66" i="13" s="1"/>
  <c r="C23" i="12"/>
  <c r="C52" i="13" s="1"/>
  <c r="C43" i="12"/>
  <c r="C81" i="12"/>
  <c r="C122" i="12"/>
  <c r="C128" i="13" s="1"/>
  <c r="C106" i="12"/>
  <c r="C69" i="12"/>
  <c r="C87" i="13" s="1"/>
  <c r="C75" i="12"/>
  <c r="C78" i="12"/>
  <c r="C105" i="12"/>
  <c r="C80" i="12"/>
  <c r="C123" i="12"/>
  <c r="C129" i="13" s="1"/>
  <c r="C67" i="12"/>
  <c r="C85" i="13" s="1"/>
  <c r="C98" i="12"/>
  <c r="C110" i="13" s="1"/>
  <c r="C77" i="12"/>
  <c r="C96" i="12"/>
  <c r="C108" i="13" s="1"/>
  <c r="C107" i="12"/>
  <c r="C72" i="12"/>
  <c r="C90" i="13" s="1"/>
  <c r="C73" i="12"/>
  <c r="C91" i="13" s="1"/>
  <c r="C79" i="12"/>
  <c r="C66" i="12"/>
  <c r="C84" i="13" s="1"/>
  <c r="C61" i="12"/>
  <c r="C79" i="13" s="1"/>
  <c r="C64" i="12"/>
  <c r="C82" i="13" s="1"/>
  <c r="C63" i="12"/>
  <c r="C81" i="13" s="1"/>
  <c r="C65" i="12"/>
  <c r="C83" i="13" s="1"/>
  <c r="C95" i="12"/>
  <c r="C107" i="13" s="1"/>
  <c r="C119" i="12"/>
  <c r="C125" i="13" s="1"/>
  <c r="C62" i="12"/>
  <c r="C80" i="13" s="1"/>
  <c r="C70" i="12"/>
  <c r="C88" i="13" s="1"/>
  <c r="C100" i="12"/>
  <c r="C112" i="13" s="1"/>
  <c r="C99" i="12"/>
  <c r="C111" i="13" s="1"/>
  <c r="C71" i="12"/>
  <c r="C89" i="13" s="1"/>
  <c r="C94" i="12"/>
  <c r="C106" i="13" s="1"/>
  <c r="C120" i="12"/>
  <c r="C126" i="13" s="1"/>
  <c r="B201" i="22"/>
  <c r="C201" i="22" s="1"/>
  <c r="I20" i="16"/>
  <c r="D699" i="22"/>
  <c r="I219" i="16"/>
  <c r="D389" i="22"/>
  <c r="I102" i="16"/>
  <c r="B421" i="22"/>
  <c r="I27" i="16"/>
  <c r="B763" i="22"/>
  <c r="E763" i="22" s="1"/>
  <c r="I38" i="16"/>
  <c r="I116" i="13"/>
  <c r="C605" i="22"/>
  <c r="I71" i="16"/>
  <c r="D795" i="22"/>
  <c r="I115" i="16"/>
  <c r="I39" i="16"/>
  <c r="B795" i="22"/>
  <c r="D421" i="22"/>
  <c r="I103" i="16"/>
  <c r="B731" i="22"/>
  <c r="I37" i="16"/>
  <c r="I61" i="16"/>
  <c r="C293" i="22"/>
  <c r="E124" i="12"/>
  <c r="E101" i="12"/>
  <c r="E113" i="13" s="1"/>
  <c r="E79" i="12"/>
  <c r="E73" i="12"/>
  <c r="E91" i="13" s="1"/>
  <c r="E126" i="12"/>
  <c r="E77" i="12"/>
  <c r="E78" i="12"/>
  <c r="E97" i="12"/>
  <c r="E109" i="13" s="1"/>
  <c r="E121" i="12"/>
  <c r="E127" i="13" s="1"/>
  <c r="E67" i="12"/>
  <c r="E85" i="13" s="1"/>
  <c r="E69" i="12"/>
  <c r="E87" i="13" s="1"/>
  <c r="E106" i="12"/>
  <c r="E96" i="12"/>
  <c r="E108" i="13" s="1"/>
  <c r="E82" i="12"/>
  <c r="E80" i="12"/>
  <c r="E75" i="12"/>
  <c r="E74" i="12"/>
  <c r="E92" i="13" s="1"/>
  <c r="E98" i="12"/>
  <c r="E110" i="13" s="1"/>
  <c r="E107" i="12"/>
  <c r="E102" i="12"/>
  <c r="E114" i="13" s="1"/>
  <c r="E104" i="12"/>
  <c r="E63" i="15"/>
  <c r="E78" i="15" s="1"/>
  <c r="E47" i="12"/>
  <c r="E23" i="12"/>
  <c r="E52" i="13" s="1"/>
  <c r="E127" i="12"/>
  <c r="E76" i="12"/>
  <c r="E123" i="12"/>
  <c r="E129" i="13" s="1"/>
  <c r="E66" i="15"/>
  <c r="E81" i="15" s="1"/>
  <c r="E44" i="12"/>
  <c r="E45" i="12"/>
  <c r="E37" i="12"/>
  <c r="E66" i="13" s="1"/>
  <c r="E29" i="12"/>
  <c r="E58" i="13" s="1"/>
  <c r="E36" i="12"/>
  <c r="E65" i="13" s="1"/>
  <c r="E23" i="15" s="1"/>
  <c r="E35" i="15" s="1"/>
  <c r="E40" i="12"/>
  <c r="E69" i="13" s="1"/>
  <c r="E34" i="12"/>
  <c r="E63" i="13" s="1"/>
  <c r="E21" i="15" s="1"/>
  <c r="E33" i="15" s="1"/>
  <c r="E68" i="12"/>
  <c r="E86" i="13" s="1"/>
  <c r="E103" i="12"/>
  <c r="E115" i="13" s="1"/>
  <c r="E105" i="12"/>
  <c r="E67" i="15"/>
  <c r="E82" i="15" s="1"/>
  <c r="E62" i="15"/>
  <c r="E77" i="15" s="1"/>
  <c r="E64" i="15"/>
  <c r="E79" i="15" s="1"/>
  <c r="E43" i="12"/>
  <c r="E35" i="12"/>
  <c r="E64" i="13" s="1"/>
  <c r="E22" i="15" s="1"/>
  <c r="E34" i="15" s="1"/>
  <c r="E27" i="12"/>
  <c r="E56" i="13" s="1"/>
  <c r="E28" i="12"/>
  <c r="E57" i="13" s="1"/>
  <c r="E32" i="12"/>
  <c r="E61" i="13" s="1"/>
  <c r="E26" i="12"/>
  <c r="E55" i="13" s="1"/>
  <c r="E122" i="12"/>
  <c r="E128" i="13" s="1"/>
  <c r="E65" i="15"/>
  <c r="E80" i="15" s="1"/>
  <c r="E48" i="12"/>
  <c r="E49" i="12"/>
  <c r="E41" i="12"/>
  <c r="E70" i="13" s="1"/>
  <c r="E33" i="12"/>
  <c r="E62" i="13" s="1"/>
  <c r="E25" i="12"/>
  <c r="E54" i="13" s="1"/>
  <c r="E38" i="12"/>
  <c r="E67" i="13" s="1"/>
  <c r="E24" i="12"/>
  <c r="E53" i="13" s="1"/>
  <c r="E72" i="12"/>
  <c r="E90" i="13" s="1"/>
  <c r="E46" i="12"/>
  <c r="E39" i="12"/>
  <c r="E68" i="13" s="1"/>
  <c r="E31" i="12"/>
  <c r="E60" i="13" s="1"/>
  <c r="E30" i="12"/>
  <c r="E59" i="13" s="1"/>
  <c r="E42" i="12"/>
  <c r="E125" i="12"/>
  <c r="E81" i="12"/>
  <c r="E64" i="12"/>
  <c r="E82" i="13" s="1"/>
  <c r="E61" i="12"/>
  <c r="E79" i="13" s="1"/>
  <c r="E66" i="12"/>
  <c r="E84" i="13" s="1"/>
  <c r="E63" i="12"/>
  <c r="E81" i="13" s="1"/>
  <c r="E70" i="12"/>
  <c r="E88" i="13" s="1"/>
  <c r="E71" i="12"/>
  <c r="E89" i="13" s="1"/>
  <c r="E99" i="12"/>
  <c r="E111" i="13" s="1"/>
  <c r="E94" i="12"/>
  <c r="E106" i="13" s="1"/>
  <c r="E119" i="12"/>
  <c r="E125" i="13" s="1"/>
  <c r="E100" i="12"/>
  <c r="E112" i="13" s="1"/>
  <c r="E65" i="12"/>
  <c r="E83" i="13" s="1"/>
  <c r="E120" i="12"/>
  <c r="E126" i="13" s="1"/>
  <c r="E62" i="12"/>
  <c r="E80" i="13" s="1"/>
  <c r="E95" i="12"/>
  <c r="E107" i="13" s="1"/>
  <c r="B110" i="22"/>
  <c r="C110" i="22" s="1"/>
  <c r="J17" i="16"/>
  <c r="D454" i="22"/>
  <c r="J104" i="16"/>
  <c r="J113" i="16"/>
  <c r="D732" i="22"/>
  <c r="J97" i="13"/>
  <c r="B606" i="22"/>
  <c r="J33" i="16"/>
  <c r="C390" i="22"/>
  <c r="J64" i="16"/>
  <c r="J115" i="16"/>
  <c r="D796" i="22"/>
  <c r="J223" i="16"/>
  <c r="D828" i="22"/>
  <c r="G390" i="22"/>
  <c r="J209" i="16"/>
  <c r="J36" i="16"/>
  <c r="B700" i="22"/>
  <c r="C860" i="22"/>
  <c r="J79" i="16"/>
  <c r="G454" i="22"/>
  <c r="J211" i="16"/>
  <c r="J102" i="16"/>
  <c r="D390" i="22"/>
  <c r="B576" i="22"/>
  <c r="C576" i="22" s="1"/>
  <c r="J32" i="16"/>
  <c r="J96" i="13"/>
  <c r="G72" i="12"/>
  <c r="G90" i="13" s="1"/>
  <c r="G127" i="12"/>
  <c r="G62" i="15"/>
  <c r="G77" i="15" s="1"/>
  <c r="G45" i="12"/>
  <c r="G46" i="12"/>
  <c r="G38" i="12"/>
  <c r="G67" i="13" s="1"/>
  <c r="G30" i="12"/>
  <c r="G59" i="13" s="1"/>
  <c r="G43" i="12"/>
  <c r="G29" i="12"/>
  <c r="G58" i="13" s="1"/>
  <c r="G41" i="12"/>
  <c r="G70" i="13" s="1"/>
  <c r="G101" i="12"/>
  <c r="G113" i="13" s="1"/>
  <c r="G125" i="12"/>
  <c r="G82" i="12"/>
  <c r="G69" i="12"/>
  <c r="G87" i="13" s="1"/>
  <c r="G76" i="12"/>
  <c r="G105" i="12"/>
  <c r="G65" i="15"/>
  <c r="G80" i="15" s="1"/>
  <c r="G67" i="15"/>
  <c r="G82" i="15" s="1"/>
  <c r="G44" i="12"/>
  <c r="G36" i="12"/>
  <c r="G65" i="13" s="1"/>
  <c r="G23" i="15" s="1"/>
  <c r="G35" i="15" s="1"/>
  <c r="G28" i="12"/>
  <c r="G57" i="13" s="1"/>
  <c r="G35" i="12"/>
  <c r="G64" i="13" s="1"/>
  <c r="G22" i="15" s="1"/>
  <c r="G34" i="15" s="1"/>
  <c r="G39" i="12"/>
  <c r="G68" i="13" s="1"/>
  <c r="G33" i="12"/>
  <c r="G62" i="13" s="1"/>
  <c r="G122" i="12"/>
  <c r="G128" i="13" s="1"/>
  <c r="G102" i="12"/>
  <c r="G114" i="13" s="1"/>
  <c r="G66" i="15"/>
  <c r="G81" i="15" s="1"/>
  <c r="G49" i="12"/>
  <c r="G63" i="15"/>
  <c r="G78" i="15" s="1"/>
  <c r="G42" i="12"/>
  <c r="G34" i="12"/>
  <c r="G63" i="13" s="1"/>
  <c r="G21" i="15" s="1"/>
  <c r="G33" i="15" s="1"/>
  <c r="G26" i="12"/>
  <c r="G55" i="13" s="1"/>
  <c r="G27" i="12"/>
  <c r="G56" i="13" s="1"/>
  <c r="G31" i="12"/>
  <c r="G60" i="13" s="1"/>
  <c r="G25" i="12"/>
  <c r="G54" i="13" s="1"/>
  <c r="G77" i="12"/>
  <c r="G123" i="12"/>
  <c r="G129" i="13" s="1"/>
  <c r="G124" i="12"/>
  <c r="G64" i="15"/>
  <c r="G79" i="15" s="1"/>
  <c r="G47" i="12"/>
  <c r="G48" i="12"/>
  <c r="G40" i="12"/>
  <c r="G69" i="13" s="1"/>
  <c r="G32" i="12"/>
  <c r="G61" i="13" s="1"/>
  <c r="G24" i="12"/>
  <c r="G53" i="13" s="1"/>
  <c r="G37" i="12"/>
  <c r="G66" i="13" s="1"/>
  <c r="G23" i="12"/>
  <c r="G52" i="13" s="1"/>
  <c r="G68" i="12"/>
  <c r="G86" i="13" s="1"/>
  <c r="G81" i="12"/>
  <c r="G78" i="12"/>
  <c r="G106" i="12"/>
  <c r="G107" i="12"/>
  <c r="G67" i="12"/>
  <c r="G85" i="13" s="1"/>
  <c r="G96" i="12"/>
  <c r="G108" i="13" s="1"/>
  <c r="G80" i="12"/>
  <c r="G126" i="12"/>
  <c r="G73" i="12"/>
  <c r="G91" i="13" s="1"/>
  <c r="G97" i="12"/>
  <c r="G109" i="13" s="1"/>
  <c r="G75" i="12"/>
  <c r="G79" i="12"/>
  <c r="G121" i="12"/>
  <c r="G127" i="13" s="1"/>
  <c r="G74" i="12"/>
  <c r="G92" i="13" s="1"/>
  <c r="G103" i="12"/>
  <c r="G115" i="13" s="1"/>
  <c r="G104" i="12"/>
  <c r="G98" i="12"/>
  <c r="G110" i="13" s="1"/>
  <c r="G61" i="12"/>
  <c r="G79" i="13" s="1"/>
  <c r="G66" i="12"/>
  <c r="G84" i="13" s="1"/>
  <c r="G64" i="12"/>
  <c r="G82" i="13" s="1"/>
  <c r="G63" i="12"/>
  <c r="G81" i="13" s="1"/>
  <c r="G65" i="12"/>
  <c r="G83" i="13" s="1"/>
  <c r="G120" i="12"/>
  <c r="G126" i="13" s="1"/>
  <c r="G100" i="12"/>
  <c r="G112" i="13" s="1"/>
  <c r="G119" i="12"/>
  <c r="G125" i="13" s="1"/>
  <c r="G99" i="12"/>
  <c r="G111" i="13" s="1"/>
  <c r="G62" i="12"/>
  <c r="G80" i="13" s="1"/>
  <c r="G11" i="13"/>
  <c r="G70" i="12"/>
  <c r="G88" i="13" s="1"/>
  <c r="G71" i="12"/>
  <c r="G89" i="13" s="1"/>
  <c r="G95" i="12"/>
  <c r="G107" i="13" s="1"/>
  <c r="G94" i="12"/>
  <c r="G106" i="13" s="1"/>
  <c r="I15" i="16"/>
  <c r="B45" i="22"/>
  <c r="D45" i="22" s="1"/>
  <c r="I209" i="16"/>
  <c r="G389" i="22"/>
  <c r="F859" i="22"/>
  <c r="I224" i="16"/>
  <c r="C731" i="22"/>
  <c r="I75" i="16"/>
  <c r="G453" i="22"/>
  <c r="I211" i="16"/>
  <c r="B515" i="22"/>
  <c r="C515" i="22" s="1"/>
  <c r="I94" i="13"/>
  <c r="I30" i="16"/>
  <c r="I222" i="16"/>
  <c r="F795" i="22"/>
  <c r="I31" i="16"/>
  <c r="B545" i="22"/>
  <c r="C545" i="22" s="1"/>
  <c r="I95" i="13"/>
  <c r="D605" i="22"/>
  <c r="I109" i="16"/>
  <c r="I130" i="13"/>
  <c r="C795" i="22"/>
  <c r="I77" i="16"/>
  <c r="B453" i="22"/>
  <c r="I28" i="16"/>
  <c r="C453" i="22"/>
  <c r="I66" i="16"/>
  <c r="J18" i="16"/>
  <c r="B138" i="22"/>
  <c r="C294" i="22"/>
  <c r="J61" i="16"/>
  <c r="D606" i="22"/>
  <c r="J109" i="16"/>
  <c r="J130" i="13"/>
  <c r="B860" i="22"/>
  <c r="J41" i="16"/>
  <c r="J39" i="16"/>
  <c r="B796" i="22"/>
  <c r="D422" i="22"/>
  <c r="J103" i="16"/>
  <c r="C796" i="22"/>
  <c r="J77" i="16"/>
  <c r="C422" i="22"/>
  <c r="J65" i="16"/>
  <c r="B668" i="22"/>
  <c r="D668" i="22" s="1"/>
  <c r="I28" i="23" s="1"/>
  <c r="J35" i="16"/>
  <c r="B262" i="22"/>
  <c r="J22" i="16"/>
  <c r="D700" i="22"/>
  <c r="J219" i="16"/>
  <c r="F127" i="12"/>
  <c r="F63" i="15"/>
  <c r="F78" i="15" s="1"/>
  <c r="F62" i="15"/>
  <c r="F77" i="15" s="1"/>
  <c r="F33" i="12"/>
  <c r="F62" i="13" s="1"/>
  <c r="F43" i="12"/>
  <c r="F27" i="12"/>
  <c r="F56" i="13" s="1"/>
  <c r="F37" i="12"/>
  <c r="F66" i="13" s="1"/>
  <c r="F48" i="12"/>
  <c r="F31" i="12"/>
  <c r="F60" i="13" s="1"/>
  <c r="F97" i="12"/>
  <c r="F109" i="13" s="1"/>
  <c r="F106" i="12"/>
  <c r="F102" i="12"/>
  <c r="F114" i="13" s="1"/>
  <c r="F125" i="12"/>
  <c r="F64" i="15"/>
  <c r="F79" i="15" s="1"/>
  <c r="F47" i="12"/>
  <c r="F30" i="12"/>
  <c r="F59" i="13" s="1"/>
  <c r="F40" i="12"/>
  <c r="F69" i="13" s="1"/>
  <c r="F24" i="12"/>
  <c r="F53" i="13" s="1"/>
  <c r="F34" i="12"/>
  <c r="F63" i="13" s="1"/>
  <c r="F21" i="15" s="1"/>
  <c r="F33" i="15" s="1"/>
  <c r="F44" i="12"/>
  <c r="F28" i="12"/>
  <c r="F57" i="13" s="1"/>
  <c r="F76" i="12"/>
  <c r="F75" i="12"/>
  <c r="F73" i="12"/>
  <c r="F91" i="13" s="1"/>
  <c r="F105" i="12"/>
  <c r="F67" i="15"/>
  <c r="F82" i="15" s="1"/>
  <c r="F49" i="12"/>
  <c r="F41" i="12"/>
  <c r="F70" i="13" s="1"/>
  <c r="F25" i="12"/>
  <c r="F54" i="13" s="1"/>
  <c r="F35" i="12"/>
  <c r="F64" i="13" s="1"/>
  <c r="F22" i="15" s="1"/>
  <c r="F34" i="15" s="1"/>
  <c r="F45" i="12"/>
  <c r="F29" i="12"/>
  <c r="F58" i="13" s="1"/>
  <c r="F39" i="12"/>
  <c r="F68" i="13" s="1"/>
  <c r="F23" i="12"/>
  <c r="F52" i="13" s="1"/>
  <c r="F103" i="12"/>
  <c r="F115" i="13" s="1"/>
  <c r="F69" i="12"/>
  <c r="F87" i="13" s="1"/>
  <c r="F81" i="12"/>
  <c r="F121" i="12"/>
  <c r="F127" i="13" s="1"/>
  <c r="F65" i="15"/>
  <c r="F80" i="15" s="1"/>
  <c r="F66" i="15"/>
  <c r="F81" i="15" s="1"/>
  <c r="F38" i="12"/>
  <c r="F67" i="13" s="1"/>
  <c r="F46" i="12"/>
  <c r="F32" i="12"/>
  <c r="F61" i="13" s="1"/>
  <c r="F42" i="12"/>
  <c r="F26" i="12"/>
  <c r="F55" i="13" s="1"/>
  <c r="F36" i="12"/>
  <c r="F65" i="13" s="1"/>
  <c r="F23" i="15" s="1"/>
  <c r="F35" i="15" s="1"/>
  <c r="F67" i="12"/>
  <c r="F85" i="13" s="1"/>
  <c r="F79" i="12"/>
  <c r="F126" i="12"/>
  <c r="F96" i="12"/>
  <c r="F108" i="13" s="1"/>
  <c r="F124" i="12"/>
  <c r="F122" i="12"/>
  <c r="F128" i="13" s="1"/>
  <c r="F123" i="12"/>
  <c r="F129" i="13" s="1"/>
  <c r="F68" i="12"/>
  <c r="F86" i="13" s="1"/>
  <c r="F104" i="12"/>
  <c r="F101" i="12"/>
  <c r="F113" i="13" s="1"/>
  <c r="F72" i="12"/>
  <c r="F90" i="13" s="1"/>
  <c r="F98" i="12"/>
  <c r="F110" i="13" s="1"/>
  <c r="F107" i="12"/>
  <c r="F82" i="12"/>
  <c r="F77" i="12"/>
  <c r="F78" i="12"/>
  <c r="F80" i="12"/>
  <c r="F74" i="12"/>
  <c r="F92" i="13" s="1"/>
  <c r="F63" i="12"/>
  <c r="F81" i="13" s="1"/>
  <c r="F61" i="12"/>
  <c r="F79" i="13" s="1"/>
  <c r="F64" i="12"/>
  <c r="F82" i="13" s="1"/>
  <c r="F66" i="12"/>
  <c r="F84" i="13" s="1"/>
  <c r="F100" i="12"/>
  <c r="F112" i="13" s="1"/>
  <c r="F95" i="12"/>
  <c r="F107" i="13" s="1"/>
  <c r="F99" i="12"/>
  <c r="F111" i="13" s="1"/>
  <c r="F65" i="12"/>
  <c r="F83" i="13" s="1"/>
  <c r="F94" i="12"/>
  <c r="F106" i="13" s="1"/>
  <c r="F70" i="12"/>
  <c r="F88" i="13" s="1"/>
  <c r="F119" i="12"/>
  <c r="F125" i="13" s="1"/>
  <c r="F120" i="12"/>
  <c r="F126" i="13" s="1"/>
  <c r="F62" i="12"/>
  <c r="F80" i="13" s="1"/>
  <c r="F71" i="12"/>
  <c r="F89" i="13" s="1"/>
  <c r="C11" i="13"/>
  <c r="B109" i="22"/>
  <c r="C109" i="22" s="1"/>
  <c r="I17" i="16"/>
  <c r="D859" i="22"/>
  <c r="I117" i="16"/>
  <c r="D731" i="22"/>
  <c r="I113" i="16"/>
  <c r="B635" i="22"/>
  <c r="D635" i="22" s="1"/>
  <c r="I34" i="16"/>
  <c r="D827" i="22"/>
  <c r="I223" i="16"/>
  <c r="I79" i="16"/>
  <c r="C859" i="22"/>
  <c r="I36" i="16"/>
  <c r="B699" i="22"/>
  <c r="E699" i="22" s="1"/>
  <c r="I104" i="16"/>
  <c r="D453" i="22"/>
  <c r="G421" i="22"/>
  <c r="I421" i="22" s="1"/>
  <c r="I210" i="16"/>
  <c r="B229" i="22"/>
  <c r="F229" i="22" s="1"/>
  <c r="H14" i="23" s="1"/>
  <c r="I21" i="16"/>
  <c r="B485" i="22"/>
  <c r="C485" i="22" s="1"/>
  <c r="I29" i="16"/>
  <c r="I93" i="13"/>
  <c r="I41" i="16"/>
  <c r="B859" i="22"/>
  <c r="I96" i="13"/>
  <c r="B575" i="22"/>
  <c r="C575" i="22" s="1"/>
  <c r="I32" i="16"/>
  <c r="H127" i="12"/>
  <c r="H103" i="12"/>
  <c r="H115" i="13" s="1"/>
  <c r="H80" i="12"/>
  <c r="H81" i="12"/>
  <c r="H98" i="12"/>
  <c r="H110" i="13" s="1"/>
  <c r="H75" i="12"/>
  <c r="H123" i="12"/>
  <c r="H129" i="13" s="1"/>
  <c r="H101" i="12"/>
  <c r="H113" i="13" s="1"/>
  <c r="H69" i="12"/>
  <c r="H87" i="13" s="1"/>
  <c r="H79" i="12"/>
  <c r="H104" i="12"/>
  <c r="H126" i="12"/>
  <c r="H122" i="12"/>
  <c r="H128" i="13" s="1"/>
  <c r="H96" i="12"/>
  <c r="H108" i="13" s="1"/>
  <c r="H121" i="12"/>
  <c r="H127" i="13" s="1"/>
  <c r="H82" i="12"/>
  <c r="H76" i="12"/>
  <c r="H64" i="15"/>
  <c r="H79" i="15" s="1"/>
  <c r="H65" i="15"/>
  <c r="H80" i="15" s="1"/>
  <c r="H37" i="12"/>
  <c r="H66" i="13" s="1"/>
  <c r="H45" i="12"/>
  <c r="H31" i="12"/>
  <c r="H60" i="13" s="1"/>
  <c r="H44" i="12"/>
  <c r="H28" i="12"/>
  <c r="H57" i="13" s="1"/>
  <c r="H63" i="15"/>
  <c r="H78" i="15" s="1"/>
  <c r="H32" i="12"/>
  <c r="H61" i="13" s="1"/>
  <c r="H39" i="12"/>
  <c r="H68" i="13" s="1"/>
  <c r="H48" i="12"/>
  <c r="H25" i="12"/>
  <c r="H54" i="13" s="1"/>
  <c r="H35" i="12"/>
  <c r="H64" i="13" s="1"/>
  <c r="H22" i="15" s="1"/>
  <c r="H34" i="15" s="1"/>
  <c r="H102" i="12"/>
  <c r="H114" i="13" s="1"/>
  <c r="H67" i="12"/>
  <c r="H85" i="13" s="1"/>
  <c r="H68" i="12"/>
  <c r="H86" i="13" s="1"/>
  <c r="H105" i="12"/>
  <c r="H66" i="15"/>
  <c r="H81" i="15" s="1"/>
  <c r="H49" i="12"/>
  <c r="H29" i="12"/>
  <c r="H58" i="13" s="1"/>
  <c r="H34" i="12"/>
  <c r="H63" i="13" s="1"/>
  <c r="H21" i="15" s="1"/>
  <c r="H33" i="15" s="1"/>
  <c r="H41" i="12"/>
  <c r="H70" i="13" s="1"/>
  <c r="H47" i="12"/>
  <c r="H30" i="12"/>
  <c r="H59" i="13" s="1"/>
  <c r="H72" i="12"/>
  <c r="H90" i="13" s="1"/>
  <c r="H73" i="12"/>
  <c r="H91" i="13" s="1"/>
  <c r="H124" i="12"/>
  <c r="H78" i="12"/>
  <c r="H62" i="15"/>
  <c r="H77" i="15" s="1"/>
  <c r="H46" i="12"/>
  <c r="H24" i="12"/>
  <c r="H53" i="13" s="1"/>
  <c r="H26" i="12"/>
  <c r="H55" i="13" s="1"/>
  <c r="H36" i="12"/>
  <c r="H65" i="13" s="1"/>
  <c r="H23" i="15" s="1"/>
  <c r="H35" i="15" s="1"/>
  <c r="H43" i="12"/>
  <c r="H27" i="12"/>
  <c r="H56" i="13" s="1"/>
  <c r="H77" i="12"/>
  <c r="H106" i="12"/>
  <c r="H67" i="15"/>
  <c r="H82" i="15" s="1"/>
  <c r="H40" i="12"/>
  <c r="H69" i="13" s="1"/>
  <c r="H42" i="12"/>
  <c r="H23" i="12"/>
  <c r="H52" i="13" s="1"/>
  <c r="H33" i="12"/>
  <c r="H62" i="13" s="1"/>
  <c r="H38" i="12"/>
  <c r="H67" i="13" s="1"/>
  <c r="H97" i="12"/>
  <c r="H109" i="13" s="1"/>
  <c r="H74" i="12"/>
  <c r="H92" i="13" s="1"/>
  <c r="H125" i="12"/>
  <c r="H107" i="12"/>
  <c r="H64" i="12"/>
  <c r="H82" i="13" s="1"/>
  <c r="H66" i="12"/>
  <c r="H84" i="13" s="1"/>
  <c r="H61" i="12"/>
  <c r="H79" i="13" s="1"/>
  <c r="H63" i="12"/>
  <c r="H81" i="13" s="1"/>
  <c r="H70" i="12"/>
  <c r="H88" i="13" s="1"/>
  <c r="H100" i="12"/>
  <c r="H112" i="13" s="1"/>
  <c r="H94" i="12"/>
  <c r="H106" i="13" s="1"/>
  <c r="H62" i="12"/>
  <c r="H80" i="13" s="1"/>
  <c r="H95" i="12"/>
  <c r="H107" i="13" s="1"/>
  <c r="H71" i="12"/>
  <c r="H89" i="13" s="1"/>
  <c r="H120" i="12"/>
  <c r="H126" i="13" s="1"/>
  <c r="H65" i="12"/>
  <c r="H83" i="13" s="1"/>
  <c r="H119" i="12"/>
  <c r="H125" i="13" s="1"/>
  <c r="H99" i="12"/>
  <c r="H111" i="13" s="1"/>
  <c r="E11" i="13"/>
  <c r="B46" i="22"/>
  <c r="J15" i="16"/>
  <c r="C230" i="22"/>
  <c r="J59" i="16"/>
  <c r="C454" i="22"/>
  <c r="J66" i="16"/>
  <c r="B230" i="22"/>
  <c r="J21" i="16"/>
  <c r="J23" i="16"/>
  <c r="B294" i="22"/>
  <c r="B732" i="22"/>
  <c r="J37" i="16"/>
  <c r="B764" i="22"/>
  <c r="J38" i="16"/>
  <c r="C262" i="22"/>
  <c r="J60" i="16"/>
  <c r="D764" i="22"/>
  <c r="J221" i="16"/>
  <c r="B486" i="22"/>
  <c r="C486" i="22" s="1"/>
  <c r="J93" i="13"/>
  <c r="J29" i="16"/>
  <c r="J222" i="16"/>
  <c r="F796" i="22"/>
  <c r="J224" i="16"/>
  <c r="F860" i="22"/>
  <c r="E322" i="22"/>
  <c r="F138" i="16"/>
  <c r="D258" i="22"/>
  <c r="F136" i="16"/>
  <c r="H135" i="16"/>
  <c r="D228" i="22"/>
  <c r="H176" i="16"/>
  <c r="F452" i="22"/>
  <c r="F418" i="22"/>
  <c r="F175" i="16"/>
  <c r="D292" i="22"/>
  <c r="H137" i="16"/>
  <c r="D260" i="22"/>
  <c r="H136" i="16"/>
  <c r="E324" i="22"/>
  <c r="H138" i="16"/>
  <c r="D290" i="22"/>
  <c r="F137" i="16"/>
  <c r="F386" i="22"/>
  <c r="F174" i="16"/>
  <c r="F130" i="16"/>
  <c r="D74" i="22"/>
  <c r="F133" i="16"/>
  <c r="D166" i="22"/>
  <c r="E356" i="22"/>
  <c r="H139" i="16"/>
  <c r="D76" i="22"/>
  <c r="H130" i="16"/>
  <c r="E354" i="22"/>
  <c r="F139" i="16"/>
  <c r="F132" i="16"/>
  <c r="C134" i="22"/>
  <c r="D226" i="22"/>
  <c r="F135" i="16"/>
  <c r="F450" i="22"/>
  <c r="F176" i="16"/>
  <c r="C42" i="22"/>
  <c r="F129" i="16"/>
  <c r="C136" i="22"/>
  <c r="H132" i="16"/>
  <c r="F388" i="22"/>
  <c r="H174" i="16"/>
  <c r="F420" i="22"/>
  <c r="H175" i="16"/>
  <c r="D168" i="22"/>
  <c r="H133" i="16"/>
  <c r="F77" i="22"/>
  <c r="G325" i="22"/>
  <c r="H17" i="23" s="1"/>
  <c r="F155" i="9" l="1"/>
  <c r="D133" i="9"/>
  <c r="D155" i="9" s="1"/>
  <c r="D141" i="8"/>
  <c r="G155" i="9"/>
  <c r="C141" i="8"/>
  <c r="H133" i="9"/>
  <c r="H155" i="9" s="1"/>
  <c r="H141" i="8"/>
  <c r="E141" i="8"/>
  <c r="B141" i="8"/>
  <c r="C155" i="9"/>
  <c r="E155" i="9"/>
  <c r="B155" i="9"/>
  <c r="F141" i="8"/>
  <c r="J133" i="9"/>
  <c r="J155" i="9" s="1"/>
  <c r="B164" i="9" s="1"/>
  <c r="J202" i="9" s="1"/>
  <c r="J11" i="13" s="1"/>
  <c r="J141" i="8"/>
  <c r="I133" i="9"/>
  <c r="I155" i="9" s="1"/>
  <c r="I141" i="8"/>
  <c r="G141" i="8"/>
  <c r="F261" i="22"/>
  <c r="H15" i="23" s="1"/>
  <c r="G731" i="22"/>
  <c r="H732" i="22"/>
  <c r="G732" i="22"/>
  <c r="G860" i="22"/>
  <c r="H859" i="22"/>
  <c r="J859" i="22" s="1"/>
  <c r="G859" i="22"/>
  <c r="G796" i="22"/>
  <c r="G795" i="22"/>
  <c r="H9" i="23"/>
  <c r="G77" i="22"/>
  <c r="H77" i="22"/>
  <c r="I859" i="22"/>
  <c r="H22" i="23"/>
  <c r="D485" i="22"/>
  <c r="H20" i="23"/>
  <c r="K421" i="22"/>
  <c r="L421" i="22"/>
  <c r="J421" i="22"/>
  <c r="H10" i="23"/>
  <c r="D109" i="22"/>
  <c r="H23" i="23"/>
  <c r="D515" i="22"/>
  <c r="I25" i="23"/>
  <c r="D576" i="22"/>
  <c r="H31" i="23"/>
  <c r="F763" i="22"/>
  <c r="G763" i="22"/>
  <c r="H13" i="23"/>
  <c r="D201" i="22"/>
  <c r="I27" i="23"/>
  <c r="F636" i="22"/>
  <c r="E636" i="22"/>
  <c r="I24" i="23"/>
  <c r="D546" i="22"/>
  <c r="H390" i="22"/>
  <c r="H8" i="23"/>
  <c r="F45" i="22"/>
  <c r="E45" i="22"/>
  <c r="I10" i="23"/>
  <c r="D110" i="22"/>
  <c r="H454" i="22"/>
  <c r="I13" i="23"/>
  <c r="D202" i="22"/>
  <c r="H11" i="23"/>
  <c r="F137" i="22"/>
  <c r="E137" i="22"/>
  <c r="H25" i="23"/>
  <c r="D575" i="22"/>
  <c r="H27" i="23"/>
  <c r="F635" i="22"/>
  <c r="E635" i="22"/>
  <c r="H24" i="23"/>
  <c r="D545" i="22"/>
  <c r="E606" i="22"/>
  <c r="H421" i="22"/>
  <c r="H422" i="22"/>
  <c r="H389" i="22"/>
  <c r="E605" i="22"/>
  <c r="I22" i="23"/>
  <c r="D486" i="22"/>
  <c r="I30" i="23"/>
  <c r="J732" i="22"/>
  <c r="I732" i="22"/>
  <c r="H29" i="23"/>
  <c r="F699" i="22"/>
  <c r="G699" i="22"/>
  <c r="H453" i="22"/>
  <c r="I23" i="23"/>
  <c r="D516" i="22"/>
  <c r="I389" i="22"/>
  <c r="J19" i="16"/>
  <c r="B170" i="22"/>
  <c r="E170" i="22" s="1"/>
  <c r="H129" i="16"/>
  <c r="F293" i="22"/>
  <c r="H16" i="23" s="1"/>
  <c r="B358" i="22"/>
  <c r="J25" i="16"/>
  <c r="I453" i="22"/>
  <c r="B357" i="22"/>
  <c r="I25" i="16"/>
  <c r="B169" i="22"/>
  <c r="I19" i="16"/>
  <c r="E31" i="13"/>
  <c r="E93" i="14" s="1"/>
  <c r="E25" i="13"/>
  <c r="E89" i="14" s="1"/>
  <c r="E35" i="13"/>
  <c r="E97" i="14" s="1"/>
  <c r="E43" i="13"/>
  <c r="E36" i="13"/>
  <c r="E33" i="13"/>
  <c r="E95" i="14" s="1"/>
  <c r="E42" i="13"/>
  <c r="E34" i="13"/>
  <c r="E96" i="14" s="1"/>
  <c r="E29" i="13"/>
  <c r="E92" i="14" s="1"/>
  <c r="E28" i="13"/>
  <c r="E91" i="14" s="1"/>
  <c r="E39" i="13"/>
  <c r="E32" i="13"/>
  <c r="E94" i="14" s="1"/>
  <c r="E30" i="13"/>
  <c r="E27" i="13"/>
  <c r="E37" i="13"/>
  <c r="E41" i="13"/>
  <c r="E38" i="13"/>
  <c r="E26" i="13"/>
  <c r="E90" i="14" s="1"/>
  <c r="E40" i="13"/>
  <c r="D356" i="22"/>
  <c r="H101" i="16"/>
  <c r="C76" i="22"/>
  <c r="H54" i="16"/>
  <c r="B44" i="22"/>
  <c r="H15" i="16"/>
  <c r="H113" i="16"/>
  <c r="D730" i="22"/>
  <c r="F858" i="22"/>
  <c r="H224" i="16"/>
  <c r="B666" i="22"/>
  <c r="D666" i="22" s="1"/>
  <c r="G28" i="23" s="1"/>
  <c r="H35" i="16"/>
  <c r="B762" i="22"/>
  <c r="H38" i="16"/>
  <c r="H27" i="16"/>
  <c r="B420" i="22"/>
  <c r="D826" i="22"/>
  <c r="H223" i="16"/>
  <c r="H65" i="16"/>
  <c r="C420" i="22"/>
  <c r="H36" i="16"/>
  <c r="B698" i="22"/>
  <c r="H222" i="16"/>
  <c r="F794" i="22"/>
  <c r="D388" i="22"/>
  <c r="H102" i="16"/>
  <c r="C604" i="22"/>
  <c r="H71" i="16"/>
  <c r="H116" i="13"/>
  <c r="H104" i="16"/>
  <c r="D452" i="22"/>
  <c r="B730" i="22"/>
  <c r="H37" i="16"/>
  <c r="C25" i="13"/>
  <c r="C89" i="14" s="1"/>
  <c r="C29" i="13"/>
  <c r="C92" i="14" s="1"/>
  <c r="C43" i="13"/>
  <c r="C41" i="13"/>
  <c r="C39" i="13"/>
  <c r="C32" i="13"/>
  <c r="C94" i="14" s="1"/>
  <c r="C40" i="13"/>
  <c r="C42" i="13"/>
  <c r="C37" i="13"/>
  <c r="C38" i="13"/>
  <c r="C33" i="13"/>
  <c r="C95" i="14" s="1"/>
  <c r="C26" i="13"/>
  <c r="C90" i="14" s="1"/>
  <c r="C34" i="13"/>
  <c r="C96" i="14" s="1"/>
  <c r="C28" i="13"/>
  <c r="C91" i="14" s="1"/>
  <c r="C31" i="13"/>
  <c r="C93" i="14" s="1"/>
  <c r="C27" i="13"/>
  <c r="C30" i="13"/>
  <c r="C36" i="13"/>
  <c r="C35" i="13"/>
  <c r="C97" i="14" s="1"/>
  <c r="F100" i="16"/>
  <c r="D322" i="22"/>
  <c r="C322" i="22"/>
  <c r="F62" i="16"/>
  <c r="B134" i="22"/>
  <c r="D134" i="22" s="1"/>
  <c r="F18" i="16"/>
  <c r="B728" i="22"/>
  <c r="F37" i="16"/>
  <c r="C856" i="22"/>
  <c r="F79" i="16"/>
  <c r="F71" i="16"/>
  <c r="C602" i="22"/>
  <c r="F116" i="13"/>
  <c r="F109" i="16"/>
  <c r="F130" i="13"/>
  <c r="D602" i="22"/>
  <c r="B226" i="22"/>
  <c r="F21" i="16"/>
  <c r="F792" i="22"/>
  <c r="F222" i="16"/>
  <c r="C450" i="22"/>
  <c r="F66" i="16"/>
  <c r="B482" i="22"/>
  <c r="C482" i="22" s="1"/>
  <c r="F29" i="16"/>
  <c r="F93" i="13"/>
  <c r="G386" i="22"/>
  <c r="F209" i="16"/>
  <c r="C792" i="22"/>
  <c r="F77" i="16"/>
  <c r="D696" i="22"/>
  <c r="F219" i="16"/>
  <c r="B355" i="22"/>
  <c r="G25" i="16"/>
  <c r="C323" i="22"/>
  <c r="G62" i="16"/>
  <c r="B167" i="22"/>
  <c r="G19" i="16"/>
  <c r="B43" i="22"/>
  <c r="G15" i="16"/>
  <c r="B451" i="22"/>
  <c r="G28" i="16"/>
  <c r="C259" i="22"/>
  <c r="G60" i="16"/>
  <c r="C227" i="22"/>
  <c r="G59" i="16"/>
  <c r="B573" i="22"/>
  <c r="C573" i="22" s="1"/>
  <c r="G32" i="16"/>
  <c r="G96" i="13"/>
  <c r="G40" i="16"/>
  <c r="B825" i="22"/>
  <c r="D451" i="22"/>
  <c r="G104" i="16"/>
  <c r="F729" i="22"/>
  <c r="G220" i="16"/>
  <c r="G103" i="16"/>
  <c r="D419" i="22"/>
  <c r="G222" i="16"/>
  <c r="F793" i="22"/>
  <c r="B857" i="22"/>
  <c r="G41" i="16"/>
  <c r="B761" i="22"/>
  <c r="G38" i="16"/>
  <c r="B387" i="22"/>
  <c r="G26" i="16"/>
  <c r="E700" i="22"/>
  <c r="B165" i="22"/>
  <c r="E19" i="16"/>
  <c r="E62" i="16"/>
  <c r="C321" i="22"/>
  <c r="B197" i="22"/>
  <c r="C197" i="22" s="1"/>
  <c r="E20" i="16"/>
  <c r="D727" i="22"/>
  <c r="E113" i="16"/>
  <c r="E210" i="16"/>
  <c r="G417" i="22"/>
  <c r="E224" i="16"/>
  <c r="F855" i="22"/>
  <c r="E209" i="16"/>
  <c r="G385" i="22"/>
  <c r="D449" i="22"/>
  <c r="E104" i="16"/>
  <c r="C855" i="22"/>
  <c r="E79" i="16"/>
  <c r="E37" i="16"/>
  <c r="B727" i="22"/>
  <c r="E23" i="16"/>
  <c r="B289" i="22"/>
  <c r="E96" i="13"/>
  <c r="B571" i="22"/>
  <c r="C571" i="22" s="1"/>
  <c r="E32" i="16"/>
  <c r="B601" i="22"/>
  <c r="E33" i="16"/>
  <c r="E97" i="13"/>
  <c r="B351" i="22"/>
  <c r="C25" i="16"/>
  <c r="B71" i="22"/>
  <c r="C16" i="16"/>
  <c r="B103" i="22"/>
  <c r="C17" i="16"/>
  <c r="B599" i="22"/>
  <c r="C33" i="16"/>
  <c r="C97" i="13"/>
  <c r="C59" i="16"/>
  <c r="C223" i="22"/>
  <c r="D447" i="22"/>
  <c r="C104" i="16"/>
  <c r="C93" i="13"/>
  <c r="B479" i="22"/>
  <c r="C29" i="16"/>
  <c r="B789" i="22"/>
  <c r="C39" i="16"/>
  <c r="D693" i="22"/>
  <c r="C219" i="16"/>
  <c r="D853" i="22"/>
  <c r="C117" i="16"/>
  <c r="C255" i="22"/>
  <c r="C60" i="16"/>
  <c r="F789" i="22"/>
  <c r="C222" i="16"/>
  <c r="C66" i="16"/>
  <c r="C447" i="22"/>
  <c r="C224" i="16"/>
  <c r="F853" i="22"/>
  <c r="D40" i="13"/>
  <c r="D38" i="13"/>
  <c r="D31" i="13"/>
  <c r="D93" i="14" s="1"/>
  <c r="D33" i="13"/>
  <c r="D95" i="14" s="1"/>
  <c r="D25" i="13"/>
  <c r="D89" i="14" s="1"/>
  <c r="D37" i="13"/>
  <c r="D34" i="13"/>
  <c r="D96" i="14" s="1"/>
  <c r="D26" i="13"/>
  <c r="D90" i="14" s="1"/>
  <c r="D35" i="13"/>
  <c r="D97" i="14" s="1"/>
  <c r="D27" i="13"/>
  <c r="D41" i="13"/>
  <c r="D42" i="13"/>
  <c r="D28" i="13"/>
  <c r="D91" i="14" s="1"/>
  <c r="D30" i="13"/>
  <c r="D29" i="13"/>
  <c r="D92" i="14" s="1"/>
  <c r="D32" i="13"/>
  <c r="D94" i="14" s="1"/>
  <c r="D39" i="13"/>
  <c r="D36" i="13"/>
  <c r="D43" i="13"/>
  <c r="F605" i="22"/>
  <c r="D101" i="16"/>
  <c r="D352" i="22"/>
  <c r="D320" i="22"/>
  <c r="D100" i="16"/>
  <c r="D24" i="16"/>
  <c r="B320" i="22"/>
  <c r="B104" i="22"/>
  <c r="C104" i="22" s="1"/>
  <c r="D17" i="16"/>
  <c r="C416" i="22"/>
  <c r="D65" i="16"/>
  <c r="B694" i="22"/>
  <c r="E694" i="22" s="1"/>
  <c r="D36" i="16"/>
  <c r="B540" i="22"/>
  <c r="C540" i="22" s="1"/>
  <c r="D31" i="16"/>
  <c r="D95" i="13"/>
  <c r="D694" i="22"/>
  <c r="D219" i="16"/>
  <c r="B570" i="22"/>
  <c r="C570" i="22" s="1"/>
  <c r="D32" i="16"/>
  <c r="D96" i="13"/>
  <c r="D854" i="22"/>
  <c r="D117" i="16"/>
  <c r="B726" i="22"/>
  <c r="D37" i="16"/>
  <c r="D64" i="16"/>
  <c r="C384" i="22"/>
  <c r="B790" i="22"/>
  <c r="D39" i="16"/>
  <c r="B854" i="22"/>
  <c r="D41" i="16"/>
  <c r="C324" i="22"/>
  <c r="H62" i="16"/>
  <c r="B356" i="22"/>
  <c r="H25" i="16"/>
  <c r="C356" i="22"/>
  <c r="H63" i="16"/>
  <c r="B200" i="22"/>
  <c r="C200" i="22" s="1"/>
  <c r="H20" i="16"/>
  <c r="H28" i="16"/>
  <c r="B452" i="22"/>
  <c r="H77" i="16"/>
  <c r="C794" i="22"/>
  <c r="H211" i="16"/>
  <c r="G452" i="22"/>
  <c r="D698" i="22"/>
  <c r="H219" i="16"/>
  <c r="B388" i="22"/>
  <c r="H26" i="16"/>
  <c r="G388" i="22"/>
  <c r="H209" i="16"/>
  <c r="C730" i="22"/>
  <c r="H75" i="16"/>
  <c r="G420" i="22"/>
  <c r="H210" i="16"/>
  <c r="D762" i="22"/>
  <c r="H221" i="16"/>
  <c r="H59" i="16"/>
  <c r="C228" i="22"/>
  <c r="H97" i="13"/>
  <c r="B604" i="22"/>
  <c r="H33" i="16"/>
  <c r="H93" i="13"/>
  <c r="B484" i="22"/>
  <c r="C484" i="22" s="1"/>
  <c r="H29" i="16"/>
  <c r="C452" i="22"/>
  <c r="H66" i="16"/>
  <c r="B354" i="22"/>
  <c r="F25" i="16"/>
  <c r="F24" i="16"/>
  <c r="B322" i="22"/>
  <c r="C166" i="22"/>
  <c r="F57" i="16"/>
  <c r="B42" i="22"/>
  <c r="F15" i="16"/>
  <c r="B572" i="22"/>
  <c r="C572" i="22" s="1"/>
  <c r="F32" i="16"/>
  <c r="F96" i="13"/>
  <c r="F61" i="16"/>
  <c r="C290" i="22"/>
  <c r="B258" i="22"/>
  <c r="F22" i="16"/>
  <c r="F59" i="16"/>
  <c r="C226" i="22"/>
  <c r="F211" i="16"/>
  <c r="G450" i="22"/>
  <c r="F38" i="16"/>
  <c r="B760" i="22"/>
  <c r="D386" i="22"/>
  <c r="F102" i="16"/>
  <c r="G418" i="22"/>
  <c r="F210" i="16"/>
  <c r="F856" i="22"/>
  <c r="F224" i="16"/>
  <c r="B512" i="22"/>
  <c r="C512" i="22" s="1"/>
  <c r="F30" i="16"/>
  <c r="F94" i="13"/>
  <c r="F221" i="16"/>
  <c r="D760" i="22"/>
  <c r="C258" i="22"/>
  <c r="F60" i="16"/>
  <c r="F220" i="16"/>
  <c r="F728" i="22"/>
  <c r="B323" i="22"/>
  <c r="G24" i="16"/>
  <c r="D323" i="22"/>
  <c r="G100" i="16"/>
  <c r="G17" i="16"/>
  <c r="B107" i="22"/>
  <c r="C107" i="22" s="1"/>
  <c r="C291" i="22"/>
  <c r="G61" i="16"/>
  <c r="D387" i="22"/>
  <c r="G102" i="16"/>
  <c r="B419" i="22"/>
  <c r="G27" i="16"/>
  <c r="B227" i="22"/>
  <c r="G21" i="16"/>
  <c r="B793" i="22"/>
  <c r="G39" i="16"/>
  <c r="B543" i="22"/>
  <c r="C543" i="22" s="1"/>
  <c r="G31" i="16"/>
  <c r="G95" i="13"/>
  <c r="G211" i="16"/>
  <c r="G451" i="22"/>
  <c r="G75" i="16"/>
  <c r="C729" i="22"/>
  <c r="D729" i="22"/>
  <c r="G113" i="16"/>
  <c r="B665" i="22"/>
  <c r="D665" i="22" s="1"/>
  <c r="F28" i="23" s="1"/>
  <c r="G35" i="16"/>
  <c r="C165" i="22"/>
  <c r="E57" i="16"/>
  <c r="C353" i="22"/>
  <c r="E63" i="16"/>
  <c r="B353" i="22"/>
  <c r="E25" i="16"/>
  <c r="E15" i="16"/>
  <c r="B41" i="22"/>
  <c r="B631" i="22"/>
  <c r="D631" i="22" s="1"/>
  <c r="E34" i="16"/>
  <c r="E38" i="16"/>
  <c r="B759" i="22"/>
  <c r="E40" i="16"/>
  <c r="B823" i="22"/>
  <c r="B663" i="22"/>
  <c r="D663" i="22" s="1"/>
  <c r="D28" i="23" s="1"/>
  <c r="E35" i="16"/>
  <c r="E75" i="16"/>
  <c r="C727" i="22"/>
  <c r="E30" i="16"/>
  <c r="E94" i="13"/>
  <c r="B511" i="22"/>
  <c r="C511" i="22" s="1"/>
  <c r="F727" i="22"/>
  <c r="E220" i="16"/>
  <c r="E61" i="16"/>
  <c r="C289" i="22"/>
  <c r="E41" i="16"/>
  <c r="B855" i="22"/>
  <c r="E21" i="16"/>
  <c r="B225" i="22"/>
  <c r="E31" i="16"/>
  <c r="B541" i="22"/>
  <c r="C541" i="22" s="1"/>
  <c r="E95" i="13"/>
  <c r="E64" i="16"/>
  <c r="C385" i="22"/>
  <c r="H795" i="22"/>
  <c r="C319" i="22"/>
  <c r="C62" i="16"/>
  <c r="D319" i="22"/>
  <c r="C100" i="16"/>
  <c r="B131" i="22"/>
  <c r="C18" i="16"/>
  <c r="B415" i="22"/>
  <c r="C27" i="16"/>
  <c r="B539" i="22"/>
  <c r="C31" i="16"/>
  <c r="C95" i="13"/>
  <c r="C37" i="16"/>
  <c r="B725" i="22"/>
  <c r="B287" i="22"/>
  <c r="C23" i="16"/>
  <c r="B661" i="22"/>
  <c r="C35" i="16"/>
  <c r="C28" i="16"/>
  <c r="B447" i="22"/>
  <c r="C40" i="16"/>
  <c r="B821" i="22"/>
  <c r="C30" i="16"/>
  <c r="C94" i="13"/>
  <c r="B509" i="22"/>
  <c r="C65" i="16"/>
  <c r="C415" i="22"/>
  <c r="F725" i="22"/>
  <c r="C220" i="16"/>
  <c r="G415" i="22"/>
  <c r="C210" i="16"/>
  <c r="G447" i="22"/>
  <c r="C211" i="16"/>
  <c r="C130" i="13"/>
  <c r="D599" i="22"/>
  <c r="C109" i="16"/>
  <c r="E828" i="22"/>
  <c r="D54" i="16"/>
  <c r="C72" i="22"/>
  <c r="B352" i="22"/>
  <c r="D25" i="16"/>
  <c r="D57" i="16"/>
  <c r="C164" i="22"/>
  <c r="B196" i="22"/>
  <c r="C196" i="22" s="1"/>
  <c r="D20" i="16"/>
  <c r="D790" i="22"/>
  <c r="D115" i="16"/>
  <c r="F790" i="22"/>
  <c r="D222" i="16"/>
  <c r="D726" i="22"/>
  <c r="D113" i="16"/>
  <c r="B288" i="22"/>
  <c r="D23" i="16"/>
  <c r="G416" i="22"/>
  <c r="D210" i="16"/>
  <c r="D34" i="16"/>
  <c r="B630" i="22"/>
  <c r="D630" i="22" s="1"/>
  <c r="D130" i="13"/>
  <c r="D600" i="22"/>
  <c r="D109" i="16"/>
  <c r="D94" i="13"/>
  <c r="B510" i="22"/>
  <c r="C510" i="22" s="1"/>
  <c r="D30" i="16"/>
  <c r="D66" i="16"/>
  <c r="C448" i="22"/>
  <c r="C600" i="22"/>
  <c r="D71" i="16"/>
  <c r="D116" i="13"/>
  <c r="D33" i="16"/>
  <c r="D97" i="13"/>
  <c r="B600" i="22"/>
  <c r="D324" i="22"/>
  <c r="H100" i="16"/>
  <c r="C168" i="22"/>
  <c r="H57" i="16"/>
  <c r="B324" i="22"/>
  <c r="G324" i="22" s="1"/>
  <c r="G17" i="23" s="1"/>
  <c r="H24" i="16"/>
  <c r="B136" i="22"/>
  <c r="D136" i="22" s="1"/>
  <c r="H18" i="16"/>
  <c r="C260" i="22"/>
  <c r="H60" i="16"/>
  <c r="H34" i="16"/>
  <c r="B634" i="22"/>
  <c r="D634" i="22" s="1"/>
  <c r="B544" i="22"/>
  <c r="C544" i="22" s="1"/>
  <c r="H31" i="16"/>
  <c r="H95" i="13"/>
  <c r="B574" i="22"/>
  <c r="C574" i="22" s="1"/>
  <c r="H32" i="16"/>
  <c r="H96" i="13"/>
  <c r="H22" i="16"/>
  <c r="B260" i="22"/>
  <c r="H220" i="16"/>
  <c r="F730" i="22"/>
  <c r="B514" i="22"/>
  <c r="C514" i="22" s="1"/>
  <c r="H30" i="16"/>
  <c r="H94" i="13"/>
  <c r="H103" i="16"/>
  <c r="D420" i="22"/>
  <c r="H23" i="16"/>
  <c r="B292" i="22"/>
  <c r="C292" i="22"/>
  <c r="H61" i="16"/>
  <c r="D858" i="22"/>
  <c r="H117" i="16"/>
  <c r="B74" i="22"/>
  <c r="F16" i="16"/>
  <c r="C74" i="22"/>
  <c r="F54" i="16"/>
  <c r="C354" i="22"/>
  <c r="F63" i="16"/>
  <c r="B106" i="22"/>
  <c r="C106" i="22" s="1"/>
  <c r="F17" i="16"/>
  <c r="B542" i="22"/>
  <c r="C542" i="22" s="1"/>
  <c r="F31" i="16"/>
  <c r="F95" i="13"/>
  <c r="B386" i="22"/>
  <c r="F26" i="16"/>
  <c r="F104" i="16"/>
  <c r="D450" i="22"/>
  <c r="D792" i="22"/>
  <c r="F115" i="16"/>
  <c r="B792" i="22"/>
  <c r="F39" i="16"/>
  <c r="F75" i="16"/>
  <c r="C728" i="22"/>
  <c r="D728" i="22"/>
  <c r="F113" i="16"/>
  <c r="F35" i="16"/>
  <c r="B664" i="22"/>
  <c r="D664" i="22" s="1"/>
  <c r="E28" i="23" s="1"/>
  <c r="D856" i="22"/>
  <c r="F117" i="16"/>
  <c r="H860" i="22"/>
  <c r="C75" i="22"/>
  <c r="G54" i="16"/>
  <c r="G27" i="13"/>
  <c r="G26" i="13"/>
  <c r="G90" i="14" s="1"/>
  <c r="G29" i="13"/>
  <c r="G92" i="14" s="1"/>
  <c r="G43" i="13"/>
  <c r="G36" i="13"/>
  <c r="G39" i="13"/>
  <c r="G32" i="13"/>
  <c r="G94" i="14" s="1"/>
  <c r="G31" i="13"/>
  <c r="G93" i="14" s="1"/>
  <c r="G34" i="13"/>
  <c r="G96" i="14" s="1"/>
  <c r="G37" i="13"/>
  <c r="G41" i="13"/>
  <c r="G33" i="13"/>
  <c r="G95" i="14" s="1"/>
  <c r="G30" i="13"/>
  <c r="G25" i="13"/>
  <c r="G89" i="14" s="1"/>
  <c r="G28" i="13"/>
  <c r="G91" i="14" s="1"/>
  <c r="G35" i="13"/>
  <c r="G97" i="14" s="1"/>
  <c r="G38" i="13"/>
  <c r="G42" i="13"/>
  <c r="G40" i="13"/>
  <c r="C355" i="22"/>
  <c r="G63" i="16"/>
  <c r="G18" i="16"/>
  <c r="B135" i="22"/>
  <c r="C603" i="22"/>
  <c r="G71" i="16"/>
  <c r="G116" i="13"/>
  <c r="B603" i="22"/>
  <c r="G33" i="16"/>
  <c r="G97" i="13"/>
  <c r="D793" i="22"/>
  <c r="G115" i="16"/>
  <c r="C857" i="22"/>
  <c r="G79" i="16"/>
  <c r="B259" i="22"/>
  <c r="G22" i="16"/>
  <c r="G221" i="16"/>
  <c r="D761" i="22"/>
  <c r="G387" i="22"/>
  <c r="G209" i="16"/>
  <c r="D825" i="22"/>
  <c r="G223" i="16"/>
  <c r="B697" i="22"/>
  <c r="E697" i="22" s="1"/>
  <c r="G36" i="16"/>
  <c r="B513" i="22"/>
  <c r="C513" i="22" s="1"/>
  <c r="G30" i="16"/>
  <c r="G94" i="13"/>
  <c r="C387" i="22"/>
  <c r="G64" i="16"/>
  <c r="D697" i="22"/>
  <c r="G219" i="16"/>
  <c r="B73" i="22"/>
  <c r="E16" i="16"/>
  <c r="E100" i="16"/>
  <c r="D321" i="22"/>
  <c r="E24" i="16"/>
  <c r="B321" i="22"/>
  <c r="B133" i="22"/>
  <c r="E18" i="16"/>
  <c r="B385" i="22"/>
  <c r="E26" i="16"/>
  <c r="F791" i="22"/>
  <c r="E222" i="16"/>
  <c r="E221" i="16"/>
  <c r="D759" i="22"/>
  <c r="C449" i="22"/>
  <c r="E66" i="16"/>
  <c r="G449" i="22"/>
  <c r="E211" i="16"/>
  <c r="E36" i="16"/>
  <c r="B695" i="22"/>
  <c r="E117" i="16"/>
  <c r="D855" i="22"/>
  <c r="E71" i="16"/>
  <c r="E116" i="13"/>
  <c r="C601" i="22"/>
  <c r="E28" i="16"/>
  <c r="B449" i="22"/>
  <c r="C225" i="22"/>
  <c r="E59" i="16"/>
  <c r="E102" i="16"/>
  <c r="D385" i="22"/>
  <c r="E115" i="16"/>
  <c r="D791" i="22"/>
  <c r="D601" i="22"/>
  <c r="E109" i="16"/>
  <c r="E130" i="13"/>
  <c r="H731" i="22"/>
  <c r="D351" i="22"/>
  <c r="C101" i="16"/>
  <c r="C351" i="22"/>
  <c r="C63" i="16"/>
  <c r="C163" i="22"/>
  <c r="C57" i="16"/>
  <c r="B39" i="22"/>
  <c r="C15" i="16"/>
  <c r="B383" i="22"/>
  <c r="C26" i="16"/>
  <c r="C61" i="16"/>
  <c r="C287" i="22"/>
  <c r="C725" i="22"/>
  <c r="C75" i="16"/>
  <c r="C77" i="16"/>
  <c r="C789" i="22"/>
  <c r="C38" i="16"/>
  <c r="B757" i="22"/>
  <c r="D789" i="22"/>
  <c r="C115" i="16"/>
  <c r="C383" i="22"/>
  <c r="C64" i="16"/>
  <c r="C209" i="16"/>
  <c r="G383" i="22"/>
  <c r="D821" i="22"/>
  <c r="C223" i="16"/>
  <c r="B693" i="22"/>
  <c r="C36" i="16"/>
  <c r="B255" i="22"/>
  <c r="C22" i="16"/>
  <c r="E827" i="22"/>
  <c r="B164" i="22"/>
  <c r="E164" i="22" s="1"/>
  <c r="D19" i="16"/>
  <c r="C320" i="22"/>
  <c r="D62" i="16"/>
  <c r="D18" i="16"/>
  <c r="B132" i="22"/>
  <c r="D93" i="13"/>
  <c r="B480" i="22"/>
  <c r="C480" i="22" s="1"/>
  <c r="D29" i="16"/>
  <c r="D77" i="16"/>
  <c r="C790" i="22"/>
  <c r="G384" i="22"/>
  <c r="D209" i="16"/>
  <c r="B416" i="22"/>
  <c r="D27" i="16"/>
  <c r="B758" i="22"/>
  <c r="D38" i="16"/>
  <c r="F726" i="22"/>
  <c r="D220" i="16"/>
  <c r="B224" i="22"/>
  <c r="D21" i="16"/>
  <c r="D224" i="16"/>
  <c r="F854" i="22"/>
  <c r="D384" i="22"/>
  <c r="D102" i="16"/>
  <c r="C288" i="22"/>
  <c r="D61" i="16"/>
  <c r="C224" i="22"/>
  <c r="D59" i="16"/>
  <c r="D448" i="22"/>
  <c r="D104" i="16"/>
  <c r="I420" i="22"/>
  <c r="D44" i="22"/>
  <c r="D42" i="22"/>
  <c r="F226" i="22"/>
  <c r="E14" i="23" s="1"/>
  <c r="E764" i="22"/>
  <c r="B168" i="22"/>
  <c r="H19" i="16"/>
  <c r="H16" i="16"/>
  <c r="B76" i="22"/>
  <c r="B108" i="22"/>
  <c r="C108" i="22" s="1"/>
  <c r="H17" i="16"/>
  <c r="C858" i="22"/>
  <c r="H79" i="16"/>
  <c r="D604" i="22"/>
  <c r="H109" i="16"/>
  <c r="H130" i="13"/>
  <c r="B228" i="22"/>
  <c r="H21" i="16"/>
  <c r="H40" i="16"/>
  <c r="B826" i="22"/>
  <c r="E826" i="22" s="1"/>
  <c r="H41" i="16"/>
  <c r="B858" i="22"/>
  <c r="H115" i="16"/>
  <c r="D794" i="22"/>
  <c r="H64" i="16"/>
  <c r="C388" i="22"/>
  <c r="H39" i="16"/>
  <c r="B794" i="22"/>
  <c r="D354" i="22"/>
  <c r="F101" i="16"/>
  <c r="F19" i="16"/>
  <c r="B166" i="22"/>
  <c r="B198" i="22"/>
  <c r="C198" i="22" s="1"/>
  <c r="F20" i="16"/>
  <c r="B450" i="22"/>
  <c r="F28" i="16"/>
  <c r="F41" i="16"/>
  <c r="B856" i="22"/>
  <c r="C386" i="22"/>
  <c r="F64" i="16"/>
  <c r="F103" i="16"/>
  <c r="D418" i="22"/>
  <c r="B602" i="22"/>
  <c r="F97" i="13"/>
  <c r="F33" i="16"/>
  <c r="B632" i="22"/>
  <c r="D632" i="22" s="1"/>
  <c r="F34" i="16"/>
  <c r="D824" i="22"/>
  <c r="F223" i="16"/>
  <c r="B290" i="22"/>
  <c r="F290" i="22" s="1"/>
  <c r="E16" i="23" s="1"/>
  <c r="F23" i="16"/>
  <c r="F27" i="16"/>
  <c r="B418" i="22"/>
  <c r="B696" i="22"/>
  <c r="E696" i="22" s="1"/>
  <c r="F36" i="16"/>
  <c r="F65" i="16"/>
  <c r="C418" i="22"/>
  <c r="B824" i="22"/>
  <c r="E824" i="22" s="1"/>
  <c r="F40" i="16"/>
  <c r="H796" i="22"/>
  <c r="C167" i="22"/>
  <c r="G57" i="16"/>
  <c r="B75" i="22"/>
  <c r="G16" i="16"/>
  <c r="D355" i="22"/>
  <c r="G101" i="16"/>
  <c r="B199" i="22"/>
  <c r="C199" i="22" s="1"/>
  <c r="G20" i="16"/>
  <c r="C451" i="22"/>
  <c r="G66" i="16"/>
  <c r="B483" i="22"/>
  <c r="C483" i="22" s="1"/>
  <c r="G29" i="16"/>
  <c r="G93" i="13"/>
  <c r="B729" i="22"/>
  <c r="G37" i="16"/>
  <c r="C793" i="22"/>
  <c r="G77" i="16"/>
  <c r="G109" i="16"/>
  <c r="G130" i="13"/>
  <c r="D603" i="22"/>
  <c r="B633" i="22"/>
  <c r="D633" i="22" s="1"/>
  <c r="G34" i="16"/>
  <c r="C419" i="22"/>
  <c r="G65" i="16"/>
  <c r="G419" i="22"/>
  <c r="G210" i="16"/>
  <c r="G224" i="16"/>
  <c r="F857" i="22"/>
  <c r="B291" i="22"/>
  <c r="G23" i="16"/>
  <c r="D857" i="22"/>
  <c r="G117" i="16"/>
  <c r="F606" i="22"/>
  <c r="D353" i="22"/>
  <c r="E101" i="16"/>
  <c r="C73" i="22"/>
  <c r="E54" i="16"/>
  <c r="B105" i="22"/>
  <c r="C105" i="22" s="1"/>
  <c r="E17" i="16"/>
  <c r="E39" i="16"/>
  <c r="B791" i="22"/>
  <c r="D417" i="22"/>
  <c r="E103" i="16"/>
  <c r="D695" i="22"/>
  <c r="E219" i="16"/>
  <c r="E22" i="16"/>
  <c r="B257" i="22"/>
  <c r="D823" i="22"/>
  <c r="E223" i="16"/>
  <c r="C417" i="22"/>
  <c r="E65" i="16"/>
  <c r="E93" i="13"/>
  <c r="B481" i="22"/>
  <c r="C481" i="22" s="1"/>
  <c r="E29" i="16"/>
  <c r="C791" i="22"/>
  <c r="E77" i="16"/>
  <c r="E60" i="16"/>
  <c r="C257" i="22"/>
  <c r="B417" i="22"/>
  <c r="E27" i="16"/>
  <c r="C71" i="22"/>
  <c r="C54" i="16"/>
  <c r="B319" i="22"/>
  <c r="C24" i="16"/>
  <c r="B163" i="22"/>
  <c r="C19" i="16"/>
  <c r="C20" i="16"/>
  <c r="B195" i="22"/>
  <c r="C853" i="22"/>
  <c r="C79" i="16"/>
  <c r="B223" i="22"/>
  <c r="C21" i="16"/>
  <c r="C96" i="13"/>
  <c r="B569" i="22"/>
  <c r="C32" i="16"/>
  <c r="D415" i="22"/>
  <c r="C103" i="16"/>
  <c r="D383" i="22"/>
  <c r="C102" i="16"/>
  <c r="D757" i="22"/>
  <c r="C221" i="16"/>
  <c r="C599" i="22"/>
  <c r="C71" i="16"/>
  <c r="C116" i="13"/>
  <c r="B629" i="22"/>
  <c r="C34" i="16"/>
  <c r="B853" i="22"/>
  <c r="C41" i="16"/>
  <c r="D725" i="22"/>
  <c r="C113" i="16"/>
  <c r="D16" i="16"/>
  <c r="B72" i="22"/>
  <c r="E72" i="22" s="1"/>
  <c r="C352" i="22"/>
  <c r="D63" i="16"/>
  <c r="B40" i="22"/>
  <c r="D15" i="16"/>
  <c r="C726" i="22"/>
  <c r="D75" i="16"/>
  <c r="D35" i="16"/>
  <c r="B662" i="22"/>
  <c r="D662" i="22" s="1"/>
  <c r="C28" i="23" s="1"/>
  <c r="D40" i="16"/>
  <c r="B822" i="22"/>
  <c r="D26" i="16"/>
  <c r="B384" i="22"/>
  <c r="G448" i="22"/>
  <c r="D211" i="16"/>
  <c r="D221" i="16"/>
  <c r="D758" i="22"/>
  <c r="B448" i="22"/>
  <c r="H448" i="22" s="1"/>
  <c r="D28" i="16"/>
  <c r="D223" i="16"/>
  <c r="D822" i="22"/>
  <c r="C854" i="22"/>
  <c r="D79" i="16"/>
  <c r="B256" i="22"/>
  <c r="D22" i="16"/>
  <c r="D416" i="22"/>
  <c r="D103" i="16"/>
  <c r="D60" i="16"/>
  <c r="C256" i="22"/>
  <c r="H34" i="23" l="1"/>
  <c r="J213" i="9"/>
  <c r="H213" i="9"/>
  <c r="G20" i="10" s="1"/>
  <c r="H68" i="10" s="1"/>
  <c r="G322" i="22"/>
  <c r="E17" i="23" s="1"/>
  <c r="E213" i="9"/>
  <c r="D213" i="9"/>
  <c r="C20" i="10" s="1"/>
  <c r="D68" i="10" s="1"/>
  <c r="F213" i="9"/>
  <c r="E20" i="10" s="1"/>
  <c r="F68" i="10" s="1"/>
  <c r="E760" i="22"/>
  <c r="E31" i="23" s="1"/>
  <c r="E822" i="22"/>
  <c r="E75" i="22"/>
  <c r="H384" i="22"/>
  <c r="I213" i="9"/>
  <c r="B213" i="9"/>
  <c r="C213" i="9"/>
  <c r="D20" i="10"/>
  <c r="E68" i="10" s="1"/>
  <c r="I20" i="10"/>
  <c r="J68" i="10" s="1"/>
  <c r="G213" i="9"/>
  <c r="J32" i="13"/>
  <c r="J94" i="14" s="1"/>
  <c r="J28" i="13"/>
  <c r="J91" i="14" s="1"/>
  <c r="J33" i="13"/>
  <c r="J95" i="14" s="1"/>
  <c r="J37" i="13"/>
  <c r="J41" i="13"/>
  <c r="J25" i="13"/>
  <c r="J89" i="14" s="1"/>
  <c r="J29" i="13"/>
  <c r="J92" i="14" s="1"/>
  <c r="J34" i="13"/>
  <c r="J96" i="14" s="1"/>
  <c r="J38" i="13"/>
  <c r="J42" i="13"/>
  <c r="J26" i="13"/>
  <c r="J90" i="14" s="1"/>
  <c r="J30" i="13"/>
  <c r="J35" i="13"/>
  <c r="J97" i="14" s="1"/>
  <c r="J39" i="13"/>
  <c r="J43" i="13"/>
  <c r="J27" i="13"/>
  <c r="J31" i="13"/>
  <c r="J93" i="14" s="1"/>
  <c r="J36" i="13"/>
  <c r="J40" i="13"/>
  <c r="F356" i="22"/>
  <c r="F258" i="22"/>
  <c r="E15" i="23" s="1"/>
  <c r="H794" i="22"/>
  <c r="I794" i="22" s="1"/>
  <c r="G794" i="22"/>
  <c r="H449" i="22"/>
  <c r="G853" i="22"/>
  <c r="G792" i="22"/>
  <c r="G725" i="22"/>
  <c r="G793" i="22"/>
  <c r="G790" i="22"/>
  <c r="G726" i="22"/>
  <c r="G789" i="22"/>
  <c r="H729" i="22"/>
  <c r="J729" i="22" s="1"/>
  <c r="G729" i="22"/>
  <c r="H856" i="22"/>
  <c r="E34" i="23" s="1"/>
  <c r="G856" i="22"/>
  <c r="H858" i="22"/>
  <c r="I858" i="22" s="1"/>
  <c r="G858" i="22"/>
  <c r="G855" i="22"/>
  <c r="G727" i="22"/>
  <c r="G730" i="22"/>
  <c r="H791" i="22"/>
  <c r="D32" i="23" s="1"/>
  <c r="G791" i="22"/>
  <c r="E758" i="22"/>
  <c r="G758" i="22" s="1"/>
  <c r="E695" i="22"/>
  <c r="F695" i="22" s="1"/>
  <c r="G854" i="22"/>
  <c r="G857" i="22"/>
  <c r="G728" i="22"/>
  <c r="E163" i="22"/>
  <c r="D22" i="23"/>
  <c r="D481" i="22"/>
  <c r="I26" i="23"/>
  <c r="G606" i="22"/>
  <c r="F27" i="23"/>
  <c r="F633" i="22"/>
  <c r="E633" i="22"/>
  <c r="H418" i="22"/>
  <c r="E13" i="23"/>
  <c r="D198" i="22"/>
  <c r="F76" i="22"/>
  <c r="E76" i="22"/>
  <c r="I31" i="23"/>
  <c r="F764" i="22"/>
  <c r="G764" i="22"/>
  <c r="G20" i="23"/>
  <c r="L420" i="22"/>
  <c r="K420" i="22"/>
  <c r="J420" i="22"/>
  <c r="C22" i="23"/>
  <c r="D480" i="22"/>
  <c r="H33" i="23"/>
  <c r="G827" i="22"/>
  <c r="F827" i="22"/>
  <c r="D29" i="23"/>
  <c r="F29" i="23"/>
  <c r="G697" i="22"/>
  <c r="F697" i="22"/>
  <c r="I34" i="23"/>
  <c r="J860" i="22"/>
  <c r="I860" i="22"/>
  <c r="H386" i="22"/>
  <c r="G24" i="23"/>
  <c r="D544" i="22"/>
  <c r="C13" i="23"/>
  <c r="D196" i="22"/>
  <c r="F352" i="22"/>
  <c r="H447" i="22"/>
  <c r="H415" i="22"/>
  <c r="F24" i="23"/>
  <c r="D543" i="22"/>
  <c r="G760" i="22"/>
  <c r="E25" i="23"/>
  <c r="D572" i="22"/>
  <c r="F354" i="22"/>
  <c r="G22" i="23"/>
  <c r="D484" i="22"/>
  <c r="H388" i="22"/>
  <c r="C24" i="23"/>
  <c r="D540" i="22"/>
  <c r="E599" i="22"/>
  <c r="E71" i="22"/>
  <c r="H387" i="22"/>
  <c r="E22" i="23"/>
  <c r="D482" i="22"/>
  <c r="F169" i="22"/>
  <c r="E169" i="22"/>
  <c r="G357" i="22"/>
  <c r="F357" i="22"/>
  <c r="F358" i="22"/>
  <c r="I32" i="23"/>
  <c r="J796" i="22"/>
  <c r="I796" i="22"/>
  <c r="F166" i="22"/>
  <c r="E166" i="22"/>
  <c r="G32" i="23"/>
  <c r="G33" i="23"/>
  <c r="G826" i="22"/>
  <c r="F826" i="22"/>
  <c r="E10" i="23"/>
  <c r="D106" i="22"/>
  <c r="G25" i="23"/>
  <c r="D574" i="22"/>
  <c r="G27" i="23"/>
  <c r="F634" i="22"/>
  <c r="E634" i="22"/>
  <c r="E600" i="22"/>
  <c r="D23" i="23"/>
  <c r="D511" i="22"/>
  <c r="D27" i="23"/>
  <c r="F631" i="22"/>
  <c r="E631" i="22"/>
  <c r="F353" i="22"/>
  <c r="E23" i="23"/>
  <c r="D512" i="22"/>
  <c r="H26" i="23"/>
  <c r="G605" i="22"/>
  <c r="E601" i="22"/>
  <c r="F25" i="23"/>
  <c r="D573" i="22"/>
  <c r="H21" i="23"/>
  <c r="L453" i="22"/>
  <c r="K453" i="22"/>
  <c r="J453" i="22"/>
  <c r="H19" i="23"/>
  <c r="K389" i="22"/>
  <c r="L389" i="22"/>
  <c r="J389" i="22"/>
  <c r="H417" i="22"/>
  <c r="F22" i="23"/>
  <c r="D483" i="22"/>
  <c r="F13" i="23"/>
  <c r="D199" i="22"/>
  <c r="F602" i="22"/>
  <c r="E602" i="22"/>
  <c r="I450" i="22"/>
  <c r="H450" i="22"/>
  <c r="E8" i="23"/>
  <c r="F42" i="22"/>
  <c r="E42" i="22"/>
  <c r="H416" i="22"/>
  <c r="H383" i="22"/>
  <c r="F23" i="23"/>
  <c r="D513" i="22"/>
  <c r="G23" i="23"/>
  <c r="D514" i="22"/>
  <c r="G11" i="23"/>
  <c r="F136" i="22"/>
  <c r="E136" i="22"/>
  <c r="C23" i="23"/>
  <c r="D510" i="22"/>
  <c r="H419" i="22"/>
  <c r="G13" i="23"/>
  <c r="D200" i="22"/>
  <c r="C29" i="23"/>
  <c r="F694" i="22"/>
  <c r="G694" i="22"/>
  <c r="C10" i="23"/>
  <c r="D104" i="22"/>
  <c r="F351" i="22"/>
  <c r="D13" i="23"/>
  <c r="D197" i="22"/>
  <c r="E165" i="22"/>
  <c r="I29" i="23"/>
  <c r="G700" i="22"/>
  <c r="F700" i="22"/>
  <c r="E11" i="23"/>
  <c r="F134" i="22"/>
  <c r="E134" i="22"/>
  <c r="C33" i="23"/>
  <c r="G822" i="22"/>
  <c r="F822" i="22"/>
  <c r="D10" i="23"/>
  <c r="D105" i="22"/>
  <c r="F30" i="23"/>
  <c r="E33" i="23"/>
  <c r="G824" i="22"/>
  <c r="F824" i="22"/>
  <c r="E29" i="23"/>
  <c r="G696" i="22"/>
  <c r="F696" i="22"/>
  <c r="E27" i="23"/>
  <c r="F632" i="22"/>
  <c r="E632" i="22"/>
  <c r="G34" i="23"/>
  <c r="J858" i="22"/>
  <c r="G10" i="23"/>
  <c r="D108" i="22"/>
  <c r="F168" i="22"/>
  <c r="E168" i="22"/>
  <c r="G8" i="23"/>
  <c r="F44" i="22"/>
  <c r="E44" i="22"/>
  <c r="H30" i="23"/>
  <c r="J731" i="22"/>
  <c r="I731" i="22"/>
  <c r="H385" i="22"/>
  <c r="E73" i="22"/>
  <c r="E603" i="22"/>
  <c r="E24" i="23"/>
  <c r="D542" i="22"/>
  <c r="E74" i="22"/>
  <c r="C27" i="23"/>
  <c r="F630" i="22"/>
  <c r="E630" i="22"/>
  <c r="I33" i="23"/>
  <c r="G828" i="22"/>
  <c r="F828" i="22"/>
  <c r="H32" i="23"/>
  <c r="J795" i="22"/>
  <c r="I795" i="22"/>
  <c r="D24" i="23"/>
  <c r="D541" i="22"/>
  <c r="F10" i="23"/>
  <c r="D107" i="22"/>
  <c r="E604" i="22"/>
  <c r="H452" i="22"/>
  <c r="C25" i="23"/>
  <c r="D570" i="22"/>
  <c r="D25" i="23"/>
  <c r="D571" i="22"/>
  <c r="H451" i="22"/>
  <c r="E167" i="22"/>
  <c r="F355" i="22"/>
  <c r="H420" i="22"/>
  <c r="F260" i="22"/>
  <c r="G15" i="23" s="1"/>
  <c r="I386" i="22"/>
  <c r="F292" i="22"/>
  <c r="G16" i="23" s="1"/>
  <c r="I388" i="22"/>
  <c r="I418" i="22"/>
  <c r="F228" i="22"/>
  <c r="G14" i="23" s="1"/>
  <c r="F603" i="22"/>
  <c r="F74" i="22"/>
  <c r="I452" i="22"/>
  <c r="C195" i="22"/>
  <c r="D195" i="22" s="1"/>
  <c r="E757" i="22"/>
  <c r="G176" i="16"/>
  <c r="F451" i="22"/>
  <c r="I451" i="22" s="1"/>
  <c r="G138" i="16"/>
  <c r="E323" i="22"/>
  <c r="G323" i="22" s="1"/>
  <c r="F17" i="23" s="1"/>
  <c r="G174" i="16"/>
  <c r="F387" i="22"/>
  <c r="I387" i="22" s="1"/>
  <c r="F600" i="22"/>
  <c r="F384" i="22"/>
  <c r="I384" i="22" s="1"/>
  <c r="D174" i="16"/>
  <c r="F416" i="22"/>
  <c r="I416" i="22" s="1"/>
  <c r="D175" i="16"/>
  <c r="F448" i="22"/>
  <c r="I448" i="22" s="1"/>
  <c r="D176" i="16"/>
  <c r="H727" i="22"/>
  <c r="E351" i="22"/>
  <c r="C139" i="16"/>
  <c r="D223" i="22"/>
  <c r="C135" i="16"/>
  <c r="D287" i="22"/>
  <c r="C137" i="16"/>
  <c r="H730" i="22"/>
  <c r="F417" i="22"/>
  <c r="I417" i="22" s="1"/>
  <c r="E175" i="16"/>
  <c r="E353" i="22"/>
  <c r="G353" i="22" s="1"/>
  <c r="E139" i="16"/>
  <c r="H853" i="22"/>
  <c r="E355" i="22"/>
  <c r="G355" i="22" s="1"/>
  <c r="G139" i="16"/>
  <c r="D291" i="22"/>
  <c r="F291" i="22" s="1"/>
  <c r="F16" i="23" s="1"/>
  <c r="G137" i="16"/>
  <c r="G135" i="16"/>
  <c r="D227" i="22"/>
  <c r="F227" i="22" s="1"/>
  <c r="F14" i="23" s="1"/>
  <c r="H792" i="22"/>
  <c r="E821" i="22"/>
  <c r="H725" i="22"/>
  <c r="C539" i="22"/>
  <c r="D539" i="22" s="1"/>
  <c r="E759" i="22"/>
  <c r="H793" i="22"/>
  <c r="G356" i="22"/>
  <c r="H854" i="22"/>
  <c r="D132" i="16"/>
  <c r="C132" i="22"/>
  <c r="D132" i="22" s="1"/>
  <c r="D139" i="16"/>
  <c r="E352" i="22"/>
  <c r="G352" i="22" s="1"/>
  <c r="C40" i="22"/>
  <c r="D40" i="22" s="1"/>
  <c r="D129" i="16"/>
  <c r="C479" i="22"/>
  <c r="D479" i="22" s="1"/>
  <c r="F599" i="22"/>
  <c r="G599" i="22" s="1"/>
  <c r="H857" i="22"/>
  <c r="H728" i="22"/>
  <c r="F383" i="22"/>
  <c r="C174" i="16"/>
  <c r="C132" i="16"/>
  <c r="C131" i="22"/>
  <c r="F447" i="22"/>
  <c r="C176" i="16"/>
  <c r="C136" i="16"/>
  <c r="D255" i="22"/>
  <c r="D163" i="22"/>
  <c r="C133" i="16"/>
  <c r="D73" i="22"/>
  <c r="F73" i="22" s="1"/>
  <c r="E130" i="16"/>
  <c r="C133" i="22"/>
  <c r="D133" i="22" s="1"/>
  <c r="E132" i="16"/>
  <c r="D289" i="22"/>
  <c r="F289" i="22" s="1"/>
  <c r="D16" i="23" s="1"/>
  <c r="E137" i="16"/>
  <c r="C41" i="22"/>
  <c r="D41" i="22" s="1"/>
  <c r="E129" i="16"/>
  <c r="C569" i="22"/>
  <c r="D569" i="22" s="1"/>
  <c r="G132" i="16"/>
  <c r="C135" i="22"/>
  <c r="D135" i="22" s="1"/>
  <c r="D259" i="22"/>
  <c r="F259" i="22" s="1"/>
  <c r="F15" i="23" s="1"/>
  <c r="G136" i="16"/>
  <c r="D167" i="22"/>
  <c r="F167" i="22" s="1"/>
  <c r="G133" i="16"/>
  <c r="C509" i="22"/>
  <c r="D509" i="22" s="1"/>
  <c r="D661" i="22"/>
  <c r="H855" i="22"/>
  <c r="F604" i="22"/>
  <c r="D136" i="16"/>
  <c r="D256" i="22"/>
  <c r="F256" i="22" s="1"/>
  <c r="C15" i="23" s="1"/>
  <c r="D130" i="16"/>
  <c r="D72" i="22"/>
  <c r="F72" i="22" s="1"/>
  <c r="D288" i="22"/>
  <c r="F288" i="22" s="1"/>
  <c r="C16" i="23" s="1"/>
  <c r="D137" i="16"/>
  <c r="F601" i="22"/>
  <c r="E825" i="22"/>
  <c r="E319" i="22"/>
  <c r="C138" i="16"/>
  <c r="C175" i="16"/>
  <c r="F415" i="22"/>
  <c r="C129" i="16"/>
  <c r="C39" i="22"/>
  <c r="E698" i="22"/>
  <c r="F449" i="22"/>
  <c r="I449" i="22" s="1"/>
  <c r="E176" i="16"/>
  <c r="D165" i="22"/>
  <c r="F165" i="22" s="1"/>
  <c r="E133" i="16"/>
  <c r="F385" i="22"/>
  <c r="I385" i="22" s="1"/>
  <c r="E174" i="16"/>
  <c r="E135" i="16"/>
  <c r="D225" i="22"/>
  <c r="F225" i="22" s="1"/>
  <c r="D14" i="23" s="1"/>
  <c r="D629" i="22"/>
  <c r="E693" i="22"/>
  <c r="C43" i="22"/>
  <c r="D43" i="22" s="1"/>
  <c r="G129" i="16"/>
  <c r="F419" i="22"/>
  <c r="I419" i="22" s="1"/>
  <c r="G175" i="16"/>
  <c r="D75" i="22"/>
  <c r="F75" i="22" s="1"/>
  <c r="G130" i="16"/>
  <c r="E823" i="22"/>
  <c r="G354" i="22"/>
  <c r="H790" i="22"/>
  <c r="H726" i="22"/>
  <c r="D133" i="16"/>
  <c r="D164" i="22"/>
  <c r="F164" i="22" s="1"/>
  <c r="D138" i="16"/>
  <c r="E320" i="22"/>
  <c r="G320" i="22" s="1"/>
  <c r="C17" i="23" s="1"/>
  <c r="D135" i="16"/>
  <c r="D224" i="22"/>
  <c r="F224" i="22" s="1"/>
  <c r="C14" i="23" s="1"/>
  <c r="H789" i="22"/>
  <c r="C103" i="22"/>
  <c r="D103" i="22" s="1"/>
  <c r="E761" i="22"/>
  <c r="D71" i="22"/>
  <c r="C130" i="16"/>
  <c r="E762" i="22"/>
  <c r="D257" i="22"/>
  <c r="F257" i="22" s="1"/>
  <c r="D15" i="23" s="1"/>
  <c r="E136" i="16"/>
  <c r="E321" i="22"/>
  <c r="G321" i="22" s="1"/>
  <c r="D17" i="23" s="1"/>
  <c r="E138" i="16"/>
  <c r="J856" i="22" l="1"/>
  <c r="I856" i="22"/>
  <c r="J794" i="22"/>
  <c r="I729" i="22"/>
  <c r="F760" i="22"/>
  <c r="I791" i="22"/>
  <c r="G695" i="22"/>
  <c r="C31" i="23"/>
  <c r="F758" i="22"/>
  <c r="E326" i="22"/>
  <c r="G326" i="22" s="1"/>
  <c r="I17" i="23" s="1"/>
  <c r="J138" i="16"/>
  <c r="F422" i="22"/>
  <c r="I422" i="22" s="1"/>
  <c r="J175" i="16"/>
  <c r="F20" i="10"/>
  <c r="G68" i="10" s="1"/>
  <c r="J130" i="16"/>
  <c r="D78" i="22"/>
  <c r="F78" i="22" s="1"/>
  <c r="J133" i="16"/>
  <c r="D170" i="22"/>
  <c r="F170" i="22" s="1"/>
  <c r="I12" i="23" s="1"/>
  <c r="J137" i="16"/>
  <c r="D294" i="22"/>
  <c r="F294" i="22" s="1"/>
  <c r="I16" i="23" s="1"/>
  <c r="J791" i="22"/>
  <c r="F390" i="22"/>
  <c r="I390" i="22" s="1"/>
  <c r="J174" i="16"/>
  <c r="C46" i="22"/>
  <c r="D46" i="22" s="1"/>
  <c r="J129" i="16"/>
  <c r="C138" i="22"/>
  <c r="D138" i="22" s="1"/>
  <c r="J132" i="16"/>
  <c r="B20" i="10"/>
  <c r="C68" i="10" s="1"/>
  <c r="H20" i="10"/>
  <c r="I68" i="10" s="1"/>
  <c r="D230" i="22"/>
  <c r="F230" i="22" s="1"/>
  <c r="I14" i="23" s="1"/>
  <c r="J135" i="16"/>
  <c r="J139" i="16"/>
  <c r="E358" i="22"/>
  <c r="G358" i="22" s="1"/>
  <c r="I18" i="23" s="1"/>
  <c r="F454" i="22"/>
  <c r="I454" i="22" s="1"/>
  <c r="J176" i="16"/>
  <c r="J136" i="16"/>
  <c r="D262" i="22"/>
  <c r="F262" i="22" s="1"/>
  <c r="I15" i="23" s="1"/>
  <c r="D9" i="23"/>
  <c r="H73" i="22"/>
  <c r="G73" i="22"/>
  <c r="F34" i="23"/>
  <c r="J857" i="22"/>
  <c r="I857" i="22"/>
  <c r="G18" i="23"/>
  <c r="I356" i="22"/>
  <c r="H356" i="22"/>
  <c r="F18" i="23"/>
  <c r="I355" i="22"/>
  <c r="H355" i="22"/>
  <c r="D20" i="23"/>
  <c r="L417" i="22"/>
  <c r="K417" i="22"/>
  <c r="J417" i="22"/>
  <c r="F19" i="23"/>
  <c r="K387" i="22"/>
  <c r="L387" i="22"/>
  <c r="J387" i="22"/>
  <c r="F21" i="23"/>
  <c r="L451" i="22"/>
  <c r="K451" i="22"/>
  <c r="J451" i="22"/>
  <c r="F26" i="23"/>
  <c r="G603" i="22"/>
  <c r="E26" i="23"/>
  <c r="G602" i="22"/>
  <c r="H18" i="23"/>
  <c r="I357" i="22"/>
  <c r="H357" i="22"/>
  <c r="F31" i="23"/>
  <c r="F761" i="22"/>
  <c r="G761" i="22"/>
  <c r="C30" i="23"/>
  <c r="J726" i="22"/>
  <c r="I726" i="22"/>
  <c r="F9" i="23"/>
  <c r="H75" i="22"/>
  <c r="G75" i="22"/>
  <c r="F8" i="23"/>
  <c r="F43" i="22"/>
  <c r="E43" i="22"/>
  <c r="F629" i="22"/>
  <c r="E629" i="22"/>
  <c r="D19" i="23"/>
  <c r="K385" i="22"/>
  <c r="L385" i="22"/>
  <c r="J385" i="22"/>
  <c r="D21" i="23"/>
  <c r="L449" i="22"/>
  <c r="K449" i="22"/>
  <c r="J449" i="22"/>
  <c r="F33" i="23"/>
  <c r="G825" i="22"/>
  <c r="F825" i="22"/>
  <c r="C9" i="23"/>
  <c r="H72" i="22"/>
  <c r="G72" i="22"/>
  <c r="G26" i="23"/>
  <c r="G604" i="22"/>
  <c r="F11" i="23"/>
  <c r="F135" i="22"/>
  <c r="E135" i="22"/>
  <c r="C11" i="23"/>
  <c r="F132" i="22"/>
  <c r="E132" i="22"/>
  <c r="F32" i="23"/>
  <c r="J793" i="22"/>
  <c r="I793" i="22"/>
  <c r="J725" i="22"/>
  <c r="I725" i="22"/>
  <c r="G30" i="23"/>
  <c r="J730" i="22"/>
  <c r="I730" i="22"/>
  <c r="C21" i="23"/>
  <c r="L448" i="22"/>
  <c r="K448" i="22"/>
  <c r="J448" i="22"/>
  <c r="C19" i="23"/>
  <c r="K384" i="22"/>
  <c r="L384" i="22"/>
  <c r="J384" i="22"/>
  <c r="G19" i="23"/>
  <c r="K388" i="22"/>
  <c r="L388" i="22"/>
  <c r="J388" i="22"/>
  <c r="G12" i="23"/>
  <c r="H168" i="22"/>
  <c r="G168" i="22"/>
  <c r="I358" i="22"/>
  <c r="H358" i="22"/>
  <c r="G9" i="23"/>
  <c r="H76" i="22"/>
  <c r="G76" i="22"/>
  <c r="G31" i="23"/>
  <c r="G762" i="22"/>
  <c r="F762" i="22"/>
  <c r="J789" i="22"/>
  <c r="I789" i="22"/>
  <c r="C32" i="23"/>
  <c r="J790" i="22"/>
  <c r="I790" i="22"/>
  <c r="E18" i="23"/>
  <c r="I354" i="22"/>
  <c r="H354" i="22"/>
  <c r="G29" i="23"/>
  <c r="G698" i="22"/>
  <c r="F698" i="22"/>
  <c r="D26" i="23"/>
  <c r="G601" i="22"/>
  <c r="D34" i="23"/>
  <c r="J855" i="22"/>
  <c r="I855" i="22"/>
  <c r="F12" i="23"/>
  <c r="H167" i="22"/>
  <c r="G167" i="22"/>
  <c r="D8" i="23"/>
  <c r="F41" i="22"/>
  <c r="E41" i="22"/>
  <c r="D11" i="23"/>
  <c r="F133" i="22"/>
  <c r="E133" i="22"/>
  <c r="C8" i="23"/>
  <c r="F40" i="22"/>
  <c r="E40" i="22"/>
  <c r="D31" i="23"/>
  <c r="F759" i="22"/>
  <c r="G759" i="22"/>
  <c r="G821" i="22"/>
  <c r="F821" i="22"/>
  <c r="E32" i="23"/>
  <c r="J792" i="22"/>
  <c r="I792" i="22"/>
  <c r="D18" i="23"/>
  <c r="H353" i="22"/>
  <c r="I353" i="22"/>
  <c r="C26" i="23"/>
  <c r="G600" i="22"/>
  <c r="F757" i="22"/>
  <c r="G757" i="22"/>
  <c r="G21" i="23"/>
  <c r="L452" i="22"/>
  <c r="K452" i="22"/>
  <c r="J452" i="22"/>
  <c r="E20" i="23"/>
  <c r="L418" i="22"/>
  <c r="K418" i="22"/>
  <c r="J418" i="22"/>
  <c r="E21" i="23"/>
  <c r="L450" i="22"/>
  <c r="K450" i="22"/>
  <c r="J450" i="22"/>
  <c r="H12" i="23"/>
  <c r="H169" i="22"/>
  <c r="G169" i="22"/>
  <c r="C12" i="23"/>
  <c r="H164" i="22"/>
  <c r="G164" i="22"/>
  <c r="D33" i="23"/>
  <c r="G823" i="22"/>
  <c r="F823" i="22"/>
  <c r="F20" i="23"/>
  <c r="K419" i="22"/>
  <c r="L419" i="22"/>
  <c r="J419" i="22"/>
  <c r="G693" i="22"/>
  <c r="F693" i="22"/>
  <c r="D12" i="23"/>
  <c r="H165" i="22"/>
  <c r="G165" i="22"/>
  <c r="E30" i="23"/>
  <c r="J728" i="22"/>
  <c r="I728" i="22"/>
  <c r="C18" i="23"/>
  <c r="I352" i="22"/>
  <c r="H352" i="22"/>
  <c r="C34" i="23"/>
  <c r="J854" i="22"/>
  <c r="I854" i="22"/>
  <c r="J853" i="22"/>
  <c r="I853" i="22"/>
  <c r="D30" i="23"/>
  <c r="J727" i="22"/>
  <c r="I727" i="22"/>
  <c r="C20" i="23"/>
  <c r="L416" i="22"/>
  <c r="K416" i="22"/>
  <c r="J416" i="22"/>
  <c r="E9" i="23"/>
  <c r="H74" i="22"/>
  <c r="G74" i="22"/>
  <c r="E19" i="23"/>
  <c r="K386" i="22"/>
  <c r="L386" i="22"/>
  <c r="J386" i="22"/>
  <c r="E12" i="23"/>
  <c r="H166" i="22"/>
  <c r="G166" i="22"/>
  <c r="B32" i="23"/>
  <c r="F163" i="22"/>
  <c r="I447" i="22"/>
  <c r="I383" i="22"/>
  <c r="B33" i="23"/>
  <c r="B31" i="23"/>
  <c r="B10" i="23"/>
  <c r="B29" i="23"/>
  <c r="D39" i="22"/>
  <c r="B28" i="23"/>
  <c r="B23" i="23"/>
  <c r="F255" i="22"/>
  <c r="D131" i="22"/>
  <c r="B22" i="23"/>
  <c r="B24" i="23"/>
  <c r="B34" i="23"/>
  <c r="F287" i="22"/>
  <c r="G351" i="22"/>
  <c r="F71" i="22"/>
  <c r="G319" i="22"/>
  <c r="B13" i="23"/>
  <c r="B27" i="23"/>
  <c r="I415" i="22"/>
  <c r="B25" i="23"/>
  <c r="B26" i="23"/>
  <c r="B30" i="23"/>
  <c r="F223" i="22"/>
  <c r="H40" i="23" l="1"/>
  <c r="G170" i="22"/>
  <c r="H170" i="22"/>
  <c r="E40" i="23"/>
  <c r="G40" i="23"/>
  <c r="I20" i="23"/>
  <c r="L422" i="22"/>
  <c r="K422" i="22"/>
  <c r="J422" i="22"/>
  <c r="M68" i="10"/>
  <c r="I11" i="23"/>
  <c r="F138" i="22"/>
  <c r="E138" i="22"/>
  <c r="I19" i="23"/>
  <c r="K390" i="22"/>
  <c r="L390" i="22"/>
  <c r="J390" i="22"/>
  <c r="H78" i="22"/>
  <c r="G78" i="22"/>
  <c r="I9" i="23"/>
  <c r="D40" i="23"/>
  <c r="F40" i="23"/>
  <c r="C40" i="23"/>
  <c r="J454" i="22"/>
  <c r="I21" i="23"/>
  <c r="L454" i="22"/>
  <c r="K454" i="22"/>
  <c r="F46" i="22"/>
  <c r="E46" i="22"/>
  <c r="I8" i="23"/>
  <c r="H71" i="22"/>
  <c r="G71" i="22"/>
  <c r="F131" i="22"/>
  <c r="E131" i="22"/>
  <c r="F39" i="22"/>
  <c r="E39" i="22"/>
  <c r="L447" i="22"/>
  <c r="K447" i="22"/>
  <c r="J447" i="22"/>
  <c r="H163" i="22"/>
  <c r="G163" i="22"/>
  <c r="L415" i="22"/>
  <c r="K415" i="22"/>
  <c r="J415" i="22"/>
  <c r="K383" i="22"/>
  <c r="L383" i="22"/>
  <c r="J383" i="22"/>
  <c r="I351" i="22"/>
  <c r="H351" i="22"/>
  <c r="B20" i="23"/>
  <c r="B15" i="23"/>
  <c r="B19" i="23"/>
  <c r="B14" i="23"/>
  <c r="B18" i="23"/>
  <c r="B17" i="23"/>
  <c r="B9" i="23"/>
  <c r="B11" i="23"/>
  <c r="B8" i="23"/>
  <c r="B21" i="23"/>
  <c r="B16" i="23"/>
  <c r="B12" i="23"/>
  <c r="G90" i="10" l="1"/>
  <c r="F90" i="10"/>
  <c r="C90" i="10"/>
  <c r="K90" i="10"/>
  <c r="K99" i="10" s="1"/>
  <c r="L90" i="10"/>
  <c r="L99" i="10" s="1"/>
  <c r="H90" i="10"/>
  <c r="D90" i="10"/>
  <c r="I90" i="10"/>
  <c r="E90" i="10"/>
  <c r="B90" i="10"/>
  <c r="B108" i="10" s="1"/>
  <c r="K11" i="12" s="1"/>
  <c r="J90" i="10"/>
  <c r="I40" i="23"/>
  <c r="B40" i="23"/>
  <c r="J108" i="10" l="1"/>
  <c r="S11" i="12" s="1"/>
  <c r="J99" i="10"/>
  <c r="D108" i="10"/>
  <c r="M11" i="12" s="1"/>
  <c r="D99" i="10"/>
  <c r="C108" i="10"/>
  <c r="L11" i="12" s="1"/>
  <c r="C99" i="10"/>
  <c r="K62" i="15"/>
  <c r="K77" i="15" s="1"/>
  <c r="K74" i="12"/>
  <c r="K92" i="13" s="1"/>
  <c r="K38" i="12"/>
  <c r="K67" i="13" s="1"/>
  <c r="K95" i="12"/>
  <c r="K107" i="13" s="1"/>
  <c r="K27" i="12"/>
  <c r="K56" i="13" s="1"/>
  <c r="K76" i="12"/>
  <c r="K66" i="12"/>
  <c r="K84" i="13" s="1"/>
  <c r="K69" i="12"/>
  <c r="K87" i="13" s="1"/>
  <c r="K104" i="12"/>
  <c r="K28" i="12"/>
  <c r="K57" i="13" s="1"/>
  <c r="K63" i="15"/>
  <c r="K78" i="15" s="1"/>
  <c r="K126" i="12"/>
  <c r="K127" i="12"/>
  <c r="K35" i="12"/>
  <c r="K64" i="13" s="1"/>
  <c r="K22" i="15" s="1"/>
  <c r="K34" i="15" s="1"/>
  <c r="K48" i="12"/>
  <c r="K120" i="12"/>
  <c r="K126" i="13" s="1"/>
  <c r="K64" i="12"/>
  <c r="K82" i="13" s="1"/>
  <c r="K122" i="12"/>
  <c r="K128" i="13" s="1"/>
  <c r="K23" i="12"/>
  <c r="K52" i="13" s="1"/>
  <c r="K34" i="12"/>
  <c r="K63" i="13" s="1"/>
  <c r="K21" i="15" s="1"/>
  <c r="K33" i="15" s="1"/>
  <c r="K64" i="15"/>
  <c r="K79" i="15" s="1"/>
  <c r="K39" i="12"/>
  <c r="K68" i="13" s="1"/>
  <c r="K67" i="12"/>
  <c r="K85" i="13" s="1"/>
  <c r="K124" i="12"/>
  <c r="B10" i="18"/>
  <c r="M19" i="18" s="1"/>
  <c r="K46" i="12"/>
  <c r="K41" i="12"/>
  <c r="K70" i="13" s="1"/>
  <c r="K61" i="12"/>
  <c r="K79" i="13" s="1"/>
  <c r="K67" i="15"/>
  <c r="K82" i="15" s="1"/>
  <c r="K70" i="12"/>
  <c r="K88" i="13" s="1"/>
  <c r="K98" i="12"/>
  <c r="K110" i="13" s="1"/>
  <c r="K68" i="12"/>
  <c r="K86" i="13" s="1"/>
  <c r="K37" i="12"/>
  <c r="K66" i="13" s="1"/>
  <c r="K44" i="12"/>
  <c r="K63" i="12"/>
  <c r="K81" i="13" s="1"/>
  <c r="K103" i="12"/>
  <c r="K115" i="13" s="1"/>
  <c r="K106" i="12"/>
  <c r="K32" i="12"/>
  <c r="K61" i="13" s="1"/>
  <c r="K100" i="12"/>
  <c r="K112" i="13" s="1"/>
  <c r="K62" i="12"/>
  <c r="K80" i="13" s="1"/>
  <c r="K72" i="12"/>
  <c r="K90" i="13" s="1"/>
  <c r="K81" i="12"/>
  <c r="K25" i="12"/>
  <c r="K54" i="13" s="1"/>
  <c r="K65" i="15"/>
  <c r="K80" i="15" s="1"/>
  <c r="K79" i="12"/>
  <c r="K82" i="12"/>
  <c r="K102" i="12"/>
  <c r="K114" i="13" s="1"/>
  <c r="K97" i="12"/>
  <c r="K109" i="13" s="1"/>
  <c r="K71" i="12"/>
  <c r="K89" i="13" s="1"/>
  <c r="K78" i="12"/>
  <c r="K73" i="12"/>
  <c r="K91" i="13" s="1"/>
  <c r="K33" i="12"/>
  <c r="K62" i="13" s="1"/>
  <c r="K43" i="12"/>
  <c r="K121" i="12"/>
  <c r="K127" i="13" s="1"/>
  <c r="K96" i="12"/>
  <c r="K108" i="13" s="1"/>
  <c r="K11" i="13"/>
  <c r="K40" i="12"/>
  <c r="K69" i="13" s="1"/>
  <c r="K99" i="12"/>
  <c r="K111" i="13" s="1"/>
  <c r="K94" i="12"/>
  <c r="K106" i="13" s="1"/>
  <c r="K75" i="12"/>
  <c r="K101" i="12"/>
  <c r="K113" i="13" s="1"/>
  <c r="K26" i="12"/>
  <c r="K55" i="13" s="1"/>
  <c r="K49" i="12"/>
  <c r="K45" i="12"/>
  <c r="K65" i="12"/>
  <c r="K83" i="13" s="1"/>
  <c r="K36" i="12"/>
  <c r="K65" i="13" s="1"/>
  <c r="K23" i="15" s="1"/>
  <c r="K35" i="15" s="1"/>
  <c r="K24" i="12"/>
  <c r="K53" i="13" s="1"/>
  <c r="K125" i="12"/>
  <c r="K30" i="12"/>
  <c r="K59" i="13" s="1"/>
  <c r="K80" i="12"/>
  <c r="K66" i="15"/>
  <c r="K81" i="15" s="1"/>
  <c r="K47" i="12"/>
  <c r="K29" i="12"/>
  <c r="K58" i="13" s="1"/>
  <c r="K105" i="12"/>
  <c r="K123" i="12"/>
  <c r="K129" i="13" s="1"/>
  <c r="K119" i="12"/>
  <c r="K125" i="13" s="1"/>
  <c r="K42" i="12"/>
  <c r="K31" i="12"/>
  <c r="K60" i="13" s="1"/>
  <c r="K107" i="12"/>
  <c r="K77" i="12"/>
  <c r="H108" i="10"/>
  <c r="Q11" i="12" s="1"/>
  <c r="H99" i="10"/>
  <c r="F108" i="10"/>
  <c r="O11" i="12" s="1"/>
  <c r="F99" i="10"/>
  <c r="E108" i="10"/>
  <c r="N11" i="12" s="1"/>
  <c r="E99" i="10"/>
  <c r="C138" i="10"/>
  <c r="C147" i="10"/>
  <c r="C127" i="10"/>
  <c r="C132" i="10"/>
  <c r="C137" i="10"/>
  <c r="C146" i="10"/>
  <c r="C126" i="10"/>
  <c r="C135" i="10"/>
  <c r="C140" i="10"/>
  <c r="C145" i="10"/>
  <c r="C125" i="10"/>
  <c r="C134" i="10"/>
  <c r="C143" i="10"/>
  <c r="C123" i="10"/>
  <c r="C128" i="10"/>
  <c r="C133" i="10"/>
  <c r="C142" i="10"/>
  <c r="C122" i="10"/>
  <c r="C131" i="10"/>
  <c r="C136" i="10"/>
  <c r="C141" i="10"/>
  <c r="C121" i="10"/>
  <c r="C130" i="10"/>
  <c r="C139" i="10"/>
  <c r="C144" i="10"/>
  <c r="C124" i="10"/>
  <c r="C129" i="10"/>
  <c r="G108" i="10"/>
  <c r="P11" i="12" s="1"/>
  <c r="G99" i="10"/>
  <c r="I108" i="10"/>
  <c r="R11" i="12" s="1"/>
  <c r="I99" i="10"/>
  <c r="B144" i="10"/>
  <c r="B135" i="10"/>
  <c r="B133" i="10"/>
  <c r="B128" i="10"/>
  <c r="B130" i="10"/>
  <c r="B146" i="10"/>
  <c r="B126" i="10"/>
  <c r="B142" i="10"/>
  <c r="B147" i="10"/>
  <c r="B131" i="10"/>
  <c r="B140" i="10"/>
  <c r="B124" i="10"/>
  <c r="B137" i="10"/>
  <c r="B121" i="10"/>
  <c r="B158" i="10"/>
  <c r="B160" i="10"/>
  <c r="B127" i="10"/>
  <c r="B136" i="10"/>
  <c r="B141" i="10"/>
  <c r="B125" i="10"/>
  <c r="B138" i="10"/>
  <c r="B122" i="10"/>
  <c r="B134" i="10"/>
  <c r="B143" i="10"/>
  <c r="B139" i="10"/>
  <c r="D139" i="10" s="1"/>
  <c r="B156" i="10"/>
  <c r="B132" i="10"/>
  <c r="B123" i="10"/>
  <c r="B129" i="10"/>
  <c r="B145" i="10"/>
  <c r="B157" i="10"/>
  <c r="B159" i="10"/>
  <c r="D138" i="10" l="1"/>
  <c r="D137" i="10"/>
  <c r="D123" i="10"/>
  <c r="D136" i="10"/>
  <c r="D135" i="10"/>
  <c r="D129" i="10"/>
  <c r="D306" i="22"/>
  <c r="F306" i="22" s="1"/>
  <c r="U16" i="23" s="1"/>
  <c r="V137" i="16"/>
  <c r="V135" i="16"/>
  <c r="D127" i="10"/>
  <c r="D242" i="22"/>
  <c r="F242" i="22" s="1"/>
  <c r="U14" i="23" s="1"/>
  <c r="E872" i="22"/>
  <c r="D147" i="10"/>
  <c r="V155" i="16"/>
  <c r="V138" i="16"/>
  <c r="D130" i="10"/>
  <c r="E338" i="22"/>
  <c r="G338" i="22" s="1"/>
  <c r="U17" i="23" s="1"/>
  <c r="V152" i="16"/>
  <c r="C776" i="22"/>
  <c r="D144" i="10"/>
  <c r="P119" i="12"/>
  <c r="P125" i="13" s="1"/>
  <c r="P64" i="15"/>
  <c r="P79" i="15" s="1"/>
  <c r="P48" i="12"/>
  <c r="P41" i="12"/>
  <c r="P70" i="13" s="1"/>
  <c r="P25" i="12"/>
  <c r="P54" i="13" s="1"/>
  <c r="P30" i="12"/>
  <c r="P59" i="13" s="1"/>
  <c r="P40" i="12"/>
  <c r="P69" i="13" s="1"/>
  <c r="P24" i="12"/>
  <c r="P53" i="13" s="1"/>
  <c r="P39" i="12"/>
  <c r="P68" i="13" s="1"/>
  <c r="P23" i="12"/>
  <c r="P52" i="13" s="1"/>
  <c r="P101" i="12"/>
  <c r="P113" i="13" s="1"/>
  <c r="P74" i="12"/>
  <c r="P92" i="13" s="1"/>
  <c r="P80" i="12"/>
  <c r="P77" i="12"/>
  <c r="P78" i="12"/>
  <c r="P127" i="12"/>
  <c r="P103" i="12"/>
  <c r="P115" i="13" s="1"/>
  <c r="P61" i="12"/>
  <c r="P79" i="13" s="1"/>
  <c r="P96" i="12"/>
  <c r="P108" i="13" s="1"/>
  <c r="P62" i="15"/>
  <c r="P77" i="15" s="1"/>
  <c r="P65" i="15"/>
  <c r="P80" i="15" s="1"/>
  <c r="P36" i="12"/>
  <c r="P65" i="13" s="1"/>
  <c r="P23" i="15" s="1"/>
  <c r="P35" i="15" s="1"/>
  <c r="P45" i="12"/>
  <c r="P27" i="12"/>
  <c r="P56" i="13" s="1"/>
  <c r="P37" i="12"/>
  <c r="P66" i="13" s="1"/>
  <c r="P47" i="12"/>
  <c r="P34" i="12"/>
  <c r="P63" i="13" s="1"/>
  <c r="P21" i="15" s="1"/>
  <c r="P33" i="15" s="1"/>
  <c r="P72" i="12"/>
  <c r="P90" i="13" s="1"/>
  <c r="P68" i="12"/>
  <c r="P86" i="13" s="1"/>
  <c r="P67" i="12"/>
  <c r="P85" i="13" s="1"/>
  <c r="P126" i="12"/>
  <c r="P125" i="12"/>
  <c r="P64" i="12"/>
  <c r="P82" i="13" s="1"/>
  <c r="P67" i="15"/>
  <c r="P82" i="15" s="1"/>
  <c r="P11" i="13"/>
  <c r="P33" i="12"/>
  <c r="P62" i="13" s="1"/>
  <c r="P38" i="12"/>
  <c r="P67" i="13" s="1"/>
  <c r="P49" i="12"/>
  <c r="P32" i="12"/>
  <c r="P61" i="13" s="1"/>
  <c r="P43" i="12"/>
  <c r="P31" i="12"/>
  <c r="P60" i="13" s="1"/>
  <c r="P123" i="12"/>
  <c r="P129" i="13" s="1"/>
  <c r="P82" i="12"/>
  <c r="P98" i="12"/>
  <c r="P110" i="13" s="1"/>
  <c r="P107" i="12"/>
  <c r="P73" i="12"/>
  <c r="P91" i="13" s="1"/>
  <c r="P102" i="12"/>
  <c r="P114" i="13" s="1"/>
  <c r="P81" i="12"/>
  <c r="P124" i="12"/>
  <c r="P63" i="12"/>
  <c r="P81" i="13" s="1"/>
  <c r="P65" i="12"/>
  <c r="P83" i="13" s="1"/>
  <c r="P94" i="12"/>
  <c r="P106" i="13" s="1"/>
  <c r="P122" i="12"/>
  <c r="P128" i="13" s="1"/>
  <c r="P66" i="15"/>
  <c r="P81" i="15" s="1"/>
  <c r="P63" i="15"/>
  <c r="P78" i="15" s="1"/>
  <c r="P46" i="12"/>
  <c r="P28" i="12"/>
  <c r="P57" i="13" s="1"/>
  <c r="P35" i="12"/>
  <c r="P64" i="13" s="1"/>
  <c r="P22" i="15" s="1"/>
  <c r="P34" i="15" s="1"/>
  <c r="P44" i="12"/>
  <c r="P29" i="12"/>
  <c r="P58" i="13" s="1"/>
  <c r="P42" i="12"/>
  <c r="P26" i="12"/>
  <c r="P55" i="13" s="1"/>
  <c r="P76" i="12"/>
  <c r="P121" i="12"/>
  <c r="P127" i="13" s="1"/>
  <c r="P79" i="12"/>
  <c r="P69" i="12"/>
  <c r="P87" i="13" s="1"/>
  <c r="P75" i="12"/>
  <c r="P105" i="12"/>
  <c r="P106" i="12"/>
  <c r="P97" i="12"/>
  <c r="P109" i="13" s="1"/>
  <c r="P66" i="12"/>
  <c r="P84" i="13" s="1"/>
  <c r="P104" i="12"/>
  <c r="P100" i="12"/>
  <c r="P112" i="13" s="1"/>
  <c r="P99" i="12"/>
  <c r="P111" i="13" s="1"/>
  <c r="P71" i="12"/>
  <c r="P89" i="13" s="1"/>
  <c r="P70" i="12"/>
  <c r="P88" i="13" s="1"/>
  <c r="P120" i="12"/>
  <c r="P126" i="13" s="1"/>
  <c r="P62" i="12"/>
  <c r="P80" i="13" s="1"/>
  <c r="P95" i="12"/>
  <c r="P107" i="13" s="1"/>
  <c r="E435" i="22"/>
  <c r="I435" i="22" s="1"/>
  <c r="W141" i="16"/>
  <c r="W142" i="16"/>
  <c r="E467" i="22"/>
  <c r="I467" i="22" s="1"/>
  <c r="W140" i="16"/>
  <c r="E403" i="22"/>
  <c r="I403" i="22" s="1"/>
  <c r="C735" i="22"/>
  <c r="M75" i="16"/>
  <c r="M37" i="16"/>
  <c r="B735" i="22"/>
  <c r="G457" i="22"/>
  <c r="M211" i="16"/>
  <c r="C329" i="22"/>
  <c r="M62" i="16"/>
  <c r="M102" i="16"/>
  <c r="D393" i="22"/>
  <c r="M32" i="16"/>
  <c r="K96" i="13"/>
  <c r="B578" i="22"/>
  <c r="B863" i="22"/>
  <c r="M41" i="16"/>
  <c r="B799" i="22"/>
  <c r="M39" i="16"/>
  <c r="M36" i="16"/>
  <c r="B703" i="22"/>
  <c r="B329" i="22"/>
  <c r="M24" i="16"/>
  <c r="B767" i="22"/>
  <c r="M38" i="16"/>
  <c r="D425" i="22"/>
  <c r="M103" i="16"/>
  <c r="G425" i="22"/>
  <c r="M210" i="16"/>
  <c r="M30" i="16"/>
  <c r="K94" i="13"/>
  <c r="B518" i="22"/>
  <c r="B457" i="22"/>
  <c r="M28" i="16"/>
  <c r="V32" i="16"/>
  <c r="B587" i="22"/>
  <c r="C587" i="22" s="1"/>
  <c r="V151" i="16"/>
  <c r="D143" i="10"/>
  <c r="E744" i="22"/>
  <c r="V133" i="16"/>
  <c r="D125" i="10"/>
  <c r="D182" i="22"/>
  <c r="F182" i="22" s="1"/>
  <c r="V33" i="16"/>
  <c r="D617" i="22"/>
  <c r="C617" i="22"/>
  <c r="V109" i="16"/>
  <c r="V71" i="16"/>
  <c r="B617" i="22"/>
  <c r="C150" i="22"/>
  <c r="D150" i="22" s="1"/>
  <c r="V132" i="16"/>
  <c r="D124" i="10"/>
  <c r="V150" i="16"/>
  <c r="D142" i="10"/>
  <c r="C712" i="22"/>
  <c r="D128" i="10"/>
  <c r="D274" i="22"/>
  <c r="F274" i="22" s="1"/>
  <c r="U15" i="23" s="1"/>
  <c r="V136" i="16"/>
  <c r="D307" i="22"/>
  <c r="F307" i="22" s="1"/>
  <c r="V16" i="23" s="1"/>
  <c r="W137" i="16"/>
  <c r="E339" i="22"/>
  <c r="G339" i="22" s="1"/>
  <c r="V17" i="23" s="1"/>
  <c r="W138" i="16"/>
  <c r="W139" i="16"/>
  <c r="E371" i="22"/>
  <c r="G371" i="22" s="1"/>
  <c r="W136" i="16"/>
  <c r="D275" i="22"/>
  <c r="F275" i="22" s="1"/>
  <c r="V15" i="23" s="1"/>
  <c r="D183" i="22"/>
  <c r="F183" i="22" s="1"/>
  <c r="W133" i="16"/>
  <c r="D243" i="22"/>
  <c r="F243" i="22" s="1"/>
  <c r="V14" i="23" s="1"/>
  <c r="W135" i="16"/>
  <c r="N120" i="12"/>
  <c r="N126" i="13" s="1"/>
  <c r="N67" i="15"/>
  <c r="N82" i="15" s="1"/>
  <c r="N11" i="13"/>
  <c r="N47" i="12"/>
  <c r="N34" i="12"/>
  <c r="N63" i="13" s="1"/>
  <c r="N21" i="15" s="1"/>
  <c r="N33" i="15" s="1"/>
  <c r="N39" i="12"/>
  <c r="N68" i="13" s="1"/>
  <c r="N23" i="12"/>
  <c r="N52" i="13" s="1"/>
  <c r="N33" i="12"/>
  <c r="N62" i="13" s="1"/>
  <c r="N44" i="12"/>
  <c r="N27" i="12"/>
  <c r="N56" i="13" s="1"/>
  <c r="N79" i="12"/>
  <c r="N104" i="12"/>
  <c r="N69" i="12"/>
  <c r="N87" i="13" s="1"/>
  <c r="N126" i="12"/>
  <c r="N76" i="12"/>
  <c r="N75" i="12"/>
  <c r="N68" i="12"/>
  <c r="N86" i="13" s="1"/>
  <c r="N122" i="12"/>
  <c r="N128" i="13" s="1"/>
  <c r="N61" i="12"/>
  <c r="N79" i="13" s="1"/>
  <c r="N65" i="15"/>
  <c r="N80" i="15" s="1"/>
  <c r="N49" i="12"/>
  <c r="N43" i="12"/>
  <c r="N29" i="12"/>
  <c r="N58" i="13" s="1"/>
  <c r="N36" i="12"/>
  <c r="N65" i="13" s="1"/>
  <c r="N23" i="15" s="1"/>
  <c r="N35" i="15" s="1"/>
  <c r="N45" i="12"/>
  <c r="N30" i="12"/>
  <c r="N59" i="13" s="1"/>
  <c r="N40" i="12"/>
  <c r="N69" i="13" s="1"/>
  <c r="N24" i="12"/>
  <c r="N53" i="13" s="1"/>
  <c r="N73" i="12"/>
  <c r="N91" i="13" s="1"/>
  <c r="N72" i="12"/>
  <c r="N90" i="13" s="1"/>
  <c r="N96" i="12"/>
  <c r="N108" i="13" s="1"/>
  <c r="N77" i="12"/>
  <c r="N101" i="12"/>
  <c r="N113" i="13" s="1"/>
  <c r="N103" i="12"/>
  <c r="N115" i="13" s="1"/>
  <c r="N78" i="12"/>
  <c r="N66" i="12"/>
  <c r="N84" i="13" s="1"/>
  <c r="N99" i="12"/>
  <c r="N111" i="13" s="1"/>
  <c r="N63" i="15"/>
  <c r="N78" i="15" s="1"/>
  <c r="N66" i="15"/>
  <c r="N81" i="15" s="1"/>
  <c r="N42" i="12"/>
  <c r="N26" i="12"/>
  <c r="N55" i="13" s="1"/>
  <c r="N31" i="12"/>
  <c r="N60" i="13" s="1"/>
  <c r="N41" i="12"/>
  <c r="N70" i="13" s="1"/>
  <c r="N25" i="12"/>
  <c r="N54" i="13" s="1"/>
  <c r="N35" i="12"/>
  <c r="N64" i="13" s="1"/>
  <c r="N22" i="15" s="1"/>
  <c r="N34" i="15" s="1"/>
  <c r="N124" i="12"/>
  <c r="N98" i="12"/>
  <c r="N110" i="13" s="1"/>
  <c r="N81" i="12"/>
  <c r="N106" i="12"/>
  <c r="N102" i="12"/>
  <c r="N114" i="13" s="1"/>
  <c r="N97" i="12"/>
  <c r="N109" i="13" s="1"/>
  <c r="N105" i="12"/>
  <c r="N67" i="12"/>
  <c r="N85" i="13" s="1"/>
  <c r="N64" i="12"/>
  <c r="N82" i="13" s="1"/>
  <c r="N94" i="12"/>
  <c r="N106" i="13" s="1"/>
  <c r="N64" i="15"/>
  <c r="N79" i="15" s="1"/>
  <c r="N62" i="15"/>
  <c r="N77" i="15" s="1"/>
  <c r="N37" i="12"/>
  <c r="N66" i="13" s="1"/>
  <c r="N46" i="12"/>
  <c r="N28" i="12"/>
  <c r="N57" i="13" s="1"/>
  <c r="N38" i="12"/>
  <c r="N67" i="13" s="1"/>
  <c r="N48" i="12"/>
  <c r="N32" i="12"/>
  <c r="N61" i="13" s="1"/>
  <c r="N80" i="12"/>
  <c r="N121" i="12"/>
  <c r="N127" i="13" s="1"/>
  <c r="N125" i="12"/>
  <c r="N74" i="12"/>
  <c r="N92" i="13" s="1"/>
  <c r="N127" i="12"/>
  <c r="N82" i="12"/>
  <c r="N123" i="12"/>
  <c r="N129" i="13" s="1"/>
  <c r="N107" i="12"/>
  <c r="N63" i="12"/>
  <c r="N81" i="13" s="1"/>
  <c r="N70" i="12"/>
  <c r="N88" i="13" s="1"/>
  <c r="N119" i="12"/>
  <c r="N125" i="13" s="1"/>
  <c r="N62" i="12"/>
  <c r="N80" i="13" s="1"/>
  <c r="N95" i="12"/>
  <c r="N107" i="13" s="1"/>
  <c r="N100" i="12"/>
  <c r="N112" i="13" s="1"/>
  <c r="N65" i="12"/>
  <c r="N83" i="13" s="1"/>
  <c r="N71" i="12"/>
  <c r="N89" i="13" s="1"/>
  <c r="Q67" i="15"/>
  <c r="Q82" i="15" s="1"/>
  <c r="Q48" i="12"/>
  <c r="Q62" i="15"/>
  <c r="Q77" i="15" s="1"/>
  <c r="Q63" i="15"/>
  <c r="Q78" i="15" s="1"/>
  <c r="Q44" i="12"/>
  <c r="Q49" i="12"/>
  <c r="Q41" i="12"/>
  <c r="Q70" i="13" s="1"/>
  <c r="Q33" i="12"/>
  <c r="Q62" i="13" s="1"/>
  <c r="Q64" i="15"/>
  <c r="Q79" i="15" s="1"/>
  <c r="Q66" i="15"/>
  <c r="Q81" i="15" s="1"/>
  <c r="Q47" i="12"/>
  <c r="Q39" i="12"/>
  <c r="Q68" i="13" s="1"/>
  <c r="Q31" i="12"/>
  <c r="Q60" i="13" s="1"/>
  <c r="Q23" i="12"/>
  <c r="Q52" i="13" s="1"/>
  <c r="Q32" i="12"/>
  <c r="Q61" i="13" s="1"/>
  <c r="Q26" i="12"/>
  <c r="Q55" i="13" s="1"/>
  <c r="Q96" i="12"/>
  <c r="Q108" i="13" s="1"/>
  <c r="Q73" i="12"/>
  <c r="Q91" i="13" s="1"/>
  <c r="Q68" i="12"/>
  <c r="Q86" i="13" s="1"/>
  <c r="Q76" i="12"/>
  <c r="Q127" i="12"/>
  <c r="Q78" i="12"/>
  <c r="Q75" i="12"/>
  <c r="Q97" i="12"/>
  <c r="Q109" i="13" s="1"/>
  <c r="Q63" i="12"/>
  <c r="Q81" i="13" s="1"/>
  <c r="Q120" i="12"/>
  <c r="Q126" i="13" s="1"/>
  <c r="Q70" i="12"/>
  <c r="Q88" i="13" s="1"/>
  <c r="Q11" i="13"/>
  <c r="Q35" i="12"/>
  <c r="Q64" i="13" s="1"/>
  <c r="Q22" i="15" s="1"/>
  <c r="Q34" i="15" s="1"/>
  <c r="Q38" i="12"/>
  <c r="Q67" i="13" s="1"/>
  <c r="Q42" i="12"/>
  <c r="Q103" i="12"/>
  <c r="Q115" i="13" s="1"/>
  <c r="Q77" i="12"/>
  <c r="Q80" i="12"/>
  <c r="Q125" i="12"/>
  <c r="Q105" i="12"/>
  <c r="Q121" i="12"/>
  <c r="Q127" i="13" s="1"/>
  <c r="Q64" i="12"/>
  <c r="Q82" i="13" s="1"/>
  <c r="Q100" i="12"/>
  <c r="Q112" i="13" s="1"/>
  <c r="Q119" i="12"/>
  <c r="Q125" i="13" s="1"/>
  <c r="Q45" i="12"/>
  <c r="Q29" i="12"/>
  <c r="Q58" i="13" s="1"/>
  <c r="Q30" i="12"/>
  <c r="Q59" i="13" s="1"/>
  <c r="Q34" i="12"/>
  <c r="Q63" i="13" s="1"/>
  <c r="Q21" i="15" s="1"/>
  <c r="Q33" i="15" s="1"/>
  <c r="Q79" i="12"/>
  <c r="Q102" i="12"/>
  <c r="Q114" i="13" s="1"/>
  <c r="Q81" i="12"/>
  <c r="Q104" i="12"/>
  <c r="Q124" i="12"/>
  <c r="Q82" i="12"/>
  <c r="Q61" i="12"/>
  <c r="Q79" i="13" s="1"/>
  <c r="Q71" i="12"/>
  <c r="Q89" i="13" s="1"/>
  <c r="Q94" i="12"/>
  <c r="Q106" i="13" s="1"/>
  <c r="Q65" i="15"/>
  <c r="Q80" i="15" s="1"/>
  <c r="Q43" i="12"/>
  <c r="Q27" i="12"/>
  <c r="Q56" i="13" s="1"/>
  <c r="Q40" i="12"/>
  <c r="Q69" i="13" s="1"/>
  <c r="Q36" i="12"/>
  <c r="Q65" i="13" s="1"/>
  <c r="Q23" i="15" s="1"/>
  <c r="Q35" i="15" s="1"/>
  <c r="Q123" i="12"/>
  <c r="Q129" i="13" s="1"/>
  <c r="Q67" i="12"/>
  <c r="Q85" i="13" s="1"/>
  <c r="Q72" i="12"/>
  <c r="Q90" i="13" s="1"/>
  <c r="Q101" i="12"/>
  <c r="Q113" i="13" s="1"/>
  <c r="Q106" i="12"/>
  <c r="Q107" i="12"/>
  <c r="Q95" i="12"/>
  <c r="Q107" i="13" s="1"/>
  <c r="Q62" i="12"/>
  <c r="Q80" i="13" s="1"/>
  <c r="Q46" i="12"/>
  <c r="Q37" i="12"/>
  <c r="Q66" i="13" s="1"/>
  <c r="Q25" i="12"/>
  <c r="Q54" i="13" s="1"/>
  <c r="Q24" i="12"/>
  <c r="Q53" i="13" s="1"/>
  <c r="Q28" i="12"/>
  <c r="Q57" i="13" s="1"/>
  <c r="Q98" i="12"/>
  <c r="Q110" i="13" s="1"/>
  <c r="Q126" i="12"/>
  <c r="Q74" i="12"/>
  <c r="Q92" i="13" s="1"/>
  <c r="Q69" i="12"/>
  <c r="Q87" i="13" s="1"/>
  <c r="Q122" i="12"/>
  <c r="Q128" i="13" s="1"/>
  <c r="Q66" i="12"/>
  <c r="Q84" i="13" s="1"/>
  <c r="Q99" i="12"/>
  <c r="Q111" i="13" s="1"/>
  <c r="Q65" i="12"/>
  <c r="Q83" i="13" s="1"/>
  <c r="B639" i="22"/>
  <c r="M34" i="16"/>
  <c r="B173" i="22"/>
  <c r="M19" i="16"/>
  <c r="C393" i="22"/>
  <c r="M64" i="16"/>
  <c r="M35" i="16"/>
  <c r="B671" i="22"/>
  <c r="B361" i="22"/>
  <c r="M25" i="16"/>
  <c r="B608" i="22"/>
  <c r="M33" i="16"/>
  <c r="K97" i="13"/>
  <c r="M26" i="16"/>
  <c r="B393" i="22"/>
  <c r="C799" i="22"/>
  <c r="M77" i="16"/>
  <c r="F863" i="22"/>
  <c r="M224" i="16"/>
  <c r="G52" i="18"/>
  <c r="G54" i="18"/>
  <c r="C50" i="18"/>
  <c r="G44" i="18"/>
  <c r="G38" i="18"/>
  <c r="C34" i="18"/>
  <c r="D57" i="18"/>
  <c r="D53" i="18"/>
  <c r="D49" i="18"/>
  <c r="D41" i="18"/>
  <c r="D37" i="18"/>
  <c r="C59" i="18"/>
  <c r="C53" i="18"/>
  <c r="E50" i="18"/>
  <c r="G43" i="18"/>
  <c r="G37" i="18"/>
  <c r="F59" i="18"/>
  <c r="F107" i="18" s="1"/>
  <c r="C345" i="18" s="1"/>
  <c r="F53" i="18"/>
  <c r="F101" i="18" s="1"/>
  <c r="C339" i="18" s="1"/>
  <c r="D48" i="18"/>
  <c r="D40" i="18"/>
  <c r="D36" i="18"/>
  <c r="C54" i="18"/>
  <c r="E49" i="18"/>
  <c r="G42" i="18"/>
  <c r="G36" i="18"/>
  <c r="F60" i="18"/>
  <c r="F108" i="18" s="1"/>
  <c r="C346" i="18" s="1"/>
  <c r="F56" i="18"/>
  <c r="F104" i="18" s="1"/>
  <c r="C342" i="18" s="1"/>
  <c r="F52" i="18"/>
  <c r="F48" i="18"/>
  <c r="F40" i="18"/>
  <c r="F36" i="18"/>
  <c r="C57" i="18"/>
  <c r="E52" i="18"/>
  <c r="G49" i="18"/>
  <c r="G41" i="18"/>
  <c r="C37" i="18"/>
  <c r="F57" i="18"/>
  <c r="F105" i="18" s="1"/>
  <c r="C343" i="18" s="1"/>
  <c r="F51" i="18"/>
  <c r="F43" i="18"/>
  <c r="F39" i="18"/>
  <c r="F35" i="18"/>
  <c r="E51" i="18"/>
  <c r="G48" i="18"/>
  <c r="G40" i="18"/>
  <c r="C36" i="18"/>
  <c r="D59" i="18"/>
  <c r="D55" i="18"/>
  <c r="D51" i="18"/>
  <c r="F44" i="18"/>
  <c r="D39" i="18"/>
  <c r="D35" i="18"/>
  <c r="C55" i="18"/>
  <c r="G51" i="18"/>
  <c r="C49" i="18"/>
  <c r="G39" i="18"/>
  <c r="E36" i="18"/>
  <c r="F55" i="18"/>
  <c r="F103" i="18" s="1"/>
  <c r="C341" i="18" s="1"/>
  <c r="D50" i="18"/>
  <c r="D42" i="18"/>
  <c r="D38" i="18"/>
  <c r="D34" i="18"/>
  <c r="G50" i="18"/>
  <c r="C48" i="18"/>
  <c r="E39" i="18"/>
  <c r="G34" i="18"/>
  <c r="F58" i="18"/>
  <c r="F106" i="18" s="1"/>
  <c r="C344" i="18" s="1"/>
  <c r="F54" i="18"/>
  <c r="F102" i="18" s="1"/>
  <c r="C340" i="18" s="1"/>
  <c r="F50" i="18"/>
  <c r="F42" i="18"/>
  <c r="F38" i="18"/>
  <c r="F34" i="18"/>
  <c r="G53" i="18"/>
  <c r="C51" i="18"/>
  <c r="E48" i="18"/>
  <c r="C39" i="18"/>
  <c r="G35" i="18"/>
  <c r="D54" i="18"/>
  <c r="F49" i="18"/>
  <c r="F41" i="18"/>
  <c r="F37" i="18"/>
  <c r="D767" i="22"/>
  <c r="M221" i="16"/>
  <c r="B141" i="22"/>
  <c r="M18" i="16"/>
  <c r="D863" i="22"/>
  <c r="M117" i="16"/>
  <c r="K116" i="13"/>
  <c r="C608" i="22"/>
  <c r="M71" i="16"/>
  <c r="D703" i="22"/>
  <c r="M219" i="16"/>
  <c r="M65" i="15"/>
  <c r="M80" i="15" s="1"/>
  <c r="M48" i="12"/>
  <c r="M11" i="13"/>
  <c r="M43" i="12"/>
  <c r="M35" i="12"/>
  <c r="M64" i="13" s="1"/>
  <c r="M22" i="15" s="1"/>
  <c r="M34" i="15" s="1"/>
  <c r="M27" i="12"/>
  <c r="M56" i="13" s="1"/>
  <c r="M32" i="12"/>
  <c r="M61" i="13" s="1"/>
  <c r="M26" i="12"/>
  <c r="M55" i="13" s="1"/>
  <c r="M30" i="12"/>
  <c r="M59" i="13" s="1"/>
  <c r="M96" i="12"/>
  <c r="M108" i="13" s="1"/>
  <c r="M69" i="12"/>
  <c r="M87" i="13" s="1"/>
  <c r="M102" i="12"/>
  <c r="M114" i="13" s="1"/>
  <c r="M97" i="12"/>
  <c r="M109" i="13" s="1"/>
  <c r="M105" i="12"/>
  <c r="M76" i="12"/>
  <c r="M77" i="12"/>
  <c r="M66" i="12"/>
  <c r="M84" i="13" s="1"/>
  <c r="M94" i="12"/>
  <c r="M106" i="13" s="1"/>
  <c r="M71" i="12"/>
  <c r="M89" i="13" s="1"/>
  <c r="M95" i="12"/>
  <c r="M107" i="13" s="1"/>
  <c r="M63" i="15"/>
  <c r="M78" i="15" s="1"/>
  <c r="M46" i="12"/>
  <c r="M49" i="12"/>
  <c r="M41" i="12"/>
  <c r="M70" i="13" s="1"/>
  <c r="M33" i="12"/>
  <c r="M62" i="13" s="1"/>
  <c r="M25" i="12"/>
  <c r="M54" i="13" s="1"/>
  <c r="M24" i="12"/>
  <c r="M53" i="13" s="1"/>
  <c r="M36" i="12"/>
  <c r="M65" i="13" s="1"/>
  <c r="M23" i="15" s="1"/>
  <c r="M35" i="15" s="1"/>
  <c r="M79" i="12"/>
  <c r="M121" i="12"/>
  <c r="M127" i="13" s="1"/>
  <c r="M67" i="12"/>
  <c r="M85" i="13" s="1"/>
  <c r="M104" i="12"/>
  <c r="M123" i="12"/>
  <c r="M129" i="13" s="1"/>
  <c r="M127" i="12"/>
  <c r="M80" i="12"/>
  <c r="M74" i="12"/>
  <c r="M92" i="13" s="1"/>
  <c r="M61" i="12"/>
  <c r="M79" i="13" s="1"/>
  <c r="M119" i="12"/>
  <c r="M125" i="13" s="1"/>
  <c r="M100" i="12"/>
  <c r="M112" i="13" s="1"/>
  <c r="M70" i="12"/>
  <c r="M88" i="13" s="1"/>
  <c r="M66" i="15"/>
  <c r="M81" i="15" s="1"/>
  <c r="M44" i="12"/>
  <c r="M47" i="12"/>
  <c r="M39" i="12"/>
  <c r="M68" i="13" s="1"/>
  <c r="M31" i="12"/>
  <c r="M60" i="13" s="1"/>
  <c r="M23" i="12"/>
  <c r="M52" i="13" s="1"/>
  <c r="M42" i="12"/>
  <c r="M28" i="12"/>
  <c r="M57" i="13" s="1"/>
  <c r="M81" i="12"/>
  <c r="M72" i="12"/>
  <c r="M90" i="13" s="1"/>
  <c r="M107" i="12"/>
  <c r="M82" i="12"/>
  <c r="M68" i="12"/>
  <c r="M86" i="13" s="1"/>
  <c r="M103" i="12"/>
  <c r="M115" i="13" s="1"/>
  <c r="M78" i="12"/>
  <c r="M125" i="12"/>
  <c r="M63" i="12"/>
  <c r="M81" i="13" s="1"/>
  <c r="M120" i="12"/>
  <c r="M126" i="13" s="1"/>
  <c r="M62" i="12"/>
  <c r="M80" i="13" s="1"/>
  <c r="M67" i="15"/>
  <c r="M82" i="15" s="1"/>
  <c r="M62" i="15"/>
  <c r="M77" i="15" s="1"/>
  <c r="M64" i="15"/>
  <c r="M79" i="15" s="1"/>
  <c r="M45" i="12"/>
  <c r="M37" i="12"/>
  <c r="M66" i="13" s="1"/>
  <c r="M29" i="12"/>
  <c r="M58" i="13" s="1"/>
  <c r="M40" i="12"/>
  <c r="M69" i="13" s="1"/>
  <c r="M34" i="12"/>
  <c r="M63" i="13" s="1"/>
  <c r="M21" i="15" s="1"/>
  <c r="M33" i="15" s="1"/>
  <c r="M38" i="12"/>
  <c r="M67" i="13" s="1"/>
  <c r="M122" i="12"/>
  <c r="M128" i="13" s="1"/>
  <c r="M75" i="12"/>
  <c r="M106" i="12"/>
  <c r="M101" i="12"/>
  <c r="M113" i="13" s="1"/>
  <c r="M124" i="12"/>
  <c r="M98" i="12"/>
  <c r="M110" i="13" s="1"/>
  <c r="M73" i="12"/>
  <c r="M91" i="13" s="1"/>
  <c r="M126" i="12"/>
  <c r="M64" i="12"/>
  <c r="M82" i="13" s="1"/>
  <c r="M99" i="12"/>
  <c r="M111" i="13" s="1"/>
  <c r="M65" i="12"/>
  <c r="M83" i="13" s="1"/>
  <c r="B527" i="22"/>
  <c r="C527" i="22" s="1"/>
  <c r="V30" i="16"/>
  <c r="V140" i="16"/>
  <c r="D132" i="10"/>
  <c r="E402" i="22"/>
  <c r="D134" i="10"/>
  <c r="E466" i="22"/>
  <c r="V142" i="16"/>
  <c r="D141" i="10"/>
  <c r="V149" i="16"/>
  <c r="C680" i="22"/>
  <c r="B557" i="22"/>
  <c r="C557" i="22" s="1"/>
  <c r="V31" i="16"/>
  <c r="C648" i="22"/>
  <c r="V148" i="16"/>
  <c r="D140" i="10"/>
  <c r="D126" i="10"/>
  <c r="V141" i="16"/>
  <c r="D133" i="10"/>
  <c r="E434" i="22"/>
  <c r="R71" i="12"/>
  <c r="R89" i="13" s="1"/>
  <c r="R64" i="15"/>
  <c r="R79" i="15" s="1"/>
  <c r="R39" i="12"/>
  <c r="R68" i="13" s="1"/>
  <c r="R101" i="12"/>
  <c r="R113" i="13" s="1"/>
  <c r="R78" i="12"/>
  <c r="R99" i="12"/>
  <c r="R111" i="13" s="1"/>
  <c r="R95" i="12"/>
  <c r="R107" i="13" s="1"/>
  <c r="R32" i="12"/>
  <c r="R61" i="13" s="1"/>
  <c r="R23" i="12"/>
  <c r="R52" i="13" s="1"/>
  <c r="R125" i="12"/>
  <c r="R127" i="12"/>
  <c r="R65" i="12"/>
  <c r="R83" i="13" s="1"/>
  <c r="R66" i="15"/>
  <c r="R81" i="15" s="1"/>
  <c r="R26" i="12"/>
  <c r="R55" i="13" s="1"/>
  <c r="R80" i="12"/>
  <c r="R126" i="12"/>
  <c r="R61" i="12"/>
  <c r="R79" i="13" s="1"/>
  <c r="R45" i="12"/>
  <c r="R36" i="12"/>
  <c r="R65" i="13" s="1"/>
  <c r="R23" i="15" s="1"/>
  <c r="R35" i="15" s="1"/>
  <c r="R11" i="13"/>
  <c r="R47" i="12"/>
  <c r="R103" i="12"/>
  <c r="R115" i="13" s="1"/>
  <c r="R98" i="12"/>
  <c r="R110" i="13" s="1"/>
  <c r="R94" i="12"/>
  <c r="R106" i="13" s="1"/>
  <c r="R44" i="12"/>
  <c r="R38" i="12"/>
  <c r="R67" i="13" s="1"/>
  <c r="R82" i="12"/>
  <c r="R79" i="12"/>
  <c r="R68" i="12"/>
  <c r="R86" i="13" s="1"/>
  <c r="R104" i="12"/>
  <c r="R105" i="12"/>
  <c r="R33" i="12"/>
  <c r="R62" i="13" s="1"/>
  <c r="R62" i="15"/>
  <c r="R77" i="15" s="1"/>
  <c r="R100" i="12"/>
  <c r="R112" i="13" s="1"/>
  <c r="R24" i="12"/>
  <c r="R53" i="13" s="1"/>
  <c r="R25" i="12"/>
  <c r="R54" i="13" s="1"/>
  <c r="R75" i="12"/>
  <c r="R49" i="12"/>
  <c r="R28" i="12"/>
  <c r="R57" i="13" s="1"/>
  <c r="R123" i="12"/>
  <c r="R129" i="13" s="1"/>
  <c r="R46" i="12"/>
  <c r="R107" i="12"/>
  <c r="R96" i="12"/>
  <c r="R108" i="13" s="1"/>
  <c r="R62" i="12"/>
  <c r="R80" i="13" s="1"/>
  <c r="R67" i="12"/>
  <c r="R85" i="13" s="1"/>
  <c r="R27" i="12"/>
  <c r="R56" i="13" s="1"/>
  <c r="R120" i="12"/>
  <c r="R126" i="13" s="1"/>
  <c r="R34" i="12"/>
  <c r="R63" i="13" s="1"/>
  <c r="R21" i="15" s="1"/>
  <c r="R33" i="15" s="1"/>
  <c r="R76" i="12"/>
  <c r="R122" i="12"/>
  <c r="R128" i="13" s="1"/>
  <c r="R35" i="12"/>
  <c r="R64" i="13" s="1"/>
  <c r="R22" i="15" s="1"/>
  <c r="R34" i="15" s="1"/>
  <c r="R74" i="12"/>
  <c r="R92" i="13" s="1"/>
  <c r="R97" i="12"/>
  <c r="R109" i="13" s="1"/>
  <c r="R124" i="12"/>
  <c r="R72" i="12"/>
  <c r="R90" i="13" s="1"/>
  <c r="R70" i="12"/>
  <c r="R88" i="13" s="1"/>
  <c r="R73" i="12"/>
  <c r="R91" i="13" s="1"/>
  <c r="R37" i="12"/>
  <c r="R66" i="13" s="1"/>
  <c r="R65" i="15"/>
  <c r="R80" i="15" s="1"/>
  <c r="R31" i="12"/>
  <c r="R60" i="13" s="1"/>
  <c r="R81" i="12"/>
  <c r="R66" i="12"/>
  <c r="R84" i="13" s="1"/>
  <c r="R29" i="12"/>
  <c r="R58" i="13" s="1"/>
  <c r="R106" i="12"/>
  <c r="R69" i="12"/>
  <c r="R87" i="13" s="1"/>
  <c r="R119" i="12"/>
  <c r="R125" i="13" s="1"/>
  <c r="R121" i="12"/>
  <c r="R127" i="13" s="1"/>
  <c r="R42" i="12"/>
  <c r="R67" i="15"/>
  <c r="R82" i="15" s="1"/>
  <c r="R48" i="12"/>
  <c r="R40" i="12"/>
  <c r="R69" i="13" s="1"/>
  <c r="R41" i="12"/>
  <c r="R70" i="13" s="1"/>
  <c r="R77" i="12"/>
  <c r="R63" i="15"/>
  <c r="R78" i="15" s="1"/>
  <c r="R43" i="12"/>
  <c r="R102" i="12"/>
  <c r="R114" i="13" s="1"/>
  <c r="R63" i="12"/>
  <c r="R81" i="13" s="1"/>
  <c r="R30" i="12"/>
  <c r="R59" i="13" s="1"/>
  <c r="R64" i="12"/>
  <c r="R82" i="13" s="1"/>
  <c r="C151" i="22"/>
  <c r="D151" i="22" s="1"/>
  <c r="W132" i="16"/>
  <c r="C59" i="22"/>
  <c r="D59" i="22" s="1"/>
  <c r="W129" i="16"/>
  <c r="W130" i="16"/>
  <c r="D91" i="22"/>
  <c r="F91" i="22" s="1"/>
  <c r="E809" i="22"/>
  <c r="H809" i="22" s="1"/>
  <c r="W153" i="16"/>
  <c r="W154" i="16"/>
  <c r="C841" i="22"/>
  <c r="E841" i="22" s="1"/>
  <c r="W155" i="16"/>
  <c r="E873" i="22"/>
  <c r="H873" i="22" s="1"/>
  <c r="K95" i="13"/>
  <c r="M31" i="16"/>
  <c r="B548" i="22"/>
  <c r="D329" i="22"/>
  <c r="M100" i="16"/>
  <c r="D735" i="22"/>
  <c r="M113" i="16"/>
  <c r="B488" i="22"/>
  <c r="M29" i="16"/>
  <c r="K93" i="13"/>
  <c r="K39" i="13"/>
  <c r="K42" i="13"/>
  <c r="K34" i="13"/>
  <c r="K96" i="14" s="1"/>
  <c r="K30" i="13"/>
  <c r="K36" i="13"/>
  <c r="K27" i="13"/>
  <c r="K25" i="13"/>
  <c r="K89" i="14" s="1"/>
  <c r="K41" i="13"/>
  <c r="K35" i="13"/>
  <c r="K97" i="14" s="1"/>
  <c r="K33" i="13"/>
  <c r="K95" i="14" s="1"/>
  <c r="K28" i="13"/>
  <c r="K91" i="14" s="1"/>
  <c r="K37" i="13"/>
  <c r="K43" i="13"/>
  <c r="K40" i="13"/>
  <c r="K26" i="13"/>
  <c r="K90" i="14" s="1"/>
  <c r="K31" i="13"/>
  <c r="K93" i="14" s="1"/>
  <c r="K38" i="13"/>
  <c r="K29" i="13"/>
  <c r="K92" i="14" s="1"/>
  <c r="K32" i="13"/>
  <c r="K94" i="14" s="1"/>
  <c r="C265" i="22"/>
  <c r="M60" i="16"/>
  <c r="F799" i="22"/>
  <c r="M222" i="16"/>
  <c r="M16" i="16"/>
  <c r="B81" i="22"/>
  <c r="C457" i="22"/>
  <c r="M66" i="16"/>
  <c r="B265" i="22"/>
  <c r="M22" i="16"/>
  <c r="B49" i="22"/>
  <c r="M15" i="16"/>
  <c r="K130" i="13"/>
  <c r="M109" i="16"/>
  <c r="D608" i="22"/>
  <c r="G393" i="22"/>
  <c r="M209" i="16"/>
  <c r="D361" i="22"/>
  <c r="M101" i="16"/>
  <c r="D799" i="22"/>
  <c r="M115" i="16"/>
  <c r="B297" i="22"/>
  <c r="M23" i="16"/>
  <c r="C173" i="22"/>
  <c r="M57" i="16"/>
  <c r="D145" i="10"/>
  <c r="E808" i="22"/>
  <c r="V153" i="16"/>
  <c r="B497" i="22"/>
  <c r="C497" i="22" s="1"/>
  <c r="V29" i="16"/>
  <c r="D90" i="22"/>
  <c r="F90" i="22" s="1"/>
  <c r="V130" i="16"/>
  <c r="D122" i="10"/>
  <c r="V129" i="16"/>
  <c r="D121" i="10"/>
  <c r="C58" i="22"/>
  <c r="D58" i="22" s="1"/>
  <c r="V139" i="16"/>
  <c r="D131" i="10"/>
  <c r="E370" i="22"/>
  <c r="G370" i="22" s="1"/>
  <c r="D146" i="10"/>
  <c r="C840" i="22"/>
  <c r="V154" i="16"/>
  <c r="C777" i="22"/>
  <c r="E777" i="22" s="1"/>
  <c r="W152" i="16"/>
  <c r="C681" i="22"/>
  <c r="D681" i="22" s="1"/>
  <c r="V28" i="23" s="1"/>
  <c r="W149" i="16"/>
  <c r="W150" i="16"/>
  <c r="C713" i="22"/>
  <c r="E713" i="22" s="1"/>
  <c r="E745" i="22"/>
  <c r="H745" i="22" s="1"/>
  <c r="W151" i="16"/>
  <c r="W148" i="16"/>
  <c r="C649" i="22"/>
  <c r="D649" i="22" s="1"/>
  <c r="O65" i="15"/>
  <c r="O80" i="15" s="1"/>
  <c r="O43" i="12"/>
  <c r="O46" i="12"/>
  <c r="O38" i="12"/>
  <c r="O67" i="13" s="1"/>
  <c r="O30" i="12"/>
  <c r="O59" i="13" s="1"/>
  <c r="O39" i="12"/>
  <c r="O68" i="13" s="1"/>
  <c r="O33" i="12"/>
  <c r="O62" i="13" s="1"/>
  <c r="O27" i="12"/>
  <c r="O56" i="13" s="1"/>
  <c r="O67" i="12"/>
  <c r="O85" i="13" s="1"/>
  <c r="O104" i="12"/>
  <c r="O121" i="12"/>
  <c r="O127" i="13" s="1"/>
  <c r="O103" i="12"/>
  <c r="O115" i="13" s="1"/>
  <c r="O81" i="12"/>
  <c r="O124" i="12"/>
  <c r="O73" i="12"/>
  <c r="O91" i="13" s="1"/>
  <c r="O123" i="12"/>
  <c r="O129" i="13" s="1"/>
  <c r="O66" i="12"/>
  <c r="O84" i="13" s="1"/>
  <c r="O94" i="12"/>
  <c r="O106" i="13" s="1"/>
  <c r="O100" i="12"/>
  <c r="O112" i="13" s="1"/>
  <c r="O64" i="15"/>
  <c r="O79" i="15" s="1"/>
  <c r="O47" i="12"/>
  <c r="O63" i="15"/>
  <c r="O78" i="15" s="1"/>
  <c r="O42" i="12"/>
  <c r="O34" i="12"/>
  <c r="O63" i="13" s="1"/>
  <c r="O21" i="15" s="1"/>
  <c r="O33" i="15" s="1"/>
  <c r="O26" i="12"/>
  <c r="O55" i="13" s="1"/>
  <c r="O23" i="12"/>
  <c r="O52" i="13" s="1"/>
  <c r="O11" i="13"/>
  <c r="O29" i="12"/>
  <c r="O58" i="13" s="1"/>
  <c r="O77" i="12"/>
  <c r="O74" i="12"/>
  <c r="O92" i="13" s="1"/>
  <c r="O79" i="12"/>
  <c r="O72" i="12"/>
  <c r="O90" i="13" s="1"/>
  <c r="O106" i="12"/>
  <c r="O80" i="12"/>
  <c r="O126" i="12"/>
  <c r="O63" i="12"/>
  <c r="O81" i="13" s="1"/>
  <c r="O119" i="12"/>
  <c r="O125" i="13" s="1"/>
  <c r="O65" i="12"/>
  <c r="O83" i="13" s="1"/>
  <c r="O70" i="12"/>
  <c r="O88" i="13" s="1"/>
  <c r="O62" i="15"/>
  <c r="O77" i="15" s="1"/>
  <c r="O45" i="12"/>
  <c r="O48" i="12"/>
  <c r="O40" i="12"/>
  <c r="O69" i="13" s="1"/>
  <c r="O32" i="12"/>
  <c r="O61" i="13" s="1"/>
  <c r="O24" i="12"/>
  <c r="O53" i="13" s="1"/>
  <c r="O41" i="12"/>
  <c r="O70" i="13" s="1"/>
  <c r="O35" i="12"/>
  <c r="O64" i="13" s="1"/>
  <c r="O22" i="15" s="1"/>
  <c r="O34" i="15" s="1"/>
  <c r="O75" i="12"/>
  <c r="O122" i="12"/>
  <c r="O128" i="13" s="1"/>
  <c r="O68" i="12"/>
  <c r="O86" i="13" s="1"/>
  <c r="O102" i="12"/>
  <c r="O114" i="13" s="1"/>
  <c r="O78" i="12"/>
  <c r="O76" i="12"/>
  <c r="O127" i="12"/>
  <c r="O82" i="12"/>
  <c r="O61" i="12"/>
  <c r="O79" i="13" s="1"/>
  <c r="O120" i="12"/>
  <c r="O126" i="13" s="1"/>
  <c r="O71" i="12"/>
  <c r="O89" i="13" s="1"/>
  <c r="O99" i="12"/>
  <c r="O111" i="13" s="1"/>
  <c r="O49" i="12"/>
  <c r="O28" i="12"/>
  <c r="O57" i="13" s="1"/>
  <c r="O69" i="12"/>
  <c r="O87" i="13" s="1"/>
  <c r="O97" i="12"/>
  <c r="O109" i="13" s="1"/>
  <c r="O64" i="12"/>
  <c r="O82" i="13" s="1"/>
  <c r="O67" i="15"/>
  <c r="O82" i="15" s="1"/>
  <c r="O31" i="12"/>
  <c r="O60" i="13" s="1"/>
  <c r="O101" i="12"/>
  <c r="O113" i="13" s="1"/>
  <c r="O98" i="12"/>
  <c r="O110" i="13" s="1"/>
  <c r="O62" i="12"/>
  <c r="O80" i="13" s="1"/>
  <c r="O44" i="12"/>
  <c r="O25" i="12"/>
  <c r="O54" i="13" s="1"/>
  <c r="O105" i="12"/>
  <c r="O125" i="12"/>
  <c r="O95" i="12"/>
  <c r="O107" i="13" s="1"/>
  <c r="O66" i="15"/>
  <c r="O81" i="15" s="1"/>
  <c r="O36" i="12"/>
  <c r="O65" i="13" s="1"/>
  <c r="O23" i="15" s="1"/>
  <c r="O35" i="15" s="1"/>
  <c r="O37" i="12"/>
  <c r="O66" i="13" s="1"/>
  <c r="O96" i="12"/>
  <c r="O108" i="13" s="1"/>
  <c r="O107" i="12"/>
  <c r="C863" i="22"/>
  <c r="M79" i="16"/>
  <c r="D457" i="22"/>
  <c r="M104" i="16"/>
  <c r="D831" i="22"/>
  <c r="M223" i="16"/>
  <c r="C81" i="22"/>
  <c r="M54" i="16"/>
  <c r="M59" i="16"/>
  <c r="C233" i="22"/>
  <c r="B425" i="22"/>
  <c r="M27" i="16"/>
  <c r="M65" i="16"/>
  <c r="C425" i="22"/>
  <c r="C361" i="22"/>
  <c r="M63" i="16"/>
  <c r="M17" i="16"/>
  <c r="B111" i="22"/>
  <c r="M61" i="16"/>
  <c r="C297" i="22"/>
  <c r="B233" i="22"/>
  <c r="M21" i="16"/>
  <c r="M40" i="16"/>
  <c r="B831" i="22"/>
  <c r="M220" i="16"/>
  <c r="F735" i="22"/>
  <c r="B203" i="22"/>
  <c r="M20" i="16"/>
  <c r="L66" i="15"/>
  <c r="L81" i="15" s="1"/>
  <c r="L62" i="15"/>
  <c r="L77" i="15" s="1"/>
  <c r="L11" i="13"/>
  <c r="L35" i="12"/>
  <c r="L64" i="13" s="1"/>
  <c r="L22" i="15" s="1"/>
  <c r="L34" i="15" s="1"/>
  <c r="L65" i="15"/>
  <c r="L80" i="15" s="1"/>
  <c r="L48" i="12"/>
  <c r="L30" i="12"/>
  <c r="L59" i="13" s="1"/>
  <c r="L40" i="12"/>
  <c r="L69" i="13" s="1"/>
  <c r="L24" i="12"/>
  <c r="L53" i="13" s="1"/>
  <c r="L34" i="12"/>
  <c r="L63" i="13" s="1"/>
  <c r="L21" i="15" s="1"/>
  <c r="L33" i="15" s="1"/>
  <c r="L49" i="12"/>
  <c r="L33" i="12"/>
  <c r="L62" i="13" s="1"/>
  <c r="L97" i="12"/>
  <c r="L109" i="13" s="1"/>
  <c r="L98" i="12"/>
  <c r="L110" i="13" s="1"/>
  <c r="L74" i="12"/>
  <c r="L92" i="13" s="1"/>
  <c r="L107" i="12"/>
  <c r="L103" i="12"/>
  <c r="L115" i="13" s="1"/>
  <c r="L64" i="15"/>
  <c r="L79" i="15" s="1"/>
  <c r="L38" i="12"/>
  <c r="L67" i="13" s="1"/>
  <c r="L37" i="12"/>
  <c r="L66" i="13" s="1"/>
  <c r="L42" i="12"/>
  <c r="L23" i="12"/>
  <c r="L52" i="13" s="1"/>
  <c r="L28" i="12"/>
  <c r="L57" i="13" s="1"/>
  <c r="L81" i="12"/>
  <c r="L79" i="12"/>
  <c r="L126" i="12"/>
  <c r="L105" i="12"/>
  <c r="L102" i="12"/>
  <c r="L114" i="13" s="1"/>
  <c r="L75" i="12"/>
  <c r="L63" i="12"/>
  <c r="L81" i="13" s="1"/>
  <c r="L62" i="12"/>
  <c r="L80" i="13" s="1"/>
  <c r="L65" i="12"/>
  <c r="L83" i="13" s="1"/>
  <c r="L100" i="12"/>
  <c r="L112" i="13" s="1"/>
  <c r="L67" i="15"/>
  <c r="L82" i="15" s="1"/>
  <c r="L27" i="12"/>
  <c r="L56" i="13" s="1"/>
  <c r="L32" i="12"/>
  <c r="L61" i="13" s="1"/>
  <c r="L39" i="12"/>
  <c r="L68" i="13" s="1"/>
  <c r="L45" i="12"/>
  <c r="L25" i="12"/>
  <c r="L54" i="13" s="1"/>
  <c r="L67" i="12"/>
  <c r="L85" i="13" s="1"/>
  <c r="L124" i="12"/>
  <c r="L76" i="12"/>
  <c r="L73" i="12"/>
  <c r="L91" i="13" s="1"/>
  <c r="L104" i="12"/>
  <c r="L106" i="12"/>
  <c r="L66" i="12"/>
  <c r="L84" i="13" s="1"/>
  <c r="L99" i="12"/>
  <c r="L111" i="13" s="1"/>
  <c r="L70" i="12"/>
  <c r="L88" i="13" s="1"/>
  <c r="L95" i="12"/>
  <c r="L107" i="13" s="1"/>
  <c r="L63" i="15"/>
  <c r="L78" i="15" s="1"/>
  <c r="L47" i="12"/>
  <c r="L29" i="12"/>
  <c r="L58" i="13" s="1"/>
  <c r="L31" i="12"/>
  <c r="L60" i="13" s="1"/>
  <c r="L41" i="12"/>
  <c r="L70" i="13" s="1"/>
  <c r="L101" i="12"/>
  <c r="L113" i="13" s="1"/>
  <c r="L72" i="12"/>
  <c r="L90" i="13" s="1"/>
  <c r="L121" i="12"/>
  <c r="L127" i="13" s="1"/>
  <c r="L127" i="12"/>
  <c r="L125" i="12"/>
  <c r="L80" i="12"/>
  <c r="L96" i="12"/>
  <c r="L108" i="13" s="1"/>
  <c r="L64" i="12"/>
  <c r="L82" i="13" s="1"/>
  <c r="L71" i="12"/>
  <c r="L89" i="13" s="1"/>
  <c r="L120" i="12"/>
  <c r="L126" i="13" s="1"/>
  <c r="L44" i="12"/>
  <c r="L43" i="12"/>
  <c r="L46" i="12"/>
  <c r="L26" i="12"/>
  <c r="L55" i="13" s="1"/>
  <c r="L36" i="12"/>
  <c r="L65" i="13" s="1"/>
  <c r="L23" i="15" s="1"/>
  <c r="L35" i="15" s="1"/>
  <c r="L82" i="12"/>
  <c r="L78" i="12"/>
  <c r="L123" i="12"/>
  <c r="L129" i="13" s="1"/>
  <c r="L77" i="12"/>
  <c r="L68" i="12"/>
  <c r="L86" i="13" s="1"/>
  <c r="L122" i="12"/>
  <c r="L128" i="13" s="1"/>
  <c r="L69" i="12"/>
  <c r="L87" i="13" s="1"/>
  <c r="L61" i="12"/>
  <c r="L79" i="13" s="1"/>
  <c r="L119" i="12"/>
  <c r="L125" i="13" s="1"/>
  <c r="L94" i="12"/>
  <c r="L106" i="13" s="1"/>
  <c r="S70" i="12"/>
  <c r="S88" i="13" s="1"/>
  <c r="S46" i="12"/>
  <c r="S31" i="12"/>
  <c r="S60" i="13" s="1"/>
  <c r="S126" i="12"/>
  <c r="S102" i="12"/>
  <c r="S114" i="13" s="1"/>
  <c r="S66" i="15"/>
  <c r="S81" i="15" s="1"/>
  <c r="S36" i="12"/>
  <c r="S65" i="13" s="1"/>
  <c r="S23" i="15" s="1"/>
  <c r="S35" i="15" s="1"/>
  <c r="S35" i="12"/>
  <c r="S64" i="13" s="1"/>
  <c r="S22" i="15" s="1"/>
  <c r="S34" i="15" s="1"/>
  <c r="S98" i="12"/>
  <c r="S110" i="13" s="1"/>
  <c r="S96" i="12"/>
  <c r="S108" i="13" s="1"/>
  <c r="S65" i="15"/>
  <c r="S80" i="15" s="1"/>
  <c r="S11" i="13"/>
  <c r="S106" i="12"/>
  <c r="S68" i="12"/>
  <c r="S86" i="13" s="1"/>
  <c r="S119" i="12"/>
  <c r="S125" i="13" s="1"/>
  <c r="S40" i="12"/>
  <c r="S69" i="13" s="1"/>
  <c r="S33" i="12"/>
  <c r="S62" i="13" s="1"/>
  <c r="S72" i="12"/>
  <c r="S90" i="13" s="1"/>
  <c r="S81" i="12"/>
  <c r="S62" i="12"/>
  <c r="S80" i="13" s="1"/>
  <c r="S120" i="12"/>
  <c r="S126" i="13" s="1"/>
  <c r="S38" i="12"/>
  <c r="S67" i="13" s="1"/>
  <c r="S25" i="12"/>
  <c r="S54" i="13" s="1"/>
  <c r="S67" i="12"/>
  <c r="S85" i="13" s="1"/>
  <c r="S101" i="12"/>
  <c r="S113" i="13" s="1"/>
  <c r="S63" i="15"/>
  <c r="S78" i="15" s="1"/>
  <c r="S28" i="12"/>
  <c r="S57" i="13" s="1"/>
  <c r="S122" i="12"/>
  <c r="S128" i="13" s="1"/>
  <c r="S69" i="12"/>
  <c r="S87" i="13" s="1"/>
  <c r="S66" i="12"/>
  <c r="S84" i="13" s="1"/>
  <c r="S42" i="12"/>
  <c r="S41" i="12"/>
  <c r="S70" i="13" s="1"/>
  <c r="S97" i="12"/>
  <c r="S109" i="13" s="1"/>
  <c r="S105" i="12"/>
  <c r="S62" i="15"/>
  <c r="S77" i="15" s="1"/>
  <c r="S32" i="12"/>
  <c r="S61" i="13" s="1"/>
  <c r="S78" i="12"/>
  <c r="S76" i="12"/>
  <c r="S61" i="12"/>
  <c r="S79" i="13" s="1"/>
  <c r="S94" i="12"/>
  <c r="S106" i="13" s="1"/>
  <c r="S67" i="15"/>
  <c r="S82" i="15" s="1"/>
  <c r="S30" i="12"/>
  <c r="S59" i="13" s="1"/>
  <c r="S77" i="12"/>
  <c r="S79" i="12"/>
  <c r="S64" i="12"/>
  <c r="S82" i="13" s="1"/>
  <c r="S43" i="12"/>
  <c r="S29" i="12"/>
  <c r="S58" i="13" s="1"/>
  <c r="S123" i="12"/>
  <c r="S129" i="13" s="1"/>
  <c r="S74" i="12"/>
  <c r="S92" i="13" s="1"/>
  <c r="S64" i="15"/>
  <c r="S79" i="15" s="1"/>
  <c r="S34" i="12"/>
  <c r="S63" i="13" s="1"/>
  <c r="S21" i="15" s="1"/>
  <c r="S33" i="15" s="1"/>
  <c r="S27" i="12"/>
  <c r="S56" i="13" s="1"/>
  <c r="S121" i="12"/>
  <c r="S127" i="13" s="1"/>
  <c r="S63" i="12"/>
  <c r="S81" i="13" s="1"/>
  <c r="S47" i="12"/>
  <c r="S24" i="12"/>
  <c r="S53" i="13" s="1"/>
  <c r="S82" i="12"/>
  <c r="S125" i="12"/>
  <c r="S71" i="12"/>
  <c r="S89" i="13" s="1"/>
  <c r="S99" i="12"/>
  <c r="S111" i="13" s="1"/>
  <c r="S45" i="12"/>
  <c r="S37" i="12"/>
  <c r="S66" i="13" s="1"/>
  <c r="S104" i="12"/>
  <c r="S107" i="12"/>
  <c r="S95" i="12"/>
  <c r="S107" i="13" s="1"/>
  <c r="S44" i="12"/>
  <c r="S23" i="12"/>
  <c r="S52" i="13" s="1"/>
  <c r="S75" i="12"/>
  <c r="S80" i="12"/>
  <c r="S49" i="12"/>
  <c r="S26" i="12"/>
  <c r="S55" i="13" s="1"/>
  <c r="S103" i="12"/>
  <c r="S115" i="13" s="1"/>
  <c r="S124" i="12"/>
  <c r="S100" i="12"/>
  <c r="S112" i="13" s="1"/>
  <c r="S48" i="12"/>
  <c r="S39" i="12"/>
  <c r="S68" i="13" s="1"/>
  <c r="S73" i="12"/>
  <c r="S91" i="13" s="1"/>
  <c r="S127" i="12"/>
  <c r="S65" i="12"/>
  <c r="S83" i="13" s="1"/>
  <c r="C465" i="22" l="1"/>
  <c r="U66" i="16"/>
  <c r="B496" i="22"/>
  <c r="C496" i="22" s="1"/>
  <c r="U29" i="16"/>
  <c r="S93" i="13"/>
  <c r="C871" i="22"/>
  <c r="U79" i="16"/>
  <c r="C337" i="22"/>
  <c r="U62" i="16"/>
  <c r="U104" i="16"/>
  <c r="D465" i="22"/>
  <c r="U33" i="16"/>
  <c r="S97" i="13"/>
  <c r="B616" i="22"/>
  <c r="U54" i="16"/>
  <c r="C89" i="22"/>
  <c r="D433" i="22"/>
  <c r="U103" i="16"/>
  <c r="U21" i="16"/>
  <c r="B241" i="22"/>
  <c r="U16" i="16"/>
  <c r="B89" i="22"/>
  <c r="S37" i="13"/>
  <c r="S29" i="13"/>
  <c r="S92" i="14" s="1"/>
  <c r="S32" i="13"/>
  <c r="S94" i="14" s="1"/>
  <c r="S30" i="13"/>
  <c r="S34" i="13"/>
  <c r="S96" i="14" s="1"/>
  <c r="S43" i="13"/>
  <c r="S41" i="13"/>
  <c r="S27" i="13"/>
  <c r="S31" i="13"/>
  <c r="S93" i="14" s="1"/>
  <c r="S42" i="13"/>
  <c r="S38" i="13"/>
  <c r="S26" i="13"/>
  <c r="S90" i="14" s="1"/>
  <c r="S40" i="13"/>
  <c r="S28" i="13"/>
  <c r="S91" i="14" s="1"/>
  <c r="S39" i="13"/>
  <c r="S33" i="13"/>
  <c r="S95" i="14" s="1"/>
  <c r="S25" i="13"/>
  <c r="S89" i="14" s="1"/>
  <c r="S36" i="13"/>
  <c r="S35" i="13"/>
  <c r="S97" i="14" s="1"/>
  <c r="U210" i="16"/>
  <c r="G433" i="22"/>
  <c r="D807" i="22"/>
  <c r="U115" i="16"/>
  <c r="N54" i="16"/>
  <c r="C82" i="22"/>
  <c r="N103" i="16"/>
  <c r="D426" i="22"/>
  <c r="N32" i="16"/>
  <c r="L96" i="13"/>
  <c r="B579" i="22"/>
  <c r="C579" i="22" s="1"/>
  <c r="N38" i="16"/>
  <c r="B768" i="22"/>
  <c r="B362" i="22"/>
  <c r="N25" i="16"/>
  <c r="D736" i="22"/>
  <c r="N113" i="16"/>
  <c r="N64" i="16"/>
  <c r="C394" i="22"/>
  <c r="N62" i="16"/>
  <c r="C330" i="22"/>
  <c r="B426" i="22"/>
  <c r="N27" i="16"/>
  <c r="N16" i="16"/>
  <c r="B82" i="22"/>
  <c r="C736" i="22"/>
  <c r="N75" i="16"/>
  <c r="N28" i="16"/>
  <c r="B458" i="22"/>
  <c r="L42" i="13"/>
  <c r="L40" i="13"/>
  <c r="L29" i="13"/>
  <c r="L92" i="14" s="1"/>
  <c r="L37" i="13"/>
  <c r="L30" i="13"/>
  <c r="L25" i="13"/>
  <c r="L89" i="14" s="1"/>
  <c r="L35" i="13"/>
  <c r="L97" i="14" s="1"/>
  <c r="L32" i="13"/>
  <c r="L94" i="14" s="1"/>
  <c r="L43" i="13"/>
  <c r="L39" i="13"/>
  <c r="L36" i="13"/>
  <c r="L26" i="13"/>
  <c r="L90" i="14" s="1"/>
  <c r="L33" i="13"/>
  <c r="L95" i="14" s="1"/>
  <c r="L28" i="13"/>
  <c r="L91" i="14" s="1"/>
  <c r="L27" i="13"/>
  <c r="L34" i="13"/>
  <c r="L96" i="14" s="1"/>
  <c r="L31" i="13"/>
  <c r="L93" i="14" s="1"/>
  <c r="L41" i="13"/>
  <c r="L38" i="13"/>
  <c r="C203" i="22"/>
  <c r="H425" i="22"/>
  <c r="Q59" i="16"/>
  <c r="C237" i="22"/>
  <c r="C177" i="22"/>
  <c r="Q57" i="16"/>
  <c r="B707" i="22"/>
  <c r="Q36" i="16"/>
  <c r="B301" i="22"/>
  <c r="Q23" i="16"/>
  <c r="Q25" i="16"/>
  <c r="B365" i="22"/>
  <c r="Q117" i="16"/>
  <c r="D867" i="22"/>
  <c r="B269" i="22"/>
  <c r="Q22" i="16"/>
  <c r="B835" i="22"/>
  <c r="Q40" i="16"/>
  <c r="Q19" i="16"/>
  <c r="B177" i="22"/>
  <c r="Q37" i="16"/>
  <c r="B739" i="22"/>
  <c r="Q28" i="16"/>
  <c r="B461" i="22"/>
  <c r="Q220" i="16"/>
  <c r="F739" i="22"/>
  <c r="C85" i="22"/>
  <c r="Q54" i="16"/>
  <c r="D612" i="22"/>
  <c r="Q109" i="16"/>
  <c r="O130" i="13"/>
  <c r="O116" i="13"/>
  <c r="C612" i="22"/>
  <c r="Q71" i="16"/>
  <c r="B675" i="22"/>
  <c r="D675" i="22" s="1"/>
  <c r="P28" i="23" s="1"/>
  <c r="Q35" i="16"/>
  <c r="E263" i="16"/>
  <c r="E59" i="18"/>
  <c r="E81" i="22"/>
  <c r="F457" i="22"/>
  <c r="M176" i="16"/>
  <c r="E361" i="22"/>
  <c r="M139" i="16"/>
  <c r="F393" i="22"/>
  <c r="M174" i="16"/>
  <c r="C548" i="22"/>
  <c r="J809" i="22"/>
  <c r="I809" i="22"/>
  <c r="V32" i="23"/>
  <c r="V8" i="23"/>
  <c r="F59" i="22"/>
  <c r="E59" i="22"/>
  <c r="F742" i="22"/>
  <c r="T220" i="16"/>
  <c r="B838" i="22"/>
  <c r="T40" i="16"/>
  <c r="D336" i="22"/>
  <c r="T100" i="16"/>
  <c r="B210" i="22"/>
  <c r="C210" i="22" s="1"/>
  <c r="T20" i="16"/>
  <c r="D615" i="22"/>
  <c r="R130" i="13"/>
  <c r="T109" i="16"/>
  <c r="T103" i="16"/>
  <c r="D432" i="22"/>
  <c r="T79" i="16"/>
  <c r="C870" i="22"/>
  <c r="T63" i="16"/>
  <c r="C368" i="22"/>
  <c r="R116" i="13"/>
  <c r="T71" i="16"/>
  <c r="C615" i="22"/>
  <c r="T66" i="16"/>
  <c r="C464" i="22"/>
  <c r="D742" i="22"/>
  <c r="T113" i="16"/>
  <c r="C336" i="22"/>
  <c r="T62" i="16"/>
  <c r="D774" i="22"/>
  <c r="T221" i="16"/>
  <c r="E250" i="16"/>
  <c r="E46" i="18"/>
  <c r="D648" i="22"/>
  <c r="E258" i="16"/>
  <c r="E54" i="18"/>
  <c r="B143" i="22"/>
  <c r="O18" i="16"/>
  <c r="D610" i="22"/>
  <c r="O109" i="16"/>
  <c r="M130" i="13"/>
  <c r="O103" i="16"/>
  <c r="D427" i="22"/>
  <c r="D705" i="22"/>
  <c r="O219" i="16"/>
  <c r="O17" i="16"/>
  <c r="B113" i="22"/>
  <c r="C113" i="22" s="1"/>
  <c r="B267" i="22"/>
  <c r="O22" i="16"/>
  <c r="B801" i="22"/>
  <c r="O39" i="16"/>
  <c r="D833" i="22"/>
  <c r="O223" i="16"/>
  <c r="B51" i="22"/>
  <c r="O15" i="16"/>
  <c r="D459" i="22"/>
  <c r="O104" i="16"/>
  <c r="M97" i="13"/>
  <c r="B610" i="22"/>
  <c r="O33" i="16"/>
  <c r="F737" i="22"/>
  <c r="O220" i="16"/>
  <c r="O20" i="16"/>
  <c r="B205" i="22"/>
  <c r="C205" i="22" s="1"/>
  <c r="C267" i="22"/>
  <c r="O60" i="16"/>
  <c r="G427" i="22"/>
  <c r="O210" i="16"/>
  <c r="F801" i="22"/>
  <c r="O222" i="16"/>
  <c r="F85" i="18"/>
  <c r="C323" i="18" s="1"/>
  <c r="G83" i="18"/>
  <c r="C348" i="18" s="1"/>
  <c r="F98" i="18"/>
  <c r="C336" i="18" s="1"/>
  <c r="E87" i="18"/>
  <c r="C298" i="18" s="1"/>
  <c r="D86" i="18"/>
  <c r="C270" i="18" s="1"/>
  <c r="E84" i="18"/>
  <c r="C295" i="18" s="1"/>
  <c r="D99" i="18"/>
  <c r="C283" i="18" s="1"/>
  <c r="G88" i="18"/>
  <c r="C353" i="18" s="1"/>
  <c r="F87" i="18"/>
  <c r="C325" i="18" s="1"/>
  <c r="C85" i="18"/>
  <c r="C242" i="18" s="1"/>
  <c r="F100" i="18"/>
  <c r="C338" i="18" s="1"/>
  <c r="G90" i="18"/>
  <c r="C355" i="18" s="1"/>
  <c r="D88" i="18"/>
  <c r="C272" i="18" s="1"/>
  <c r="G85" i="18"/>
  <c r="C350" i="18" s="1"/>
  <c r="G92" i="18"/>
  <c r="C357" i="18" s="1"/>
  <c r="H393" i="22"/>
  <c r="E608" i="22"/>
  <c r="E173" i="22"/>
  <c r="S62" i="16"/>
  <c r="C335" i="22"/>
  <c r="S28" i="16"/>
  <c r="B463" i="22"/>
  <c r="B87" i="22"/>
  <c r="S16" i="16"/>
  <c r="C399" i="22"/>
  <c r="S64" i="16"/>
  <c r="G463" i="22"/>
  <c r="S211" i="16"/>
  <c r="S222" i="16"/>
  <c r="F805" i="22"/>
  <c r="S41" i="16"/>
  <c r="B869" i="22"/>
  <c r="S65" i="16"/>
  <c r="C431" i="22"/>
  <c r="B147" i="22"/>
  <c r="S18" i="16"/>
  <c r="B741" i="22"/>
  <c r="S37" i="16"/>
  <c r="S101" i="16"/>
  <c r="D367" i="22"/>
  <c r="B584" i="22"/>
  <c r="C584" i="22" s="1"/>
  <c r="S32" i="16"/>
  <c r="Q96" i="13"/>
  <c r="S27" i="16"/>
  <c r="B431" i="22"/>
  <c r="S223" i="16"/>
  <c r="D837" i="22"/>
  <c r="B837" i="22"/>
  <c r="S40" i="16"/>
  <c r="C364" i="22"/>
  <c r="P63" i="16"/>
  <c r="B332" i="22"/>
  <c r="P24" i="16"/>
  <c r="P41" i="16"/>
  <c r="B866" i="22"/>
  <c r="P102" i="16"/>
  <c r="D396" i="22"/>
  <c r="P219" i="16"/>
  <c r="D706" i="22"/>
  <c r="B236" i="22"/>
  <c r="P21" i="16"/>
  <c r="C802" i="22"/>
  <c r="P77" i="16"/>
  <c r="P210" i="16"/>
  <c r="G428" i="22"/>
  <c r="C332" i="22"/>
  <c r="P62" i="16"/>
  <c r="C396" i="22"/>
  <c r="P64" i="16"/>
  <c r="P27" i="16"/>
  <c r="B428" i="22"/>
  <c r="P22" i="16"/>
  <c r="B268" i="22"/>
  <c r="P23" i="16"/>
  <c r="B300" i="22"/>
  <c r="B706" i="22"/>
  <c r="P36" i="16"/>
  <c r="P209" i="16"/>
  <c r="G396" i="22"/>
  <c r="P101" i="16"/>
  <c r="D364" i="22"/>
  <c r="V12" i="23"/>
  <c r="H183" i="22"/>
  <c r="G183" i="22"/>
  <c r="E712" i="22"/>
  <c r="G182" i="22"/>
  <c r="U12" i="23"/>
  <c r="H182" i="22"/>
  <c r="G799" i="22"/>
  <c r="H799" i="22"/>
  <c r="G735" i="22"/>
  <c r="H735" i="22"/>
  <c r="V19" i="23"/>
  <c r="K403" i="22"/>
  <c r="L403" i="22"/>
  <c r="J403" i="22"/>
  <c r="D366" i="22"/>
  <c r="R101" i="16"/>
  <c r="R63" i="16"/>
  <c r="C366" i="22"/>
  <c r="C804" i="22"/>
  <c r="R77" i="16"/>
  <c r="R33" i="16"/>
  <c r="B613" i="22"/>
  <c r="P97" i="13"/>
  <c r="R34" i="16"/>
  <c r="B644" i="22"/>
  <c r="D644" i="22" s="1"/>
  <c r="R103" i="16"/>
  <c r="D430" i="22"/>
  <c r="R109" i="16"/>
  <c r="P130" i="13"/>
  <c r="D613" i="22"/>
  <c r="C868" i="22"/>
  <c r="R79" i="16"/>
  <c r="B146" i="22"/>
  <c r="R18" i="16"/>
  <c r="R22" i="16"/>
  <c r="B270" i="22"/>
  <c r="R222" i="16"/>
  <c r="F804" i="22"/>
  <c r="C462" i="22"/>
  <c r="R66" i="16"/>
  <c r="B740" i="22"/>
  <c r="R37" i="16"/>
  <c r="D334" i="22"/>
  <c r="R100" i="16"/>
  <c r="U19" i="16"/>
  <c r="B181" i="22"/>
  <c r="B839" i="22"/>
  <c r="U40" i="16"/>
  <c r="C616" i="22"/>
  <c r="S116" i="13"/>
  <c r="U71" i="16"/>
  <c r="B369" i="22"/>
  <c r="U25" i="16"/>
  <c r="G401" i="22"/>
  <c r="U209" i="16"/>
  <c r="B556" i="22"/>
  <c r="C556" i="22" s="1"/>
  <c r="S95" i="13"/>
  <c r="U31" i="16"/>
  <c r="B57" i="22"/>
  <c r="U15" i="16"/>
  <c r="D711" i="22"/>
  <c r="U219" i="16"/>
  <c r="U34" i="16"/>
  <c r="B647" i="22"/>
  <c r="D647" i="22" s="1"/>
  <c r="B807" i="22"/>
  <c r="U39" i="16"/>
  <c r="U100" i="16"/>
  <c r="D337" i="22"/>
  <c r="F807" i="22"/>
  <c r="U222" i="16"/>
  <c r="G465" i="22"/>
  <c r="U211" i="16"/>
  <c r="D330" i="22"/>
  <c r="N100" i="16"/>
  <c r="B266" i="22"/>
  <c r="N22" i="16"/>
  <c r="B864" i="22"/>
  <c r="N41" i="16"/>
  <c r="N35" i="16"/>
  <c r="B672" i="22"/>
  <c r="D672" i="22" s="1"/>
  <c r="M28" i="23" s="1"/>
  <c r="N18" i="16"/>
  <c r="B142" i="22"/>
  <c r="N117" i="16"/>
  <c r="D864" i="22"/>
  <c r="F736" i="22"/>
  <c r="N220" i="16"/>
  <c r="B204" i="22"/>
  <c r="C204" i="22" s="1"/>
  <c r="N20" i="16"/>
  <c r="L94" i="13"/>
  <c r="N30" i="16"/>
  <c r="B519" i="22"/>
  <c r="C519" i="22" s="1"/>
  <c r="N224" i="16"/>
  <c r="F864" i="22"/>
  <c r="B112" i="22"/>
  <c r="C112" i="22" s="1"/>
  <c r="N17" i="16"/>
  <c r="D800" i="22"/>
  <c r="N115" i="16"/>
  <c r="D768" i="22"/>
  <c r="N221" i="16"/>
  <c r="C298" i="22"/>
  <c r="N61" i="16"/>
  <c r="G394" i="22"/>
  <c r="N209" i="16"/>
  <c r="N40" i="16"/>
  <c r="B832" i="22"/>
  <c r="N219" i="16"/>
  <c r="D704" i="22"/>
  <c r="C111" i="22"/>
  <c r="D739" i="22"/>
  <c r="Q113" i="16"/>
  <c r="B85" i="22"/>
  <c r="Q16" i="16"/>
  <c r="F867" i="22"/>
  <c r="Q224" i="16"/>
  <c r="D365" i="22"/>
  <c r="Q101" i="16"/>
  <c r="B522" i="22"/>
  <c r="C522" i="22" s="1"/>
  <c r="Q30" i="16"/>
  <c r="O94" i="13"/>
  <c r="Q103" i="16"/>
  <c r="D429" i="22"/>
  <c r="D333" i="22"/>
  <c r="Q100" i="16"/>
  <c r="C803" i="22"/>
  <c r="Q77" i="16"/>
  <c r="O95" i="13"/>
  <c r="B552" i="22"/>
  <c r="C552" i="22" s="1"/>
  <c r="Q31" i="16"/>
  <c r="Q20" i="16"/>
  <c r="B207" i="22"/>
  <c r="C207" i="22" s="1"/>
  <c r="B803" i="22"/>
  <c r="Q39" i="16"/>
  <c r="B237" i="22"/>
  <c r="Q21" i="16"/>
  <c r="Q222" i="16"/>
  <c r="F803" i="22"/>
  <c r="J745" i="22"/>
  <c r="I745" i="22"/>
  <c r="V30" i="23"/>
  <c r="E840" i="22"/>
  <c r="D497" i="22"/>
  <c r="U22" i="23"/>
  <c r="M135" i="16"/>
  <c r="D233" i="22"/>
  <c r="F425" i="22"/>
  <c r="M175" i="16"/>
  <c r="G841" i="22"/>
  <c r="F841" i="22"/>
  <c r="V33" i="23"/>
  <c r="V9" i="23"/>
  <c r="H91" i="22"/>
  <c r="G91" i="22"/>
  <c r="B118" i="22"/>
  <c r="C118" i="22" s="1"/>
  <c r="T17" i="16"/>
  <c r="B555" i="22"/>
  <c r="C555" i="22" s="1"/>
  <c r="T31" i="16"/>
  <c r="R95" i="13"/>
  <c r="F870" i="22"/>
  <c r="T224" i="16"/>
  <c r="B304" i="22"/>
  <c r="T23" i="16"/>
  <c r="B806" i="22"/>
  <c r="T39" i="16"/>
  <c r="T27" i="16"/>
  <c r="B432" i="22"/>
  <c r="C272" i="22"/>
  <c r="T60" i="16"/>
  <c r="T30" i="16"/>
  <c r="R94" i="13"/>
  <c r="B525" i="22"/>
  <c r="C525" i="22" s="1"/>
  <c r="B240" i="22"/>
  <c r="T21" i="16"/>
  <c r="B774" i="22"/>
  <c r="T38" i="16"/>
  <c r="T29" i="16"/>
  <c r="R93" i="13"/>
  <c r="B495" i="22"/>
  <c r="C495" i="22" s="1"/>
  <c r="D710" i="22"/>
  <c r="T219" i="16"/>
  <c r="B272" i="22"/>
  <c r="T22" i="16"/>
  <c r="B710" i="22"/>
  <c r="E710" i="22" s="1"/>
  <c r="T36" i="16"/>
  <c r="B56" i="22"/>
  <c r="T15" i="16"/>
  <c r="T223" i="16"/>
  <c r="D838" i="22"/>
  <c r="R96" i="13"/>
  <c r="B585" i="22"/>
  <c r="C585" i="22" s="1"/>
  <c r="T32" i="16"/>
  <c r="B368" i="22"/>
  <c r="T25" i="16"/>
  <c r="I402" i="22"/>
  <c r="U23" i="23"/>
  <c r="D527" i="22"/>
  <c r="O115" i="16"/>
  <c r="D801" i="22"/>
  <c r="O64" i="16"/>
  <c r="C395" i="22"/>
  <c r="O224" i="16"/>
  <c r="F865" i="22"/>
  <c r="D737" i="22"/>
  <c r="O113" i="16"/>
  <c r="B865" i="22"/>
  <c r="O41" i="16"/>
  <c r="O24" i="16"/>
  <c r="B331" i="22"/>
  <c r="O28" i="16"/>
  <c r="B459" i="22"/>
  <c r="O71" i="16"/>
  <c r="M116" i="13"/>
  <c r="C610" i="22"/>
  <c r="G459" i="22"/>
  <c r="O211" i="16"/>
  <c r="C175" i="22"/>
  <c r="O57" i="16"/>
  <c r="B550" i="22"/>
  <c r="C550" i="22" s="1"/>
  <c r="O31" i="16"/>
  <c r="M95" i="13"/>
  <c r="O65" i="16"/>
  <c r="C427" i="22"/>
  <c r="O35" i="16"/>
  <c r="B673" i="22"/>
  <c r="D673" i="22" s="1"/>
  <c r="N28" i="23" s="1"/>
  <c r="F89" i="18"/>
  <c r="C327" i="18" s="1"/>
  <c r="C87" i="18"/>
  <c r="C244" i="18" s="1"/>
  <c r="F82" i="18"/>
  <c r="C320" i="18" s="1"/>
  <c r="C96" i="18"/>
  <c r="C253" i="18" s="1"/>
  <c r="D90" i="18"/>
  <c r="C274" i="18" s="1"/>
  <c r="G87" i="18"/>
  <c r="C352" i="18" s="1"/>
  <c r="D83" i="18"/>
  <c r="C267" i="18" s="1"/>
  <c r="G96" i="18"/>
  <c r="C361" i="18" s="1"/>
  <c r="F91" i="18"/>
  <c r="C329" i="18" s="1"/>
  <c r="G89" i="18"/>
  <c r="C354" i="18" s="1"/>
  <c r="F84" i="18"/>
  <c r="C322" i="18" s="1"/>
  <c r="E97" i="18"/>
  <c r="C308" i="18" s="1"/>
  <c r="D96" i="18"/>
  <c r="C280" i="18" s="1"/>
  <c r="G91" i="18"/>
  <c r="C356" i="18" s="1"/>
  <c r="D85" i="18"/>
  <c r="C269" i="18" s="1"/>
  <c r="C98" i="18"/>
  <c r="C255" i="18" s="1"/>
  <c r="B209" i="22"/>
  <c r="C209" i="22" s="1"/>
  <c r="S20" i="16"/>
  <c r="D805" i="22"/>
  <c r="S115" i="16"/>
  <c r="C179" i="22"/>
  <c r="S57" i="16"/>
  <c r="S26" i="16"/>
  <c r="B399" i="22"/>
  <c r="S54" i="16"/>
  <c r="C87" i="22"/>
  <c r="Q130" i="13"/>
  <c r="D614" i="22"/>
  <c r="S109" i="16"/>
  <c r="Q97" i="13"/>
  <c r="B614" i="22"/>
  <c r="S33" i="16"/>
  <c r="D399" i="22"/>
  <c r="S102" i="16"/>
  <c r="Q95" i="13"/>
  <c r="S31" i="16"/>
  <c r="B554" i="22"/>
  <c r="C554" i="22" s="1"/>
  <c r="G431" i="22"/>
  <c r="S210" i="16"/>
  <c r="B117" i="22"/>
  <c r="C117" i="22" s="1"/>
  <c r="S17" i="16"/>
  <c r="S117" i="16"/>
  <c r="D869" i="22"/>
  <c r="C239" i="22"/>
  <c r="S59" i="16"/>
  <c r="D773" i="22"/>
  <c r="S221" i="16"/>
  <c r="B709" i="22"/>
  <c r="S36" i="16"/>
  <c r="S224" i="16"/>
  <c r="F869" i="22"/>
  <c r="C176" i="22"/>
  <c r="P57" i="16"/>
  <c r="P17" i="16"/>
  <c r="B114" i="22"/>
  <c r="C114" i="22" s="1"/>
  <c r="P117" i="16"/>
  <c r="D866" i="22"/>
  <c r="P37" i="16"/>
  <c r="B738" i="22"/>
  <c r="P221" i="16"/>
  <c r="D770" i="22"/>
  <c r="C738" i="22"/>
  <c r="P75" i="16"/>
  <c r="B802" i="22"/>
  <c r="P39" i="16"/>
  <c r="P34" i="16"/>
  <c r="B642" i="22"/>
  <c r="D642" i="22" s="1"/>
  <c r="P20" i="16"/>
  <c r="B206" i="22"/>
  <c r="C206" i="22" s="1"/>
  <c r="B551" i="22"/>
  <c r="C551" i="22" s="1"/>
  <c r="N95" i="13"/>
  <c r="P31" i="16"/>
  <c r="G460" i="22"/>
  <c r="P211" i="16"/>
  <c r="F802" i="22"/>
  <c r="P222" i="16"/>
  <c r="P29" i="16"/>
  <c r="N93" i="13"/>
  <c r="B491" i="22"/>
  <c r="C491" i="22" s="1"/>
  <c r="P71" i="16"/>
  <c r="C611" i="22"/>
  <c r="N116" i="13"/>
  <c r="E150" i="22"/>
  <c r="U11" i="23"/>
  <c r="F150" i="22"/>
  <c r="E56" i="18"/>
  <c r="E260" i="16"/>
  <c r="H457" i="22"/>
  <c r="E703" i="22"/>
  <c r="L435" i="22"/>
  <c r="K435" i="22"/>
  <c r="J435" i="22"/>
  <c r="V20" i="23"/>
  <c r="R24" i="16"/>
  <c r="B334" i="22"/>
  <c r="P116" i="13"/>
  <c r="C613" i="22"/>
  <c r="R71" i="16"/>
  <c r="C740" i="22"/>
  <c r="R75" i="16"/>
  <c r="R102" i="16"/>
  <c r="D398" i="22"/>
  <c r="R38" i="16"/>
  <c r="B772" i="22"/>
  <c r="C86" i="22"/>
  <c r="R54" i="16"/>
  <c r="B804" i="22"/>
  <c r="R39" i="16"/>
  <c r="C302" i="22"/>
  <c r="R61" i="16"/>
  <c r="B676" i="22"/>
  <c r="D676" i="22" s="1"/>
  <c r="Q28" i="23" s="1"/>
  <c r="R35" i="16"/>
  <c r="R113" i="16"/>
  <c r="D740" i="22"/>
  <c r="R26" i="16"/>
  <c r="B398" i="22"/>
  <c r="R219" i="16"/>
  <c r="D708" i="22"/>
  <c r="D868" i="22"/>
  <c r="R117" i="16"/>
  <c r="B462" i="22"/>
  <c r="R28" i="16"/>
  <c r="H872" i="22"/>
  <c r="D871" i="22"/>
  <c r="U117" i="16"/>
  <c r="U63" i="16"/>
  <c r="C369" i="22"/>
  <c r="B711" i="22"/>
  <c r="U36" i="16"/>
  <c r="U113" i="16"/>
  <c r="D743" i="22"/>
  <c r="B119" i="22"/>
  <c r="C119" i="22" s="1"/>
  <c r="U17" i="16"/>
  <c r="D775" i="22"/>
  <c r="U221" i="16"/>
  <c r="U35" i="16"/>
  <c r="B679" i="22"/>
  <c r="D679" i="22" s="1"/>
  <c r="T28" i="23" s="1"/>
  <c r="U30" i="16"/>
  <c r="B526" i="22"/>
  <c r="C526" i="22" s="1"/>
  <c r="S94" i="13"/>
  <c r="U75" i="16"/>
  <c r="C743" i="22"/>
  <c r="B211" i="22"/>
  <c r="C211" i="22" s="1"/>
  <c r="U20" i="16"/>
  <c r="F743" i="22"/>
  <c r="U220" i="16"/>
  <c r="B401" i="22"/>
  <c r="U26" i="16"/>
  <c r="U22" i="16"/>
  <c r="B273" i="22"/>
  <c r="C241" i="22"/>
  <c r="U59" i="16"/>
  <c r="D839" i="22"/>
  <c r="U223" i="16"/>
  <c r="U38" i="16"/>
  <c r="B775" i="22"/>
  <c r="N15" i="16"/>
  <c r="B50" i="22"/>
  <c r="N31" i="16"/>
  <c r="L95" i="13"/>
  <c r="B549" i="22"/>
  <c r="C549" i="22" s="1"/>
  <c r="G458" i="22"/>
  <c r="N211" i="16"/>
  <c r="B704" i="22"/>
  <c r="E704" i="22" s="1"/>
  <c r="N36" i="16"/>
  <c r="C234" i="22"/>
  <c r="N59" i="16"/>
  <c r="N102" i="16"/>
  <c r="D394" i="22"/>
  <c r="N57" i="16"/>
  <c r="C174" i="22"/>
  <c r="N77" i="16"/>
  <c r="C800" i="22"/>
  <c r="D609" i="22"/>
  <c r="N109" i="16"/>
  <c r="L130" i="13"/>
  <c r="N63" i="16"/>
  <c r="C362" i="22"/>
  <c r="N29" i="16"/>
  <c r="L93" i="13"/>
  <c r="B489" i="22"/>
  <c r="C489" i="22" s="1"/>
  <c r="L97" i="13"/>
  <c r="N33" i="16"/>
  <c r="B609" i="22"/>
  <c r="B640" i="22"/>
  <c r="D640" i="22" s="1"/>
  <c r="N34" i="16"/>
  <c r="N66" i="16"/>
  <c r="C458" i="22"/>
  <c r="N60" i="16"/>
  <c r="C266" i="22"/>
  <c r="F800" i="22"/>
  <c r="N222" i="16"/>
  <c r="D832" i="22"/>
  <c r="N223" i="16"/>
  <c r="Q211" i="16"/>
  <c r="G461" i="22"/>
  <c r="C739" i="22"/>
  <c r="Q75" i="16"/>
  <c r="C301" i="22"/>
  <c r="Q61" i="16"/>
  <c r="B145" i="22"/>
  <c r="Q18" i="16"/>
  <c r="Q15" i="16"/>
  <c r="B53" i="22"/>
  <c r="Q32" i="16"/>
  <c r="B582" i="22"/>
  <c r="C582" i="22" s="1"/>
  <c r="O96" i="13"/>
  <c r="B492" i="22"/>
  <c r="C492" i="22" s="1"/>
  <c r="Q29" i="16"/>
  <c r="O93" i="13"/>
  <c r="Q219" i="16"/>
  <c r="D707" i="22"/>
  <c r="Q17" i="16"/>
  <c r="B115" i="22"/>
  <c r="C115" i="22" s="1"/>
  <c r="Q26" i="16"/>
  <c r="B397" i="22"/>
  <c r="Q209" i="16"/>
  <c r="G397" i="22"/>
  <c r="D771" i="22"/>
  <c r="Q221" i="16"/>
  <c r="D461" i="22"/>
  <c r="Q104" i="16"/>
  <c r="C461" i="22"/>
  <c r="Q66" i="16"/>
  <c r="F649" i="22"/>
  <c r="E649" i="22"/>
  <c r="V27" i="23"/>
  <c r="V29" i="23"/>
  <c r="F713" i="22"/>
  <c r="G713" i="22"/>
  <c r="U8" i="23"/>
  <c r="F58" i="22"/>
  <c r="E58" i="22"/>
  <c r="E262" i="16"/>
  <c r="E58" i="18"/>
  <c r="M136" i="16"/>
  <c r="D265" i="22"/>
  <c r="M130" i="16"/>
  <c r="D81" i="22"/>
  <c r="C141" i="22"/>
  <c r="M132" i="16"/>
  <c r="M129" i="16"/>
  <c r="C49" i="22"/>
  <c r="E329" i="22"/>
  <c r="M138" i="16"/>
  <c r="V11" i="23"/>
  <c r="F151" i="22"/>
  <c r="E151" i="22"/>
  <c r="T65" i="16"/>
  <c r="C432" i="22"/>
  <c r="T34" i="16"/>
  <c r="B646" i="22"/>
  <c r="D646" i="22" s="1"/>
  <c r="C806" i="22"/>
  <c r="T77" i="16"/>
  <c r="T24" i="16"/>
  <c r="B336" i="22"/>
  <c r="B464" i="22"/>
  <c r="T28" i="16"/>
  <c r="T209" i="16"/>
  <c r="G400" i="22"/>
  <c r="T16" i="16"/>
  <c r="B88" i="22"/>
  <c r="D464" i="22"/>
  <c r="T104" i="16"/>
  <c r="B615" i="22"/>
  <c r="T33" i="16"/>
  <c r="R97" i="13"/>
  <c r="C88" i="22"/>
  <c r="T54" i="16"/>
  <c r="R32" i="13"/>
  <c r="R94" i="14" s="1"/>
  <c r="R40" i="13"/>
  <c r="R28" i="13"/>
  <c r="R91" i="14" s="1"/>
  <c r="R42" i="13"/>
  <c r="R38" i="13"/>
  <c r="R39" i="13"/>
  <c r="R26" i="13"/>
  <c r="R90" i="14" s="1"/>
  <c r="R33" i="13"/>
  <c r="R95" i="14" s="1"/>
  <c r="R31" i="13"/>
  <c r="R93" i="14" s="1"/>
  <c r="R41" i="13"/>
  <c r="R34" i="13"/>
  <c r="R96" i="14" s="1"/>
  <c r="R37" i="13"/>
  <c r="R35" i="13"/>
  <c r="R97" i="14" s="1"/>
  <c r="R29" i="13"/>
  <c r="R92" i="14" s="1"/>
  <c r="R43" i="13"/>
  <c r="R25" i="13"/>
  <c r="R89" i="14" s="1"/>
  <c r="R36" i="13"/>
  <c r="R30" i="13"/>
  <c r="R27" i="13"/>
  <c r="D806" i="22"/>
  <c r="T115" i="16"/>
  <c r="B180" i="22"/>
  <c r="T19" i="16"/>
  <c r="C400" i="22"/>
  <c r="T64" i="16"/>
  <c r="I434" i="22"/>
  <c r="U24" i="23"/>
  <c r="D557" i="22"/>
  <c r="E251" i="16"/>
  <c r="E47" i="18"/>
  <c r="B175" i="22"/>
  <c r="E175" i="22" s="1"/>
  <c r="O19" i="16"/>
  <c r="B427" i="22"/>
  <c r="H427" i="22" s="1"/>
  <c r="O27" i="16"/>
  <c r="C801" i="22"/>
  <c r="O77" i="16"/>
  <c r="G395" i="22"/>
  <c r="O209" i="16"/>
  <c r="O16" i="16"/>
  <c r="B83" i="22"/>
  <c r="O32" i="16"/>
  <c r="M96" i="13"/>
  <c r="B580" i="22"/>
  <c r="C580" i="22" s="1"/>
  <c r="O79" i="16"/>
  <c r="C865" i="22"/>
  <c r="B641" i="22"/>
  <c r="D641" i="22" s="1"/>
  <c r="O34" i="16"/>
  <c r="C363" i="22"/>
  <c r="O63" i="16"/>
  <c r="B737" i="22"/>
  <c r="O37" i="16"/>
  <c r="B235" i="22"/>
  <c r="O21" i="16"/>
  <c r="O25" i="16"/>
  <c r="B363" i="22"/>
  <c r="O30" i="16"/>
  <c r="M94" i="13"/>
  <c r="B520" i="22"/>
  <c r="C520" i="22" s="1"/>
  <c r="B299" i="22"/>
  <c r="O23" i="16"/>
  <c r="M39" i="13"/>
  <c r="M38" i="13"/>
  <c r="M28" i="13"/>
  <c r="M91" i="14" s="1"/>
  <c r="M37" i="13"/>
  <c r="M29" i="13"/>
  <c r="M92" i="14" s="1"/>
  <c r="M43" i="13"/>
  <c r="M30" i="13"/>
  <c r="M33" i="13"/>
  <c r="M95" i="14" s="1"/>
  <c r="M42" i="13"/>
  <c r="M26" i="13"/>
  <c r="M90" i="14" s="1"/>
  <c r="M25" i="13"/>
  <c r="M89" i="14" s="1"/>
  <c r="M34" i="13"/>
  <c r="M96" i="14" s="1"/>
  <c r="M32" i="13"/>
  <c r="M94" i="14" s="1"/>
  <c r="M35" i="13"/>
  <c r="M97" i="14" s="1"/>
  <c r="M36" i="13"/>
  <c r="M31" i="13"/>
  <c r="M93" i="14" s="1"/>
  <c r="M41" i="13"/>
  <c r="M40" i="13"/>
  <c r="M27" i="13"/>
  <c r="F97" i="18"/>
  <c r="C335" i="18" s="1"/>
  <c r="E96" i="18"/>
  <c r="C307" i="18" s="1"/>
  <c r="F86" i="18"/>
  <c r="C324" i="18" s="1"/>
  <c r="G98" i="18"/>
  <c r="C363" i="18" s="1"/>
  <c r="D98" i="18"/>
  <c r="C282" i="18" s="1"/>
  <c r="C97" i="18"/>
  <c r="C254" i="18" s="1"/>
  <c r="D87" i="18"/>
  <c r="C271" i="18" s="1"/>
  <c r="E99" i="18"/>
  <c r="C310" i="18" s="1"/>
  <c r="F99" i="18"/>
  <c r="C337" i="18" s="1"/>
  <c r="G97" i="18"/>
  <c r="C362" i="18" s="1"/>
  <c r="F88" i="18"/>
  <c r="C326" i="18" s="1"/>
  <c r="E98" i="18"/>
  <c r="C309" i="18" s="1"/>
  <c r="D89" i="18"/>
  <c r="C273" i="18" s="1"/>
  <c r="C82" i="18"/>
  <c r="C239" i="18" s="1"/>
  <c r="F361" i="22"/>
  <c r="D639" i="22"/>
  <c r="S103" i="16"/>
  <c r="D431" i="22"/>
  <c r="S61" i="16"/>
  <c r="C303" i="22"/>
  <c r="C869" i="22"/>
  <c r="S79" i="16"/>
  <c r="B239" i="22"/>
  <c r="S21" i="16"/>
  <c r="B367" i="22"/>
  <c r="S25" i="16"/>
  <c r="S71" i="16"/>
  <c r="C614" i="22"/>
  <c r="Q116" i="13"/>
  <c r="S209" i="16"/>
  <c r="G399" i="22"/>
  <c r="D335" i="22"/>
  <c r="S100" i="16"/>
  <c r="C741" i="22"/>
  <c r="S75" i="16"/>
  <c r="C463" i="22"/>
  <c r="S66" i="16"/>
  <c r="Q38" i="13"/>
  <c r="Q29" i="13"/>
  <c r="Q92" i="14" s="1"/>
  <c r="Q35" i="13"/>
  <c r="Q97" i="14" s="1"/>
  <c r="Q34" i="13"/>
  <c r="Q96" i="14" s="1"/>
  <c r="Q30" i="13"/>
  <c r="Q37" i="13"/>
  <c r="Q39" i="13"/>
  <c r="Q32" i="13"/>
  <c r="Q94" i="14" s="1"/>
  <c r="Q33" i="13"/>
  <c r="Q95" i="14" s="1"/>
  <c r="Q40" i="13"/>
  <c r="Q42" i="13"/>
  <c r="Q28" i="13"/>
  <c r="Q91" i="14" s="1"/>
  <c r="Q41" i="13"/>
  <c r="Q36" i="13"/>
  <c r="Q25" i="13"/>
  <c r="Q89" i="14" s="1"/>
  <c r="Q26" i="13"/>
  <c r="Q90" i="14" s="1"/>
  <c r="Q43" i="13"/>
  <c r="Q31" i="13"/>
  <c r="Q93" i="14" s="1"/>
  <c r="Q27" i="13"/>
  <c r="S60" i="16"/>
  <c r="C271" i="22"/>
  <c r="Q94" i="13"/>
  <c r="S30" i="16"/>
  <c r="B524" i="22"/>
  <c r="C524" i="22" s="1"/>
  <c r="S220" i="16"/>
  <c r="F741" i="22"/>
  <c r="P25" i="16"/>
  <c r="B364" i="22"/>
  <c r="F364" i="22" s="1"/>
  <c r="B84" i="22"/>
  <c r="P16" i="16"/>
  <c r="P79" i="16"/>
  <c r="C866" i="22"/>
  <c r="P28" i="16"/>
  <c r="B460" i="22"/>
  <c r="P38" i="16"/>
  <c r="B770" i="22"/>
  <c r="E770" i="22" s="1"/>
  <c r="P54" i="16"/>
  <c r="C84" i="22"/>
  <c r="C268" i="22"/>
  <c r="P60" i="16"/>
  <c r="C300" i="22"/>
  <c r="P61" i="16"/>
  <c r="P223" i="16"/>
  <c r="D834" i="22"/>
  <c r="B581" i="22"/>
  <c r="C581" i="22" s="1"/>
  <c r="P32" i="16"/>
  <c r="N96" i="13"/>
  <c r="P59" i="16"/>
  <c r="C236" i="22"/>
  <c r="P15" i="16"/>
  <c r="B52" i="22"/>
  <c r="B521" i="22"/>
  <c r="C521" i="22" s="1"/>
  <c r="P30" i="16"/>
  <c r="N94" i="13"/>
  <c r="N97" i="13"/>
  <c r="P33" i="16"/>
  <c r="B611" i="22"/>
  <c r="N26" i="13"/>
  <c r="N90" i="14" s="1"/>
  <c r="N43" i="13"/>
  <c r="N40" i="13"/>
  <c r="N27" i="13"/>
  <c r="N32" i="13"/>
  <c r="N94" i="14" s="1"/>
  <c r="N38" i="13"/>
  <c r="N30" i="13"/>
  <c r="N34" i="13"/>
  <c r="N96" i="14" s="1"/>
  <c r="N35" i="13"/>
  <c r="N97" i="14" s="1"/>
  <c r="N39" i="13"/>
  <c r="N25" i="13"/>
  <c r="N89" i="14" s="1"/>
  <c r="N29" i="13"/>
  <c r="N92" i="14" s="1"/>
  <c r="N37" i="13"/>
  <c r="N31" i="13"/>
  <c r="N93" i="14" s="1"/>
  <c r="N28" i="13"/>
  <c r="N91" i="14" s="1"/>
  <c r="N42" i="13"/>
  <c r="N41" i="13"/>
  <c r="N36" i="13"/>
  <c r="N33" i="13"/>
  <c r="N95" i="14" s="1"/>
  <c r="E259" i="16"/>
  <c r="E55" i="18"/>
  <c r="E617" i="22"/>
  <c r="F617" i="22"/>
  <c r="U25" i="23"/>
  <c r="D587" i="22"/>
  <c r="C518" i="22"/>
  <c r="E767" i="22"/>
  <c r="G863" i="22"/>
  <c r="H863" i="22"/>
  <c r="L467" i="22"/>
  <c r="K467" i="22"/>
  <c r="J467" i="22"/>
  <c r="V21" i="23"/>
  <c r="R57" i="16"/>
  <c r="C178" i="22"/>
  <c r="R25" i="16"/>
  <c r="B366" i="22"/>
  <c r="F366" i="22" s="1"/>
  <c r="R20" i="16"/>
  <c r="B208" i="22"/>
  <c r="C208" i="22" s="1"/>
  <c r="P93" i="13"/>
  <c r="B493" i="22"/>
  <c r="C493" i="22" s="1"/>
  <c r="R29" i="16"/>
  <c r="B523" i="22"/>
  <c r="C523" i="22" s="1"/>
  <c r="R30" i="16"/>
  <c r="P94" i="13"/>
  <c r="B708" i="22"/>
  <c r="R36" i="16"/>
  <c r="R220" i="16"/>
  <c r="F740" i="22"/>
  <c r="B178" i="22"/>
  <c r="R19" i="16"/>
  <c r="C430" i="22"/>
  <c r="R65" i="16"/>
  <c r="B868" i="22"/>
  <c r="R41" i="16"/>
  <c r="P26" i="13"/>
  <c r="P90" i="14" s="1"/>
  <c r="P32" i="13"/>
  <c r="P94" i="14" s="1"/>
  <c r="P33" i="13"/>
  <c r="P95" i="14" s="1"/>
  <c r="P38" i="13"/>
  <c r="P29" i="13"/>
  <c r="P92" i="14" s="1"/>
  <c r="P31" i="13"/>
  <c r="P93" i="14" s="1"/>
  <c r="P30" i="13"/>
  <c r="P42" i="13"/>
  <c r="P43" i="13"/>
  <c r="P34" i="13"/>
  <c r="P96" i="14" s="1"/>
  <c r="P25" i="13"/>
  <c r="P89" i="14" s="1"/>
  <c r="P40" i="13"/>
  <c r="P36" i="13"/>
  <c r="P37" i="13"/>
  <c r="P28" i="13"/>
  <c r="P91" i="14" s="1"/>
  <c r="P27" i="13"/>
  <c r="P39" i="13"/>
  <c r="P41" i="13"/>
  <c r="P35" i="13"/>
  <c r="P97" i="14" s="1"/>
  <c r="R115" i="16"/>
  <c r="D804" i="22"/>
  <c r="R209" i="16"/>
  <c r="G398" i="22"/>
  <c r="R59" i="16"/>
  <c r="C238" i="22"/>
  <c r="P96" i="13"/>
  <c r="B583" i="22"/>
  <c r="C583" i="22" s="1"/>
  <c r="R32" i="16"/>
  <c r="C398" i="22"/>
  <c r="R64" i="16"/>
  <c r="B836" i="22"/>
  <c r="R40" i="16"/>
  <c r="E776" i="22"/>
  <c r="B433" i="22"/>
  <c r="U27" i="16"/>
  <c r="D616" i="22"/>
  <c r="S130" i="13"/>
  <c r="U109" i="16"/>
  <c r="U37" i="16"/>
  <c r="B743" i="22"/>
  <c r="U57" i="16"/>
  <c r="C181" i="22"/>
  <c r="B871" i="22"/>
  <c r="U41" i="16"/>
  <c r="D401" i="22"/>
  <c r="U102" i="16"/>
  <c r="U28" i="16"/>
  <c r="B465" i="22"/>
  <c r="B149" i="22"/>
  <c r="U18" i="16"/>
  <c r="F871" i="22"/>
  <c r="U224" i="16"/>
  <c r="U32" i="16"/>
  <c r="B586" i="22"/>
  <c r="C586" i="22" s="1"/>
  <c r="S96" i="13"/>
  <c r="C273" i="22"/>
  <c r="U60" i="16"/>
  <c r="U23" i="16"/>
  <c r="B305" i="22"/>
  <c r="U64" i="16"/>
  <c r="C401" i="22"/>
  <c r="D369" i="22"/>
  <c r="U101" i="16"/>
  <c r="C807" i="22"/>
  <c r="U77" i="16"/>
  <c r="U61" i="16"/>
  <c r="C305" i="22"/>
  <c r="U65" i="16"/>
  <c r="C433" i="22"/>
  <c r="U24" i="16"/>
  <c r="B337" i="22"/>
  <c r="B298" i="22"/>
  <c r="N23" i="16"/>
  <c r="D458" i="22"/>
  <c r="N104" i="16"/>
  <c r="N101" i="16"/>
  <c r="D362" i="22"/>
  <c r="N37" i="16"/>
  <c r="B736" i="22"/>
  <c r="N26" i="16"/>
  <c r="B394" i="22"/>
  <c r="B330" i="22"/>
  <c r="N24" i="16"/>
  <c r="L116" i="13"/>
  <c r="C609" i="22"/>
  <c r="N71" i="16"/>
  <c r="B234" i="22"/>
  <c r="N21" i="16"/>
  <c r="B174" i="22"/>
  <c r="N19" i="16"/>
  <c r="C426" i="22"/>
  <c r="N65" i="16"/>
  <c r="N39" i="16"/>
  <c r="B800" i="22"/>
  <c r="C864" i="22"/>
  <c r="N79" i="16"/>
  <c r="G426" i="22"/>
  <c r="N210" i="16"/>
  <c r="E831" i="22"/>
  <c r="Q79" i="16"/>
  <c r="C867" i="22"/>
  <c r="D835" i="22"/>
  <c r="Q223" i="16"/>
  <c r="C397" i="22"/>
  <c r="Q64" i="16"/>
  <c r="C269" i="22"/>
  <c r="Q60" i="16"/>
  <c r="C333" i="22"/>
  <c r="Q62" i="16"/>
  <c r="B867" i="22"/>
  <c r="Q41" i="16"/>
  <c r="Q65" i="16"/>
  <c r="C429" i="22"/>
  <c r="Q210" i="16"/>
  <c r="G429" i="22"/>
  <c r="B333" i="22"/>
  <c r="Q24" i="16"/>
  <c r="D803" i="22"/>
  <c r="Q115" i="16"/>
  <c r="B612" i="22"/>
  <c r="Q33" i="16"/>
  <c r="O97" i="13"/>
  <c r="O32" i="13"/>
  <c r="O94" i="14" s="1"/>
  <c r="O30" i="13"/>
  <c r="O33" i="13"/>
  <c r="O95" i="14" s="1"/>
  <c r="O41" i="13"/>
  <c r="O42" i="13"/>
  <c r="O26" i="13"/>
  <c r="O90" i="14" s="1"/>
  <c r="O31" i="13"/>
  <c r="O93" i="14" s="1"/>
  <c r="O39" i="13"/>
  <c r="O38" i="13"/>
  <c r="O25" i="13"/>
  <c r="O89" i="14" s="1"/>
  <c r="O43" i="13"/>
  <c r="O27" i="13"/>
  <c r="O34" i="13"/>
  <c r="O96" i="14" s="1"/>
  <c r="O40" i="13"/>
  <c r="O36" i="13"/>
  <c r="O29" i="13"/>
  <c r="O92" i="14" s="1"/>
  <c r="O37" i="13"/>
  <c r="O28" i="13"/>
  <c r="O91" i="14" s="1"/>
  <c r="O35" i="13"/>
  <c r="O97" i="14" s="1"/>
  <c r="B643" i="22"/>
  <c r="D643" i="22" s="1"/>
  <c r="Q34" i="16"/>
  <c r="Q63" i="16"/>
  <c r="C365" i="22"/>
  <c r="Q27" i="16"/>
  <c r="B429" i="22"/>
  <c r="D397" i="22"/>
  <c r="Q102" i="16"/>
  <c r="Q38" i="16"/>
  <c r="B771" i="22"/>
  <c r="G777" i="22"/>
  <c r="V31" i="23"/>
  <c r="F777" i="22"/>
  <c r="U18" i="23"/>
  <c r="I370" i="22"/>
  <c r="H370" i="22"/>
  <c r="U9" i="23"/>
  <c r="H90" i="22"/>
  <c r="G90" i="22"/>
  <c r="H808" i="22"/>
  <c r="F608" i="22"/>
  <c r="D173" i="22"/>
  <c r="M133" i="16"/>
  <c r="M137" i="16"/>
  <c r="D297" i="22"/>
  <c r="C488" i="22"/>
  <c r="J873" i="22"/>
  <c r="V34" i="23"/>
  <c r="I873" i="22"/>
  <c r="T18" i="16"/>
  <c r="B148" i="22"/>
  <c r="B678" i="22"/>
  <c r="D678" i="22" s="1"/>
  <c r="S28" i="23" s="1"/>
  <c r="T35" i="16"/>
  <c r="T102" i="16"/>
  <c r="D400" i="22"/>
  <c r="T222" i="16"/>
  <c r="F806" i="22"/>
  <c r="B400" i="22"/>
  <c r="T26" i="16"/>
  <c r="T210" i="16"/>
  <c r="G432" i="22"/>
  <c r="T101" i="16"/>
  <c r="D368" i="22"/>
  <c r="C240" i="22"/>
  <c r="T59" i="16"/>
  <c r="T75" i="16"/>
  <c r="C742" i="22"/>
  <c r="B870" i="22"/>
  <c r="T41" i="16"/>
  <c r="C304" i="22"/>
  <c r="T61" i="16"/>
  <c r="T211" i="16"/>
  <c r="G464" i="22"/>
  <c r="T37" i="16"/>
  <c r="B742" i="22"/>
  <c r="T117" i="16"/>
  <c r="D870" i="22"/>
  <c r="T57" i="16"/>
  <c r="C180" i="22"/>
  <c r="E53" i="18"/>
  <c r="E257" i="16"/>
  <c r="D680" i="22"/>
  <c r="U28" i="23" s="1"/>
  <c r="I466" i="22"/>
  <c r="E45" i="18"/>
  <c r="E249" i="16"/>
  <c r="O62" i="16"/>
  <c r="C331" i="22"/>
  <c r="O61" i="16"/>
  <c r="C299" i="22"/>
  <c r="O29" i="16"/>
  <c r="B490" i="22"/>
  <c r="C490" i="22" s="1"/>
  <c r="M93" i="13"/>
  <c r="O221" i="16"/>
  <c r="D769" i="22"/>
  <c r="O101" i="16"/>
  <c r="D363" i="22"/>
  <c r="C459" i="22"/>
  <c r="O66" i="16"/>
  <c r="B395" i="22"/>
  <c r="O26" i="16"/>
  <c r="O36" i="16"/>
  <c r="B259" i="16" s="1"/>
  <c r="B42" i="19" s="1"/>
  <c r="B93" i="19" s="1"/>
  <c r="B705" i="22"/>
  <c r="E705" i="22" s="1"/>
  <c r="O100" i="16"/>
  <c r="D331" i="22"/>
  <c r="O117" i="16"/>
  <c r="D865" i="22"/>
  <c r="D395" i="22"/>
  <c r="O102" i="16"/>
  <c r="O38" i="16"/>
  <c r="B769" i="22"/>
  <c r="E769" i="22" s="1"/>
  <c r="C83" i="22"/>
  <c r="O54" i="16"/>
  <c r="O75" i="16"/>
  <c r="C737" i="22"/>
  <c r="O59" i="16"/>
  <c r="C235" i="22"/>
  <c r="O40" i="16"/>
  <c r="B833" i="22"/>
  <c r="E833" i="22" s="1"/>
  <c r="C99" i="18"/>
  <c r="C256" i="18" s="1"/>
  <c r="F90" i="18"/>
  <c r="C328" i="18" s="1"/>
  <c r="G82" i="18"/>
  <c r="C347" i="18" s="1"/>
  <c r="D82" i="18"/>
  <c r="C266" i="18" s="1"/>
  <c r="G99" i="18"/>
  <c r="C364" i="18" s="1"/>
  <c r="F92" i="18"/>
  <c r="C330" i="18" s="1"/>
  <c r="C84" i="18"/>
  <c r="C241" i="18" s="1"/>
  <c r="F83" i="18"/>
  <c r="C321" i="18" s="1"/>
  <c r="E100" i="18"/>
  <c r="C311" i="18" s="1"/>
  <c r="F96" i="18"/>
  <c r="C334" i="18" s="1"/>
  <c r="G84" i="18"/>
  <c r="C349" i="18" s="1"/>
  <c r="D84" i="18"/>
  <c r="C268" i="18" s="1"/>
  <c r="D97" i="18"/>
  <c r="C281" i="18" s="1"/>
  <c r="G86" i="18"/>
  <c r="C351" i="18" s="1"/>
  <c r="G100" i="18"/>
  <c r="C365" i="18" s="1"/>
  <c r="D671" i="22"/>
  <c r="S19" i="16"/>
  <c r="B179" i="22"/>
  <c r="E179" i="22" s="1"/>
  <c r="S23" i="16"/>
  <c r="B303" i="22"/>
  <c r="B773" i="22"/>
  <c r="S38" i="16"/>
  <c r="C805" i="22"/>
  <c r="S77" i="16"/>
  <c r="D463" i="22"/>
  <c r="S104" i="16"/>
  <c r="S35" i="16"/>
  <c r="B677" i="22"/>
  <c r="D677" i="22" s="1"/>
  <c r="R28" i="23" s="1"/>
  <c r="S15" i="16"/>
  <c r="B55" i="22"/>
  <c r="S39" i="16"/>
  <c r="B805" i="22"/>
  <c r="C367" i="22"/>
  <c r="S63" i="16"/>
  <c r="D741" i="22"/>
  <c r="S113" i="16"/>
  <c r="S34" i="16"/>
  <c r="B645" i="22"/>
  <c r="D645" i="22" s="1"/>
  <c r="S24" i="16"/>
  <c r="B335" i="22"/>
  <c r="Q93" i="13"/>
  <c r="B494" i="22"/>
  <c r="C494" i="22" s="1"/>
  <c r="S29" i="16"/>
  <c r="B271" i="22"/>
  <c r="S22" i="16"/>
  <c r="S219" i="16"/>
  <c r="D709" i="22"/>
  <c r="P19" i="16"/>
  <c r="B176" i="22"/>
  <c r="E176" i="22" s="1"/>
  <c r="D332" i="22"/>
  <c r="P100" i="16"/>
  <c r="P104" i="16"/>
  <c r="D460" i="22"/>
  <c r="P113" i="16"/>
  <c r="D738" i="22"/>
  <c r="P40" i="16"/>
  <c r="B834" i="22"/>
  <c r="E834" i="22" s="1"/>
  <c r="B144" i="22"/>
  <c r="P18" i="16"/>
  <c r="C428" i="22"/>
  <c r="P65" i="16"/>
  <c r="D611" i="22"/>
  <c r="N130" i="13"/>
  <c r="P109" i="16"/>
  <c r="P220" i="16"/>
  <c r="F738" i="22"/>
  <c r="C460" i="22"/>
  <c r="P66" i="16"/>
  <c r="B396" i="22"/>
  <c r="P26" i="16"/>
  <c r="P35" i="16"/>
  <c r="B674" i="22"/>
  <c r="D674" i="22" s="1"/>
  <c r="O28" i="23" s="1"/>
  <c r="P103" i="16"/>
  <c r="D428" i="22"/>
  <c r="P115" i="16"/>
  <c r="D802" i="22"/>
  <c r="F866" i="22"/>
  <c r="P224" i="16"/>
  <c r="V18" i="23"/>
  <c r="I371" i="22"/>
  <c r="H371" i="22"/>
  <c r="H744" i="22"/>
  <c r="C578" i="22"/>
  <c r="R16" i="16"/>
  <c r="B86" i="22"/>
  <c r="E86" i="22" s="1"/>
  <c r="C334" i="22"/>
  <c r="R62" i="16"/>
  <c r="C270" i="22"/>
  <c r="R60" i="16"/>
  <c r="R23" i="16"/>
  <c r="B302" i="22"/>
  <c r="R210" i="16"/>
  <c r="G430" i="22"/>
  <c r="D836" i="22"/>
  <c r="R223" i="16"/>
  <c r="B116" i="22"/>
  <c r="C116" i="22" s="1"/>
  <c r="R17" i="16"/>
  <c r="B430" i="22"/>
  <c r="R27" i="16"/>
  <c r="D462" i="22"/>
  <c r="R104" i="16"/>
  <c r="R224" i="16"/>
  <c r="F868" i="22"/>
  <c r="R21" i="16"/>
  <c r="B238" i="22"/>
  <c r="R211" i="16"/>
  <c r="G462" i="22"/>
  <c r="B54" i="22"/>
  <c r="R15" i="16"/>
  <c r="B553" i="22"/>
  <c r="C553" i="22" s="1"/>
  <c r="R31" i="16"/>
  <c r="P95" i="13"/>
  <c r="D772" i="22"/>
  <c r="R221" i="16"/>
  <c r="E261" i="16"/>
  <c r="E57" i="18"/>
  <c r="E264" i="16"/>
  <c r="E60" i="18"/>
  <c r="H429" i="22" l="1"/>
  <c r="C40" i="18"/>
  <c r="B39" i="18"/>
  <c r="B256" i="16"/>
  <c r="C52" i="18"/>
  <c r="C58" i="18"/>
  <c r="C152" i="18" s="1"/>
  <c r="B263" i="18" s="1"/>
  <c r="C239" i="16"/>
  <c r="B243" i="16"/>
  <c r="B26" i="17" s="1"/>
  <c r="E708" i="22"/>
  <c r="E711" i="22"/>
  <c r="C256" i="16"/>
  <c r="E773" i="22"/>
  <c r="G773" i="22" s="1"/>
  <c r="H465" i="22"/>
  <c r="H433" i="22"/>
  <c r="B52" i="18"/>
  <c r="B43" i="18"/>
  <c r="B58" i="18"/>
  <c r="D249" i="16"/>
  <c r="B262" i="16"/>
  <c r="B45" i="19" s="1"/>
  <c r="B96" i="19" s="1"/>
  <c r="B811" i="22" s="1"/>
  <c r="D250" i="16"/>
  <c r="H396" i="22"/>
  <c r="E771" i="22"/>
  <c r="E174" i="22"/>
  <c r="H394" i="22"/>
  <c r="E774" i="22"/>
  <c r="G774" i="22" s="1"/>
  <c r="D45" i="18"/>
  <c r="E89" i="22"/>
  <c r="B42" i="18"/>
  <c r="B90" i="18" s="1"/>
  <c r="C220" i="18" s="1"/>
  <c r="B247" i="16"/>
  <c r="E85" i="22"/>
  <c r="B264" i="16"/>
  <c r="B47" i="19" s="1"/>
  <c r="B98" i="19" s="1"/>
  <c r="B875" i="22" s="1"/>
  <c r="B877" i="22" s="1"/>
  <c r="C264" i="16"/>
  <c r="C47" i="19" s="1"/>
  <c r="C98" i="19" s="1"/>
  <c r="C875" i="22" s="1"/>
  <c r="C877" i="22" s="1"/>
  <c r="C45" i="18"/>
  <c r="C93" i="18" s="1"/>
  <c r="C250" i="18" s="1"/>
  <c r="C251" i="16"/>
  <c r="B48" i="18"/>
  <c r="B96" i="18" s="1"/>
  <c r="C226" i="18" s="1"/>
  <c r="C247" i="16"/>
  <c r="C35" i="18"/>
  <c r="C83" i="18" s="1"/>
  <c r="C240" i="18" s="1"/>
  <c r="G250" i="16"/>
  <c r="B56" i="18"/>
  <c r="B34" i="18"/>
  <c r="B82" i="18" s="1"/>
  <c r="C212" i="18" s="1"/>
  <c r="B248" i="16"/>
  <c r="D52" i="18"/>
  <c r="G251" i="16"/>
  <c r="B254" i="16"/>
  <c r="B37" i="17" s="1"/>
  <c r="G259" i="16"/>
  <c r="G42" i="19" s="1"/>
  <c r="G93" i="19" s="1"/>
  <c r="D715" i="22" s="1"/>
  <c r="D717" i="22" s="1"/>
  <c r="B253" i="16"/>
  <c r="G260" i="16"/>
  <c r="G43" i="19" s="1"/>
  <c r="D46" i="18"/>
  <c r="D94" i="18" s="1"/>
  <c r="C278" i="18" s="1"/>
  <c r="D47" i="18"/>
  <c r="D95" i="18" s="1"/>
  <c r="C279" i="18" s="1"/>
  <c r="B242" i="16"/>
  <c r="C56" i="18"/>
  <c r="C150" i="18" s="1"/>
  <c r="B261" i="18" s="1"/>
  <c r="D261" i="18" s="1"/>
  <c r="B261" i="16"/>
  <c r="B44" i="19" s="1"/>
  <c r="B95" i="19" s="1"/>
  <c r="B779" i="22" s="1"/>
  <c r="B781" i="22" s="1"/>
  <c r="D264" i="16"/>
  <c r="D47" i="19" s="1"/>
  <c r="D98" i="19" s="1"/>
  <c r="D875" i="22" s="1"/>
  <c r="D877" i="22" s="1"/>
  <c r="B46" i="18"/>
  <c r="E84" i="22"/>
  <c r="B51" i="18"/>
  <c r="B99" i="18" s="1"/>
  <c r="C229" i="18" s="1"/>
  <c r="E88" i="22"/>
  <c r="G263" i="16"/>
  <c r="G46" i="19" s="1"/>
  <c r="G97" i="19" s="1"/>
  <c r="D843" i="22" s="1"/>
  <c r="D845" i="22" s="1"/>
  <c r="B257" i="16"/>
  <c r="B40" i="19" s="1"/>
  <c r="B91" i="19" s="1"/>
  <c r="B651" i="22" s="1"/>
  <c r="B653" i="22" s="1"/>
  <c r="C242" i="16"/>
  <c r="B60" i="18"/>
  <c r="C246" i="16"/>
  <c r="B241" i="16"/>
  <c r="C250" i="16"/>
  <c r="B244" i="16"/>
  <c r="B45" i="18"/>
  <c r="D248" i="16"/>
  <c r="C262" i="16"/>
  <c r="C45" i="19" s="1"/>
  <c r="C96" i="19" s="1"/>
  <c r="C811" i="22" s="1"/>
  <c r="C813" i="22" s="1"/>
  <c r="B36" i="18"/>
  <c r="B84" i="18" s="1"/>
  <c r="C214" i="18" s="1"/>
  <c r="C41" i="18"/>
  <c r="B238" i="16"/>
  <c r="B47" i="18"/>
  <c r="B95" i="18" s="1"/>
  <c r="C225" i="18" s="1"/>
  <c r="D58" i="18"/>
  <c r="B263" i="16"/>
  <c r="B46" i="19" s="1"/>
  <c r="B97" i="19" s="1"/>
  <c r="B843" i="22" s="1"/>
  <c r="B845" i="22" s="1"/>
  <c r="G264" i="16"/>
  <c r="G47" i="19" s="1"/>
  <c r="G98" i="19" s="1"/>
  <c r="F875" i="22" s="1"/>
  <c r="F877" i="22" s="1"/>
  <c r="B245" i="16"/>
  <c r="D247" i="16"/>
  <c r="D44" i="18"/>
  <c r="D92" i="18" s="1"/>
  <c r="C276" i="18" s="1"/>
  <c r="C248" i="16"/>
  <c r="B35" i="18"/>
  <c r="B83" i="18" s="1"/>
  <c r="C213" i="18" s="1"/>
  <c r="G58" i="18"/>
  <c r="D260" i="16"/>
  <c r="D43" i="19" s="1"/>
  <c r="D94" i="19" s="1"/>
  <c r="D747" i="22" s="1"/>
  <c r="D749" i="22" s="1"/>
  <c r="G45" i="18"/>
  <c r="G93" i="18" s="1"/>
  <c r="C358" i="18" s="1"/>
  <c r="G261" i="16"/>
  <c r="G44" i="19" s="1"/>
  <c r="G95" i="19" s="1"/>
  <c r="D779" i="22" s="1"/>
  <c r="D781" i="22" s="1"/>
  <c r="B54" i="18"/>
  <c r="G94" i="19"/>
  <c r="F747" i="22" s="1"/>
  <c r="F749" i="22" s="1"/>
  <c r="E775" i="22"/>
  <c r="F775" i="22" s="1"/>
  <c r="G47" i="18"/>
  <c r="G57" i="18"/>
  <c r="G46" i="18"/>
  <c r="G55" i="18"/>
  <c r="G59" i="18"/>
  <c r="G153" i="18" s="1"/>
  <c r="B372" i="18" s="1"/>
  <c r="G249" i="16"/>
  <c r="G262" i="16"/>
  <c r="G45" i="19" s="1"/>
  <c r="G56" i="18"/>
  <c r="G60" i="18"/>
  <c r="D100" i="18"/>
  <c r="C284" i="18" s="1"/>
  <c r="B36" i="17"/>
  <c r="D263" i="18"/>
  <c r="B139" i="19"/>
  <c r="B715" i="22"/>
  <c r="B717" i="22" s="1"/>
  <c r="B94" i="18"/>
  <c r="C224" i="18" s="1"/>
  <c r="B93" i="18"/>
  <c r="C223" i="18" s="1"/>
  <c r="C89" i="18"/>
  <c r="C246" i="18" s="1"/>
  <c r="C88" i="18"/>
  <c r="C245" i="18" s="1"/>
  <c r="E108" i="18"/>
  <c r="C319" i="18" s="1"/>
  <c r="E154" i="18"/>
  <c r="B319" i="18" s="1"/>
  <c r="Q24" i="23"/>
  <c r="D553" i="22"/>
  <c r="H430" i="22"/>
  <c r="D139" i="18"/>
  <c r="B277" i="18" s="1"/>
  <c r="D93" i="18"/>
  <c r="C277" i="18" s="1"/>
  <c r="G834" i="22"/>
  <c r="F834" i="22"/>
  <c r="O33" i="23"/>
  <c r="F773" i="22"/>
  <c r="L28" i="23"/>
  <c r="C146" i="18"/>
  <c r="B257" i="18" s="1"/>
  <c r="C100" i="18"/>
  <c r="C257" i="18" s="1"/>
  <c r="H395" i="22"/>
  <c r="N22" i="23"/>
  <c r="D490" i="22"/>
  <c r="K466" i="22"/>
  <c r="J466" i="22"/>
  <c r="U21" i="23"/>
  <c r="L466" i="22"/>
  <c r="E40" i="19"/>
  <c r="B246" i="16"/>
  <c r="Q132" i="16"/>
  <c r="C145" i="22"/>
  <c r="D145" i="22" s="1"/>
  <c r="Q129" i="16"/>
  <c r="C53" i="22"/>
  <c r="D53" i="22" s="1"/>
  <c r="D85" i="22"/>
  <c r="F85" i="22" s="1"/>
  <c r="Q130" i="16"/>
  <c r="E612" i="22"/>
  <c r="F612" i="22"/>
  <c r="C44" i="18"/>
  <c r="B133" i="18"/>
  <c r="B217" i="18" s="1"/>
  <c r="B87" i="18"/>
  <c r="C217" i="18" s="1"/>
  <c r="G743" i="22"/>
  <c r="H743" i="22"/>
  <c r="G776" i="22"/>
  <c r="U31" i="23"/>
  <c r="F776" i="22"/>
  <c r="F398" i="22"/>
  <c r="I398" i="22" s="1"/>
  <c r="R174" i="16"/>
  <c r="R133" i="16"/>
  <c r="D178" i="22"/>
  <c r="F178" i="22" s="1"/>
  <c r="R130" i="16"/>
  <c r="D86" i="22"/>
  <c r="F86" i="22" s="1"/>
  <c r="C260" i="16"/>
  <c r="C43" i="19" s="1"/>
  <c r="G767" i="22"/>
  <c r="L31" i="23"/>
  <c r="F767" i="22"/>
  <c r="E42" i="19"/>
  <c r="E93" i="19" s="1"/>
  <c r="D176" i="22"/>
  <c r="F176" i="22" s="1"/>
  <c r="P133" i="16"/>
  <c r="P138" i="16"/>
  <c r="E332" i="22"/>
  <c r="G332" i="22" s="1"/>
  <c r="O17" i="23" s="1"/>
  <c r="E611" i="22"/>
  <c r="F611" i="22"/>
  <c r="O25" i="23"/>
  <c r="D581" i="22"/>
  <c r="D303" i="22"/>
  <c r="F303" i="22" s="1"/>
  <c r="R16" i="23" s="1"/>
  <c r="S137" i="16"/>
  <c r="S176" i="16"/>
  <c r="F463" i="22"/>
  <c r="I463" i="22" s="1"/>
  <c r="E363" i="22"/>
  <c r="G363" i="22" s="1"/>
  <c r="O139" i="16"/>
  <c r="D83" i="22"/>
  <c r="F83" i="22" s="1"/>
  <c r="O130" i="16"/>
  <c r="F459" i="22"/>
  <c r="I459" i="22" s="1"/>
  <c r="O176" i="16"/>
  <c r="N23" i="23"/>
  <c r="D520" i="22"/>
  <c r="G737" i="22"/>
  <c r="H737" i="22"/>
  <c r="F641" i="22"/>
  <c r="E641" i="22"/>
  <c r="N27" i="23"/>
  <c r="E95" i="18"/>
  <c r="C306" i="18" s="1"/>
  <c r="E141" i="18"/>
  <c r="B306" i="18" s="1"/>
  <c r="T138" i="16"/>
  <c r="E336" i="22"/>
  <c r="G336" i="22" s="1"/>
  <c r="S17" i="23" s="1"/>
  <c r="D88" i="22"/>
  <c r="F88" i="22" s="1"/>
  <c r="T130" i="16"/>
  <c r="C148" i="22"/>
  <c r="D148" i="22" s="1"/>
  <c r="T132" i="16"/>
  <c r="S27" i="23"/>
  <c r="F646" i="22"/>
  <c r="E646" i="22"/>
  <c r="D43" i="18"/>
  <c r="G329" i="22"/>
  <c r="D141" i="22"/>
  <c r="E45" i="19"/>
  <c r="E96" i="19" s="1"/>
  <c r="D115" i="22"/>
  <c r="P10" i="23"/>
  <c r="P25" i="23"/>
  <c r="D582" i="22"/>
  <c r="C46" i="18"/>
  <c r="U34" i="23"/>
  <c r="J872" i="22"/>
  <c r="I872" i="22"/>
  <c r="H804" i="22"/>
  <c r="G804" i="22"/>
  <c r="B57" i="18"/>
  <c r="B151" i="18" s="1"/>
  <c r="B235" i="18" s="1"/>
  <c r="E104" i="18"/>
  <c r="C315" i="18" s="1"/>
  <c r="E150" i="18"/>
  <c r="B315" i="18" s="1"/>
  <c r="O24" i="23"/>
  <c r="D551" i="22"/>
  <c r="C249" i="16"/>
  <c r="B249" i="16"/>
  <c r="F368" i="22"/>
  <c r="D555" i="22"/>
  <c r="S24" i="23"/>
  <c r="D262" i="16"/>
  <c r="D45" i="19" s="1"/>
  <c r="G803" i="22"/>
  <c r="H803" i="22"/>
  <c r="D552" i="22"/>
  <c r="P24" i="23"/>
  <c r="C60" i="18"/>
  <c r="C154" i="18" s="1"/>
  <c r="B265" i="18" s="1"/>
  <c r="L10" i="23"/>
  <c r="D111" i="22"/>
  <c r="M10" i="23"/>
  <c r="D112" i="22"/>
  <c r="E181" i="22"/>
  <c r="E613" i="22"/>
  <c r="F613" i="22"/>
  <c r="C43" i="18"/>
  <c r="B251" i="16"/>
  <c r="B141" i="18" s="1"/>
  <c r="B225" i="18" s="1"/>
  <c r="H428" i="22"/>
  <c r="G866" i="22"/>
  <c r="H866" i="22"/>
  <c r="E87" i="22"/>
  <c r="B258" i="16"/>
  <c r="B41" i="19" s="1"/>
  <c r="B92" i="19" s="1"/>
  <c r="B37" i="18"/>
  <c r="N13" i="23"/>
  <c r="D205" i="22"/>
  <c r="E148" i="18"/>
  <c r="B313" i="18" s="1"/>
  <c r="E102" i="18"/>
  <c r="C313" i="18" s="1"/>
  <c r="E94" i="18"/>
  <c r="C305" i="18" s="1"/>
  <c r="E140" i="18"/>
  <c r="B305" i="18" s="1"/>
  <c r="V40" i="23"/>
  <c r="D256" i="16"/>
  <c r="D146" i="18" s="1"/>
  <c r="B284" i="18" s="1"/>
  <c r="E107" i="18"/>
  <c r="C318" i="18" s="1"/>
  <c r="E153" i="18"/>
  <c r="B318" i="18" s="1"/>
  <c r="G739" i="22"/>
  <c r="H739" i="22"/>
  <c r="B59" i="18"/>
  <c r="B153" i="18" s="1"/>
  <c r="B237" i="18" s="1"/>
  <c r="C142" i="22"/>
  <c r="D142" i="22" s="1"/>
  <c r="N132" i="16"/>
  <c r="C50" i="22"/>
  <c r="D50" i="22" s="1"/>
  <c r="N129" i="16"/>
  <c r="M25" i="23"/>
  <c r="D579" i="22"/>
  <c r="U174" i="16"/>
  <c r="F401" i="22"/>
  <c r="I401" i="22" s="1"/>
  <c r="U132" i="16"/>
  <c r="C149" i="22"/>
  <c r="D149" i="22" s="1"/>
  <c r="D181" i="22"/>
  <c r="F181" i="22" s="1"/>
  <c r="U133" i="16"/>
  <c r="E47" i="19"/>
  <c r="E98" i="19" s="1"/>
  <c r="G805" i="22"/>
  <c r="H805" i="22"/>
  <c r="B38" i="18"/>
  <c r="B146" i="18"/>
  <c r="B230" i="18" s="1"/>
  <c r="B100" i="18"/>
  <c r="C230" i="18" s="1"/>
  <c r="F833" i="22"/>
  <c r="N33" i="23"/>
  <c r="G833" i="22"/>
  <c r="G769" i="22"/>
  <c r="N31" i="23"/>
  <c r="F769" i="22"/>
  <c r="N29" i="23"/>
  <c r="F705" i="22"/>
  <c r="G705" i="22"/>
  <c r="E147" i="18"/>
  <c r="B312" i="18" s="1"/>
  <c r="E101" i="18"/>
  <c r="C312" i="18" s="1"/>
  <c r="G870" i="22"/>
  <c r="H870" i="22"/>
  <c r="D488" i="22"/>
  <c r="L22" i="23"/>
  <c r="F173" i="22"/>
  <c r="L26" i="23"/>
  <c r="G608" i="22"/>
  <c r="P31" i="23"/>
  <c r="F771" i="22"/>
  <c r="G771" i="22"/>
  <c r="Q175" i="16"/>
  <c r="F429" i="22"/>
  <c r="I429" i="22" s="1"/>
  <c r="E333" i="22"/>
  <c r="G333" i="22" s="1"/>
  <c r="P17" i="23" s="1"/>
  <c r="Q138" i="16"/>
  <c r="F461" i="22"/>
  <c r="I461" i="22" s="1"/>
  <c r="Q176" i="16"/>
  <c r="Q136" i="16"/>
  <c r="D269" i="22"/>
  <c r="F269" i="22" s="1"/>
  <c r="P15" i="23" s="1"/>
  <c r="D251" i="16"/>
  <c r="B250" i="16"/>
  <c r="G736" i="22"/>
  <c r="H736" i="22"/>
  <c r="G871" i="22"/>
  <c r="H871" i="22"/>
  <c r="F462" i="22"/>
  <c r="I462" i="22" s="1"/>
  <c r="R176" i="16"/>
  <c r="Q23" i="23"/>
  <c r="D523" i="22"/>
  <c r="Q13" i="23"/>
  <c r="D208" i="22"/>
  <c r="B55" i="18"/>
  <c r="B149" i="18" s="1"/>
  <c r="B233" i="18" s="1"/>
  <c r="G617" i="22"/>
  <c r="U26" i="23"/>
  <c r="P137" i="16"/>
  <c r="D300" i="22"/>
  <c r="F300" i="22" s="1"/>
  <c r="O16" i="23" s="1"/>
  <c r="C144" i="22"/>
  <c r="D144" i="22" s="1"/>
  <c r="P132" i="16"/>
  <c r="P129" i="16"/>
  <c r="C52" i="22"/>
  <c r="D52" i="22" s="1"/>
  <c r="O23" i="23"/>
  <c r="D521" i="22"/>
  <c r="G770" i="22"/>
  <c r="O31" i="23"/>
  <c r="F770" i="22"/>
  <c r="R23" i="23"/>
  <c r="D524" i="22"/>
  <c r="D87" i="22"/>
  <c r="F87" i="22" s="1"/>
  <c r="S130" i="16"/>
  <c r="C147" i="22"/>
  <c r="D147" i="22" s="1"/>
  <c r="S132" i="16"/>
  <c r="S136" i="16"/>
  <c r="D271" i="22"/>
  <c r="F271" i="22" s="1"/>
  <c r="R15" i="23" s="1"/>
  <c r="E335" i="22"/>
  <c r="G335" i="22" s="1"/>
  <c r="R17" i="23" s="1"/>
  <c r="S138" i="16"/>
  <c r="F367" i="22"/>
  <c r="D60" i="18"/>
  <c r="D154" i="18" s="1"/>
  <c r="B292" i="18" s="1"/>
  <c r="O136" i="16"/>
  <c r="D267" i="22"/>
  <c r="F267" i="22" s="1"/>
  <c r="N15" i="23" s="1"/>
  <c r="D175" i="22"/>
  <c r="F175" i="22" s="1"/>
  <c r="O133" i="16"/>
  <c r="L434" i="22"/>
  <c r="K434" i="22"/>
  <c r="J434" i="22"/>
  <c r="U20" i="23"/>
  <c r="E180" i="22"/>
  <c r="T133" i="16"/>
  <c r="D180" i="22"/>
  <c r="F180" i="22" s="1"/>
  <c r="B252" i="16"/>
  <c r="B142" i="18" s="1"/>
  <c r="B226" i="18" s="1"/>
  <c r="D49" i="22"/>
  <c r="F81" i="22"/>
  <c r="C47" i="18"/>
  <c r="C244" i="16"/>
  <c r="B240" i="16"/>
  <c r="M27" i="23"/>
  <c r="F640" i="22"/>
  <c r="E640" i="22"/>
  <c r="D489" i="22"/>
  <c r="M22" i="23"/>
  <c r="D549" i="22"/>
  <c r="M24" i="23"/>
  <c r="B255" i="16"/>
  <c r="O13" i="23"/>
  <c r="D206" i="22"/>
  <c r="D554" i="22"/>
  <c r="R24" i="23"/>
  <c r="R13" i="23"/>
  <c r="D209" i="22"/>
  <c r="N24" i="23"/>
  <c r="D550" i="22"/>
  <c r="H459" i="22"/>
  <c r="F710" i="22"/>
  <c r="G710" i="22"/>
  <c r="S29" i="23"/>
  <c r="S23" i="23"/>
  <c r="D525" i="22"/>
  <c r="G806" i="22"/>
  <c r="H806" i="22"/>
  <c r="B50" i="18"/>
  <c r="I425" i="22"/>
  <c r="B239" i="16"/>
  <c r="P13" i="23"/>
  <c r="D207" i="22"/>
  <c r="B40" i="18"/>
  <c r="E832" i="22"/>
  <c r="G864" i="22"/>
  <c r="H864" i="22"/>
  <c r="H807" i="22"/>
  <c r="G807" i="22"/>
  <c r="G740" i="22"/>
  <c r="H740" i="22"/>
  <c r="F644" i="22"/>
  <c r="E644" i="22"/>
  <c r="Q27" i="23"/>
  <c r="I735" i="22"/>
  <c r="L30" i="23"/>
  <c r="J735" i="22"/>
  <c r="H463" i="22"/>
  <c r="E610" i="22"/>
  <c r="F610" i="22"/>
  <c r="N10" i="23"/>
  <c r="D113" i="22"/>
  <c r="E41" i="19"/>
  <c r="E92" i="19" s="1"/>
  <c r="D548" i="22"/>
  <c r="L24" i="23"/>
  <c r="I393" i="22"/>
  <c r="I457" i="22"/>
  <c r="E46" i="19"/>
  <c r="E97" i="19" s="1"/>
  <c r="B46" i="17"/>
  <c r="E835" i="22"/>
  <c r="C42" i="18"/>
  <c r="D234" i="22"/>
  <c r="F234" i="22" s="1"/>
  <c r="M14" i="23" s="1"/>
  <c r="N135" i="16"/>
  <c r="D298" i="22"/>
  <c r="F298" i="22" s="1"/>
  <c r="M16" i="23" s="1"/>
  <c r="N137" i="16"/>
  <c r="H426" i="22"/>
  <c r="F362" i="22"/>
  <c r="C57" i="22"/>
  <c r="D57" i="22" s="1"/>
  <c r="U129" i="16"/>
  <c r="D241" i="22"/>
  <c r="F241" i="22" s="1"/>
  <c r="T14" i="23" s="1"/>
  <c r="U135" i="16"/>
  <c r="U138" i="16"/>
  <c r="E337" i="22"/>
  <c r="G337" i="22" s="1"/>
  <c r="T17" i="23" s="1"/>
  <c r="F433" i="22"/>
  <c r="I433" i="22" s="1"/>
  <c r="U175" i="16"/>
  <c r="T22" i="23"/>
  <c r="D496" i="22"/>
  <c r="E105" i="18"/>
  <c r="C316" i="18" s="1"/>
  <c r="E151" i="18"/>
  <c r="B316" i="18" s="1"/>
  <c r="Q10" i="23"/>
  <c r="D116" i="22"/>
  <c r="B91" i="18"/>
  <c r="C221" i="18" s="1"/>
  <c r="I744" i="22"/>
  <c r="U30" i="23"/>
  <c r="J744" i="22"/>
  <c r="B39" i="17"/>
  <c r="G742" i="22"/>
  <c r="H742" i="22"/>
  <c r="F297" i="22"/>
  <c r="J808" i="22"/>
  <c r="I808" i="22"/>
  <c r="U32" i="23"/>
  <c r="P27" i="23"/>
  <c r="F643" i="22"/>
  <c r="E643" i="22"/>
  <c r="D177" i="22"/>
  <c r="F177" i="22" s="1"/>
  <c r="Q133" i="16"/>
  <c r="G867" i="22"/>
  <c r="H867" i="22"/>
  <c r="H800" i="22"/>
  <c r="G800" i="22"/>
  <c r="D586" i="22"/>
  <c r="T25" i="23"/>
  <c r="E836" i="22"/>
  <c r="Q25" i="23"/>
  <c r="D583" i="22"/>
  <c r="R139" i="16"/>
  <c r="E366" i="22"/>
  <c r="G366" i="22" s="1"/>
  <c r="R132" i="16"/>
  <c r="C146" i="22"/>
  <c r="D146" i="22" s="1"/>
  <c r="C54" i="22"/>
  <c r="D54" i="22" s="1"/>
  <c r="R129" i="16"/>
  <c r="R137" i="16"/>
  <c r="D302" i="22"/>
  <c r="F302" i="22" s="1"/>
  <c r="Q16" i="23" s="1"/>
  <c r="G868" i="22"/>
  <c r="H868" i="22"/>
  <c r="E178" i="22"/>
  <c r="F708" i="22"/>
  <c r="Q29" i="23"/>
  <c r="G708" i="22"/>
  <c r="L23" i="23"/>
  <c r="D518" i="22"/>
  <c r="P174" i="16"/>
  <c r="F396" i="22"/>
  <c r="I396" i="22" s="1"/>
  <c r="D236" i="22"/>
  <c r="F236" i="22" s="1"/>
  <c r="O14" i="23" s="1"/>
  <c r="P135" i="16"/>
  <c r="F460" i="22"/>
  <c r="I460" i="22" s="1"/>
  <c r="P176" i="16"/>
  <c r="S129" i="16"/>
  <c r="C55" i="22"/>
  <c r="D55" i="22" s="1"/>
  <c r="E367" i="22"/>
  <c r="G367" i="22" s="1"/>
  <c r="S139" i="16"/>
  <c r="D235" i="22"/>
  <c r="F235" i="22" s="1"/>
  <c r="N14" i="23" s="1"/>
  <c r="O135" i="16"/>
  <c r="E331" i="22"/>
  <c r="G331" i="22" s="1"/>
  <c r="N17" i="23" s="1"/>
  <c r="O138" i="16"/>
  <c r="D299" i="22"/>
  <c r="F299" i="22" s="1"/>
  <c r="N16" i="23" s="1"/>
  <c r="O137" i="16"/>
  <c r="O175" i="16"/>
  <c r="F427" i="22"/>
  <c r="I427" i="22" s="1"/>
  <c r="E83" i="22"/>
  <c r="F400" i="22"/>
  <c r="I400" i="22" s="1"/>
  <c r="T174" i="16"/>
  <c r="E368" i="22"/>
  <c r="G368" i="22" s="1"/>
  <c r="T139" i="16"/>
  <c r="D240" i="22"/>
  <c r="F240" i="22" s="1"/>
  <c r="S14" i="23" s="1"/>
  <c r="T135" i="16"/>
  <c r="F464" i="22"/>
  <c r="I464" i="22" s="1"/>
  <c r="T176" i="16"/>
  <c r="D272" i="22"/>
  <c r="F272" i="22" s="1"/>
  <c r="S15" i="23" s="1"/>
  <c r="T136" i="16"/>
  <c r="H397" i="22"/>
  <c r="D492" i="22"/>
  <c r="P22" i="23"/>
  <c r="E609" i="22"/>
  <c r="F609" i="22"/>
  <c r="M29" i="23"/>
  <c r="G704" i="22"/>
  <c r="F704" i="22"/>
  <c r="T31" i="23"/>
  <c r="T10" i="23"/>
  <c r="D119" i="22"/>
  <c r="T29" i="23"/>
  <c r="G711" i="22"/>
  <c r="F711" i="22"/>
  <c r="H462" i="22"/>
  <c r="B260" i="16"/>
  <c r="B43" i="19" s="1"/>
  <c r="F703" i="22"/>
  <c r="L29" i="23"/>
  <c r="G703" i="22"/>
  <c r="G802" i="22"/>
  <c r="H802" i="22"/>
  <c r="E709" i="22"/>
  <c r="R10" i="23"/>
  <c r="D117" i="22"/>
  <c r="H399" i="22"/>
  <c r="B53" i="18"/>
  <c r="B147" i="18" s="1"/>
  <c r="B231" i="18" s="1"/>
  <c r="B44" i="18"/>
  <c r="G865" i="22"/>
  <c r="H865" i="22"/>
  <c r="U19" i="23"/>
  <c r="K402" i="22"/>
  <c r="L402" i="22"/>
  <c r="J402" i="22"/>
  <c r="S25" i="23"/>
  <c r="D585" i="22"/>
  <c r="S22" i="23"/>
  <c r="D495" i="22"/>
  <c r="H432" i="22"/>
  <c r="S10" i="23"/>
  <c r="D118" i="22"/>
  <c r="F233" i="22"/>
  <c r="C38" i="18"/>
  <c r="P23" i="23"/>
  <c r="D522" i="22"/>
  <c r="T27" i="23"/>
  <c r="F647" i="22"/>
  <c r="E647" i="22"/>
  <c r="T24" i="23"/>
  <c r="D556" i="22"/>
  <c r="F369" i="22"/>
  <c r="L32" i="23"/>
  <c r="J799" i="22"/>
  <c r="I799" i="22"/>
  <c r="B49" i="18"/>
  <c r="F712" i="22"/>
  <c r="U29" i="23"/>
  <c r="G712" i="22"/>
  <c r="H431" i="22"/>
  <c r="D584" i="22"/>
  <c r="R25" i="23"/>
  <c r="G741" i="22"/>
  <c r="H741" i="22"/>
  <c r="G801" i="22"/>
  <c r="H801" i="22"/>
  <c r="U27" i="23"/>
  <c r="F648" i="22"/>
  <c r="E648" i="22"/>
  <c r="D56" i="18"/>
  <c r="D150" i="18" s="1"/>
  <c r="B288" i="18" s="1"/>
  <c r="C245" i="16"/>
  <c r="C135" i="18" s="1"/>
  <c r="B246" i="18" s="1"/>
  <c r="B41" i="18"/>
  <c r="H461" i="22"/>
  <c r="E177" i="22"/>
  <c r="F365" i="22"/>
  <c r="L13" i="23"/>
  <c r="D203" i="22"/>
  <c r="E330" i="22"/>
  <c r="G330" i="22" s="1"/>
  <c r="M17" i="23" s="1"/>
  <c r="N138" i="16"/>
  <c r="N130" i="16"/>
  <c r="D82" i="22"/>
  <c r="F82" i="22" s="1"/>
  <c r="D266" i="22"/>
  <c r="F266" i="22" s="1"/>
  <c r="M15" i="23" s="1"/>
  <c r="N136" i="16"/>
  <c r="N175" i="16"/>
  <c r="F426" i="22"/>
  <c r="I426" i="22" s="1"/>
  <c r="H458" i="22"/>
  <c r="E82" i="22"/>
  <c r="E768" i="22"/>
  <c r="D305" i="22"/>
  <c r="F305" i="22" s="1"/>
  <c r="T16" i="23" s="1"/>
  <c r="U137" i="16"/>
  <c r="D89" i="22"/>
  <c r="F89" i="22" s="1"/>
  <c r="U130" i="16"/>
  <c r="F616" i="22"/>
  <c r="E616" i="22"/>
  <c r="E44" i="19"/>
  <c r="L25" i="23"/>
  <c r="D578" i="22"/>
  <c r="D494" i="22"/>
  <c r="R22" i="23"/>
  <c r="R27" i="23"/>
  <c r="F645" i="22"/>
  <c r="E645" i="22"/>
  <c r="E93" i="18"/>
  <c r="C304" i="18" s="1"/>
  <c r="E139" i="18"/>
  <c r="B304" i="18" s="1"/>
  <c r="H400" i="22"/>
  <c r="E365" i="22"/>
  <c r="G365" i="22" s="1"/>
  <c r="Q139" i="16"/>
  <c r="Q174" i="16"/>
  <c r="F397" i="22"/>
  <c r="I397" i="22" s="1"/>
  <c r="Q135" i="16"/>
  <c r="D237" i="22"/>
  <c r="F237" i="22" s="1"/>
  <c r="P14" i="23" s="1"/>
  <c r="Q137" i="16"/>
  <c r="D301" i="22"/>
  <c r="F301" i="22" s="1"/>
  <c r="P16" i="23" s="1"/>
  <c r="G831" i="22"/>
  <c r="F831" i="22"/>
  <c r="L33" i="23"/>
  <c r="F430" i="22"/>
  <c r="I430" i="22" s="1"/>
  <c r="R175" i="16"/>
  <c r="E334" i="22"/>
  <c r="G334" i="22" s="1"/>
  <c r="Q17" i="23" s="1"/>
  <c r="R138" i="16"/>
  <c r="R135" i="16"/>
  <c r="D238" i="22"/>
  <c r="F238" i="22" s="1"/>
  <c r="Q14" i="23" s="1"/>
  <c r="R136" i="16"/>
  <c r="D270" i="22"/>
  <c r="F270" i="22" s="1"/>
  <c r="Q15" i="23" s="1"/>
  <c r="Q22" i="23"/>
  <c r="D493" i="22"/>
  <c r="L34" i="23"/>
  <c r="J863" i="22"/>
  <c r="I863" i="22"/>
  <c r="E103" i="18"/>
  <c r="C314" i="18" s="1"/>
  <c r="E149" i="18"/>
  <c r="B314" i="18" s="1"/>
  <c r="F428" i="22"/>
  <c r="I428" i="22" s="1"/>
  <c r="P175" i="16"/>
  <c r="P139" i="16"/>
  <c r="E364" i="22"/>
  <c r="G364" i="22" s="1"/>
  <c r="D268" i="22"/>
  <c r="F268" i="22" s="1"/>
  <c r="O15" i="23" s="1"/>
  <c r="P136" i="16"/>
  <c r="D84" i="22"/>
  <c r="F84" i="22" s="1"/>
  <c r="P130" i="16"/>
  <c r="H460" i="22"/>
  <c r="S135" i="16"/>
  <c r="D239" i="22"/>
  <c r="F239" i="22" s="1"/>
  <c r="R14" i="23" s="1"/>
  <c r="F399" i="22"/>
  <c r="I399" i="22" s="1"/>
  <c r="S174" i="16"/>
  <c r="F431" i="22"/>
  <c r="I431" i="22" s="1"/>
  <c r="S175" i="16"/>
  <c r="D179" i="22"/>
  <c r="F179" i="22" s="1"/>
  <c r="S133" i="16"/>
  <c r="E639" i="22"/>
  <c r="L27" i="23"/>
  <c r="F639" i="22"/>
  <c r="O174" i="16"/>
  <c r="F395" i="22"/>
  <c r="I395" i="22" s="1"/>
  <c r="O129" i="16"/>
  <c r="C51" i="22"/>
  <c r="D51" i="22" s="1"/>
  <c r="O132" i="16"/>
  <c r="C143" i="22"/>
  <c r="D143" i="22" s="1"/>
  <c r="F363" i="22"/>
  <c r="D580" i="22"/>
  <c r="N25" i="23"/>
  <c r="C56" i="22"/>
  <c r="D56" i="22" s="1"/>
  <c r="T129" i="16"/>
  <c r="T175" i="16"/>
  <c r="F432" i="22"/>
  <c r="I432" i="22" s="1"/>
  <c r="T137" i="16"/>
  <c r="D304" i="22"/>
  <c r="F304" i="22" s="1"/>
  <c r="S16" i="23" s="1"/>
  <c r="E615" i="22"/>
  <c r="F615" i="22"/>
  <c r="H464" i="22"/>
  <c r="F265" i="22"/>
  <c r="E152" i="18"/>
  <c r="B317" i="18" s="1"/>
  <c r="E106" i="18"/>
  <c r="C317" i="18" s="1"/>
  <c r="H401" i="22"/>
  <c r="T13" i="23"/>
  <c r="D211" i="22"/>
  <c r="T23" i="23"/>
  <c r="D526" i="22"/>
  <c r="H398" i="22"/>
  <c r="E772" i="22"/>
  <c r="E43" i="19"/>
  <c r="E94" i="19" s="1"/>
  <c r="B43" i="17"/>
  <c r="D491" i="22"/>
  <c r="O22" i="23"/>
  <c r="E642" i="22"/>
  <c r="O27" i="23"/>
  <c r="F642" i="22"/>
  <c r="G738" i="22"/>
  <c r="H738" i="22"/>
  <c r="O10" i="23"/>
  <c r="D114" i="22"/>
  <c r="E614" i="22"/>
  <c r="F614" i="22"/>
  <c r="U33" i="23"/>
  <c r="U40" i="23" s="1"/>
  <c r="G840" i="22"/>
  <c r="F840" i="22"/>
  <c r="D519" i="22"/>
  <c r="M23" i="23"/>
  <c r="M13" i="23"/>
  <c r="D204" i="22"/>
  <c r="E839" i="22"/>
  <c r="E706" i="22"/>
  <c r="E837" i="22"/>
  <c r="G869" i="22"/>
  <c r="H869" i="22"/>
  <c r="S13" i="23"/>
  <c r="D210" i="22"/>
  <c r="E838" i="22"/>
  <c r="G361" i="22"/>
  <c r="E707" i="22"/>
  <c r="F458" i="22"/>
  <c r="I458" i="22" s="1"/>
  <c r="N176" i="16"/>
  <c r="N174" i="16"/>
  <c r="F394" i="22"/>
  <c r="I394" i="22" s="1"/>
  <c r="E362" i="22"/>
  <c r="G362" i="22" s="1"/>
  <c r="N139" i="16"/>
  <c r="D174" i="22"/>
  <c r="F174" i="22" s="1"/>
  <c r="N133" i="16"/>
  <c r="E369" i="22"/>
  <c r="G369" i="22" s="1"/>
  <c r="U139" i="16"/>
  <c r="F465" i="22"/>
  <c r="I465" i="22" s="1"/>
  <c r="U176" i="16"/>
  <c r="D273" i="22"/>
  <c r="F273" i="22" s="1"/>
  <c r="T15" i="23" s="1"/>
  <c r="U136" i="16"/>
  <c r="B40" i="17" l="1"/>
  <c r="D138" i="18"/>
  <c r="B276" i="18" s="1"/>
  <c r="G154" i="18"/>
  <c r="B373" i="18" s="1"/>
  <c r="B152" i="18"/>
  <c r="B236" i="18" s="1"/>
  <c r="D236" i="18" s="1"/>
  <c r="B154" i="18"/>
  <c r="B238" i="18" s="1"/>
  <c r="G775" i="22"/>
  <c r="R31" i="23"/>
  <c r="B44" i="17"/>
  <c r="B143" i="19"/>
  <c r="B315" i="19" s="1"/>
  <c r="B128" i="18"/>
  <c r="B212" i="18" s="1"/>
  <c r="E43" i="18"/>
  <c r="B145" i="18"/>
  <c r="B229" i="18" s="1"/>
  <c r="B136" i="18"/>
  <c r="B220" i="18" s="1"/>
  <c r="D140" i="18"/>
  <c r="B278" i="18" s="1"/>
  <c r="G139" i="18"/>
  <c r="B358" i="18" s="1"/>
  <c r="D358" i="18" s="1"/>
  <c r="E37" i="18"/>
  <c r="B137" i="18"/>
  <c r="B221" i="18" s="1"/>
  <c r="B141" i="19"/>
  <c r="B41" i="17"/>
  <c r="B142" i="19"/>
  <c r="B311" i="19" s="1"/>
  <c r="B137" i="19"/>
  <c r="B294" i="19" s="1"/>
  <c r="G150" i="18"/>
  <c r="B369" i="18" s="1"/>
  <c r="S31" i="23"/>
  <c r="B130" i="18"/>
  <c r="B214" i="18" s="1"/>
  <c r="D214" i="18" s="1"/>
  <c r="C129" i="18"/>
  <c r="B240" i="18" s="1"/>
  <c r="C139" i="18"/>
  <c r="B250" i="18" s="1"/>
  <c r="F774" i="22"/>
  <c r="G149" i="18"/>
  <c r="B368" i="18" s="1"/>
  <c r="D368" i="18" s="1"/>
  <c r="E40" i="18"/>
  <c r="E88" i="18" s="1"/>
  <c r="C299" i="18" s="1"/>
  <c r="D141" i="18"/>
  <c r="B279" i="18" s="1"/>
  <c r="D279" i="18" s="1"/>
  <c r="B47" i="17"/>
  <c r="B42" i="17"/>
  <c r="G151" i="18"/>
  <c r="B370" i="18" s="1"/>
  <c r="D370" i="18" s="1"/>
  <c r="C144" i="19"/>
  <c r="C318" i="19" s="1"/>
  <c r="E241" i="16"/>
  <c r="E35" i="18"/>
  <c r="E129" i="18" s="1"/>
  <c r="B294" i="18" s="1"/>
  <c r="G141" i="19"/>
  <c r="G309" i="19" s="1"/>
  <c r="F251" i="16"/>
  <c r="B34" i="17" s="1"/>
  <c r="E44" i="18"/>
  <c r="E247" i="16"/>
  <c r="B30" i="17" s="1"/>
  <c r="E246" i="16"/>
  <c r="B29" i="17" s="1"/>
  <c r="E242" i="16"/>
  <c r="B25" i="17" s="1"/>
  <c r="E238" i="16"/>
  <c r="B21" i="17" s="1"/>
  <c r="F250" i="16"/>
  <c r="B33" i="17" s="1"/>
  <c r="E239" i="16"/>
  <c r="B22" i="17" s="1"/>
  <c r="F249" i="16"/>
  <c r="B32" i="17" s="1"/>
  <c r="E244" i="16"/>
  <c r="E245" i="16"/>
  <c r="B28" i="17" s="1"/>
  <c r="G143" i="19"/>
  <c r="G314" i="19" s="1"/>
  <c r="D369" i="18"/>
  <c r="G140" i="18"/>
  <c r="B359" i="18" s="1"/>
  <c r="G94" i="18"/>
  <c r="C359" i="18" s="1"/>
  <c r="G144" i="19"/>
  <c r="G96" i="19"/>
  <c r="F811" i="22" s="1"/>
  <c r="F813" i="22" s="1"/>
  <c r="G140" i="19"/>
  <c r="G139" i="19"/>
  <c r="D372" i="18"/>
  <c r="G141" i="18"/>
  <c r="B360" i="18" s="1"/>
  <c r="G95" i="18"/>
  <c r="C360" i="18" s="1"/>
  <c r="D373" i="18"/>
  <c r="G152" i="18"/>
  <c r="B371" i="18" s="1"/>
  <c r="E92" i="18"/>
  <c r="C303" i="18" s="1"/>
  <c r="E138" i="18"/>
  <c r="B303" i="18" s="1"/>
  <c r="D284" i="18"/>
  <c r="D229" i="18"/>
  <c r="D226" i="18"/>
  <c r="K394" i="22"/>
  <c r="L394" i="22"/>
  <c r="J394" i="22"/>
  <c r="M19" i="23"/>
  <c r="P29" i="23"/>
  <c r="G707" i="22"/>
  <c r="F707" i="22"/>
  <c r="D317" i="18"/>
  <c r="E85" i="18"/>
  <c r="C296" i="18" s="1"/>
  <c r="E131" i="18"/>
  <c r="B296" i="18" s="1"/>
  <c r="S26" i="23"/>
  <c r="G615" i="22"/>
  <c r="L432" i="22"/>
  <c r="K432" i="22"/>
  <c r="J432" i="22"/>
  <c r="S20" i="23"/>
  <c r="R20" i="23"/>
  <c r="L431" i="22"/>
  <c r="K431" i="22"/>
  <c r="J431" i="22"/>
  <c r="P18" i="23"/>
  <c r="I365" i="22"/>
  <c r="H365" i="22"/>
  <c r="F768" i="22"/>
  <c r="G768" i="22"/>
  <c r="M31" i="23"/>
  <c r="E248" i="16"/>
  <c r="L14" i="23"/>
  <c r="B94" i="19"/>
  <c r="B747" i="22" s="1"/>
  <c r="E34" i="18"/>
  <c r="I367" i="22"/>
  <c r="R18" i="23"/>
  <c r="H367" i="22"/>
  <c r="J460" i="22"/>
  <c r="O21" i="23"/>
  <c r="L460" i="22"/>
  <c r="K460" i="22"/>
  <c r="T8" i="23"/>
  <c r="F57" i="22"/>
  <c r="E57" i="22"/>
  <c r="C136" i="18"/>
  <c r="B247" i="18" s="1"/>
  <c r="C90" i="18"/>
  <c r="C247" i="18" s="1"/>
  <c r="J393" i="22"/>
  <c r="L19" i="23"/>
  <c r="K393" i="22"/>
  <c r="L393" i="22"/>
  <c r="I740" i="22"/>
  <c r="Q30" i="23"/>
  <c r="J740" i="22"/>
  <c r="J864" i="22"/>
  <c r="I864" i="22"/>
  <c r="M34" i="23"/>
  <c r="J425" i="22"/>
  <c r="L20" i="23"/>
  <c r="L425" i="22"/>
  <c r="K425" i="22"/>
  <c r="D292" i="18"/>
  <c r="F147" i="22"/>
  <c r="E147" i="22"/>
  <c r="R11" i="23"/>
  <c r="M30" i="23"/>
  <c r="J736" i="22"/>
  <c r="I736" i="22"/>
  <c r="K429" i="22"/>
  <c r="L429" i="22"/>
  <c r="J429" i="22"/>
  <c r="P20" i="23"/>
  <c r="D312" i="18"/>
  <c r="D230" i="18"/>
  <c r="F149" i="22"/>
  <c r="E149" i="22"/>
  <c r="T11" i="23"/>
  <c r="F47" i="18"/>
  <c r="J866" i="22"/>
  <c r="I866" i="22"/>
  <c r="O34" i="23"/>
  <c r="C91" i="18"/>
  <c r="C248" i="18" s="1"/>
  <c r="C137" i="18"/>
  <c r="B248" i="18" s="1"/>
  <c r="P32" i="23"/>
  <c r="J803" i="22"/>
  <c r="I803" i="22"/>
  <c r="F46" i="18"/>
  <c r="D315" i="18"/>
  <c r="Q32" i="23"/>
  <c r="J804" i="22"/>
  <c r="I804" i="22"/>
  <c r="C140" i="18"/>
  <c r="B251" i="18" s="1"/>
  <c r="C94" i="18"/>
  <c r="C251" i="18" s="1"/>
  <c r="E41" i="18"/>
  <c r="L17" i="23"/>
  <c r="S9" i="23"/>
  <c r="H88" i="22"/>
  <c r="G88" i="22"/>
  <c r="N9" i="23"/>
  <c r="H83" i="22"/>
  <c r="G83" i="22"/>
  <c r="E139" i="19"/>
  <c r="B185" i="19"/>
  <c r="C715" i="22"/>
  <c r="C94" i="19"/>
  <c r="C747" i="22" s="1"/>
  <c r="C749" i="22" s="1"/>
  <c r="E38" i="18"/>
  <c r="E91" i="19"/>
  <c r="B148" i="18"/>
  <c r="B232" i="18" s="1"/>
  <c r="B314" i="19"/>
  <c r="C142" i="19"/>
  <c r="B139" i="18"/>
  <c r="B223" i="18" s="1"/>
  <c r="B140" i="18"/>
  <c r="B224" i="18" s="1"/>
  <c r="D224" i="18" s="1"/>
  <c r="B302" i="19"/>
  <c r="B300" i="19"/>
  <c r="B301" i="19"/>
  <c r="B309" i="19"/>
  <c r="B308" i="19"/>
  <c r="B150" i="18"/>
  <c r="B234" i="18" s="1"/>
  <c r="B144" i="19"/>
  <c r="K465" i="22"/>
  <c r="L465" i="22"/>
  <c r="J465" i="22"/>
  <c r="T21" i="23"/>
  <c r="H174" i="22"/>
  <c r="G174" i="22"/>
  <c r="M12" i="23"/>
  <c r="R33" i="23"/>
  <c r="G837" i="22"/>
  <c r="F837" i="22"/>
  <c r="B27" i="17"/>
  <c r="E51" i="22"/>
  <c r="N8" i="23"/>
  <c r="F51" i="22"/>
  <c r="L428" i="22"/>
  <c r="J428" i="22"/>
  <c r="O20" i="23"/>
  <c r="K428" i="22"/>
  <c r="Q20" i="23"/>
  <c r="L430" i="22"/>
  <c r="K430" i="22"/>
  <c r="J430" i="22"/>
  <c r="K397" i="22"/>
  <c r="L397" i="22"/>
  <c r="J397" i="22"/>
  <c r="P19" i="23"/>
  <c r="E42" i="18"/>
  <c r="D304" i="18"/>
  <c r="E95" i="19"/>
  <c r="E141" i="19" s="1"/>
  <c r="T9" i="23"/>
  <c r="H89" i="22"/>
  <c r="G89" i="22"/>
  <c r="B138" i="18"/>
  <c r="B222" i="18" s="1"/>
  <c r="B92" i="18"/>
  <c r="C222" i="18" s="1"/>
  <c r="M26" i="23"/>
  <c r="G609" i="22"/>
  <c r="S21" i="23"/>
  <c r="L464" i="22"/>
  <c r="K464" i="22"/>
  <c r="J464" i="22"/>
  <c r="S18" i="23"/>
  <c r="I368" i="22"/>
  <c r="H368" i="22"/>
  <c r="K427" i="22"/>
  <c r="J427" i="22"/>
  <c r="N20" i="23"/>
  <c r="L427" i="22"/>
  <c r="E55" i="22"/>
  <c r="R8" i="23"/>
  <c r="F55" i="22"/>
  <c r="J868" i="22"/>
  <c r="I868" i="22"/>
  <c r="Q34" i="23"/>
  <c r="Q18" i="23"/>
  <c r="I366" i="22"/>
  <c r="H366" i="22"/>
  <c r="F836" i="22"/>
  <c r="Q33" i="23"/>
  <c r="G836" i="22"/>
  <c r="M32" i="23"/>
  <c r="J800" i="22"/>
  <c r="I800" i="22"/>
  <c r="D316" i="18"/>
  <c r="G835" i="22"/>
  <c r="F835" i="22"/>
  <c r="P33" i="23"/>
  <c r="B144" i="18"/>
  <c r="B228" i="18" s="1"/>
  <c r="B98" i="18"/>
  <c r="C228" i="18" s="1"/>
  <c r="C141" i="18"/>
  <c r="B252" i="18" s="1"/>
  <c r="C95" i="18"/>
  <c r="C252" i="18" s="1"/>
  <c r="E49" i="22"/>
  <c r="L8" i="23"/>
  <c r="F49" i="22"/>
  <c r="N12" i="23"/>
  <c r="H175" i="22"/>
  <c r="G175" i="22"/>
  <c r="E144" i="22"/>
  <c r="O11" i="23"/>
  <c r="F144" i="22"/>
  <c r="K462" i="22"/>
  <c r="J462" i="22"/>
  <c r="Q21" i="23"/>
  <c r="L462" i="22"/>
  <c r="J461" i="22"/>
  <c r="P21" i="23"/>
  <c r="L461" i="22"/>
  <c r="K461" i="22"/>
  <c r="L12" i="23"/>
  <c r="H173" i="22"/>
  <c r="G173" i="22"/>
  <c r="S34" i="23"/>
  <c r="J870" i="22"/>
  <c r="I870" i="22"/>
  <c r="B132" i="18"/>
  <c r="B216" i="18" s="1"/>
  <c r="B86" i="18"/>
  <c r="C216" i="18" s="1"/>
  <c r="E144" i="19"/>
  <c r="E875" i="22"/>
  <c r="B190" i="19"/>
  <c r="M11" i="23"/>
  <c r="F142" i="22"/>
  <c r="E142" i="22"/>
  <c r="D318" i="18"/>
  <c r="B131" i="18"/>
  <c r="B215" i="18" s="1"/>
  <c r="B85" i="18"/>
  <c r="C215" i="18" s="1"/>
  <c r="Q26" i="23"/>
  <c r="G613" i="22"/>
  <c r="D265" i="18"/>
  <c r="B45" i="17"/>
  <c r="D137" i="18"/>
  <c r="B275" i="18" s="1"/>
  <c r="D91" i="18"/>
  <c r="C275" i="18" s="1"/>
  <c r="N30" i="23"/>
  <c r="J737" i="22"/>
  <c r="I737" i="22"/>
  <c r="O26" i="23"/>
  <c r="G611" i="22"/>
  <c r="H86" i="22"/>
  <c r="G86" i="22"/>
  <c r="Q9" i="23"/>
  <c r="F145" i="22"/>
  <c r="E145" i="22"/>
  <c r="P11" i="23"/>
  <c r="D278" i="18"/>
  <c r="D140" i="19"/>
  <c r="D152" i="18"/>
  <c r="B290" i="18" s="1"/>
  <c r="D144" i="19"/>
  <c r="G875" i="22"/>
  <c r="G877" i="22" s="1"/>
  <c r="D220" i="18"/>
  <c r="H361" i="22"/>
  <c r="L18" i="23"/>
  <c r="I361" i="22"/>
  <c r="O29" i="23"/>
  <c r="G706" i="22"/>
  <c r="F706" i="22"/>
  <c r="R26" i="23"/>
  <c r="G614" i="22"/>
  <c r="I738" i="22"/>
  <c r="O30" i="23"/>
  <c r="J738" i="22"/>
  <c r="E140" i="19"/>
  <c r="E747" i="22"/>
  <c r="L15" i="23"/>
  <c r="E91" i="18"/>
  <c r="C302" i="18" s="1"/>
  <c r="E137" i="18"/>
  <c r="B302" i="18" s="1"/>
  <c r="H179" i="22"/>
  <c r="G179" i="22"/>
  <c r="R12" i="23"/>
  <c r="J399" i="22"/>
  <c r="R19" i="23"/>
  <c r="K399" i="22"/>
  <c r="L399" i="22"/>
  <c r="H364" i="22"/>
  <c r="O18" i="23"/>
  <c r="I364" i="22"/>
  <c r="D314" i="18"/>
  <c r="B135" i="18"/>
  <c r="B219" i="18" s="1"/>
  <c r="B89" i="18"/>
  <c r="C219" i="18" s="1"/>
  <c r="D288" i="18"/>
  <c r="N32" i="23"/>
  <c r="J801" i="22"/>
  <c r="I801" i="22"/>
  <c r="J741" i="22"/>
  <c r="I741" i="22"/>
  <c r="R30" i="23"/>
  <c r="B143" i="18"/>
  <c r="B227" i="18" s="1"/>
  <c r="B97" i="18"/>
  <c r="C227" i="18" s="1"/>
  <c r="C132" i="18"/>
  <c r="B243" i="18" s="1"/>
  <c r="C86" i="18"/>
  <c r="C243" i="18" s="1"/>
  <c r="D231" i="18"/>
  <c r="R29" i="23"/>
  <c r="G709" i="22"/>
  <c r="F709" i="22"/>
  <c r="Q8" i="23"/>
  <c r="F54" i="22"/>
  <c r="E54" i="22"/>
  <c r="H177" i="22"/>
  <c r="G177" i="22"/>
  <c r="P12" i="23"/>
  <c r="L16" i="23"/>
  <c r="D221" i="18"/>
  <c r="L433" i="22"/>
  <c r="K433" i="22"/>
  <c r="J433" i="22"/>
  <c r="T20" i="23"/>
  <c r="J457" i="22"/>
  <c r="L21" i="23"/>
  <c r="L457" i="22"/>
  <c r="K457" i="22"/>
  <c r="E138" i="19"/>
  <c r="B184" i="19"/>
  <c r="C683" i="22"/>
  <c r="G610" i="22"/>
  <c r="N26" i="23"/>
  <c r="M33" i="23"/>
  <c r="G832" i="22"/>
  <c r="F832" i="22"/>
  <c r="J806" i="22"/>
  <c r="S32" i="23"/>
  <c r="I806" i="22"/>
  <c r="B35" i="17"/>
  <c r="G87" i="22"/>
  <c r="R9" i="23"/>
  <c r="H87" i="22"/>
  <c r="F52" i="22"/>
  <c r="E52" i="22"/>
  <c r="O8" i="23"/>
  <c r="T34" i="23"/>
  <c r="I871" i="22"/>
  <c r="J871" i="22"/>
  <c r="I805" i="22"/>
  <c r="R32" i="23"/>
  <c r="J805" i="22"/>
  <c r="T19" i="23"/>
  <c r="K401" i="22"/>
  <c r="L401" i="22"/>
  <c r="J401" i="22"/>
  <c r="D237" i="18"/>
  <c r="F45" i="18"/>
  <c r="D305" i="18"/>
  <c r="D313" i="18"/>
  <c r="B138" i="19"/>
  <c r="B683" i="22"/>
  <c r="B685" i="22" s="1"/>
  <c r="D96" i="19"/>
  <c r="D811" i="22" s="1"/>
  <c r="D813" i="22" s="1"/>
  <c r="D235" i="18"/>
  <c r="E142" i="19"/>
  <c r="E811" i="22"/>
  <c r="E141" i="22"/>
  <c r="L11" i="23"/>
  <c r="F141" i="22"/>
  <c r="E148" i="22"/>
  <c r="S11" i="23"/>
  <c r="F148" i="22"/>
  <c r="J459" i="22"/>
  <c r="N21" i="23"/>
  <c r="K459" i="22"/>
  <c r="L459" i="22"/>
  <c r="N18" i="23"/>
  <c r="H363" i="22"/>
  <c r="I363" i="22"/>
  <c r="H176" i="22"/>
  <c r="G176" i="22"/>
  <c r="O12" i="23"/>
  <c r="K398" i="22"/>
  <c r="L398" i="22"/>
  <c r="J398" i="22"/>
  <c r="Q19" i="23"/>
  <c r="T30" i="23"/>
  <c r="J743" i="22"/>
  <c r="I743" i="22"/>
  <c r="D217" i="18"/>
  <c r="D240" i="18"/>
  <c r="G85" i="22"/>
  <c r="P9" i="23"/>
  <c r="H85" i="22"/>
  <c r="D257" i="18"/>
  <c r="D277" i="18"/>
  <c r="D319" i="18"/>
  <c r="B129" i="18"/>
  <c r="B213" i="18" s="1"/>
  <c r="C134" i="18"/>
  <c r="B245" i="18" s="1"/>
  <c r="D238" i="18"/>
  <c r="D212" i="18"/>
  <c r="I369" i="22"/>
  <c r="T18" i="23"/>
  <c r="H369" i="22"/>
  <c r="M18" i="23"/>
  <c r="I362" i="22"/>
  <c r="H362" i="22"/>
  <c r="J458" i="22"/>
  <c r="M21" i="23"/>
  <c r="K458" i="22"/>
  <c r="L458" i="22"/>
  <c r="S33" i="23"/>
  <c r="G838" i="22"/>
  <c r="F838" i="22"/>
  <c r="I869" i="22"/>
  <c r="J869" i="22"/>
  <c r="R34" i="23"/>
  <c r="F839" i="22"/>
  <c r="T33" i="23"/>
  <c r="G839" i="22"/>
  <c r="G772" i="22"/>
  <c r="Q31" i="23"/>
  <c r="F772" i="22"/>
  <c r="B24" i="17"/>
  <c r="E56" i="22"/>
  <c r="S8" i="23"/>
  <c r="F56" i="22"/>
  <c r="F143" i="22"/>
  <c r="E143" i="22"/>
  <c r="N11" i="23"/>
  <c r="N19" i="23"/>
  <c r="K395" i="22"/>
  <c r="L395" i="22"/>
  <c r="J395" i="22"/>
  <c r="H84" i="22"/>
  <c r="O9" i="23"/>
  <c r="G84" i="22"/>
  <c r="G616" i="22"/>
  <c r="T26" i="23"/>
  <c r="K426" i="22"/>
  <c r="L426" i="22"/>
  <c r="J426" i="22"/>
  <c r="M20" i="23"/>
  <c r="G82" i="22"/>
  <c r="M9" i="23"/>
  <c r="H82" i="22"/>
  <c r="N34" i="23"/>
  <c r="I865" i="22"/>
  <c r="J865" i="22"/>
  <c r="O32" i="23"/>
  <c r="J802" i="22"/>
  <c r="I802" i="22"/>
  <c r="S19" i="23"/>
  <c r="K400" i="22"/>
  <c r="L400" i="22"/>
  <c r="J400" i="22"/>
  <c r="L396" i="22"/>
  <c r="J396" i="22"/>
  <c r="O19" i="23"/>
  <c r="K396" i="22"/>
  <c r="Q11" i="23"/>
  <c r="F146" i="22"/>
  <c r="E146" i="22"/>
  <c r="P34" i="23"/>
  <c r="J867" i="22"/>
  <c r="I867" i="22"/>
  <c r="S30" i="23"/>
  <c r="J742" i="22"/>
  <c r="I742" i="22"/>
  <c r="E143" i="19"/>
  <c r="B189" i="19"/>
  <c r="C843" i="22"/>
  <c r="T32" i="23"/>
  <c r="J807" i="22"/>
  <c r="I807" i="22"/>
  <c r="B134" i="18"/>
  <c r="B218" i="18" s="1"/>
  <c r="B88" i="18"/>
  <c r="C218" i="18" s="1"/>
  <c r="B38" i="17"/>
  <c r="B23" i="17"/>
  <c r="L9" i="23"/>
  <c r="H81" i="22"/>
  <c r="G81" i="22"/>
  <c r="H180" i="22"/>
  <c r="G180" i="22"/>
  <c r="S12" i="23"/>
  <c r="D233" i="18"/>
  <c r="H181" i="22"/>
  <c r="G181" i="22"/>
  <c r="T12" i="23"/>
  <c r="E50" i="22"/>
  <c r="M8" i="23"/>
  <c r="F50" i="22"/>
  <c r="P30" i="23"/>
  <c r="J739" i="22"/>
  <c r="I739" i="22"/>
  <c r="D306" i="18"/>
  <c r="K463" i="22"/>
  <c r="J463" i="22"/>
  <c r="R21" i="23"/>
  <c r="L463" i="22"/>
  <c r="G178" i="22"/>
  <c r="Q12" i="23"/>
  <c r="H178" i="22"/>
  <c r="C92" i="18"/>
  <c r="C249" i="18" s="1"/>
  <c r="C138" i="18"/>
  <c r="B249" i="18" s="1"/>
  <c r="P26" i="23"/>
  <c r="G612" i="22"/>
  <c r="P8" i="23"/>
  <c r="F53" i="22"/>
  <c r="E53" i="22"/>
  <c r="D276" i="18"/>
  <c r="D225" i="18"/>
  <c r="D246" i="18"/>
  <c r="C317" i="19"/>
  <c r="D250" i="18"/>
  <c r="B813" i="22"/>
  <c r="B293" i="19" l="1"/>
  <c r="B295" i="19"/>
  <c r="B312" i="19"/>
  <c r="E83" i="18"/>
  <c r="C294" i="18" s="1"/>
  <c r="E134" i="18"/>
  <c r="B299" i="18" s="1"/>
  <c r="D299" i="18" s="1"/>
  <c r="M40" i="23"/>
  <c r="G811" i="22"/>
  <c r="G813" i="22" s="1"/>
  <c r="G315" i="19"/>
  <c r="I83" i="20" s="1"/>
  <c r="B188" i="19"/>
  <c r="D142" i="19"/>
  <c r="D311" i="19" s="1"/>
  <c r="B186" i="19"/>
  <c r="G308" i="19"/>
  <c r="H131" i="21" s="1"/>
  <c r="B140" i="19"/>
  <c r="B305" i="19" s="1"/>
  <c r="G142" i="19"/>
  <c r="G312" i="19" s="1"/>
  <c r="H132" i="21"/>
  <c r="I81" i="20"/>
  <c r="G306" i="19"/>
  <c r="G304" i="19"/>
  <c r="G305" i="19"/>
  <c r="P40" i="23"/>
  <c r="D371" i="18"/>
  <c r="D359" i="18"/>
  <c r="H137" i="21"/>
  <c r="I40" i="20"/>
  <c r="D360" i="18"/>
  <c r="G302" i="19"/>
  <c r="G300" i="19"/>
  <c r="G301" i="19"/>
  <c r="G311" i="19"/>
  <c r="G318" i="19"/>
  <c r="G317" i="19"/>
  <c r="L117" i="21"/>
  <c r="D57" i="20"/>
  <c r="E117" i="21"/>
  <c r="E41" i="20"/>
  <c r="M140" i="21"/>
  <c r="D245" i="18"/>
  <c r="B297" i="19"/>
  <c r="B298" i="19"/>
  <c r="O40" i="23"/>
  <c r="E297" i="19"/>
  <c r="E298" i="19"/>
  <c r="Q40" i="23"/>
  <c r="D227" i="18"/>
  <c r="D302" i="18"/>
  <c r="H747" i="22"/>
  <c r="H749" i="22" s="1"/>
  <c r="E749" i="22"/>
  <c r="D275" i="18"/>
  <c r="E318" i="19"/>
  <c r="E317" i="19"/>
  <c r="D228" i="18"/>
  <c r="C779" i="22"/>
  <c r="B187" i="19"/>
  <c r="L132" i="21"/>
  <c r="D81" i="20"/>
  <c r="E132" i="21"/>
  <c r="D83" i="20"/>
  <c r="E138" i="21"/>
  <c r="L138" i="21"/>
  <c r="B183" i="19"/>
  <c r="C651" i="22"/>
  <c r="E715" i="22"/>
  <c r="E717" i="22" s="1"/>
  <c r="C717" i="22"/>
  <c r="F95" i="18"/>
  <c r="C333" i="18" s="1"/>
  <c r="F141" i="18"/>
  <c r="B333" i="18" s="1"/>
  <c r="D247" i="18"/>
  <c r="T40" i="23"/>
  <c r="E128" i="18"/>
  <c r="B293" i="18" s="1"/>
  <c r="E82" i="18"/>
  <c r="C293" i="18" s="1"/>
  <c r="D303" i="18"/>
  <c r="E843" i="22"/>
  <c r="E845" i="22" s="1"/>
  <c r="C845" i="22"/>
  <c r="S40" i="23"/>
  <c r="D213" i="18"/>
  <c r="H811" i="22"/>
  <c r="H813" i="22" s="1"/>
  <c r="E813" i="22"/>
  <c r="D312" i="19"/>
  <c r="F93" i="18"/>
  <c r="C331" i="18" s="1"/>
  <c r="F139" i="18"/>
  <c r="B331" i="18" s="1"/>
  <c r="D243" i="18"/>
  <c r="D317" i="19"/>
  <c r="D318" i="19"/>
  <c r="L40" i="23"/>
  <c r="D252" i="18"/>
  <c r="R40" i="23"/>
  <c r="N40" i="23"/>
  <c r="B317" i="19"/>
  <c r="B318" i="19"/>
  <c r="E124" i="21"/>
  <c r="L124" i="21"/>
  <c r="D58" i="20"/>
  <c r="D223" i="18"/>
  <c r="D232" i="18"/>
  <c r="E132" i="18"/>
  <c r="B297" i="18" s="1"/>
  <c r="E86" i="18"/>
  <c r="C297" i="18" s="1"/>
  <c r="F94" i="18"/>
  <c r="C332" i="18" s="1"/>
  <c r="F140" i="18"/>
  <c r="B332" i="18" s="1"/>
  <c r="B31" i="17"/>
  <c r="B69" i="17" s="1"/>
  <c r="D296" i="18"/>
  <c r="E118" i="21"/>
  <c r="L118" i="21"/>
  <c r="D77" i="20"/>
  <c r="D82" i="20"/>
  <c r="L135" i="21"/>
  <c r="E312" i="19"/>
  <c r="E311" i="19"/>
  <c r="D683" i="22"/>
  <c r="C685" i="22"/>
  <c r="D219" i="18"/>
  <c r="E305" i="19"/>
  <c r="E306" i="19"/>
  <c r="E304" i="19"/>
  <c r="D290" i="18"/>
  <c r="D222" i="18"/>
  <c r="D234" i="18"/>
  <c r="D36" i="20"/>
  <c r="E123" i="21"/>
  <c r="L123" i="21"/>
  <c r="C312" i="19"/>
  <c r="C311" i="19"/>
  <c r="C140" i="19"/>
  <c r="E301" i="19"/>
  <c r="E302" i="19"/>
  <c r="E300" i="19"/>
  <c r="D251" i="18"/>
  <c r="G747" i="22"/>
  <c r="G749" i="22" s="1"/>
  <c r="B749" i="22"/>
  <c r="D294" i="18"/>
  <c r="D34" i="20"/>
  <c r="E116" i="21"/>
  <c r="L116" i="21"/>
  <c r="M141" i="21"/>
  <c r="E84" i="20"/>
  <c r="L134" i="21"/>
  <c r="D39" i="20"/>
  <c r="D249" i="18"/>
  <c r="D218" i="18"/>
  <c r="E314" i="19"/>
  <c r="E315" i="19"/>
  <c r="D305" i="19"/>
  <c r="D306" i="19"/>
  <c r="D304" i="19"/>
  <c r="D215" i="18"/>
  <c r="H875" i="22"/>
  <c r="H877" i="22" s="1"/>
  <c r="E877" i="22"/>
  <c r="D216" i="18"/>
  <c r="E309" i="19"/>
  <c r="E308" i="19"/>
  <c r="E136" i="18"/>
  <c r="B301" i="18" s="1"/>
  <c r="E90" i="18"/>
  <c r="C301" i="18" s="1"/>
  <c r="D38" i="20"/>
  <c r="L131" i="21"/>
  <c r="E131" i="21"/>
  <c r="D79" i="20"/>
  <c r="L125" i="21"/>
  <c r="E125" i="21"/>
  <c r="L137" i="21"/>
  <c r="E137" i="21"/>
  <c r="D40" i="20"/>
  <c r="E137" i="19"/>
  <c r="E135" i="18"/>
  <c r="B300" i="18" s="1"/>
  <c r="E89" i="18"/>
  <c r="C300" i="18" s="1"/>
  <c r="D248" i="18"/>
  <c r="F311" i="18" l="1"/>
  <c r="H311" i="18" s="1"/>
  <c r="F299" i="18"/>
  <c r="H299" i="18" s="1"/>
  <c r="F246" i="18"/>
  <c r="H246" i="18" s="1"/>
  <c r="F263" i="18"/>
  <c r="H263" i="18" s="1"/>
  <c r="I38" i="20"/>
  <c r="F312" i="18"/>
  <c r="H312" i="18" s="1"/>
  <c r="E134" i="21"/>
  <c r="K134" i="21" s="1"/>
  <c r="H138" i="21"/>
  <c r="B306" i="19"/>
  <c r="D80" i="20" s="1"/>
  <c r="B304" i="19"/>
  <c r="D37" i="20" s="1"/>
  <c r="F315" i="18"/>
  <c r="H315" i="18" s="1"/>
  <c r="F235" i="18"/>
  <c r="H235" i="18" s="1"/>
  <c r="F353" i="18"/>
  <c r="H353" i="18" s="1"/>
  <c r="F248" i="18"/>
  <c r="H248" i="18" s="1"/>
  <c r="F349" i="18"/>
  <c r="H349" i="18" s="1"/>
  <c r="F314" i="18"/>
  <c r="H314" i="18" s="1"/>
  <c r="F372" i="18"/>
  <c r="H372" i="18" s="1"/>
  <c r="F369" i="18"/>
  <c r="H369" i="18" s="1"/>
  <c r="F360" i="18"/>
  <c r="H360" i="18" s="1"/>
  <c r="F359" i="18"/>
  <c r="H359" i="18" s="1"/>
  <c r="F371" i="18"/>
  <c r="H371" i="18" s="1"/>
  <c r="F319" i="18"/>
  <c r="H319" i="18" s="1"/>
  <c r="F241" i="18"/>
  <c r="H241" i="18" s="1"/>
  <c r="F260" i="18"/>
  <c r="H260" i="18" s="1"/>
  <c r="F255" i="18"/>
  <c r="H255" i="18" s="1"/>
  <c r="F370" i="18"/>
  <c r="H370" i="18" s="1"/>
  <c r="F373" i="18"/>
  <c r="H373" i="18" s="1"/>
  <c r="F228" i="18"/>
  <c r="H228" i="18" s="1"/>
  <c r="F358" i="18"/>
  <c r="H358" i="18" s="1"/>
  <c r="F368" i="18"/>
  <c r="H368" i="18" s="1"/>
  <c r="H135" i="21"/>
  <c r="I82" i="20"/>
  <c r="I59" i="20"/>
  <c r="H128" i="21"/>
  <c r="H140" i="21"/>
  <c r="I41" i="20"/>
  <c r="H124" i="21"/>
  <c r="I58" i="20"/>
  <c r="H127" i="21"/>
  <c r="I37" i="20"/>
  <c r="H141" i="21"/>
  <c r="I84" i="20"/>
  <c r="I36" i="20"/>
  <c r="H123" i="21"/>
  <c r="H129" i="21"/>
  <c r="I80" i="20"/>
  <c r="E135" i="21"/>
  <c r="O135" i="21" s="1"/>
  <c r="I39" i="20"/>
  <c r="H134" i="21"/>
  <c r="H125" i="21"/>
  <c r="I79" i="20"/>
  <c r="E294" i="19"/>
  <c r="E295" i="19"/>
  <c r="E293" i="19"/>
  <c r="K125" i="21"/>
  <c r="P125" i="21"/>
  <c r="O125" i="21"/>
  <c r="Q125" i="21"/>
  <c r="F301" i="18"/>
  <c r="H301" i="18" s="1"/>
  <c r="D301" i="18"/>
  <c r="F216" i="18"/>
  <c r="H216" i="18" s="1"/>
  <c r="F215" i="18"/>
  <c r="H215" i="18" s="1"/>
  <c r="F305" i="18"/>
  <c r="H305" i="18" s="1"/>
  <c r="F257" i="18"/>
  <c r="H257" i="18" s="1"/>
  <c r="F270" i="18"/>
  <c r="H270" i="18" s="1"/>
  <c r="F269" i="18"/>
  <c r="H269" i="18" s="1"/>
  <c r="F212" i="18"/>
  <c r="H212" i="18" s="1"/>
  <c r="F346" i="18"/>
  <c r="H346" i="18" s="1"/>
  <c r="F355" i="18"/>
  <c r="H355" i="18" s="1"/>
  <c r="K116" i="21"/>
  <c r="P116" i="21"/>
  <c r="O116" i="21"/>
  <c r="Q116" i="21"/>
  <c r="F214" i="18"/>
  <c r="H214" i="18" s="1"/>
  <c r="F292" i="18"/>
  <c r="H292" i="18" s="1"/>
  <c r="G36" i="20"/>
  <c r="D123" i="21"/>
  <c r="H220" i="24"/>
  <c r="C64" i="25" s="1"/>
  <c r="F123" i="21"/>
  <c r="E39" i="20"/>
  <c r="M134" i="21"/>
  <c r="X28" i="23"/>
  <c r="Y28" i="23" s="1"/>
  <c r="D685" i="22"/>
  <c r="F361" i="18"/>
  <c r="H361" i="18" s="1"/>
  <c r="F354" i="18"/>
  <c r="H354" i="18" s="1"/>
  <c r="F268" i="18"/>
  <c r="H268" i="18" s="1"/>
  <c r="F343" i="18"/>
  <c r="H343" i="18" s="1"/>
  <c r="F363" i="18"/>
  <c r="H363" i="18" s="1"/>
  <c r="O118" i="21"/>
  <c r="Q118" i="21"/>
  <c r="P118" i="21"/>
  <c r="Q124" i="21"/>
  <c r="P124" i="21"/>
  <c r="O124" i="21"/>
  <c r="F278" i="18"/>
  <c r="H278" i="18" s="1"/>
  <c r="X32" i="23"/>
  <c r="Y32" i="23" s="1"/>
  <c r="I811" i="22"/>
  <c r="I813" i="22" s="1"/>
  <c r="J811" i="22"/>
  <c r="J813" i="22" s="1"/>
  <c r="F213" i="18"/>
  <c r="H213" i="18" s="1"/>
  <c r="F356" i="18"/>
  <c r="H356" i="18" s="1"/>
  <c r="F352" i="18"/>
  <c r="H352" i="18" s="1"/>
  <c r="F345" i="18"/>
  <c r="H345" i="18" s="1"/>
  <c r="F348" i="18"/>
  <c r="H348" i="18" s="1"/>
  <c r="F303" i="18"/>
  <c r="H303" i="18" s="1"/>
  <c r="D333" i="18"/>
  <c r="F333" i="18"/>
  <c r="H333" i="18" s="1"/>
  <c r="D651" i="22"/>
  <c r="C653" i="22"/>
  <c r="F141" i="21"/>
  <c r="D141" i="21"/>
  <c r="G84" i="20"/>
  <c r="H238" i="24"/>
  <c r="B302" i="24" s="1"/>
  <c r="F288" i="18"/>
  <c r="H288" i="18" s="1"/>
  <c r="F221" i="18"/>
  <c r="H221" i="18" s="1"/>
  <c r="D78" i="20"/>
  <c r="E121" i="21"/>
  <c r="L121" i="21"/>
  <c r="F245" i="18"/>
  <c r="H245" i="18" s="1"/>
  <c r="F337" i="18"/>
  <c r="H337" i="18" s="1"/>
  <c r="F330" i="18"/>
  <c r="H330" i="18" s="1"/>
  <c r="F334" i="18"/>
  <c r="H334" i="18" s="1"/>
  <c r="F267" i="18"/>
  <c r="H267" i="18" s="1"/>
  <c r="F350" i="18"/>
  <c r="H350" i="18" s="1"/>
  <c r="F308" i="18"/>
  <c r="H308" i="18" s="1"/>
  <c r="F131" i="21"/>
  <c r="G38" i="20"/>
  <c r="D131" i="21"/>
  <c r="H228" i="24"/>
  <c r="C66" i="25" s="1"/>
  <c r="F37" i="20"/>
  <c r="N127" i="21"/>
  <c r="F365" i="18"/>
  <c r="H365" i="18" s="1"/>
  <c r="F218" i="18"/>
  <c r="H218" i="18" s="1"/>
  <c r="F249" i="18"/>
  <c r="H249" i="18" s="1"/>
  <c r="F226" i="18"/>
  <c r="H226" i="18" s="1"/>
  <c r="H222" i="24"/>
  <c r="B297" i="24" s="1"/>
  <c r="G79" i="20"/>
  <c r="F125" i="21"/>
  <c r="D125" i="21"/>
  <c r="M135" i="21"/>
  <c r="E82" i="20"/>
  <c r="F234" i="18"/>
  <c r="H234" i="18" s="1"/>
  <c r="F222" i="18"/>
  <c r="H222" i="18" s="1"/>
  <c r="F265" i="18"/>
  <c r="H265" i="18" s="1"/>
  <c r="G37" i="20"/>
  <c r="F127" i="21"/>
  <c r="F231" i="18"/>
  <c r="H231" i="18" s="1"/>
  <c r="F313" i="18"/>
  <c r="H313" i="18" s="1"/>
  <c r="F238" i="18"/>
  <c r="H238" i="18" s="1"/>
  <c r="F357" i="18"/>
  <c r="H357" i="18" s="1"/>
  <c r="F274" i="18"/>
  <c r="H274" i="18" s="1"/>
  <c r="F273" i="18"/>
  <c r="H273" i="18" s="1"/>
  <c r="F291" i="18"/>
  <c r="H291" i="18" s="1"/>
  <c r="F362" i="18"/>
  <c r="H362" i="18" s="1"/>
  <c r="F279" i="18"/>
  <c r="H279" i="18" s="1"/>
  <c r="F296" i="18"/>
  <c r="H296" i="18" s="1"/>
  <c r="L129" i="21"/>
  <c r="D332" i="18"/>
  <c r="F332" i="18"/>
  <c r="H332" i="18" s="1"/>
  <c r="D297" i="18"/>
  <c r="F297" i="18"/>
  <c r="H297" i="18" s="1"/>
  <c r="F223" i="18"/>
  <c r="H223" i="18" s="1"/>
  <c r="L141" i="21"/>
  <c r="E141" i="21"/>
  <c r="D84" i="20"/>
  <c r="F84" i="20"/>
  <c r="N141" i="21"/>
  <c r="F243" i="18"/>
  <c r="H243" i="18" s="1"/>
  <c r="N134" i="21"/>
  <c r="Q134" i="21" s="1"/>
  <c r="F39" i="20"/>
  <c r="F264" i="18"/>
  <c r="H264" i="18" s="1"/>
  <c r="F262" i="18"/>
  <c r="H262" i="18" s="1"/>
  <c r="F366" i="18"/>
  <c r="H366" i="18" s="1"/>
  <c r="F309" i="18"/>
  <c r="H309" i="18" s="1"/>
  <c r="F224" i="18"/>
  <c r="H224" i="18" s="1"/>
  <c r="J747" i="22"/>
  <c r="J749" i="22" s="1"/>
  <c r="X30" i="23"/>
  <c r="Y30" i="23" s="1"/>
  <c r="I747" i="22"/>
  <c r="I749" i="22" s="1"/>
  <c r="G78" i="20"/>
  <c r="H218" i="24"/>
  <c r="B296" i="24" s="1"/>
  <c r="E63" i="25" s="1"/>
  <c r="D121" i="21"/>
  <c r="F121" i="21"/>
  <c r="E120" i="21"/>
  <c r="D35" i="20"/>
  <c r="L120" i="21"/>
  <c r="F286" i="18"/>
  <c r="H286" i="18" s="1"/>
  <c r="F259" i="18"/>
  <c r="H259" i="18" s="1"/>
  <c r="F258" i="18"/>
  <c r="H258" i="18" s="1"/>
  <c r="F364" i="18"/>
  <c r="H364" i="18" s="1"/>
  <c r="F271" i="18"/>
  <c r="H271" i="18" s="1"/>
  <c r="K117" i="21"/>
  <c r="Q117" i="21"/>
  <c r="P117" i="21"/>
  <c r="O117" i="21"/>
  <c r="F284" i="18"/>
  <c r="H284" i="18" s="1"/>
  <c r="K137" i="21"/>
  <c r="Q137" i="21"/>
  <c r="P137" i="21"/>
  <c r="O137" i="21"/>
  <c r="F132" i="21"/>
  <c r="G81" i="20"/>
  <c r="D132" i="21"/>
  <c r="H229" i="24"/>
  <c r="B299" i="24" s="1"/>
  <c r="J875" i="22"/>
  <c r="J877" i="22" s="1"/>
  <c r="X34" i="23"/>
  <c r="Y34" i="23" s="1"/>
  <c r="I875" i="22"/>
  <c r="I877" i="22" s="1"/>
  <c r="N129" i="21"/>
  <c r="F80" i="20"/>
  <c r="F219" i="18"/>
  <c r="H219" i="18" s="1"/>
  <c r="F328" i="18"/>
  <c r="H328" i="18" s="1"/>
  <c r="F295" i="18"/>
  <c r="H295" i="18" s="1"/>
  <c r="F325" i="18"/>
  <c r="H325" i="18" s="1"/>
  <c r="F282" i="18"/>
  <c r="H282" i="18" s="1"/>
  <c r="F244" i="18"/>
  <c r="H244" i="18" s="1"/>
  <c r="F138" i="21"/>
  <c r="G83" i="20"/>
  <c r="H235" i="24"/>
  <c r="B301" i="24" s="1"/>
  <c r="D138" i="21"/>
  <c r="F251" i="18"/>
  <c r="H251" i="18" s="1"/>
  <c r="G58" i="20"/>
  <c r="D124" i="21"/>
  <c r="H221" i="24"/>
  <c r="B265" i="24" s="1"/>
  <c r="F124" i="21"/>
  <c r="F316" i="18"/>
  <c r="H316" i="18" s="1"/>
  <c r="F290" i="18"/>
  <c r="H290" i="18" s="1"/>
  <c r="G80" i="20"/>
  <c r="F129" i="21"/>
  <c r="H231" i="24"/>
  <c r="C67" i="25" s="1"/>
  <c r="F134" i="21"/>
  <c r="G39" i="20"/>
  <c r="D134" i="21"/>
  <c r="F336" i="18"/>
  <c r="H336" i="18" s="1"/>
  <c r="F287" i="18"/>
  <c r="H287" i="18" s="1"/>
  <c r="F283" i="18"/>
  <c r="H283" i="18" s="1"/>
  <c r="F253" i="18"/>
  <c r="H253" i="18" s="1"/>
  <c r="F229" i="18"/>
  <c r="H229" i="18" s="1"/>
  <c r="L128" i="21"/>
  <c r="D59" i="20"/>
  <c r="F232" i="18"/>
  <c r="H232" i="18" s="1"/>
  <c r="L140" i="21"/>
  <c r="E140" i="21"/>
  <c r="D41" i="20"/>
  <c r="F252" i="18"/>
  <c r="H252" i="18" s="1"/>
  <c r="N140" i="21"/>
  <c r="F41" i="20"/>
  <c r="F82" i="20"/>
  <c r="N135" i="21"/>
  <c r="F236" i="18"/>
  <c r="H236" i="18" s="1"/>
  <c r="F239" i="18"/>
  <c r="H239" i="18" s="1"/>
  <c r="F289" i="18"/>
  <c r="H289" i="18" s="1"/>
  <c r="F367" i="18"/>
  <c r="H367" i="18" s="1"/>
  <c r="F323" i="18"/>
  <c r="H323" i="18" s="1"/>
  <c r="F335" i="18"/>
  <c r="H335" i="18" s="1"/>
  <c r="G843" i="22"/>
  <c r="G845" i="22" s="1"/>
  <c r="F843" i="22"/>
  <c r="F845" i="22" s="1"/>
  <c r="X33" i="23"/>
  <c r="Y33" i="23" s="1"/>
  <c r="F220" i="18"/>
  <c r="H220" i="18" s="1"/>
  <c r="F230" i="18"/>
  <c r="H230" i="18" s="1"/>
  <c r="Q132" i="21"/>
  <c r="P132" i="21"/>
  <c r="O132" i="21"/>
  <c r="E779" i="22"/>
  <c r="E781" i="22" s="1"/>
  <c r="C781" i="22"/>
  <c r="F275" i="18"/>
  <c r="H275" i="18" s="1"/>
  <c r="F227" i="18"/>
  <c r="H227" i="18" s="1"/>
  <c r="G35" i="20"/>
  <c r="H217" i="24"/>
  <c r="C63" i="25" s="1"/>
  <c r="D120" i="21"/>
  <c r="F120" i="21"/>
  <c r="F240" i="18"/>
  <c r="H240" i="18" s="1"/>
  <c r="F285" i="18"/>
  <c r="H285" i="18" s="1"/>
  <c r="F320" i="18"/>
  <c r="H320" i="18" s="1"/>
  <c r="F321" i="18"/>
  <c r="H321" i="18" s="1"/>
  <c r="F281" i="18"/>
  <c r="H281" i="18" s="1"/>
  <c r="B206" i="19"/>
  <c r="C69" i="17"/>
  <c r="B168" i="18" s="1"/>
  <c r="B182" i="18" s="1"/>
  <c r="F300" i="18"/>
  <c r="H300" i="18" s="1"/>
  <c r="D300" i="18"/>
  <c r="K131" i="21"/>
  <c r="O131" i="21"/>
  <c r="Q131" i="21"/>
  <c r="P131" i="21"/>
  <c r="N128" i="21"/>
  <c r="F59" i="20"/>
  <c r="F237" i="18"/>
  <c r="H237" i="18" s="1"/>
  <c r="F217" i="18"/>
  <c r="H217" i="18" s="1"/>
  <c r="F338" i="18"/>
  <c r="H338" i="18" s="1"/>
  <c r="F326" i="18"/>
  <c r="H326" i="18" s="1"/>
  <c r="F324" i="18"/>
  <c r="H324" i="18" s="1"/>
  <c r="F339" i="18"/>
  <c r="H339" i="18" s="1"/>
  <c r="F310" i="18"/>
  <c r="H310" i="18" s="1"/>
  <c r="F137" i="21"/>
  <c r="G40" i="20"/>
  <c r="D137" i="21"/>
  <c r="H234" i="24"/>
  <c r="C68" i="25" s="1"/>
  <c r="F233" i="18"/>
  <c r="H233" i="18" s="1"/>
  <c r="F294" i="18"/>
  <c r="H294" i="18" s="1"/>
  <c r="C306" i="19"/>
  <c r="C304" i="19"/>
  <c r="D127" i="21" s="1"/>
  <c r="C305" i="19"/>
  <c r="K123" i="21"/>
  <c r="Q123" i="21"/>
  <c r="P123" i="21"/>
  <c r="O123" i="21"/>
  <c r="F304" i="18"/>
  <c r="H304" i="18" s="1"/>
  <c r="F128" i="21"/>
  <c r="G59" i="20"/>
  <c r="D135" i="21"/>
  <c r="G82" i="20"/>
  <c r="H232" i="24"/>
  <c r="B300" i="24" s="1"/>
  <c r="F135" i="21"/>
  <c r="F351" i="18"/>
  <c r="H351" i="18" s="1"/>
  <c r="F347" i="18"/>
  <c r="H347" i="18" s="1"/>
  <c r="F329" i="18"/>
  <c r="H329" i="18" s="1"/>
  <c r="F344" i="18"/>
  <c r="H344" i="18" s="1"/>
  <c r="F266" i="18"/>
  <c r="H266" i="18" s="1"/>
  <c r="F225" i="18"/>
  <c r="H225" i="18" s="1"/>
  <c r="F247" i="18"/>
  <c r="H247" i="18" s="1"/>
  <c r="F318" i="18"/>
  <c r="H318" i="18" s="1"/>
  <c r="F331" i="18"/>
  <c r="H331" i="18" s="1"/>
  <c r="D331" i="18"/>
  <c r="F261" i="18"/>
  <c r="H261" i="18" s="1"/>
  <c r="F298" i="18"/>
  <c r="H298" i="18" s="1"/>
  <c r="F272" i="18"/>
  <c r="H272" i="18" s="1"/>
  <c r="F254" i="18"/>
  <c r="H254" i="18" s="1"/>
  <c r="F322" i="18"/>
  <c r="H322" i="18" s="1"/>
  <c r="F342" i="18"/>
  <c r="H342" i="18" s="1"/>
  <c r="F317" i="18"/>
  <c r="H317" i="18" s="1"/>
  <c r="F293" i="18"/>
  <c r="H293" i="18" s="1"/>
  <c r="D293" i="18"/>
  <c r="F276" i="18"/>
  <c r="H276" i="18" s="1"/>
  <c r="F341" i="18"/>
  <c r="H341" i="18" s="1"/>
  <c r="F280" i="18"/>
  <c r="H280" i="18" s="1"/>
  <c r="F306" i="18"/>
  <c r="H306" i="18" s="1"/>
  <c r="X29" i="23"/>
  <c r="Y29" i="23" s="1"/>
  <c r="F715" i="22"/>
  <c r="F717" i="22" s="1"/>
  <c r="G715" i="22"/>
  <c r="G717" i="22" s="1"/>
  <c r="K138" i="21"/>
  <c r="Q138" i="21"/>
  <c r="P138" i="21"/>
  <c r="O138" i="21"/>
  <c r="D140" i="21"/>
  <c r="F140" i="21"/>
  <c r="G41" i="20"/>
  <c r="H237" i="24"/>
  <c r="C69" i="25" s="1"/>
  <c r="F302" i="18"/>
  <c r="H302" i="18" s="1"/>
  <c r="F277" i="18"/>
  <c r="H277" i="18" s="1"/>
  <c r="F256" i="18"/>
  <c r="H256" i="18" s="1"/>
  <c r="F242" i="18"/>
  <c r="H242" i="18" s="1"/>
  <c r="F327" i="18"/>
  <c r="H327" i="18" s="1"/>
  <c r="F307" i="18"/>
  <c r="H307" i="18" s="1"/>
  <c r="F340" i="18"/>
  <c r="H340" i="18" s="1"/>
  <c r="F250" i="18"/>
  <c r="H250" i="18" s="1"/>
  <c r="L127" i="21" l="1"/>
  <c r="P134" i="21"/>
  <c r="O134" i="21"/>
  <c r="E129" i="21"/>
  <c r="O129" i="21" s="1"/>
  <c r="L211" i="18"/>
  <c r="I340" i="18"/>
  <c r="P135" i="21"/>
  <c r="Q135" i="21"/>
  <c r="I256" i="18"/>
  <c r="E69" i="25"/>
  <c r="I341" i="18"/>
  <c r="I331" i="18"/>
  <c r="I326" i="18"/>
  <c r="I275" i="18"/>
  <c r="I229" i="18"/>
  <c r="I325" i="18"/>
  <c r="I262" i="18"/>
  <c r="I238" i="18"/>
  <c r="I308" i="18"/>
  <c r="I268" i="18"/>
  <c r="I214" i="18"/>
  <c r="I241" i="18"/>
  <c r="I369" i="18"/>
  <c r="I307" i="18"/>
  <c r="I277" i="18"/>
  <c r="I276" i="18"/>
  <c r="I342" i="18"/>
  <c r="I298" i="18"/>
  <c r="I318" i="18"/>
  <c r="I344" i="18"/>
  <c r="I310" i="18"/>
  <c r="I338" i="18"/>
  <c r="I285" i="18"/>
  <c r="I367" i="18"/>
  <c r="I252" i="18"/>
  <c r="I232" i="18"/>
  <c r="I253" i="18"/>
  <c r="I251" i="18"/>
  <c r="I295" i="18"/>
  <c r="E66" i="25"/>
  <c r="I284" i="18"/>
  <c r="I259" i="18"/>
  <c r="I224" i="18"/>
  <c r="I264" i="18"/>
  <c r="I332" i="18"/>
  <c r="I296" i="18"/>
  <c r="I273" i="18"/>
  <c r="I313" i="18"/>
  <c r="I265" i="18"/>
  <c r="E64" i="25"/>
  <c r="I365" i="18"/>
  <c r="I350" i="18"/>
  <c r="I337" i="18"/>
  <c r="I348" i="18"/>
  <c r="I213" i="18"/>
  <c r="I278" i="18"/>
  <c r="I354" i="18"/>
  <c r="I212" i="18"/>
  <c r="I373" i="18"/>
  <c r="I368" i="18"/>
  <c r="I305" i="18"/>
  <c r="I301" i="18"/>
  <c r="I371" i="18"/>
  <c r="I228" i="18"/>
  <c r="I315" i="18"/>
  <c r="I311" i="18"/>
  <c r="I260" i="18"/>
  <c r="I370" i="18"/>
  <c r="I349" i="18"/>
  <c r="I317" i="18"/>
  <c r="I351" i="18"/>
  <c r="I323" i="18"/>
  <c r="I336" i="18"/>
  <c r="I258" i="18"/>
  <c r="I291" i="18"/>
  <c r="I330" i="18"/>
  <c r="I303" i="18"/>
  <c r="I346" i="18"/>
  <c r="I372" i="18"/>
  <c r="I358" i="18"/>
  <c r="I255" i="18"/>
  <c r="I327" i="18"/>
  <c r="I302" i="18"/>
  <c r="I306" i="18"/>
  <c r="I322" i="18"/>
  <c r="I261" i="18"/>
  <c r="I247" i="18"/>
  <c r="I329" i="18"/>
  <c r="E67" i="25"/>
  <c r="I339" i="18"/>
  <c r="I217" i="18"/>
  <c r="I281" i="18"/>
  <c r="I240" i="18"/>
  <c r="I230" i="18"/>
  <c r="I289" i="18"/>
  <c r="I283" i="18"/>
  <c r="D64" i="25"/>
  <c r="I244" i="18"/>
  <c r="I328" i="18"/>
  <c r="I271" i="18"/>
  <c r="I286" i="18"/>
  <c r="I309" i="18"/>
  <c r="I223" i="18"/>
  <c r="I279" i="18"/>
  <c r="I274" i="18"/>
  <c r="I231" i="18"/>
  <c r="I222" i="18"/>
  <c r="I226" i="18"/>
  <c r="I267" i="18"/>
  <c r="I245" i="18"/>
  <c r="I221" i="18"/>
  <c r="I333" i="18"/>
  <c r="I345" i="18"/>
  <c r="I363" i="18"/>
  <c r="I361" i="18"/>
  <c r="I269" i="18"/>
  <c r="I215" i="18"/>
  <c r="J232" i="18" s="1"/>
  <c r="K232" i="18" s="1"/>
  <c r="I359" i="18"/>
  <c r="I246" i="18"/>
  <c r="I248" i="18"/>
  <c r="I319" i="18"/>
  <c r="I235" i="18"/>
  <c r="I272" i="18"/>
  <c r="I266" i="18"/>
  <c r="I233" i="18"/>
  <c r="I320" i="18"/>
  <c r="I236" i="18"/>
  <c r="I316" i="18"/>
  <c r="I243" i="18"/>
  <c r="I218" i="18"/>
  <c r="I356" i="18"/>
  <c r="I257" i="18"/>
  <c r="I314" i="18"/>
  <c r="I250" i="18"/>
  <c r="I242" i="18"/>
  <c r="I280" i="18"/>
  <c r="I293" i="18"/>
  <c r="I254" i="18"/>
  <c r="I225" i="18"/>
  <c r="I347" i="18"/>
  <c r="I304" i="18"/>
  <c r="I294" i="18"/>
  <c r="I324" i="18"/>
  <c r="I237" i="18"/>
  <c r="I300" i="18"/>
  <c r="I321" i="18"/>
  <c r="I227" i="18"/>
  <c r="I220" i="18"/>
  <c r="I335" i="18"/>
  <c r="I239" i="18"/>
  <c r="I287" i="18"/>
  <c r="I290" i="18"/>
  <c r="E68" i="25"/>
  <c r="I282" i="18"/>
  <c r="I219" i="18"/>
  <c r="I364" i="18"/>
  <c r="I366" i="18"/>
  <c r="I297" i="18"/>
  <c r="I362" i="18"/>
  <c r="I357" i="18"/>
  <c r="I234" i="18"/>
  <c r="I249" i="18"/>
  <c r="I334" i="18"/>
  <c r="I288" i="18"/>
  <c r="I352" i="18"/>
  <c r="I343" i="18"/>
  <c r="I292" i="18"/>
  <c r="I355" i="18"/>
  <c r="I270" i="18"/>
  <c r="I216" i="18"/>
  <c r="I360" i="18"/>
  <c r="I353" i="18"/>
  <c r="I299" i="18"/>
  <c r="I263" i="18"/>
  <c r="I312" i="18"/>
  <c r="I127" i="21"/>
  <c r="R127" i="21"/>
  <c r="T127" i="21"/>
  <c r="J127" i="21"/>
  <c r="S127" i="21"/>
  <c r="I140" i="21"/>
  <c r="S140" i="21"/>
  <c r="J140" i="21"/>
  <c r="R140" i="21"/>
  <c r="T140" i="21"/>
  <c r="E59" i="20"/>
  <c r="M128" i="21"/>
  <c r="E336" i="18"/>
  <c r="E335" i="18"/>
  <c r="E342" i="18"/>
  <c r="E351" i="18"/>
  <c r="E334" i="18"/>
  <c r="E226" i="18"/>
  <c r="E310" i="18"/>
  <c r="E284" i="18"/>
  <c r="E258" i="18"/>
  <c r="E230" i="18"/>
  <c r="E291" i="18"/>
  <c r="E346" i="18"/>
  <c r="E344" i="18"/>
  <c r="E243" i="18"/>
  <c r="E355" i="18"/>
  <c r="E244" i="18"/>
  <c r="E225" i="18"/>
  <c r="E359" i="18"/>
  <c r="E216" i="18"/>
  <c r="E337" i="18"/>
  <c r="E239" i="18"/>
  <c r="E264" i="18"/>
  <c r="E349" i="18"/>
  <c r="E368" i="18"/>
  <c r="E357" i="18"/>
  <c r="E366" i="18"/>
  <c r="E227" i="18"/>
  <c r="E268" i="18"/>
  <c r="E295" i="18"/>
  <c r="E222" i="18"/>
  <c r="E328" i="18"/>
  <c r="E213" i="18"/>
  <c r="E288" i="18"/>
  <c r="E348" i="18"/>
  <c r="E260" i="18"/>
  <c r="E219" i="18"/>
  <c r="E343" i="18"/>
  <c r="E373" i="18"/>
  <c r="E278" i="18"/>
  <c r="E292" i="18"/>
  <c r="E256" i="18"/>
  <c r="E347" i="18"/>
  <c r="E217" i="18"/>
  <c r="E321" i="18"/>
  <c r="E246" i="18"/>
  <c r="E323" i="18"/>
  <c r="E352" i="18"/>
  <c r="E286" i="18"/>
  <c r="E303" i="18"/>
  <c r="E276" i="18"/>
  <c r="E224" i="18"/>
  <c r="E290" i="18"/>
  <c r="E269" i="18"/>
  <c r="E322" i="18"/>
  <c r="E248" i="18"/>
  <c r="E367" i="18"/>
  <c r="E293" i="18"/>
  <c r="E253" i="18"/>
  <c r="E329" i="18"/>
  <c r="E212" i="18"/>
  <c r="E327" i="18"/>
  <c r="E236" i="18"/>
  <c r="E228" i="18"/>
  <c r="E271" i="18"/>
  <c r="E266" i="18"/>
  <c r="E277" i="18"/>
  <c r="E255" i="18"/>
  <c r="E309" i="18"/>
  <c r="E279" i="18"/>
  <c r="E326" i="18"/>
  <c r="E267" i="18"/>
  <c r="E338" i="18"/>
  <c r="E341" i="18"/>
  <c r="E250" i="18"/>
  <c r="E332" i="18"/>
  <c r="B211" i="18"/>
  <c r="K211" i="18" s="1"/>
  <c r="E245" i="18"/>
  <c r="E302" i="18"/>
  <c r="E270" i="18"/>
  <c r="E287" i="18"/>
  <c r="E360" i="18"/>
  <c r="E285" i="18"/>
  <c r="E274" i="18"/>
  <c r="E369" i="18"/>
  <c r="E301" i="18"/>
  <c r="E251" i="18"/>
  <c r="E330" i="18"/>
  <c r="E281" i="18"/>
  <c r="E218" i="18"/>
  <c r="E259" i="18"/>
  <c r="E238" i="18"/>
  <c r="E241" i="18"/>
  <c r="E320" i="18"/>
  <c r="E361" i="18"/>
  <c r="E370" i="18"/>
  <c r="E220" i="18"/>
  <c r="E273" i="18"/>
  <c r="E294" i="18"/>
  <c r="E242" i="18"/>
  <c r="E339" i="18"/>
  <c r="E296" i="18"/>
  <c r="E350" i="18"/>
  <c r="E299" i="18"/>
  <c r="E249" i="18"/>
  <c r="E254" i="18"/>
  <c r="E233" i="18"/>
  <c r="E215" i="18"/>
  <c r="E354" i="18"/>
  <c r="E300" i="18"/>
  <c r="E275" i="18"/>
  <c r="E311" i="18"/>
  <c r="E272" i="18"/>
  <c r="E237" i="18"/>
  <c r="E247" i="18"/>
  <c r="E234" i="18"/>
  <c r="E340" i="18"/>
  <c r="E364" i="18"/>
  <c r="E307" i="18"/>
  <c r="E223" i="18"/>
  <c r="E232" i="18"/>
  <c r="E280" i="18"/>
  <c r="E265" i="18"/>
  <c r="E282" i="18"/>
  <c r="E257" i="18"/>
  <c r="E240" i="18"/>
  <c r="E229" i="18"/>
  <c r="E298" i="18"/>
  <c r="E261" i="18"/>
  <c r="E252" i="18"/>
  <c r="E308" i="18"/>
  <c r="E297" i="18"/>
  <c r="E214" i="18"/>
  <c r="E324" i="18"/>
  <c r="E353" i="18"/>
  <c r="E262" i="18"/>
  <c r="E365" i="18"/>
  <c r="E362" i="18"/>
  <c r="E358" i="18"/>
  <c r="E363" i="18"/>
  <c r="E325" i="18"/>
  <c r="E372" i="18"/>
  <c r="E345" i="18"/>
  <c r="E283" i="18"/>
  <c r="E235" i="18"/>
  <c r="E221" i="18"/>
  <c r="E289" i="18"/>
  <c r="E356" i="18"/>
  <c r="E263" i="18"/>
  <c r="E231" i="18"/>
  <c r="E371" i="18"/>
  <c r="E315" i="18"/>
  <c r="E316" i="18"/>
  <c r="E318" i="18"/>
  <c r="E306" i="18"/>
  <c r="E304" i="18"/>
  <c r="E317" i="18"/>
  <c r="E305" i="18"/>
  <c r="E319" i="18"/>
  <c r="E313" i="18"/>
  <c r="E314" i="18"/>
  <c r="E312" i="18"/>
  <c r="S120" i="21"/>
  <c r="R120" i="21"/>
  <c r="T120" i="21"/>
  <c r="D129" i="21"/>
  <c r="P120" i="21"/>
  <c r="O120" i="21"/>
  <c r="Q120" i="21"/>
  <c r="Q141" i="21"/>
  <c r="P141" i="21"/>
  <c r="O141" i="21"/>
  <c r="I131" i="21"/>
  <c r="T131" i="21"/>
  <c r="J131" i="21"/>
  <c r="S131" i="21"/>
  <c r="R131" i="21"/>
  <c r="E651" i="22"/>
  <c r="E653" i="22" s="1"/>
  <c r="X27" i="23"/>
  <c r="Y27" i="23" s="1"/>
  <c r="F651" i="22"/>
  <c r="F653" i="22" s="1"/>
  <c r="D653" i="22"/>
  <c r="E331" i="18"/>
  <c r="J239" i="18"/>
  <c r="K239" i="18" s="1"/>
  <c r="J240" i="18"/>
  <c r="K240" i="18" s="1"/>
  <c r="E37" i="20"/>
  <c r="M127" i="21"/>
  <c r="I138" i="21"/>
  <c r="T138" i="21"/>
  <c r="S138" i="21"/>
  <c r="R138" i="21"/>
  <c r="T132" i="21"/>
  <c r="S132" i="21"/>
  <c r="R132" i="21"/>
  <c r="E333" i="18"/>
  <c r="I125" i="21"/>
  <c r="S125" i="21"/>
  <c r="R125" i="21"/>
  <c r="T125" i="21"/>
  <c r="S141" i="21"/>
  <c r="T141" i="21"/>
  <c r="R141" i="21"/>
  <c r="E127" i="21"/>
  <c r="F116" i="21"/>
  <c r="G34" i="20"/>
  <c r="H213" i="24"/>
  <c r="C62" i="25" s="1"/>
  <c r="D116" i="21"/>
  <c r="T135" i="21"/>
  <c r="S135" i="21"/>
  <c r="R135" i="21"/>
  <c r="H225" i="24"/>
  <c r="B266" i="24" s="1"/>
  <c r="M129" i="21"/>
  <c r="E80" i="20"/>
  <c r="R137" i="21"/>
  <c r="T137" i="21"/>
  <c r="I137" i="21"/>
  <c r="S137" i="21"/>
  <c r="J137" i="21"/>
  <c r="F779" i="22"/>
  <c r="F781" i="22" s="1"/>
  <c r="G779" i="22"/>
  <c r="G781" i="22" s="1"/>
  <c r="X31" i="23"/>
  <c r="Y31" i="23" s="1"/>
  <c r="S134" i="21"/>
  <c r="T134" i="21"/>
  <c r="R134" i="21"/>
  <c r="J134" i="21"/>
  <c r="I134" i="21"/>
  <c r="T124" i="21"/>
  <c r="R124" i="21"/>
  <c r="S124" i="21"/>
  <c r="R121" i="21"/>
  <c r="T121" i="21"/>
  <c r="S121" i="21"/>
  <c r="H224" i="24"/>
  <c r="C65" i="25" s="1"/>
  <c r="J123" i="21"/>
  <c r="S123" i="21"/>
  <c r="I123" i="21"/>
  <c r="R123" i="21"/>
  <c r="T123" i="21"/>
  <c r="H215" i="24"/>
  <c r="B295" i="24" s="1"/>
  <c r="F118" i="21"/>
  <c r="D118" i="21"/>
  <c r="G77" i="20"/>
  <c r="D128" i="21"/>
  <c r="K140" i="21"/>
  <c r="Q140" i="21"/>
  <c r="P140" i="21"/>
  <c r="O140" i="21"/>
  <c r="E128" i="21"/>
  <c r="H226" i="24"/>
  <c r="B298" i="24" s="1"/>
  <c r="E65" i="25" s="1"/>
  <c r="P121" i="21"/>
  <c r="O121" i="21"/>
  <c r="Q121" i="21"/>
  <c r="H214" i="24"/>
  <c r="B263" i="24" s="1"/>
  <c r="D117" i="21"/>
  <c r="G57" i="20"/>
  <c r="F117" i="21"/>
  <c r="P129" i="21" l="1"/>
  <c r="Q129" i="21"/>
  <c r="J247" i="18"/>
  <c r="K247" i="18" s="1"/>
  <c r="E62" i="25"/>
  <c r="J359" i="18"/>
  <c r="K359" i="18" s="1"/>
  <c r="J303" i="18"/>
  <c r="K303" i="18" s="1"/>
  <c r="J277" i="18"/>
  <c r="K277" i="18" s="1"/>
  <c r="J229" i="18"/>
  <c r="K229" i="18" s="1"/>
  <c r="J316" i="18"/>
  <c r="K316" i="18" s="1"/>
  <c r="J214" i="18"/>
  <c r="K214" i="18" s="1"/>
  <c r="J220" i="18"/>
  <c r="K220" i="18" s="1"/>
  <c r="J295" i="18"/>
  <c r="K295" i="18" s="1"/>
  <c r="J236" i="18"/>
  <c r="K236" i="18" s="1"/>
  <c r="J215" i="18"/>
  <c r="K215" i="18" s="1"/>
  <c r="J248" i="18"/>
  <c r="K248" i="18" s="1"/>
  <c r="J296" i="18"/>
  <c r="K296" i="18" s="1"/>
  <c r="J350" i="18"/>
  <c r="K350" i="18" s="1"/>
  <c r="J302" i="18"/>
  <c r="K302" i="18" s="1"/>
  <c r="J235" i="18"/>
  <c r="K235" i="18" s="1"/>
  <c r="J274" i="18"/>
  <c r="K274" i="18" s="1"/>
  <c r="J212" i="18"/>
  <c r="K212" i="18" s="1"/>
  <c r="J301" i="18"/>
  <c r="K301" i="18" s="1"/>
  <c r="J341" i="18"/>
  <c r="K341" i="18" s="1"/>
  <c r="J254" i="18"/>
  <c r="K254" i="18" s="1"/>
  <c r="J352" i="18"/>
  <c r="K352" i="18" s="1"/>
  <c r="J267" i="18"/>
  <c r="K267" i="18" s="1"/>
  <c r="J323" i="18"/>
  <c r="K323" i="18" s="1"/>
  <c r="J311" i="18"/>
  <c r="K311" i="18" s="1"/>
  <c r="J249" i="18"/>
  <c r="K249" i="18" s="1"/>
  <c r="J351" i="18"/>
  <c r="K351" i="18" s="1"/>
  <c r="J257" i="18"/>
  <c r="K257" i="18" s="1"/>
  <c r="J307" i="18"/>
  <c r="K307" i="18" s="1"/>
  <c r="J308" i="18"/>
  <c r="K308" i="18" s="1"/>
  <c r="J330" i="18"/>
  <c r="K330" i="18" s="1"/>
  <c r="J256" i="18"/>
  <c r="K256" i="18" s="1"/>
  <c r="J346" i="18"/>
  <c r="K346" i="18" s="1"/>
  <c r="J337" i="18"/>
  <c r="K337" i="18" s="1"/>
  <c r="J342" i="18"/>
  <c r="K342" i="18" s="1"/>
  <c r="J313" i="18"/>
  <c r="K313" i="18" s="1"/>
  <c r="J255" i="18"/>
  <c r="K255" i="18" s="1"/>
  <c r="J333" i="18"/>
  <c r="K333" i="18" s="1"/>
  <c r="J368" i="18"/>
  <c r="K368" i="18" s="1"/>
  <c r="D62" i="25"/>
  <c r="J344" i="18"/>
  <c r="K344" i="18" s="1"/>
  <c r="J339" i="18"/>
  <c r="K339" i="18" s="1"/>
  <c r="J371" i="18"/>
  <c r="K371" i="18" s="1"/>
  <c r="J246" i="18"/>
  <c r="K246" i="18" s="1"/>
  <c r="J305" i="18"/>
  <c r="K305" i="18" s="1"/>
  <c r="J221" i="18"/>
  <c r="K221" i="18" s="1"/>
  <c r="J216" i="18"/>
  <c r="K216" i="18" s="1"/>
  <c r="J315" i="18"/>
  <c r="K315" i="18" s="1"/>
  <c r="J261" i="18"/>
  <c r="K261" i="18" s="1"/>
  <c r="J223" i="18"/>
  <c r="K223" i="18" s="1"/>
  <c r="J282" i="18"/>
  <c r="K282" i="18" s="1"/>
  <c r="J224" i="18"/>
  <c r="K224" i="18" s="1"/>
  <c r="J317" i="18"/>
  <c r="K317" i="18" s="1"/>
  <c r="J345" i="18"/>
  <c r="K345" i="18" s="1"/>
  <c r="J292" i="18"/>
  <c r="K292" i="18" s="1"/>
  <c r="J367" i="18"/>
  <c r="K367" i="18" s="1"/>
  <c r="J328" i="18"/>
  <c r="K328" i="18" s="1"/>
  <c r="J283" i="18"/>
  <c r="K283" i="18" s="1"/>
  <c r="J362" i="18"/>
  <c r="K362" i="18" s="1"/>
  <c r="J279" i="18"/>
  <c r="K279" i="18" s="1"/>
  <c r="J269" i="18"/>
  <c r="K269" i="18" s="1"/>
  <c r="J271" i="18"/>
  <c r="K271" i="18" s="1"/>
  <c r="J272" i="18"/>
  <c r="K272" i="18" s="1"/>
  <c r="J281" i="18"/>
  <c r="K281" i="18" s="1"/>
  <c r="J244" i="18"/>
  <c r="K244" i="18" s="1"/>
  <c r="J360" i="18"/>
  <c r="K360" i="18" s="1"/>
  <c r="J335" i="18"/>
  <c r="K335" i="18" s="1"/>
  <c r="J259" i="18"/>
  <c r="K259" i="18" s="1"/>
  <c r="J320" i="18"/>
  <c r="K320" i="18" s="1"/>
  <c r="J370" i="18"/>
  <c r="K370" i="18" s="1"/>
  <c r="J369" i="18"/>
  <c r="K369" i="18" s="1"/>
  <c r="J372" i="18"/>
  <c r="K372" i="18" s="1"/>
  <c r="J266" i="18"/>
  <c r="K266" i="18" s="1"/>
  <c r="J252" i="18"/>
  <c r="K252" i="18" s="1"/>
  <c r="J358" i="18"/>
  <c r="K358" i="18" s="1"/>
  <c r="J357" i="18"/>
  <c r="K357" i="18" s="1"/>
  <c r="J291" i="18"/>
  <c r="K291" i="18" s="1"/>
  <c r="J230" i="18"/>
  <c r="K230" i="18" s="1"/>
  <c r="J340" i="18"/>
  <c r="K340" i="18" s="1"/>
  <c r="J327" i="18"/>
  <c r="K327" i="18" s="1"/>
  <c r="J318" i="18"/>
  <c r="K318" i="18" s="1"/>
  <c r="M211" i="18"/>
  <c r="M212" i="18" s="1"/>
  <c r="J273" i="18"/>
  <c r="K273" i="18" s="1"/>
  <c r="J218" i="18"/>
  <c r="K218" i="18" s="1"/>
  <c r="J225" i="18"/>
  <c r="K225" i="18" s="1"/>
  <c r="J354" i="18"/>
  <c r="K354" i="18" s="1"/>
  <c r="J324" i="18"/>
  <c r="K324" i="18" s="1"/>
  <c r="J287" i="18"/>
  <c r="K287" i="18" s="1"/>
  <c r="J233" i="18"/>
  <c r="K233" i="18" s="1"/>
  <c r="J231" i="18"/>
  <c r="K231" i="18" s="1"/>
  <c r="J234" i="18"/>
  <c r="K234" i="18" s="1"/>
  <c r="J322" i="18"/>
  <c r="K322" i="18" s="1"/>
  <c r="J306" i="18"/>
  <c r="K306" i="18" s="1"/>
  <c r="J237" i="18"/>
  <c r="K237" i="18" s="1"/>
  <c r="J227" i="18"/>
  <c r="K227" i="18" s="1"/>
  <c r="J329" i="18"/>
  <c r="K329" i="18" s="1"/>
  <c r="J289" i="18"/>
  <c r="K289" i="18" s="1"/>
  <c r="J326" i="18"/>
  <c r="K326" i="18" s="1"/>
  <c r="J242" i="18"/>
  <c r="K242" i="18" s="1"/>
  <c r="J213" i="18"/>
  <c r="K213" i="18" s="1"/>
  <c r="J331" i="18"/>
  <c r="K331" i="18" s="1"/>
  <c r="J243" i="18"/>
  <c r="K243" i="18" s="1"/>
  <c r="J373" i="18"/>
  <c r="K373" i="18" s="1"/>
  <c r="J347" i="18"/>
  <c r="K347" i="18" s="1"/>
  <c r="J348" i="18"/>
  <c r="K348" i="18" s="1"/>
  <c r="J310" i="18"/>
  <c r="K310" i="18" s="1"/>
  <c r="J270" i="18"/>
  <c r="K270" i="18" s="1"/>
  <c r="J260" i="18"/>
  <c r="K260" i="18" s="1"/>
  <c r="J332" i="18"/>
  <c r="K332" i="18" s="1"/>
  <c r="J319" i="18"/>
  <c r="K319" i="18" s="1"/>
  <c r="J219" i="18"/>
  <c r="K219" i="18" s="1"/>
  <c r="J245" i="18"/>
  <c r="K245" i="18" s="1"/>
  <c r="J336" i="18"/>
  <c r="K336" i="18" s="1"/>
  <c r="J349" i="18"/>
  <c r="K349" i="18" s="1"/>
  <c r="J355" i="18"/>
  <c r="K355" i="18" s="1"/>
  <c r="J262" i="18"/>
  <c r="K262" i="18" s="1"/>
  <c r="J280" i="18"/>
  <c r="K280" i="18" s="1"/>
  <c r="J294" i="18"/>
  <c r="K294" i="18" s="1"/>
  <c r="J293" i="18"/>
  <c r="K293" i="18" s="1"/>
  <c r="J312" i="18"/>
  <c r="K312" i="18" s="1"/>
  <c r="J268" i="18"/>
  <c r="K268" i="18" s="1"/>
  <c r="J361" i="18"/>
  <c r="K361" i="18" s="1"/>
  <c r="D65" i="25"/>
  <c r="J285" i="18"/>
  <c r="K285" i="18" s="1"/>
  <c r="J334" i="18"/>
  <c r="K334" i="18" s="1"/>
  <c r="J297" i="18"/>
  <c r="K297" i="18" s="1"/>
  <c r="J364" i="18"/>
  <c r="K364" i="18" s="1"/>
  <c r="J300" i="18"/>
  <c r="K300" i="18" s="1"/>
  <c r="J365" i="18"/>
  <c r="K365" i="18" s="1"/>
  <c r="J264" i="18"/>
  <c r="K264" i="18" s="1"/>
  <c r="J217" i="18"/>
  <c r="K217" i="18" s="1"/>
  <c r="J299" i="18"/>
  <c r="K299" i="18" s="1"/>
  <c r="J228" i="18"/>
  <c r="K228" i="18" s="1"/>
  <c r="J366" i="18"/>
  <c r="K366" i="18" s="1"/>
  <c r="J309" i="18"/>
  <c r="K309" i="18" s="1"/>
  <c r="J276" i="18"/>
  <c r="K276" i="18" s="1"/>
  <c r="J284" i="18"/>
  <c r="K284" i="18" s="1"/>
  <c r="J304" i="18"/>
  <c r="K304" i="18" s="1"/>
  <c r="J250" i="18"/>
  <c r="K250" i="18" s="1"/>
  <c r="J338" i="18"/>
  <c r="K338" i="18" s="1"/>
  <c r="J343" i="18"/>
  <c r="K343" i="18" s="1"/>
  <c r="J265" i="18"/>
  <c r="K265" i="18" s="1"/>
  <c r="J290" i="18"/>
  <c r="K290" i="18" s="1"/>
  <c r="J325" i="18"/>
  <c r="K325" i="18" s="1"/>
  <c r="J241" i="18"/>
  <c r="K241" i="18" s="1"/>
  <c r="J278" i="18"/>
  <c r="K278" i="18" s="1"/>
  <c r="J356" i="18"/>
  <c r="K356" i="18" s="1"/>
  <c r="J286" i="18"/>
  <c r="K286" i="18" s="1"/>
  <c r="J363" i="18"/>
  <c r="K363" i="18" s="1"/>
  <c r="J321" i="18"/>
  <c r="K321" i="18" s="1"/>
  <c r="J263" i="18"/>
  <c r="K263" i="18" s="1"/>
  <c r="J251" i="18"/>
  <c r="K251" i="18" s="1"/>
  <c r="J258" i="18"/>
  <c r="K258" i="18" s="1"/>
  <c r="J314" i="18"/>
  <c r="K314" i="18" s="1"/>
  <c r="J298" i="18"/>
  <c r="K298" i="18" s="1"/>
  <c r="J288" i="18"/>
  <c r="K288" i="18" s="1"/>
  <c r="J222" i="18"/>
  <c r="K222" i="18" s="1"/>
  <c r="J226" i="18"/>
  <c r="K226" i="18" s="1"/>
  <c r="J353" i="18"/>
  <c r="K353" i="18" s="1"/>
  <c r="J253" i="18"/>
  <c r="K253" i="18" s="1"/>
  <c r="J275" i="18"/>
  <c r="K275" i="18" s="1"/>
  <c r="J238" i="18"/>
  <c r="K238" i="18" s="1"/>
  <c r="O128" i="21"/>
  <c r="P128" i="21"/>
  <c r="Q128" i="21"/>
  <c r="T117" i="21"/>
  <c r="S117" i="21"/>
  <c r="R117" i="21"/>
  <c r="I117" i="21"/>
  <c r="R118" i="21"/>
  <c r="S118" i="21"/>
  <c r="T118" i="21"/>
  <c r="L212" i="18"/>
  <c r="R128" i="21"/>
  <c r="T128" i="21"/>
  <c r="S128" i="21"/>
  <c r="J116" i="21"/>
  <c r="S116" i="21"/>
  <c r="R116" i="21"/>
  <c r="I116" i="21"/>
  <c r="T116" i="21"/>
  <c r="K127" i="21"/>
  <c r="P127" i="21"/>
  <c r="Q127" i="21"/>
  <c r="O127" i="21"/>
  <c r="T129" i="21"/>
  <c r="S129" i="21"/>
  <c r="R129" i="21"/>
  <c r="L213" i="18" l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N212" i="18"/>
  <c r="M213" i="18"/>
  <c r="M214" i="18" l="1"/>
  <c r="M215" i="18" s="1"/>
  <c r="N213" i="18"/>
  <c r="N215" i="18" l="1"/>
  <c r="M216" i="18"/>
  <c r="N214" i="18"/>
  <c r="M217" i="18" l="1"/>
  <c r="M218" i="18" s="1"/>
  <c r="N216" i="18"/>
  <c r="N217" i="18" l="1"/>
  <c r="N218" i="18"/>
  <c r="M219" i="18"/>
  <c r="N219" i="18" l="1"/>
  <c r="M220" i="18"/>
  <c r="N220" i="18" s="1"/>
  <c r="M221" i="18" l="1"/>
  <c r="N221" i="18" s="1"/>
  <c r="M222" i="18" l="1"/>
  <c r="N222" i="18" s="1"/>
  <c r="M223" i="18" l="1"/>
  <c r="N223" i="18" s="1"/>
  <c r="M224" i="18" l="1"/>
  <c r="M225" i="18" s="1"/>
  <c r="N224" i="18" l="1"/>
  <c r="N225" i="18"/>
  <c r="M226" i="18"/>
  <c r="M227" i="18" s="1"/>
  <c r="N226" i="18" l="1"/>
  <c r="N227" i="18"/>
  <c r="M228" i="18"/>
  <c r="N228" i="18" l="1"/>
  <c r="M229" i="18"/>
  <c r="N229" i="18" s="1"/>
  <c r="M230" i="18" l="1"/>
  <c r="N230" i="18" s="1"/>
  <c r="M231" i="18" l="1"/>
  <c r="N231" i="18" s="1"/>
  <c r="M232" i="18" l="1"/>
  <c r="M233" i="18" s="1"/>
  <c r="N233" i="18" l="1"/>
  <c r="M234" i="18"/>
  <c r="M235" i="18" s="1"/>
  <c r="N232" i="18"/>
  <c r="N234" i="18" l="1"/>
  <c r="N235" i="18"/>
  <c r="M236" i="18"/>
  <c r="M237" i="18" l="1"/>
  <c r="N237" i="18" s="1"/>
  <c r="N236" i="18"/>
  <c r="M238" i="18" l="1"/>
  <c r="N238" i="18" s="1"/>
  <c r="M239" i="18" l="1"/>
  <c r="N239" i="18"/>
  <c r="M240" i="18" l="1"/>
  <c r="N240" i="18" s="1"/>
  <c r="M241" i="18" l="1"/>
  <c r="N241" i="18" s="1"/>
  <c r="M242" i="18" l="1"/>
  <c r="M243" i="18" l="1"/>
  <c r="N243" i="18" s="1"/>
  <c r="N242" i="18"/>
  <c r="M244" i="18" l="1"/>
  <c r="N244" i="18" s="1"/>
  <c r="M245" i="18" l="1"/>
  <c r="N245" i="18" s="1"/>
  <c r="M246" i="18" l="1"/>
  <c r="N246" i="18" s="1"/>
  <c r="M247" i="18" l="1"/>
  <c r="N247" i="18" s="1"/>
  <c r="M248" i="18" l="1"/>
  <c r="M249" i="18" l="1"/>
  <c r="N249" i="18" s="1"/>
  <c r="N248" i="18"/>
  <c r="M250" i="18" l="1"/>
  <c r="M251" i="18" s="1"/>
  <c r="N250" i="18"/>
  <c r="N251" i="18" l="1"/>
  <c r="M252" i="18"/>
  <c r="N252" i="18" s="1"/>
  <c r="M253" i="18" l="1"/>
  <c r="N253" i="18"/>
  <c r="M254" i="18" l="1"/>
  <c r="M255" i="18" l="1"/>
  <c r="N255" i="18" s="1"/>
  <c r="N254" i="18"/>
  <c r="M256" i="18" l="1"/>
  <c r="M257" i="18" l="1"/>
  <c r="N257" i="18" s="1"/>
  <c r="N256" i="18"/>
  <c r="M258" i="18" l="1"/>
  <c r="N258" i="18" s="1"/>
  <c r="M259" i="18" l="1"/>
  <c r="M260" i="18" l="1"/>
  <c r="N260" i="18" s="1"/>
  <c r="N259" i="18"/>
  <c r="M261" i="18" l="1"/>
  <c r="M262" i="18" l="1"/>
  <c r="N262" i="18" s="1"/>
  <c r="N261" i="18"/>
  <c r="M263" i="18" l="1"/>
  <c r="N263" i="18" s="1"/>
  <c r="M264" i="18" l="1"/>
  <c r="M265" i="18" l="1"/>
  <c r="N265" i="18" s="1"/>
  <c r="N264" i="18"/>
  <c r="M266" i="18" l="1"/>
  <c r="M267" i="18" l="1"/>
  <c r="N267" i="18" s="1"/>
  <c r="N266" i="18"/>
  <c r="M268" i="18" l="1"/>
  <c r="N268" i="18"/>
  <c r="M269" i="18" l="1"/>
  <c r="M270" i="18" l="1"/>
  <c r="N270" i="18"/>
  <c r="N269" i="18"/>
  <c r="M271" i="18" l="1"/>
  <c r="M272" i="18" l="1"/>
  <c r="N272" i="18" s="1"/>
  <c r="N271" i="18"/>
  <c r="M273" i="18" l="1"/>
  <c r="M274" i="18" s="1"/>
  <c r="N273" i="18"/>
  <c r="N274" i="18" l="1"/>
  <c r="M275" i="18"/>
  <c r="N275" i="18" s="1"/>
  <c r="M276" i="18" l="1"/>
  <c r="M277" i="18" l="1"/>
  <c r="N277" i="18" s="1"/>
  <c r="N276" i="18"/>
  <c r="M278" i="18" l="1"/>
  <c r="M279" i="18" l="1"/>
  <c r="N279" i="18" s="1"/>
  <c r="N278" i="18"/>
  <c r="M280" i="18" l="1"/>
  <c r="M281" i="18" l="1"/>
  <c r="N281" i="18" s="1"/>
  <c r="N280" i="18"/>
  <c r="M282" i="18" l="1"/>
  <c r="M283" i="18" l="1"/>
  <c r="N283" i="18" s="1"/>
  <c r="N282" i="18"/>
  <c r="M284" i="18" l="1"/>
  <c r="N284" i="18"/>
  <c r="M285" i="18" l="1"/>
  <c r="N285" i="18" s="1"/>
  <c r="M286" i="18" l="1"/>
  <c r="N286" i="18"/>
  <c r="M287" i="18" l="1"/>
  <c r="N287" i="18"/>
  <c r="M288" i="18" l="1"/>
  <c r="N288" i="18" s="1"/>
  <c r="M289" i="18" l="1"/>
  <c r="N289" i="18"/>
  <c r="M290" i="18" l="1"/>
  <c r="N290" i="18"/>
  <c r="M291" i="18" l="1"/>
  <c r="N291" i="18"/>
  <c r="M292" i="18" l="1"/>
  <c r="N292" i="18"/>
  <c r="M293" i="18" l="1"/>
  <c r="N293" i="18" s="1"/>
  <c r="M294" i="18" l="1"/>
  <c r="N294" i="18"/>
  <c r="M295" i="18" l="1"/>
  <c r="N295" i="18"/>
  <c r="M296" i="18" l="1"/>
  <c r="N296" i="18"/>
  <c r="M297" i="18" l="1"/>
  <c r="N297" i="18"/>
  <c r="M298" i="18" l="1"/>
  <c r="N298" i="18"/>
  <c r="M299" i="18" l="1"/>
  <c r="N299" i="18"/>
  <c r="M300" i="18" l="1"/>
  <c r="N300" i="18"/>
  <c r="M301" i="18" l="1"/>
  <c r="N301" i="18" s="1"/>
  <c r="M302" i="18" l="1"/>
  <c r="N302" i="18"/>
  <c r="M303" i="18" l="1"/>
  <c r="N303" i="18"/>
  <c r="M304" i="18" l="1"/>
  <c r="N304" i="18"/>
  <c r="M305" i="18" l="1"/>
  <c r="N305" i="18" s="1"/>
  <c r="M306" i="18" l="1"/>
  <c r="N306" i="18" s="1"/>
  <c r="M307" i="18" l="1"/>
  <c r="N307" i="18"/>
  <c r="M308" i="18" l="1"/>
  <c r="N308" i="18" s="1"/>
  <c r="M309" i="18" l="1"/>
  <c r="N309" i="18"/>
  <c r="M310" i="18" l="1"/>
  <c r="N310" i="18"/>
  <c r="M311" i="18" l="1"/>
  <c r="N311" i="18" s="1"/>
  <c r="M312" i="18" l="1"/>
  <c r="N312" i="18"/>
  <c r="M313" i="18" l="1"/>
  <c r="N313" i="18"/>
  <c r="M314" i="18" l="1"/>
  <c r="N314" i="18" s="1"/>
  <c r="M315" i="18" l="1"/>
  <c r="N315" i="18"/>
  <c r="M316" i="18" l="1"/>
  <c r="N316" i="18" s="1"/>
  <c r="M317" i="18" l="1"/>
  <c r="N317" i="18" s="1"/>
  <c r="M318" i="18" l="1"/>
  <c r="N318" i="18"/>
  <c r="M319" i="18" l="1"/>
  <c r="N319" i="18"/>
  <c r="M320" i="18" l="1"/>
  <c r="N320" i="18"/>
  <c r="M321" i="18" l="1"/>
  <c r="N321" i="18" s="1"/>
  <c r="M322" i="18" l="1"/>
  <c r="N322" i="18"/>
  <c r="M323" i="18" l="1"/>
  <c r="N323" i="18"/>
  <c r="M324" i="18" l="1"/>
  <c r="N324" i="18"/>
  <c r="M325" i="18" l="1"/>
  <c r="N325" i="18"/>
  <c r="M326" i="18" l="1"/>
  <c r="N326" i="18"/>
  <c r="M327" i="18" l="1"/>
  <c r="N327" i="18"/>
  <c r="M328" i="18" l="1"/>
  <c r="N328" i="18"/>
  <c r="M329" i="18" l="1"/>
  <c r="N329" i="18"/>
  <c r="M330" i="18" l="1"/>
  <c r="N330" i="18" s="1"/>
  <c r="M331" i="18" l="1"/>
  <c r="N331" i="18"/>
  <c r="M332" i="18" l="1"/>
  <c r="N332" i="18"/>
  <c r="M333" i="18" l="1"/>
  <c r="N333" i="18"/>
  <c r="M334" i="18" l="1"/>
  <c r="N334" i="18"/>
  <c r="M335" i="18" l="1"/>
  <c r="N335" i="18"/>
  <c r="M336" i="18" l="1"/>
  <c r="N336" i="18" s="1"/>
  <c r="M337" i="18" l="1"/>
  <c r="N337" i="18"/>
  <c r="M338" i="18" l="1"/>
  <c r="N338" i="18" s="1"/>
  <c r="M339" i="18" l="1"/>
  <c r="N339" i="18"/>
  <c r="M340" i="18" l="1"/>
  <c r="N340" i="18"/>
  <c r="M341" i="18" l="1"/>
  <c r="N341" i="18"/>
  <c r="M342" i="18" l="1"/>
  <c r="N342" i="18"/>
  <c r="M343" i="18" l="1"/>
  <c r="N343" i="18"/>
  <c r="M344" i="18" l="1"/>
  <c r="N344" i="18" s="1"/>
  <c r="M345" i="18" l="1"/>
  <c r="N345" i="18" s="1"/>
  <c r="M346" i="18" l="1"/>
  <c r="N346" i="18" s="1"/>
  <c r="M347" i="18" l="1"/>
  <c r="N347" i="18" s="1"/>
  <c r="M348" i="18" l="1"/>
  <c r="N348" i="18" s="1"/>
  <c r="M349" i="18" l="1"/>
  <c r="N349" i="18"/>
  <c r="M350" i="18" l="1"/>
  <c r="N350" i="18"/>
  <c r="M351" i="18" l="1"/>
  <c r="N351" i="18"/>
  <c r="M352" i="18" l="1"/>
  <c r="N352" i="18"/>
  <c r="M353" i="18" l="1"/>
  <c r="N353" i="18" s="1"/>
  <c r="M354" i="18" l="1"/>
  <c r="N354" i="18"/>
  <c r="M355" i="18" l="1"/>
  <c r="N355" i="18"/>
  <c r="M356" i="18" l="1"/>
  <c r="N356" i="18"/>
  <c r="M357" i="18" l="1"/>
  <c r="N357" i="18"/>
  <c r="M358" i="18" l="1"/>
  <c r="N358" i="18"/>
  <c r="M359" i="18" l="1"/>
  <c r="N359" i="18"/>
  <c r="M360" i="18" l="1"/>
  <c r="N360" i="18"/>
  <c r="M361" i="18" l="1"/>
  <c r="N361" i="18"/>
  <c r="M362" i="18" l="1"/>
  <c r="N362" i="18"/>
  <c r="M363" i="18" l="1"/>
  <c r="N363" i="18"/>
  <c r="M364" i="18" l="1"/>
  <c r="N364" i="18"/>
  <c r="M365" i="18" l="1"/>
  <c r="N365" i="18"/>
  <c r="M366" i="18" l="1"/>
  <c r="N366" i="18"/>
  <c r="M367" i="18" l="1"/>
  <c r="N367" i="18"/>
  <c r="M368" i="18" l="1"/>
  <c r="N368" i="18"/>
  <c r="M369" i="18" l="1"/>
  <c r="N369" i="18" s="1"/>
  <c r="M370" i="18" l="1"/>
  <c r="N370" i="18" s="1"/>
  <c r="M371" i="18" l="1"/>
  <c r="N371" i="18" s="1"/>
  <c r="M372" i="18" l="1"/>
  <c r="M373" i="18" s="1"/>
  <c r="N372" i="18"/>
  <c r="N373" i="18" l="1"/>
  <c r="N211" i="18"/>
  <c r="B381" i="18" s="1"/>
  <c r="G429" i="18" l="1"/>
  <c r="E421" i="18"/>
  <c r="G424" i="18"/>
  <c r="D432" i="18"/>
  <c r="D423" i="18"/>
  <c r="G430" i="18"/>
  <c r="C432" i="18"/>
  <c r="F417" i="18"/>
  <c r="F419" i="18"/>
  <c r="F421" i="18"/>
  <c r="E430" i="18"/>
  <c r="G431" i="18"/>
  <c r="F416" i="18"/>
  <c r="F418" i="18"/>
  <c r="G416" i="18"/>
  <c r="G418" i="18"/>
  <c r="D434" i="18"/>
  <c r="B427" i="18"/>
  <c r="B434" i="18"/>
  <c r="B424" i="18"/>
  <c r="D427" i="18"/>
  <c r="E429" i="18"/>
  <c r="E426" i="18"/>
  <c r="C420" i="18"/>
  <c r="D425" i="18"/>
  <c r="B419" i="18"/>
  <c r="E419" i="18"/>
  <c r="E420" i="18"/>
  <c r="E423" i="18"/>
  <c r="G428" i="18"/>
  <c r="E418" i="18"/>
  <c r="G419" i="18"/>
  <c r="D421" i="18"/>
  <c r="C421" i="18"/>
  <c r="G423" i="18"/>
  <c r="F424" i="18"/>
  <c r="F430" i="18"/>
  <c r="F432" i="18"/>
  <c r="F434" i="18"/>
  <c r="G432" i="18"/>
  <c r="E432" i="18"/>
  <c r="D424" i="18"/>
  <c r="D430" i="18"/>
  <c r="G433" i="18"/>
  <c r="D431" i="18"/>
  <c r="D428" i="18"/>
  <c r="C423" i="18"/>
  <c r="B433" i="18"/>
  <c r="B416" i="18"/>
  <c r="C434" i="18"/>
  <c r="E428" i="18"/>
  <c r="C424" i="18"/>
  <c r="E422" i="18"/>
  <c r="B431" i="18"/>
  <c r="B423" i="18"/>
  <c r="C428" i="18"/>
  <c r="F427" i="18"/>
  <c r="F428" i="18"/>
  <c r="G427" i="18"/>
  <c r="G422" i="18"/>
  <c r="F431" i="18"/>
  <c r="F433" i="18"/>
  <c r="C430" i="18"/>
  <c r="E431" i="18"/>
  <c r="D416" i="18"/>
  <c r="D418" i="18"/>
  <c r="D420" i="18"/>
  <c r="D422" i="18"/>
  <c r="C431" i="18"/>
  <c r="C416" i="18"/>
  <c r="D417" i="18"/>
  <c r="D419" i="18"/>
  <c r="C418" i="18"/>
  <c r="G434" i="18"/>
  <c r="D429" i="18"/>
  <c r="B429" i="18"/>
  <c r="C427" i="18"/>
  <c r="C422" i="18"/>
  <c r="C417" i="18"/>
  <c r="B425" i="18"/>
  <c r="C429" i="18"/>
  <c r="C425" i="18"/>
  <c r="C426" i="18"/>
  <c r="B422" i="18"/>
  <c r="B426" i="18"/>
  <c r="E424" i="18"/>
  <c r="G417" i="18"/>
  <c r="C419" i="18"/>
  <c r="F420" i="18"/>
  <c r="F422" i="18"/>
  <c r="G421" i="18"/>
  <c r="G425" i="18"/>
  <c r="F426" i="18"/>
  <c r="G420" i="18"/>
  <c r="D433" i="18"/>
  <c r="G426" i="18"/>
  <c r="E433" i="18"/>
  <c r="F423" i="18"/>
  <c r="F425" i="18"/>
  <c r="C433" i="18"/>
  <c r="E434" i="18"/>
  <c r="B430" i="18"/>
  <c r="B428" i="18"/>
  <c r="D426" i="18"/>
  <c r="B418" i="18"/>
  <c r="B417" i="18"/>
  <c r="B421" i="18"/>
  <c r="E427" i="18"/>
  <c r="E425" i="18"/>
  <c r="B432" i="18"/>
  <c r="B420" i="18"/>
  <c r="E417" i="18"/>
  <c r="F429" i="18"/>
  <c r="E416" i="18"/>
  <c r="H434" i="18" l="1"/>
  <c r="F34" i="19"/>
  <c r="F468" i="22"/>
  <c r="H417" i="18"/>
  <c r="D92" i="22"/>
  <c r="E22" i="19"/>
  <c r="H427" i="18"/>
  <c r="E32" i="19"/>
  <c r="E404" i="22"/>
  <c r="D372" i="22"/>
  <c r="D31" i="19"/>
  <c r="B244" i="22"/>
  <c r="B27" i="19"/>
  <c r="B340" i="22"/>
  <c r="B30" i="19"/>
  <c r="B468" i="22"/>
  <c r="B34" i="19"/>
  <c r="H431" i="18"/>
  <c r="C436" i="22"/>
  <c r="C33" i="19"/>
  <c r="C308" i="22"/>
  <c r="C29" i="19"/>
  <c r="B588" i="22"/>
  <c r="B38" i="19"/>
  <c r="D184" i="22"/>
  <c r="E25" i="19"/>
  <c r="H420" i="18"/>
  <c r="C184" i="22"/>
  <c r="C25" i="19"/>
  <c r="B29" i="19"/>
  <c r="B308" i="22"/>
  <c r="B212" i="22"/>
  <c r="B26" i="19"/>
  <c r="B436" i="22"/>
  <c r="B33" i="19"/>
  <c r="C372" i="22"/>
  <c r="C31" i="19"/>
  <c r="C92" i="22"/>
  <c r="C22" i="19"/>
  <c r="D468" i="22"/>
  <c r="D34" i="19"/>
  <c r="G404" i="22"/>
  <c r="G32" i="19"/>
  <c r="B276" i="22"/>
  <c r="B28" i="19"/>
  <c r="E33" i="19"/>
  <c r="H428" i="18"/>
  <c r="E436" i="22"/>
  <c r="C276" i="22"/>
  <c r="C28" i="19"/>
  <c r="H418" i="18"/>
  <c r="E24" i="19"/>
  <c r="H419" i="18"/>
  <c r="C152" i="22"/>
  <c r="H426" i="18"/>
  <c r="E31" i="19"/>
  <c r="E372" i="22"/>
  <c r="B618" i="22"/>
  <c r="B39" i="19"/>
  <c r="H430" i="18"/>
  <c r="B184" i="22"/>
  <c r="B25" i="19"/>
  <c r="C60" i="22"/>
  <c r="H416" i="18"/>
  <c r="E21" i="19"/>
  <c r="B558" i="22"/>
  <c r="B37" i="19"/>
  <c r="B92" i="22"/>
  <c r="B22" i="19"/>
  <c r="B498" i="22"/>
  <c r="B35" i="19"/>
  <c r="B86" i="19" s="1"/>
  <c r="H424" i="18"/>
  <c r="D308" i="22"/>
  <c r="E29" i="19"/>
  <c r="C340" i="22"/>
  <c r="C30" i="19"/>
  <c r="C244" i="22"/>
  <c r="C27" i="19"/>
  <c r="F436" i="22"/>
  <c r="F33" i="19"/>
  <c r="B528" i="22"/>
  <c r="B36" i="19"/>
  <c r="C618" i="22"/>
  <c r="C39" i="19"/>
  <c r="D436" i="22"/>
  <c r="D33" i="19"/>
  <c r="G33" i="19"/>
  <c r="G436" i="22"/>
  <c r="B152" i="22"/>
  <c r="B24" i="19"/>
  <c r="E34" i="19"/>
  <c r="E468" i="22"/>
  <c r="H429" i="18"/>
  <c r="B32" i="19"/>
  <c r="B404" i="22"/>
  <c r="H421" i="18"/>
  <c r="E340" i="22"/>
  <c r="H425" i="18"/>
  <c r="E30" i="19"/>
  <c r="B120" i="22"/>
  <c r="B23" i="19"/>
  <c r="H433" i="18"/>
  <c r="B372" i="22"/>
  <c r="B31" i="19"/>
  <c r="C468" i="22"/>
  <c r="C34" i="19"/>
  <c r="C404" i="22"/>
  <c r="C32" i="19"/>
  <c r="F404" i="22"/>
  <c r="F32" i="19"/>
  <c r="D244" i="22"/>
  <c r="E27" i="19"/>
  <c r="H422" i="18"/>
  <c r="B60" i="22"/>
  <c r="B21" i="19"/>
  <c r="H432" i="18"/>
  <c r="D276" i="22"/>
  <c r="H423" i="18"/>
  <c r="E28" i="19"/>
  <c r="D30" i="19"/>
  <c r="D340" i="22"/>
  <c r="D404" i="22"/>
  <c r="D32" i="19"/>
  <c r="D618" i="22"/>
  <c r="D39" i="19"/>
  <c r="G468" i="22"/>
  <c r="G34" i="19"/>
  <c r="G85" i="19" l="1"/>
  <c r="G469" i="22" s="1"/>
  <c r="G471" i="22" s="1"/>
  <c r="B72" i="19"/>
  <c r="B61" i="22" s="1"/>
  <c r="B63" i="22" s="1"/>
  <c r="F244" i="22"/>
  <c r="F372" i="22"/>
  <c r="H404" i="22"/>
  <c r="G84" i="19"/>
  <c r="G437" i="22" s="1"/>
  <c r="G439" i="22" s="1"/>
  <c r="D90" i="19"/>
  <c r="D619" i="22" s="1"/>
  <c r="D621" i="22" s="1"/>
  <c r="F276" i="22"/>
  <c r="B74" i="19"/>
  <c r="B120" i="19" s="1"/>
  <c r="G340" i="22"/>
  <c r="C528" i="22"/>
  <c r="F308" i="22"/>
  <c r="B73" i="19"/>
  <c r="B93" i="22" s="1"/>
  <c r="E72" i="19"/>
  <c r="E118" i="19" s="1"/>
  <c r="E184" i="22"/>
  <c r="G372" i="22"/>
  <c r="B79" i="19"/>
  <c r="B277" i="22" s="1"/>
  <c r="B279" i="22" s="1"/>
  <c r="D85" i="19"/>
  <c r="D469" i="22" s="1"/>
  <c r="D471" i="22" s="1"/>
  <c r="C82" i="19"/>
  <c r="C373" i="22" s="1"/>
  <c r="C375" i="22" s="1"/>
  <c r="B77" i="19"/>
  <c r="C76" i="19"/>
  <c r="C185" i="22" s="1"/>
  <c r="C187" i="22" s="1"/>
  <c r="F184" i="22"/>
  <c r="B85" i="19"/>
  <c r="B469" i="22" s="1"/>
  <c r="B471" i="22" s="1"/>
  <c r="B78" i="19"/>
  <c r="B245" i="22" s="1"/>
  <c r="B247" i="22" s="1"/>
  <c r="I404" i="22"/>
  <c r="F92" i="22"/>
  <c r="D81" i="19"/>
  <c r="D341" i="22" s="1"/>
  <c r="D343" i="22" s="1"/>
  <c r="E78" i="19"/>
  <c r="C83" i="19"/>
  <c r="C405" i="22" s="1"/>
  <c r="C407" i="22" s="1"/>
  <c r="B82" i="19"/>
  <c r="B373" i="22" s="1"/>
  <c r="C120" i="22"/>
  <c r="I468" i="22"/>
  <c r="C90" i="19"/>
  <c r="C619" i="22" s="1"/>
  <c r="C621" i="22" s="1"/>
  <c r="F84" i="19"/>
  <c r="F437" i="22" s="1"/>
  <c r="F439" i="22" s="1"/>
  <c r="C81" i="19"/>
  <c r="C341" i="22" s="1"/>
  <c r="C343" i="22" s="1"/>
  <c r="E92" i="22"/>
  <c r="B95" i="22"/>
  <c r="C206" i="19"/>
  <c r="C14" i="21" s="1"/>
  <c r="E82" i="19"/>
  <c r="E128" i="19" s="1"/>
  <c r="E75" i="19"/>
  <c r="E121" i="19" s="1"/>
  <c r="I436" i="22"/>
  <c r="C212" i="22"/>
  <c r="B89" i="19"/>
  <c r="B135" i="19" s="1"/>
  <c r="C84" i="19"/>
  <c r="C437" i="22" s="1"/>
  <c r="C439" i="22" s="1"/>
  <c r="H468" i="22"/>
  <c r="E83" i="19"/>
  <c r="E129" i="19" s="1"/>
  <c r="E79" i="19"/>
  <c r="E81" i="19"/>
  <c r="E127" i="19" s="1"/>
  <c r="E85" i="19"/>
  <c r="B132" i="19"/>
  <c r="B178" i="19"/>
  <c r="B499" i="22"/>
  <c r="C499" i="22" s="1"/>
  <c r="B88" i="19"/>
  <c r="B134" i="19" s="1"/>
  <c r="D60" i="22"/>
  <c r="B90" i="19"/>
  <c r="B136" i="19" s="1"/>
  <c r="G83" i="19"/>
  <c r="G405" i="22" s="1"/>
  <c r="G407" i="22" s="1"/>
  <c r="C73" i="19"/>
  <c r="C93" i="22" s="1"/>
  <c r="C95" i="22" s="1"/>
  <c r="B84" i="19"/>
  <c r="B437" i="22" s="1"/>
  <c r="B439" i="22" s="1"/>
  <c r="C588" i="22"/>
  <c r="B81" i="19"/>
  <c r="B341" i="22" s="1"/>
  <c r="B343" i="22" s="1"/>
  <c r="D82" i="19"/>
  <c r="D373" i="22" s="1"/>
  <c r="D375" i="22" s="1"/>
  <c r="D83" i="19"/>
  <c r="D405" i="22" s="1"/>
  <c r="D407" i="22" s="1"/>
  <c r="F83" i="19"/>
  <c r="F405" i="22" s="1"/>
  <c r="F407" i="22" s="1"/>
  <c r="C85" i="19"/>
  <c r="C469" i="22" s="1"/>
  <c r="C471" i="22" s="1"/>
  <c r="B83" i="19"/>
  <c r="B405" i="22" s="1"/>
  <c r="B75" i="19"/>
  <c r="B153" i="22" s="1"/>
  <c r="B155" i="22" s="1"/>
  <c r="D84" i="19"/>
  <c r="D437" i="22" s="1"/>
  <c r="D439" i="22" s="1"/>
  <c r="B87" i="19"/>
  <c r="B133" i="19" s="1"/>
  <c r="C78" i="19"/>
  <c r="C245" i="22" s="1"/>
  <c r="C247" i="22" s="1"/>
  <c r="E80" i="19"/>
  <c r="E126" i="19" s="1"/>
  <c r="E253" i="19" s="1"/>
  <c r="C498" i="22"/>
  <c r="C558" i="22"/>
  <c r="B76" i="19"/>
  <c r="B185" i="22" s="1"/>
  <c r="E185" i="22" s="1"/>
  <c r="E618" i="22"/>
  <c r="F618" i="22"/>
  <c r="D152" i="22"/>
  <c r="C79" i="19"/>
  <c r="C277" i="22" s="1"/>
  <c r="C279" i="22" s="1"/>
  <c r="E84" i="19"/>
  <c r="H436" i="22"/>
  <c r="B80" i="19"/>
  <c r="B309" i="22" s="1"/>
  <c r="B311" i="22" s="1"/>
  <c r="E76" i="19"/>
  <c r="C80" i="19"/>
  <c r="C309" i="22" s="1"/>
  <c r="C311" i="22" s="1"/>
  <c r="E73" i="19"/>
  <c r="E119" i="19" s="1"/>
  <c r="F85" i="19"/>
  <c r="F469" i="22" s="1"/>
  <c r="B501" i="22" l="1"/>
  <c r="H405" i="22"/>
  <c r="H407" i="22" s="1"/>
  <c r="C119" i="19"/>
  <c r="B125" i="19"/>
  <c r="B251" i="19" s="1"/>
  <c r="D22" i="20" s="1"/>
  <c r="G129" i="19"/>
  <c r="G264" i="19" s="1"/>
  <c r="C128" i="19"/>
  <c r="C130" i="19"/>
  <c r="C131" i="19"/>
  <c r="C271" i="19" s="1"/>
  <c r="B130" i="19"/>
  <c r="B268" i="19" s="1"/>
  <c r="B121" i="19"/>
  <c r="D131" i="19"/>
  <c r="B119" i="19"/>
  <c r="B229" i="19" s="1"/>
  <c r="C125" i="19"/>
  <c r="C251" i="19" s="1"/>
  <c r="M74" i="21" s="1"/>
  <c r="E256" i="19"/>
  <c r="E255" i="19"/>
  <c r="E257" i="19"/>
  <c r="E227" i="19"/>
  <c r="E228" i="19"/>
  <c r="E229" i="19"/>
  <c r="W26" i="23"/>
  <c r="G618" i="22"/>
  <c r="E437" i="22"/>
  <c r="B176" i="19"/>
  <c r="B122" i="19"/>
  <c r="D498" i="22"/>
  <c r="W22" i="23"/>
  <c r="C501" i="22"/>
  <c r="C124" i="19"/>
  <c r="D130" i="19"/>
  <c r="B129" i="19"/>
  <c r="F129" i="19"/>
  <c r="B127" i="19"/>
  <c r="B267" i="19"/>
  <c r="G263" i="19"/>
  <c r="D499" i="22"/>
  <c r="X22" i="23"/>
  <c r="E469" i="22"/>
  <c r="E471" i="22" s="1"/>
  <c r="B177" i="19"/>
  <c r="D277" i="22"/>
  <c r="B171" i="19"/>
  <c r="B285" i="19"/>
  <c r="B287" i="19"/>
  <c r="B286" i="19"/>
  <c r="L436" i="22"/>
  <c r="W20" i="23"/>
  <c r="K436" i="22"/>
  <c r="J436" i="22"/>
  <c r="E259" i="19"/>
  <c r="E260" i="19"/>
  <c r="E261" i="19"/>
  <c r="F373" i="22"/>
  <c r="F375" i="22" s="1"/>
  <c r="D245" i="22"/>
  <c r="B170" i="19"/>
  <c r="H184" i="22"/>
  <c r="G184" i="22"/>
  <c r="W12" i="23"/>
  <c r="B169" i="19"/>
  <c r="B213" i="22"/>
  <c r="W18" i="23"/>
  <c r="I372" i="22"/>
  <c r="H372" i="22"/>
  <c r="C61" i="22"/>
  <c r="B164" i="19"/>
  <c r="W16" i="23"/>
  <c r="G130" i="19"/>
  <c r="B375" i="22"/>
  <c r="B118" i="19"/>
  <c r="F471" i="22"/>
  <c r="H437" i="22"/>
  <c r="H439" i="22" s="1"/>
  <c r="W8" i="23"/>
  <c r="F60" i="22"/>
  <c r="E60" i="22"/>
  <c r="B589" i="22"/>
  <c r="B181" i="19"/>
  <c r="E373" i="22"/>
  <c r="B174" i="19"/>
  <c r="C127" i="19"/>
  <c r="C136" i="19"/>
  <c r="D120" i="22"/>
  <c r="W10" i="23"/>
  <c r="C129" i="19"/>
  <c r="D127" i="19"/>
  <c r="B131" i="19"/>
  <c r="C122" i="19"/>
  <c r="C259" i="19"/>
  <c r="C261" i="19"/>
  <c r="C260" i="19"/>
  <c r="B187" i="22"/>
  <c r="B233" i="19"/>
  <c r="B231" i="19"/>
  <c r="B232" i="19"/>
  <c r="W15" i="23"/>
  <c r="B168" i="19"/>
  <c r="D185" i="22"/>
  <c r="F76" i="21"/>
  <c r="G23" i="20"/>
  <c r="B277" i="19"/>
  <c r="B278" i="19"/>
  <c r="B279" i="19"/>
  <c r="B235" i="19"/>
  <c r="B236" i="19"/>
  <c r="B237" i="19"/>
  <c r="C229" i="19"/>
  <c r="C227" i="19"/>
  <c r="C228" i="19"/>
  <c r="B291" i="19"/>
  <c r="B290" i="19"/>
  <c r="B289" i="19"/>
  <c r="B281" i="19"/>
  <c r="B283" i="19"/>
  <c r="B282" i="19"/>
  <c r="B275" i="19"/>
  <c r="B273" i="19"/>
  <c r="B274" i="19"/>
  <c r="E341" i="22"/>
  <c r="B173" i="19"/>
  <c r="E264" i="19"/>
  <c r="E263" i="19"/>
  <c r="E265" i="19"/>
  <c r="C268" i="19"/>
  <c r="C267" i="19"/>
  <c r="E235" i="19"/>
  <c r="E236" i="19"/>
  <c r="E237" i="19"/>
  <c r="L404" i="22"/>
  <c r="J404" i="22"/>
  <c r="W19" i="23"/>
  <c r="K404" i="22"/>
  <c r="H469" i="22"/>
  <c r="H471" i="22" s="1"/>
  <c r="E187" i="22"/>
  <c r="E93" i="22"/>
  <c r="E95" i="22" s="1"/>
  <c r="W23" i="23"/>
  <c r="D528" i="22"/>
  <c r="B166" i="19"/>
  <c r="B121" i="22"/>
  <c r="D136" i="19"/>
  <c r="G131" i="19"/>
  <c r="B165" i="19"/>
  <c r="D93" i="22"/>
  <c r="E122" i="19"/>
  <c r="F131" i="19"/>
  <c r="C126" i="19"/>
  <c r="C253" i="19" s="1"/>
  <c r="B126" i="19"/>
  <c r="B253" i="19" s="1"/>
  <c r="E130" i="19"/>
  <c r="W11" i="23"/>
  <c r="E152" i="22"/>
  <c r="F152" i="22"/>
  <c r="D558" i="22"/>
  <c r="W24" i="23"/>
  <c r="D309" i="22"/>
  <c r="B172" i="19"/>
  <c r="B529" i="22"/>
  <c r="B179" i="19"/>
  <c r="D129" i="19"/>
  <c r="D128" i="19"/>
  <c r="W25" i="23"/>
  <c r="D588" i="22"/>
  <c r="B619" i="22"/>
  <c r="B182" i="19"/>
  <c r="B559" i="22"/>
  <c r="B180" i="19"/>
  <c r="E131" i="19"/>
  <c r="E125" i="19"/>
  <c r="E251" i="19" s="1"/>
  <c r="E405" i="22"/>
  <c r="B175" i="19"/>
  <c r="D212" i="22"/>
  <c r="W13" i="23"/>
  <c r="C153" i="22"/>
  <c r="B167" i="19"/>
  <c r="F130" i="19"/>
  <c r="K468" i="22"/>
  <c r="J468" i="22"/>
  <c r="W21" i="23"/>
  <c r="L468" i="22"/>
  <c r="B128" i="19"/>
  <c r="E124" i="19"/>
  <c r="G92" i="22"/>
  <c r="H92" i="22"/>
  <c r="W9" i="23"/>
  <c r="B124" i="19"/>
  <c r="B123" i="19"/>
  <c r="D270" i="19"/>
  <c r="D271" i="19"/>
  <c r="E225" i="19"/>
  <c r="E223" i="19"/>
  <c r="E224" i="19"/>
  <c r="W17" i="23"/>
  <c r="B407" i="22"/>
  <c r="W14" i="23"/>
  <c r="E22" i="20" l="1"/>
  <c r="G265" i="19"/>
  <c r="B227" i="19"/>
  <c r="L50" i="21" s="1"/>
  <c r="L74" i="21"/>
  <c r="C270" i="19"/>
  <c r="B228" i="19"/>
  <c r="E74" i="21"/>
  <c r="P74" i="21" s="1"/>
  <c r="D76" i="21"/>
  <c r="T76" i="21" s="1"/>
  <c r="F48" i="21"/>
  <c r="G60" i="20"/>
  <c r="B247" i="19"/>
  <c r="B248" i="19"/>
  <c r="B249" i="19"/>
  <c r="F268" i="19"/>
  <c r="F267" i="19"/>
  <c r="G22" i="20"/>
  <c r="F74" i="21"/>
  <c r="H171" i="24"/>
  <c r="D74" i="21"/>
  <c r="C529" i="22"/>
  <c r="B531" i="22"/>
  <c r="E23" i="20"/>
  <c r="M76" i="21"/>
  <c r="G63" i="20"/>
  <c r="H157" i="24"/>
  <c r="B281" i="24" s="1"/>
  <c r="F60" i="21"/>
  <c r="D60" i="21"/>
  <c r="E70" i="20"/>
  <c r="M91" i="21"/>
  <c r="H195" i="24"/>
  <c r="B290" i="24" s="1"/>
  <c r="E98" i="21"/>
  <c r="D98" i="21"/>
  <c r="L98" i="21"/>
  <c r="D72" i="20"/>
  <c r="D33" i="20"/>
  <c r="L112" i="21"/>
  <c r="M50" i="21"/>
  <c r="E16" i="20"/>
  <c r="D63" i="20"/>
  <c r="E60" i="21"/>
  <c r="L60" i="21"/>
  <c r="E101" i="21"/>
  <c r="L101" i="21"/>
  <c r="H198" i="24"/>
  <c r="B259" i="24" s="1"/>
  <c r="D53" i="20"/>
  <c r="D101" i="21"/>
  <c r="D56" i="21"/>
  <c r="L56" i="21"/>
  <c r="H153" i="24"/>
  <c r="B280" i="24" s="1"/>
  <c r="E56" i="21"/>
  <c r="D62" i="20"/>
  <c r="M83" i="21"/>
  <c r="E50" i="20"/>
  <c r="B270" i="19"/>
  <c r="B271" i="19"/>
  <c r="B223" i="19"/>
  <c r="D46" i="21" s="1"/>
  <c r="B14" i="25" s="1"/>
  <c r="B225" i="19"/>
  <c r="B224" i="19"/>
  <c r="D47" i="21" s="1"/>
  <c r="H87" i="21"/>
  <c r="I51" i="20"/>
  <c r="F263" i="19"/>
  <c r="F265" i="19"/>
  <c r="F264" i="19"/>
  <c r="F50" i="21"/>
  <c r="G16" i="20"/>
  <c r="N94" i="21"/>
  <c r="F71" i="20"/>
  <c r="E248" i="19"/>
  <c r="E249" i="19"/>
  <c r="E247" i="19"/>
  <c r="E270" i="19"/>
  <c r="E271" i="19"/>
  <c r="F619" i="22"/>
  <c r="E619" i="22"/>
  <c r="E621" i="22" s="1"/>
  <c r="B621" i="22"/>
  <c r="D259" i="19"/>
  <c r="D261" i="19"/>
  <c r="D260" i="19"/>
  <c r="H180" i="24" s="1"/>
  <c r="B254" i="24" s="1"/>
  <c r="F270" i="19"/>
  <c r="F271" i="19"/>
  <c r="G270" i="19"/>
  <c r="G271" i="19"/>
  <c r="G45" i="20"/>
  <c r="F59" i="21"/>
  <c r="D59" i="21"/>
  <c r="H156" i="24"/>
  <c r="B249" i="24" s="1"/>
  <c r="F88" i="21"/>
  <c r="G69" i="20"/>
  <c r="G341" i="22"/>
  <c r="E343" i="22"/>
  <c r="D54" i="20"/>
  <c r="L105" i="21"/>
  <c r="E105" i="21"/>
  <c r="H202" i="24"/>
  <c r="B260" i="24" s="1"/>
  <c r="D105" i="21"/>
  <c r="D56" i="20"/>
  <c r="L113" i="21"/>
  <c r="M52" i="21"/>
  <c r="E61" i="20"/>
  <c r="D45" i="20"/>
  <c r="E59" i="21"/>
  <c r="L59" i="21"/>
  <c r="L100" i="21"/>
  <c r="D30" i="20"/>
  <c r="D100" i="21"/>
  <c r="B29" i="25" s="1"/>
  <c r="E100" i="21"/>
  <c r="H197" i="24"/>
  <c r="C58" i="25" s="1"/>
  <c r="H173" i="24"/>
  <c r="L51" i="21"/>
  <c r="E51" i="21"/>
  <c r="D43" i="20"/>
  <c r="M84" i="21"/>
  <c r="E68" i="20"/>
  <c r="D255" i="19"/>
  <c r="D256" i="19"/>
  <c r="D257" i="19"/>
  <c r="G373" i="22"/>
  <c r="E375" i="22"/>
  <c r="D206" i="19"/>
  <c r="E206" i="19" s="1"/>
  <c r="F206" i="19" s="1"/>
  <c r="F84" i="21"/>
  <c r="G68" i="20"/>
  <c r="E109" i="21"/>
  <c r="H206" i="24"/>
  <c r="B261" i="24" s="1"/>
  <c r="D55" i="20"/>
  <c r="L109" i="21"/>
  <c r="D109" i="21"/>
  <c r="F277" i="22"/>
  <c r="D279" i="22"/>
  <c r="D70" i="20"/>
  <c r="L91" i="21"/>
  <c r="B264" i="19"/>
  <c r="B263" i="19"/>
  <c r="B265" i="19"/>
  <c r="Y22" i="23"/>
  <c r="I437" i="22"/>
  <c r="E439" i="22"/>
  <c r="G67" i="20"/>
  <c r="F80" i="21"/>
  <c r="F47" i="21"/>
  <c r="G42" i="20"/>
  <c r="N93" i="21"/>
  <c r="F28" i="20"/>
  <c r="B260" i="19"/>
  <c r="B261" i="19"/>
  <c r="B259" i="19"/>
  <c r="D82" i="21" s="1"/>
  <c r="D153" i="22"/>
  <c r="C155" i="22"/>
  <c r="D263" i="19"/>
  <c r="D265" i="19"/>
  <c r="D264" i="19"/>
  <c r="F309" i="22"/>
  <c r="D311" i="22"/>
  <c r="E267" i="19"/>
  <c r="E268" i="19"/>
  <c r="E239" i="19"/>
  <c r="E240" i="19"/>
  <c r="E241" i="19"/>
  <c r="D290" i="19"/>
  <c r="D291" i="19"/>
  <c r="D289" i="19"/>
  <c r="G18" i="20"/>
  <c r="H155" i="24"/>
  <c r="C48" i="25" s="1"/>
  <c r="F58" i="21"/>
  <c r="D58" i="21"/>
  <c r="B17" i="25" s="1"/>
  <c r="G26" i="20"/>
  <c r="F86" i="21"/>
  <c r="D52" i="20"/>
  <c r="D97" i="21"/>
  <c r="L97" i="21"/>
  <c r="H194" i="24"/>
  <c r="B258" i="24" s="1"/>
  <c r="E97" i="21"/>
  <c r="D74" i="20"/>
  <c r="L106" i="21"/>
  <c r="H203" i="24"/>
  <c r="B292" i="24" s="1"/>
  <c r="D106" i="21"/>
  <c r="E106" i="21"/>
  <c r="L114" i="21"/>
  <c r="D76" i="20"/>
  <c r="E28" i="20"/>
  <c r="M93" i="21"/>
  <c r="D18" i="20"/>
  <c r="L58" i="21"/>
  <c r="E58" i="21"/>
  <c r="F185" i="22"/>
  <c r="D187" i="22"/>
  <c r="H152" i="24"/>
  <c r="B248" i="24" s="1"/>
  <c r="E55" i="21"/>
  <c r="D44" i="20"/>
  <c r="D55" i="21"/>
  <c r="L55" i="21"/>
  <c r="L52" i="21"/>
  <c r="D61" i="20"/>
  <c r="E52" i="21"/>
  <c r="M82" i="21"/>
  <c r="E25" i="20"/>
  <c r="C263" i="19"/>
  <c r="D86" i="21" s="1"/>
  <c r="B25" i="25" s="1"/>
  <c r="C264" i="19"/>
  <c r="C265" i="19"/>
  <c r="C290" i="19"/>
  <c r="C291" i="19"/>
  <c r="C289" i="19"/>
  <c r="W40" i="23"/>
  <c r="G267" i="19"/>
  <c r="G268" i="19"/>
  <c r="D61" i="22"/>
  <c r="C63" i="22"/>
  <c r="F245" i="22"/>
  <c r="D247" i="22"/>
  <c r="G50" i="20"/>
  <c r="F83" i="21"/>
  <c r="L110" i="21"/>
  <c r="D110" i="21"/>
  <c r="H207" i="24"/>
  <c r="B293" i="24" s="1"/>
  <c r="D75" i="20"/>
  <c r="E110" i="21"/>
  <c r="H86" i="21"/>
  <c r="I26" i="20"/>
  <c r="L90" i="21"/>
  <c r="D27" i="20"/>
  <c r="D267" i="19"/>
  <c r="D268" i="19"/>
  <c r="E91" i="21" s="1"/>
  <c r="D501" i="22"/>
  <c r="I469" i="22"/>
  <c r="D52" i="21"/>
  <c r="H149" i="24"/>
  <c r="B279" i="24" s="1"/>
  <c r="F52" i="21"/>
  <c r="G61" i="20"/>
  <c r="F78" i="21"/>
  <c r="G24" i="20"/>
  <c r="H143" i="24"/>
  <c r="C45" i="25" s="1"/>
  <c r="F46" i="21"/>
  <c r="G15" i="20"/>
  <c r="B243" i="19"/>
  <c r="B244" i="19"/>
  <c r="B245" i="19"/>
  <c r="I405" i="22"/>
  <c r="E407" i="22"/>
  <c r="C559" i="22"/>
  <c r="B561" i="22"/>
  <c r="L76" i="21"/>
  <c r="D23" i="20"/>
  <c r="E76" i="21"/>
  <c r="F93" i="22"/>
  <c r="D95" i="22"/>
  <c r="C121" i="22"/>
  <c r="B123" i="22"/>
  <c r="M90" i="21"/>
  <c r="E27" i="20"/>
  <c r="F87" i="21"/>
  <c r="G51" i="20"/>
  <c r="H193" i="24"/>
  <c r="C57" i="25" s="1"/>
  <c r="D29" i="20"/>
  <c r="D96" i="21"/>
  <c r="B28" i="25" s="1"/>
  <c r="L96" i="21"/>
  <c r="E96" i="21"/>
  <c r="D104" i="21"/>
  <c r="B30" i="25" s="1"/>
  <c r="L104" i="21"/>
  <c r="H201" i="24"/>
  <c r="C59" i="25" s="1"/>
  <c r="E104" i="21"/>
  <c r="D31" i="20"/>
  <c r="E43" i="20"/>
  <c r="M51" i="21"/>
  <c r="M94" i="21"/>
  <c r="E71" i="20"/>
  <c r="D102" i="21"/>
  <c r="E102" i="21"/>
  <c r="H199" i="24"/>
  <c r="B291" i="24" s="1"/>
  <c r="L102" i="21"/>
  <c r="D73" i="20"/>
  <c r="D54" i="21"/>
  <c r="H151" i="24"/>
  <c r="C47" i="25" s="1"/>
  <c r="E54" i="21"/>
  <c r="D17" i="20"/>
  <c r="L54" i="21"/>
  <c r="C239" i="19"/>
  <c r="C240" i="19"/>
  <c r="C241" i="19"/>
  <c r="C255" i="19"/>
  <c r="C257" i="19"/>
  <c r="C256" i="19"/>
  <c r="C589" i="22"/>
  <c r="B591" i="22"/>
  <c r="C213" i="22"/>
  <c r="B215" i="22"/>
  <c r="F82" i="21"/>
  <c r="G25" i="20"/>
  <c r="H179" i="24"/>
  <c r="C53" i="25" s="1"/>
  <c r="D32" i="20"/>
  <c r="H205" i="24"/>
  <c r="C60" i="25" s="1"/>
  <c r="E108" i="21"/>
  <c r="D108" i="21"/>
  <c r="B31" i="25" s="1"/>
  <c r="L108" i="21"/>
  <c r="H88" i="21"/>
  <c r="I69" i="20"/>
  <c r="B255" i="19"/>
  <c r="B257" i="19"/>
  <c r="B256" i="19"/>
  <c r="C249" i="19"/>
  <c r="C248" i="19"/>
  <c r="C247" i="19"/>
  <c r="B240" i="19"/>
  <c r="B239" i="19"/>
  <c r="B241" i="19"/>
  <c r="G43" i="20"/>
  <c r="H148" i="24"/>
  <c r="B247" i="24" s="1"/>
  <c r="D51" i="21"/>
  <c r="F51" i="21"/>
  <c r="F79" i="21"/>
  <c r="G49" i="20"/>
  <c r="H147" i="24" l="1"/>
  <c r="C46" i="25" s="1"/>
  <c r="E46" i="25" s="1"/>
  <c r="E50" i="21"/>
  <c r="Q74" i="21"/>
  <c r="O74" i="21"/>
  <c r="D94" i="21"/>
  <c r="I94" i="21" s="1"/>
  <c r="D50" i="21"/>
  <c r="B15" i="25" s="1"/>
  <c r="D16" i="20"/>
  <c r="B16" i="25"/>
  <c r="J54" i="21"/>
  <c r="D87" i="21"/>
  <c r="D112" i="21"/>
  <c r="B32" i="25" s="1"/>
  <c r="E58" i="25"/>
  <c r="H177" i="24"/>
  <c r="B285" i="24" s="1"/>
  <c r="E52" i="25" s="1"/>
  <c r="E114" i="21"/>
  <c r="O114" i="21" s="1"/>
  <c r="H144" i="24"/>
  <c r="B246" i="24" s="1"/>
  <c r="D79" i="21"/>
  <c r="S79" i="21" s="1"/>
  <c r="R76" i="21"/>
  <c r="S76" i="21"/>
  <c r="H175" i="24"/>
  <c r="C52" i="25" s="1"/>
  <c r="D88" i="21"/>
  <c r="J88" i="21" s="1"/>
  <c r="C22" i="25"/>
  <c r="J112" i="21"/>
  <c r="P114" i="21"/>
  <c r="R86" i="21"/>
  <c r="T86" i="21"/>
  <c r="J86" i="21"/>
  <c r="I86" i="21"/>
  <c r="C25" i="25"/>
  <c r="P91" i="21"/>
  <c r="O91" i="21"/>
  <c r="Q91" i="21"/>
  <c r="M72" i="21"/>
  <c r="E66" i="20"/>
  <c r="Q108" i="21"/>
  <c r="K108" i="21"/>
  <c r="P108" i="21"/>
  <c r="O108" i="21"/>
  <c r="J82" i="21"/>
  <c r="S82" i="21"/>
  <c r="R82" i="21"/>
  <c r="I82" i="21"/>
  <c r="T82" i="21"/>
  <c r="C24" i="25"/>
  <c r="M78" i="21"/>
  <c r="E24" i="20"/>
  <c r="M62" i="21"/>
  <c r="E19" i="20"/>
  <c r="S54" i="21"/>
  <c r="T54" i="21"/>
  <c r="I54" i="21"/>
  <c r="R54" i="21"/>
  <c r="C16" i="25"/>
  <c r="P102" i="21"/>
  <c r="K102" i="21"/>
  <c r="O102" i="21"/>
  <c r="Q102" i="21"/>
  <c r="J94" i="21"/>
  <c r="K104" i="21"/>
  <c r="Q104" i="21"/>
  <c r="P104" i="21"/>
  <c r="O104" i="21"/>
  <c r="K96" i="21"/>
  <c r="P96" i="21"/>
  <c r="O96" i="21"/>
  <c r="Q96" i="21"/>
  <c r="P76" i="21"/>
  <c r="O76" i="21"/>
  <c r="Q76" i="21"/>
  <c r="D68" i="21"/>
  <c r="E68" i="21"/>
  <c r="H165" i="24"/>
  <c r="B283" i="24" s="1"/>
  <c r="L68" i="21"/>
  <c r="D65" i="20"/>
  <c r="D78" i="21"/>
  <c r="T52" i="21"/>
  <c r="R52" i="21"/>
  <c r="I52" i="21"/>
  <c r="S52" i="21"/>
  <c r="J52" i="21"/>
  <c r="N90" i="21"/>
  <c r="F27" i="20"/>
  <c r="E60" i="25"/>
  <c r="D53" i="25"/>
  <c r="X14" i="23"/>
  <c r="Y14" i="23" s="1"/>
  <c r="F247" i="22"/>
  <c r="F61" i="22"/>
  <c r="F63" i="22" s="1"/>
  <c r="E61" i="22"/>
  <c r="E63" i="22" s="1"/>
  <c r="X8" i="23"/>
  <c r="D63" i="22"/>
  <c r="M113" i="21"/>
  <c r="E56" i="20"/>
  <c r="P55" i="21"/>
  <c r="Q55" i="21"/>
  <c r="O55" i="21"/>
  <c r="Q58" i="21"/>
  <c r="P58" i="21"/>
  <c r="O58" i="21"/>
  <c r="K58" i="21"/>
  <c r="E59" i="25"/>
  <c r="D57" i="25"/>
  <c r="H183" i="24"/>
  <c r="C54" i="25" s="1"/>
  <c r="J58" i="21"/>
  <c r="S58" i="21"/>
  <c r="C17" i="25"/>
  <c r="I58" i="21"/>
  <c r="T58" i="21"/>
  <c r="R58" i="21"/>
  <c r="F56" i="20"/>
  <c r="N113" i="21"/>
  <c r="F91" i="21"/>
  <c r="G70" i="20"/>
  <c r="H188" i="24"/>
  <c r="B288" i="24" s="1"/>
  <c r="D91" i="21"/>
  <c r="X16" i="23"/>
  <c r="Y16" i="23" s="1"/>
  <c r="F311" i="22"/>
  <c r="L82" i="21"/>
  <c r="D25" i="20"/>
  <c r="E82" i="21"/>
  <c r="I47" i="21"/>
  <c r="S47" i="21"/>
  <c r="J47" i="21"/>
  <c r="R47" i="21"/>
  <c r="T47" i="21"/>
  <c r="X20" i="23"/>
  <c r="Y20" i="23" s="1"/>
  <c r="K437" i="22"/>
  <c r="K439" i="22" s="1"/>
  <c r="L437" i="22"/>
  <c r="L439" i="22" s="1"/>
  <c r="J437" i="22"/>
  <c r="J439" i="22" s="1"/>
  <c r="I439" i="22"/>
  <c r="H184" i="24"/>
  <c r="B255" i="24" s="1"/>
  <c r="D54" i="25" s="1"/>
  <c r="E87" i="21"/>
  <c r="D51" i="20"/>
  <c r="L87" i="21"/>
  <c r="H373" i="22"/>
  <c r="H375" i="22" s="1"/>
  <c r="X18" i="23"/>
  <c r="Y18" i="23" s="1"/>
  <c r="I373" i="22"/>
  <c r="I375" i="22" s="1"/>
  <c r="G375" i="22"/>
  <c r="N78" i="21"/>
  <c r="F24" i="20"/>
  <c r="Q100" i="21"/>
  <c r="P100" i="21"/>
  <c r="O100" i="21"/>
  <c r="K100" i="21"/>
  <c r="Q105" i="21"/>
  <c r="O105" i="21"/>
  <c r="P105" i="21"/>
  <c r="X17" i="23"/>
  <c r="Y17" i="23" s="1"/>
  <c r="G343" i="22"/>
  <c r="G94" i="21"/>
  <c r="S94" i="21" s="1"/>
  <c r="H71" i="20"/>
  <c r="N84" i="21"/>
  <c r="F68" i="20"/>
  <c r="G619" i="22"/>
  <c r="G621" i="22" s="1"/>
  <c r="X26" i="23"/>
  <c r="Y26" i="23" s="1"/>
  <c r="F621" i="22"/>
  <c r="G87" i="21"/>
  <c r="H51" i="20"/>
  <c r="D42" i="20"/>
  <c r="L47" i="21"/>
  <c r="E47" i="21"/>
  <c r="L94" i="21"/>
  <c r="E94" i="21"/>
  <c r="D71" i="20"/>
  <c r="T56" i="21"/>
  <c r="S56" i="21"/>
  <c r="R56" i="21"/>
  <c r="E48" i="25"/>
  <c r="R74" i="21"/>
  <c r="C21" i="25"/>
  <c r="T74" i="21"/>
  <c r="S74" i="21"/>
  <c r="G90" i="21"/>
  <c r="H27" i="20"/>
  <c r="L70" i="21"/>
  <c r="E70" i="21"/>
  <c r="D21" i="20"/>
  <c r="D46" i="20"/>
  <c r="E63" i="21"/>
  <c r="L63" i="21"/>
  <c r="X13" i="23"/>
  <c r="Y13" i="23" s="1"/>
  <c r="D213" i="22"/>
  <c r="D215" i="22" s="1"/>
  <c r="C215" i="22"/>
  <c r="D589" i="22"/>
  <c r="D591" i="22" s="1"/>
  <c r="X25" i="23"/>
  <c r="Y25" i="23" s="1"/>
  <c r="C591" i="22"/>
  <c r="P50" i="21"/>
  <c r="O50" i="21"/>
  <c r="Q50" i="21"/>
  <c r="K50" i="21"/>
  <c r="S102" i="21"/>
  <c r="T102" i="21"/>
  <c r="R102" i="21"/>
  <c r="I102" i="21"/>
  <c r="I87" i="21"/>
  <c r="T87" i="21"/>
  <c r="S87" i="21"/>
  <c r="R87" i="21"/>
  <c r="J87" i="21"/>
  <c r="X10" i="23"/>
  <c r="Y10" i="23" s="1"/>
  <c r="D121" i="22"/>
  <c r="D123" i="22" s="1"/>
  <c r="C123" i="22"/>
  <c r="J405" i="22"/>
  <c r="J407" i="22" s="1"/>
  <c r="X19" i="23"/>
  <c r="Y19" i="23" s="1"/>
  <c r="K405" i="22"/>
  <c r="K407" i="22" s="1"/>
  <c r="L405" i="22"/>
  <c r="L407" i="22" s="1"/>
  <c r="I407" i="22"/>
  <c r="L67" i="21"/>
  <c r="D67" i="21"/>
  <c r="D47" i="20"/>
  <c r="H164" i="24"/>
  <c r="B251" i="24" s="1"/>
  <c r="E67" i="21"/>
  <c r="T46" i="21"/>
  <c r="C14" i="25"/>
  <c r="R46" i="21"/>
  <c r="J46" i="21"/>
  <c r="I46" i="21"/>
  <c r="S46" i="21"/>
  <c r="X21" i="23"/>
  <c r="Y21" i="23" s="1"/>
  <c r="L469" i="22"/>
  <c r="L471" i="22" s="1"/>
  <c r="K469" i="22"/>
  <c r="K471" i="22" s="1"/>
  <c r="J469" i="22"/>
  <c r="J471" i="22" s="1"/>
  <c r="I471" i="22"/>
  <c r="R110" i="21"/>
  <c r="S110" i="21"/>
  <c r="T110" i="21"/>
  <c r="H91" i="21"/>
  <c r="I70" i="20"/>
  <c r="E69" i="20"/>
  <c r="M88" i="21"/>
  <c r="D47" i="25"/>
  <c r="H211" i="24"/>
  <c r="B294" i="24" s="1"/>
  <c r="D64" i="21"/>
  <c r="F64" i="21"/>
  <c r="G64" i="20"/>
  <c r="D90" i="21"/>
  <c r="B26" i="25" s="1"/>
  <c r="G27" i="20"/>
  <c r="F90" i="21"/>
  <c r="H187" i="24"/>
  <c r="C55" i="25" s="1"/>
  <c r="F51" i="20"/>
  <c r="N87" i="21"/>
  <c r="L84" i="21"/>
  <c r="E84" i="21"/>
  <c r="D68" i="20"/>
  <c r="D45" i="25"/>
  <c r="X15" i="23"/>
  <c r="Y15" i="23" s="1"/>
  <c r="F279" i="22"/>
  <c r="D60" i="25"/>
  <c r="H181" i="24"/>
  <c r="B286" i="24" s="1"/>
  <c r="E53" i="25" s="1"/>
  <c r="D14" i="21"/>
  <c r="E14" i="21"/>
  <c r="R100" i="21"/>
  <c r="I100" i="21"/>
  <c r="S100" i="21"/>
  <c r="C29" i="25"/>
  <c r="J100" i="21"/>
  <c r="T100" i="21"/>
  <c r="P59" i="21"/>
  <c r="K59" i="21"/>
  <c r="Q59" i="21"/>
  <c r="O59" i="21"/>
  <c r="H210" i="24"/>
  <c r="B262" i="24" s="1"/>
  <c r="D48" i="25"/>
  <c r="G93" i="21"/>
  <c r="H28" i="20"/>
  <c r="N82" i="21"/>
  <c r="F25" i="20"/>
  <c r="F94" i="21"/>
  <c r="G71" i="20"/>
  <c r="H191" i="24"/>
  <c r="B289" i="24" s="1"/>
  <c r="G21" i="20"/>
  <c r="D70" i="21"/>
  <c r="F70" i="21"/>
  <c r="H167" i="24"/>
  <c r="C51" i="25" s="1"/>
  <c r="G88" i="21"/>
  <c r="S88" i="21" s="1"/>
  <c r="H69" i="20"/>
  <c r="H145" i="24"/>
  <c r="B278" i="24" s="1"/>
  <c r="E45" i="25" s="1"/>
  <c r="D60" i="20"/>
  <c r="L48" i="21"/>
  <c r="E48" i="21"/>
  <c r="D28" i="20"/>
  <c r="E93" i="21"/>
  <c r="L93" i="21"/>
  <c r="Q56" i="21"/>
  <c r="O56" i="21"/>
  <c r="P56" i="21"/>
  <c r="I101" i="21"/>
  <c r="T101" i="21"/>
  <c r="S101" i="21"/>
  <c r="R101" i="21"/>
  <c r="K101" i="21"/>
  <c r="Q101" i="21"/>
  <c r="P101" i="21"/>
  <c r="O101" i="21"/>
  <c r="I98" i="21"/>
  <c r="S98" i="21"/>
  <c r="R98" i="21"/>
  <c r="T98" i="21"/>
  <c r="G91" i="21"/>
  <c r="H70" i="20"/>
  <c r="D48" i="21"/>
  <c r="J51" i="21"/>
  <c r="S51" i="21"/>
  <c r="T51" i="21"/>
  <c r="I51" i="21"/>
  <c r="R51" i="21"/>
  <c r="M70" i="21"/>
  <c r="E21" i="20"/>
  <c r="E80" i="21"/>
  <c r="D67" i="20"/>
  <c r="L80" i="21"/>
  <c r="E49" i="20"/>
  <c r="M79" i="21"/>
  <c r="M64" i="21"/>
  <c r="E64" i="20"/>
  <c r="Q54" i="21"/>
  <c r="K54" i="21"/>
  <c r="P54" i="21"/>
  <c r="O54" i="21"/>
  <c r="R96" i="21"/>
  <c r="J96" i="21"/>
  <c r="T96" i="21"/>
  <c r="C28" i="25"/>
  <c r="S96" i="21"/>
  <c r="I96" i="21"/>
  <c r="E66" i="21"/>
  <c r="L66" i="21"/>
  <c r="D66" i="21"/>
  <c r="H163" i="24"/>
  <c r="C50" i="25" s="1"/>
  <c r="D20" i="20"/>
  <c r="O110" i="21"/>
  <c r="P110" i="21"/>
  <c r="Q110" i="21"/>
  <c r="I27" i="20"/>
  <c r="H90" i="21"/>
  <c r="H209" i="24"/>
  <c r="C61" i="25" s="1"/>
  <c r="E33" i="20"/>
  <c r="M112" i="21"/>
  <c r="M87" i="21"/>
  <c r="E51" i="20"/>
  <c r="K52" i="21"/>
  <c r="O52" i="21"/>
  <c r="Q52" i="21"/>
  <c r="P52" i="21"/>
  <c r="S55" i="21"/>
  <c r="T55" i="21"/>
  <c r="R55" i="21"/>
  <c r="Q106" i="21"/>
  <c r="P106" i="21"/>
  <c r="O106" i="21"/>
  <c r="S97" i="21"/>
  <c r="I97" i="21"/>
  <c r="T97" i="21"/>
  <c r="R97" i="21"/>
  <c r="F33" i="20"/>
  <c r="N112" i="21"/>
  <c r="G46" i="20"/>
  <c r="F63" i="21"/>
  <c r="D63" i="21"/>
  <c r="H160" i="24"/>
  <c r="B250" i="24" s="1"/>
  <c r="N88" i="21"/>
  <c r="F69" i="20"/>
  <c r="E153" i="22"/>
  <c r="E155" i="22" s="1"/>
  <c r="X11" i="23"/>
  <c r="Y11" i="23" s="1"/>
  <c r="F153" i="22"/>
  <c r="F155" i="22" s="1"/>
  <c r="D155" i="22"/>
  <c r="D83" i="21"/>
  <c r="D50" i="20"/>
  <c r="L83" i="21"/>
  <c r="E83" i="21"/>
  <c r="E88" i="21"/>
  <c r="D69" i="20"/>
  <c r="L88" i="21"/>
  <c r="S109" i="21"/>
  <c r="T109" i="21"/>
  <c r="R109" i="21"/>
  <c r="O109" i="21"/>
  <c r="P109" i="21"/>
  <c r="Q109" i="21"/>
  <c r="D84" i="21"/>
  <c r="N80" i="21"/>
  <c r="F67" i="20"/>
  <c r="D113" i="21"/>
  <c r="S105" i="21"/>
  <c r="R105" i="21"/>
  <c r="T105" i="21"/>
  <c r="H185" i="24"/>
  <c r="B287" i="24" s="1"/>
  <c r="E54" i="25" s="1"/>
  <c r="I59" i="21"/>
  <c r="S59" i="21"/>
  <c r="T59" i="21"/>
  <c r="J59" i="21"/>
  <c r="R59" i="21"/>
  <c r="H94" i="21"/>
  <c r="I71" i="20"/>
  <c r="G28" i="20"/>
  <c r="F93" i="21"/>
  <c r="D93" i="21"/>
  <c r="B27" i="25" s="1"/>
  <c r="H190" i="24"/>
  <c r="C56" i="25" s="1"/>
  <c r="G66" i="20"/>
  <c r="F72" i="21"/>
  <c r="H169" i="24"/>
  <c r="B284" i="24" s="1"/>
  <c r="E51" i="25" s="1"/>
  <c r="D72" i="21"/>
  <c r="G86" i="21"/>
  <c r="H26" i="20"/>
  <c r="L46" i="21"/>
  <c r="D15" i="20"/>
  <c r="E46" i="21"/>
  <c r="E47" i="25"/>
  <c r="P98" i="21"/>
  <c r="O98" i="21"/>
  <c r="Q98" i="21"/>
  <c r="K98" i="21"/>
  <c r="I60" i="21"/>
  <c r="S60" i="21"/>
  <c r="R60" i="21"/>
  <c r="J60" i="21"/>
  <c r="T60" i="21"/>
  <c r="L72" i="21"/>
  <c r="D66" i="20"/>
  <c r="E72" i="21"/>
  <c r="D19" i="20"/>
  <c r="E62" i="21"/>
  <c r="L62" i="21"/>
  <c r="H176" i="24"/>
  <c r="B253" i="24" s="1"/>
  <c r="D52" i="25" s="1"/>
  <c r="E79" i="21"/>
  <c r="L79" i="21"/>
  <c r="D49" i="20"/>
  <c r="H161" i="24"/>
  <c r="B282" i="24" s="1"/>
  <c r="L64" i="21"/>
  <c r="D64" i="20"/>
  <c r="E64" i="21"/>
  <c r="E48" i="20"/>
  <c r="M71" i="21"/>
  <c r="E78" i="21"/>
  <c r="D24" i="20"/>
  <c r="L78" i="21"/>
  <c r="S108" i="21"/>
  <c r="T108" i="21"/>
  <c r="J108" i="21"/>
  <c r="R108" i="21"/>
  <c r="C31" i="25"/>
  <c r="I108" i="21"/>
  <c r="M80" i="21"/>
  <c r="E67" i="20"/>
  <c r="M63" i="21"/>
  <c r="E46" i="20"/>
  <c r="C30" i="25"/>
  <c r="T104" i="21"/>
  <c r="R104" i="21"/>
  <c r="S104" i="21"/>
  <c r="J104" i="21"/>
  <c r="I104" i="21"/>
  <c r="G93" i="22"/>
  <c r="G95" i="22" s="1"/>
  <c r="X9" i="23"/>
  <c r="Y9" i="23" s="1"/>
  <c r="H93" i="22"/>
  <c r="H95" i="22" s="1"/>
  <c r="F95" i="22"/>
  <c r="X24" i="23"/>
  <c r="Y24" i="23" s="1"/>
  <c r="D559" i="22"/>
  <c r="D561" i="22" s="1"/>
  <c r="C561" i="22"/>
  <c r="F70" i="20"/>
  <c r="N91" i="21"/>
  <c r="E90" i="21"/>
  <c r="M114" i="21"/>
  <c r="E76" i="20"/>
  <c r="M86" i="21"/>
  <c r="E26" i="20"/>
  <c r="H185" i="22"/>
  <c r="H187" i="22" s="1"/>
  <c r="G185" i="22"/>
  <c r="G187" i="22" s="1"/>
  <c r="X12" i="23"/>
  <c r="Y12" i="23" s="1"/>
  <c r="F187" i="22"/>
  <c r="D114" i="21"/>
  <c r="R106" i="21"/>
  <c r="T106" i="21"/>
  <c r="S106" i="21"/>
  <c r="P97" i="21"/>
  <c r="O97" i="21"/>
  <c r="Q97" i="21"/>
  <c r="K97" i="21"/>
  <c r="F76" i="20"/>
  <c r="N114" i="21"/>
  <c r="F62" i="21"/>
  <c r="G19" i="20"/>
  <c r="D62" i="21"/>
  <c r="B18" i="25" s="1"/>
  <c r="H159" i="24"/>
  <c r="C49" i="25" s="1"/>
  <c r="F26" i="20"/>
  <c r="N86" i="21"/>
  <c r="D80" i="21"/>
  <c r="D26" i="20"/>
  <c r="E86" i="21"/>
  <c r="L86" i="21"/>
  <c r="F49" i="20"/>
  <c r="N79" i="21"/>
  <c r="O51" i="21"/>
  <c r="K51" i="21"/>
  <c r="P51" i="21"/>
  <c r="Q51" i="21"/>
  <c r="E113" i="21"/>
  <c r="D59" i="25"/>
  <c r="I28" i="20"/>
  <c r="H93" i="21"/>
  <c r="F50" i="20"/>
  <c r="N83" i="21"/>
  <c r="G48" i="20"/>
  <c r="F71" i="21"/>
  <c r="H168" i="24"/>
  <c r="B252" i="24" s="1"/>
  <c r="D51" i="25" s="1"/>
  <c r="D71" i="21"/>
  <c r="I50" i="21"/>
  <c r="J50" i="21"/>
  <c r="T50" i="21"/>
  <c r="R50" i="21"/>
  <c r="S50" i="21"/>
  <c r="C15" i="25"/>
  <c r="D58" i="25"/>
  <c r="O60" i="21"/>
  <c r="Q60" i="21"/>
  <c r="K60" i="21"/>
  <c r="P60" i="21"/>
  <c r="E112" i="21"/>
  <c r="E57" i="25"/>
  <c r="D529" i="22"/>
  <c r="D531" i="22" s="1"/>
  <c r="X23" i="23"/>
  <c r="Y23" i="23" s="1"/>
  <c r="C531" i="22"/>
  <c r="E71" i="21"/>
  <c r="L71" i="21"/>
  <c r="D48" i="20"/>
  <c r="G156" i="21" l="1"/>
  <c r="T94" i="21"/>
  <c r="D46" i="25"/>
  <c r="R94" i="21"/>
  <c r="I112" i="21"/>
  <c r="B19" i="25"/>
  <c r="J66" i="21"/>
  <c r="R112" i="21"/>
  <c r="T112" i="21"/>
  <c r="R88" i="21"/>
  <c r="S112" i="21"/>
  <c r="C32" i="25"/>
  <c r="Q114" i="21"/>
  <c r="R79" i="21"/>
  <c r="I88" i="21"/>
  <c r="T79" i="21"/>
  <c r="T88" i="21"/>
  <c r="H156" i="21"/>
  <c r="F156" i="21"/>
  <c r="D156" i="21"/>
  <c r="E49" i="25"/>
  <c r="Q72" i="21"/>
  <c r="P72" i="21"/>
  <c r="O72" i="21"/>
  <c r="I84" i="21"/>
  <c r="J84" i="21"/>
  <c r="R84" i="21"/>
  <c r="T84" i="21"/>
  <c r="S84" i="21"/>
  <c r="D49" i="25"/>
  <c r="R66" i="21"/>
  <c r="C19" i="25"/>
  <c r="S66" i="21"/>
  <c r="T66" i="21"/>
  <c r="I66" i="21"/>
  <c r="O48" i="21"/>
  <c r="K48" i="21"/>
  <c r="P48" i="21"/>
  <c r="Q48" i="21"/>
  <c r="C20" i="25"/>
  <c r="S70" i="21"/>
  <c r="T70" i="21"/>
  <c r="R70" i="21"/>
  <c r="I90" i="21"/>
  <c r="T90" i="21"/>
  <c r="J90" i="21"/>
  <c r="C26" i="25"/>
  <c r="S90" i="21"/>
  <c r="R90" i="21"/>
  <c r="E61" i="25"/>
  <c r="E55" i="25"/>
  <c r="X40" i="23"/>
  <c r="Y40" i="23"/>
  <c r="Y8" i="23"/>
  <c r="R68" i="21"/>
  <c r="S68" i="21"/>
  <c r="T68" i="21"/>
  <c r="O71" i="21"/>
  <c r="P71" i="21"/>
  <c r="Q71" i="21"/>
  <c r="S80" i="21"/>
  <c r="R80" i="21"/>
  <c r="T80" i="21"/>
  <c r="S62" i="21"/>
  <c r="C18" i="25"/>
  <c r="I62" i="21"/>
  <c r="J62" i="21"/>
  <c r="T62" i="21"/>
  <c r="R62" i="21"/>
  <c r="T114" i="21"/>
  <c r="S114" i="21"/>
  <c r="R114" i="21"/>
  <c r="K64" i="21"/>
  <c r="Q64" i="21"/>
  <c r="P64" i="21"/>
  <c r="O64" i="21"/>
  <c r="E156" i="21"/>
  <c r="Q46" i="21"/>
  <c r="O46" i="21"/>
  <c r="P46" i="21"/>
  <c r="K46" i="21"/>
  <c r="T113" i="21"/>
  <c r="R113" i="21"/>
  <c r="S113" i="21"/>
  <c r="O88" i="21"/>
  <c r="K88" i="21"/>
  <c r="Q88" i="21"/>
  <c r="P88" i="21"/>
  <c r="I83" i="21"/>
  <c r="R83" i="21"/>
  <c r="S83" i="21"/>
  <c r="T83" i="21"/>
  <c r="J83" i="21"/>
  <c r="R63" i="21"/>
  <c r="S63" i="21"/>
  <c r="T63" i="21"/>
  <c r="J63" i="21"/>
  <c r="I63" i="21"/>
  <c r="Q84" i="21"/>
  <c r="P84" i="21"/>
  <c r="O84" i="21"/>
  <c r="K84" i="21"/>
  <c r="S67" i="21"/>
  <c r="R67" i="21"/>
  <c r="T67" i="21"/>
  <c r="Q47" i="21"/>
  <c r="K47" i="21"/>
  <c r="O47" i="21"/>
  <c r="P47" i="21"/>
  <c r="S86" i="21"/>
  <c r="P112" i="21"/>
  <c r="O112" i="21"/>
  <c r="Q112" i="21"/>
  <c r="K112" i="21"/>
  <c r="R71" i="21"/>
  <c r="T71" i="21"/>
  <c r="S71" i="21"/>
  <c r="K90" i="21"/>
  <c r="P90" i="21"/>
  <c r="O90" i="21"/>
  <c r="Q90" i="21"/>
  <c r="P78" i="21"/>
  <c r="O78" i="21"/>
  <c r="Q78" i="21"/>
  <c r="K62" i="21"/>
  <c r="P62" i="21"/>
  <c r="O62" i="21"/>
  <c r="Q62" i="21"/>
  <c r="R72" i="21"/>
  <c r="T72" i="21"/>
  <c r="S72" i="21"/>
  <c r="Q83" i="21"/>
  <c r="P83" i="21"/>
  <c r="K83" i="21"/>
  <c r="O83" i="21"/>
  <c r="K66" i="21"/>
  <c r="Q66" i="21"/>
  <c r="O66" i="21"/>
  <c r="P66" i="21"/>
  <c r="K93" i="21"/>
  <c r="P93" i="21"/>
  <c r="O93" i="21"/>
  <c r="Q93" i="21"/>
  <c r="E56" i="25"/>
  <c r="D61" i="25"/>
  <c r="Q67" i="21"/>
  <c r="O67" i="21"/>
  <c r="P67" i="21"/>
  <c r="Q70" i="21"/>
  <c r="P70" i="21"/>
  <c r="O70" i="21"/>
  <c r="K87" i="21"/>
  <c r="O87" i="21"/>
  <c r="Q87" i="21"/>
  <c r="P87" i="21"/>
  <c r="K82" i="21"/>
  <c r="O82" i="21"/>
  <c r="P82" i="21"/>
  <c r="Q82" i="21"/>
  <c r="S78" i="21"/>
  <c r="T78" i="21"/>
  <c r="C23" i="25"/>
  <c r="R78" i="21"/>
  <c r="E50" i="25"/>
  <c r="Q113" i="21"/>
  <c r="P113" i="21"/>
  <c r="O113" i="21"/>
  <c r="Q86" i="21"/>
  <c r="P86" i="21"/>
  <c r="O86" i="21"/>
  <c r="K86" i="21"/>
  <c r="O79" i="21"/>
  <c r="P79" i="21"/>
  <c r="Q79" i="21"/>
  <c r="R93" i="21"/>
  <c r="C27" i="25"/>
  <c r="I93" i="21"/>
  <c r="J93" i="21"/>
  <c r="T93" i="21"/>
  <c r="S93" i="21"/>
  <c r="Q80" i="21"/>
  <c r="P80" i="21"/>
  <c r="O80" i="21"/>
  <c r="T48" i="21"/>
  <c r="I48" i="21"/>
  <c r="S48" i="21"/>
  <c r="J48" i="21"/>
  <c r="R48" i="21"/>
  <c r="T64" i="21"/>
  <c r="R64" i="21"/>
  <c r="S64" i="21"/>
  <c r="J64" i="21"/>
  <c r="I64" i="21"/>
  <c r="D50" i="25"/>
  <c r="K63" i="21"/>
  <c r="O63" i="21"/>
  <c r="P63" i="21"/>
  <c r="Q63" i="21"/>
  <c r="K94" i="21"/>
  <c r="O94" i="21"/>
  <c r="Q94" i="21"/>
  <c r="P94" i="21"/>
  <c r="T91" i="21"/>
  <c r="S91" i="21"/>
  <c r="R91" i="21"/>
  <c r="Q68" i="21"/>
  <c r="O68" i="21"/>
  <c r="P68" i="21"/>
</calcChain>
</file>

<file path=xl/sharedStrings.xml><?xml version="1.0" encoding="utf-8"?>
<sst xmlns="http://schemas.openxmlformats.org/spreadsheetml/2006/main" count="8555" uniqueCount="1937">
  <si>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</si>
  <si>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</si>
  <si>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</si>
  <si>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</si>
  <si>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</si>
  <si>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</si>
  <si>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</si>
  <si>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</si>
  <si>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</si>
  <si>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</si>
  <si>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</si>
  <si>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</si>
  <si>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</si>
  <si>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</si>
  <si>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</si>
  <si>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</si>
  <si>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</si>
  <si>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</si>
  <si>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</si>
  <si>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</si>
  <si>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</si>
  <si>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</si>
  <si>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</si>
  <si>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</si>
  <si>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</si>
  <si>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</si>
  <si>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</si>
  <si>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</si>
  <si>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</si>
  <si>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</si>
  <si>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</si>
  <si>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</si>
  <si>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</si>
  <si>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</si>
  <si>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</si>
  <si>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</si>
  <si>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</si>
  <si>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</si>
  <si>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</si>
  <si>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</si>
  <si>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</t>
  </si>
  <si>
    <t>Other 5.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</si>
  <si>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</si>
  <si>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</si>
  <si>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</si>
  <si>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</si>
  <si>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</t>
  </si>
  <si>
    <t>4. Revenue raised outside CDCM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</si>
  <si>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</si>
  <si>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</si>
  <si>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</si>
  <si>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</si>
  <si>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</si>
  <si>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</si>
  <si>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</si>
  <si>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</si>
  <si>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</si>
  <si>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</si>
  <si>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</si>
  <si>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</si>
  <si>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</si>
  <si>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</si>
  <si>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</si>
  <si>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</si>
  <si>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</si>
  <si>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</si>
  <si>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</si>
  <si>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</si>
  <si>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</si>
  <si>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</si>
  <si>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</si>
  <si>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</si>
  <si>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</si>
  <si>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</si>
  <si>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</si>
  <si>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</si>
  <si>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</si>
  <si>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</si>
  <si>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</si>
  <si>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</si>
  <si>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</si>
  <si>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</si>
  <si>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</si>
  <si>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</si>
  <si>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</si>
  <si>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</si>
  <si>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</si>
  <si>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</si>
  <si>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</si>
  <si>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</si>
  <si>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</si>
  <si>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</si>
  <si>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</si>
  <si>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</si>
  <si>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</si>
  <si>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</si>
  <si>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–COLt</t>
  </si>
  <si>
    <t>PPLt</t>
  </si>
  <si>
    <t>IQt</t>
  </si>
  <si>
    <t>ITt</t>
  </si>
  <si>
    <t>IFIt</t>
  </si>
  <si>
    <t>IGt</t>
  </si>
  <si>
    <t>CGSRAt, CGSSPt, AUMt</t>
  </si>
  <si>
    <t>LCN1t</t>
  </si>
  <si>
    <t>LCN2t</t>
  </si>
  <si>
    <t>LCN3t</t>
  </si>
  <si>
    <t>–Kt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</si>
  <si>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</si>
  <si>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</si>
  <si>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</si>
  <si>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</si>
  <si>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</si>
  <si>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</si>
  <si>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</si>
  <si>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</si>
  <si>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</si>
  <si>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</si>
  <si>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</si>
  <si>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</si>
  <si>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</si>
  <si>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</si>
  <si>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</si>
  <si>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</si>
  <si>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</si>
  <si>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</si>
  <si>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</si>
  <si>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</si>
  <si>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</si>
  <si>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</si>
  <si>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</si>
  <si>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</si>
  <si>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</si>
  <si>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</si>
  <si>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</si>
  <si>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</si>
  <si>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</si>
  <si>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</si>
  <si>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</si>
  <si>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</si>
  <si>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</si>
  <si>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</si>
  <si>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</si>
  <si>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</si>
  <si>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</si>
  <si>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</si>
  <si>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</si>
  <si>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</si>
  <si>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</si>
  <si>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</si>
  <si>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</si>
  <si>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</si>
  <si>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</si>
  <si>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</si>
  <si>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</si>
  <si>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</si>
  <si>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</si>
  <si>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</si>
  <si>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</si>
  <si>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</si>
  <si>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</si>
  <si>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</si>
  <si>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</si>
  <si>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</si>
  <si>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</si>
  <si>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</si>
  <si>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</si>
  <si>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</si>
  <si>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</si>
  <si>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</si>
  <si>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</si>
  <si>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</si>
  <si>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</si>
  <si>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</si>
  <si>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</si>
  <si>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</si>
  <si>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</si>
  <si>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</si>
  <si>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</si>
  <si>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</si>
  <si>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</si>
  <si>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</si>
  <si>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</si>
  <si>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</si>
  <si>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</si>
  <si>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</si>
  <si>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</si>
  <si>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</si>
  <si>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</si>
  <si>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</si>
  <si>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</si>
  <si>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</si>
  <si>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</si>
  <si>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</si>
  <si>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</si>
  <si>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</si>
  <si>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</si>
  <si>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</si>
  <si>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</si>
  <si>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</si>
  <si>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</si>
  <si>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</si>
  <si>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</si>
  <si>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</si>
  <si>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</si>
  <si>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</si>
  <si>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</si>
  <si>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</si>
  <si>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</si>
  <si>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</si>
  <si>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</si>
  <si>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</si>
  <si>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</si>
  <si>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</si>
  <si>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</si>
  <si>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</si>
  <si>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</si>
  <si>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</si>
  <si>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</si>
  <si>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</si>
  <si>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</si>
  <si>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</si>
  <si>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</si>
  <si>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</si>
  <si>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</si>
  <si>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</si>
  <si>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</si>
  <si>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</si>
  <si>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</si>
  <si>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</si>
  <si>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</si>
  <si>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</si>
  <si>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</si>
  <si>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</si>
  <si>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</si>
  <si>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</si>
  <si>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</si>
  <si>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</si>
  <si>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</si>
  <si>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</si>
  <si>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</si>
  <si>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</si>
  <si>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</si>
  <si>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</si>
  <si>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</si>
  <si>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</si>
  <si>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</si>
  <si>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</si>
  <si>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</si>
  <si>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</si>
  <si>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</si>
  <si>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</si>
  <si>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</si>
  <si>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</si>
  <si>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</si>
  <si>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</si>
  <si>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</si>
  <si>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</si>
  <si>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</si>
  <si>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</si>
  <si>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</si>
  <si>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</si>
  <si>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</si>
  <si>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</si>
  <si>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</si>
  <si>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</si>
  <si>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</si>
  <si>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</si>
  <si>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</si>
  <si>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</si>
  <si>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</si>
  <si>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</si>
  <si>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</si>
  <si>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</si>
  <si>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</si>
  <si>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</si>
  <si>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</si>
  <si>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</si>
  <si>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</si>
  <si>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</si>
  <si>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</si>
  <si>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</si>
  <si>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</si>
  <si>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</si>
  <si>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</si>
  <si>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</si>
  <si>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</si>
  <si>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</si>
  <si>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</si>
  <si>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</si>
  <si>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</si>
  <si>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</si>
  <si>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</si>
  <si>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</si>
  <si>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</si>
  <si>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</si>
  <si>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</si>
  <si>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</si>
  <si>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</si>
  <si>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</si>
  <si>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</si>
  <si>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</si>
  <si>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</si>
  <si>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</si>
  <si>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</si>
  <si>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</si>
  <si>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</si>
  <si>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</si>
  <si>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</si>
  <si>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</si>
  <si>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</si>
  <si>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</si>
  <si>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</si>
  <si>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</si>
  <si>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</si>
  <si>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</si>
  <si>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</si>
  <si>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</si>
  <si>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</si>
  <si>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</si>
  <si>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</si>
  <si>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</si>
  <si>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</si>
  <si>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</si>
  <si>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</si>
  <si>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</si>
  <si>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</si>
  <si>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</si>
  <si>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</si>
  <si>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</si>
  <si>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</si>
  <si>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</si>
  <si>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</si>
  <si>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</si>
  <si>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</si>
  <si>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</si>
  <si>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</si>
  <si>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</si>
  <si>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</si>
  <si>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</si>
  <si>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</si>
  <si>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</si>
  <si>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</si>
  <si>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</si>
  <si>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</si>
  <si>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</si>
  <si>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</si>
  <si>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</si>
  <si>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</si>
  <si>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</si>
  <si>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</si>
  <si>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</si>
  <si>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</si>
  <si>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</si>
  <si>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</si>
  <si>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</si>
  <si>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</si>
  <si>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</si>
  <si>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</si>
  <si>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</si>
  <si>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</si>
  <si>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</si>
  <si>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</si>
  <si>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</si>
  <si>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</si>
  <si>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</si>
  <si>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</si>
  <si>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</si>
  <si>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</si>
  <si>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</si>
  <si>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</si>
  <si>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</si>
  <si>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</si>
  <si>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</si>
  <si>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</si>
  <si>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</si>
  <si>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</si>
  <si>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</si>
  <si>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</si>
  <si>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</si>
  <si>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</si>
  <si>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</si>
  <si>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</si>
  <si>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</si>
  <si>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</si>
  <si>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</si>
  <si>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</si>
  <si>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</si>
  <si>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</si>
  <si>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</si>
  <si>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</si>
  <si>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</si>
  <si>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</si>
  <si>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</si>
  <si>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</si>
  <si>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</si>
  <si>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</si>
  <si>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</si>
  <si>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</si>
  <si>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</si>
  <si>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</si>
  <si>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</si>
  <si>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</si>
  <si>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</si>
  <si>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</si>
  <si>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</si>
  <si>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</si>
  <si>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</si>
  <si>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</si>
  <si>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</si>
  <si>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</si>
  <si>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</si>
  <si>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</si>
  <si>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</si>
  <si>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</si>
  <si>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</si>
  <si>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</si>
  <si>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</si>
  <si>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</si>
  <si>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</si>
  <si>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</si>
  <si>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</si>
  <si>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</si>
  <si>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</si>
  <si>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</si>
  <si>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</si>
  <si>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</si>
  <si>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</si>
  <si>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</si>
  <si>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</si>
  <si>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</si>
  <si>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</si>
  <si>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</si>
  <si>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</si>
  <si>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</si>
  <si>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</si>
  <si>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</si>
  <si>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</si>
  <si>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</si>
  <si>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</si>
  <si>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</si>
  <si>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</si>
  <si>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</si>
  <si>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</si>
  <si>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</si>
  <si>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</si>
  <si>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</si>
  <si>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</si>
  <si>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</si>
  <si>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</si>
  <si>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</si>
  <si>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</si>
  <si>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</si>
  <si>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</si>
  <si>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</si>
  <si>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</si>
  <si>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</si>
  <si>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</si>
  <si>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</si>
  <si>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</si>
  <si>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</si>
  <si>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</si>
  <si>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</si>
  <si>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</si>
  <si>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</si>
  <si>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</si>
  <si>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</si>
  <si>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</si>
  <si>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</si>
  <si>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</si>
  <si>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</si>
  <si>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</si>
  <si>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</si>
  <si>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</si>
  <si>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</si>
  <si>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</si>
  <si>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</si>
  <si>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</si>
  <si>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</si>
  <si>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</si>
  <si>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</si>
  <si>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</si>
  <si>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</si>
  <si>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</si>
  <si>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</si>
  <si>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</si>
  <si>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</si>
  <si>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</si>
  <si>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</si>
  <si>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</si>
  <si>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</si>
  <si>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</si>
  <si>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</si>
  <si>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</si>
  <si>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</si>
  <si>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</si>
  <si>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</si>
  <si>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</si>
  <si>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</si>
  <si>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</si>
  <si>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</si>
  <si>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</si>
  <si>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</si>
  <si>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</si>
  <si>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</si>
  <si>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</si>
  <si>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</si>
  <si>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</si>
  <si>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</si>
  <si>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</si>
  <si>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</si>
  <si>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</si>
  <si>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</si>
  <si>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</si>
  <si>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</si>
  <si>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</si>
  <si>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</si>
  <si>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</si>
  <si>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</si>
  <si>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</si>
  <si>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</si>
  <si>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</si>
  <si>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</si>
  <si>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</si>
  <si>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</si>
  <si>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</si>
  <si>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</si>
  <si>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</si>
  <si>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</si>
  <si>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</si>
  <si>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</si>
  <si>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</si>
  <si>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</si>
  <si>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</si>
  <si>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</si>
  <si>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</si>
  <si>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</si>
  <si>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</si>
  <si>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</si>
  <si>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</si>
  <si>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</si>
  <si>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</si>
  <si>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</si>
  <si>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</si>
  <si>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</si>
  <si>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</si>
  <si>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</si>
  <si>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</si>
  <si>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</si>
  <si>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</si>
  <si>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</si>
  <si>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</si>
  <si>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</si>
  <si>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</si>
  <si>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</si>
  <si>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</si>
  <si>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</si>
  <si>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</si>
  <si>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</si>
  <si>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</si>
  <si>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</si>
  <si>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</si>
  <si>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</si>
  <si>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</si>
  <si>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</si>
  <si>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</si>
  <si>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</si>
  <si>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</si>
  <si>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</si>
  <si>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</si>
  <si>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</si>
  <si>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</si>
  <si>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</si>
  <si>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</si>
  <si>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</si>
  <si>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</si>
  <si>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</si>
  <si>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</si>
  <si>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</si>
  <si>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</si>
  <si>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</si>
  <si>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</si>
  <si>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</si>
  <si>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</si>
  <si>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</si>
  <si>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</si>
  <si>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</si>
  <si>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</si>
  <si>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</si>
  <si>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</si>
  <si>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</si>
  <si>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</si>
  <si>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</si>
  <si>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</si>
  <si>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</si>
  <si>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</si>
  <si>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</si>
  <si>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</si>
  <si>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</si>
  <si>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</si>
  <si>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</si>
  <si>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</si>
  <si>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</si>
  <si>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</si>
  <si>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</si>
  <si>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</si>
  <si>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</si>
  <si>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</si>
  <si>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</si>
  <si>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</si>
  <si>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</si>
  <si>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</si>
  <si>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</si>
  <si>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</si>
  <si>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</si>
  <si>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</si>
  <si>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</si>
  <si>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</si>
  <si>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</si>
  <si>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</si>
  <si>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</si>
  <si>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</si>
  <si>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</si>
  <si>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</si>
  <si>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</si>
  <si>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</si>
  <si>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</si>
  <si>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</si>
  <si>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</si>
  <si>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</si>
  <si>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</si>
  <si>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</si>
  <si>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</si>
  <si>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</si>
  <si>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</si>
  <si>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</si>
  <si>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</si>
  <si>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</si>
  <si>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</si>
  <si>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</si>
  <si>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</si>
  <si>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</si>
  <si>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</si>
  <si>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</si>
  <si>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</si>
  <si>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</si>
  <si>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</si>
  <si>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</si>
  <si>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</si>
  <si>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</si>
  <si>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</si>
  <si>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</si>
  <si>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</si>
  <si>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</si>
  <si>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</si>
  <si>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</si>
  <si>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</si>
  <si>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</si>
  <si>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</si>
  <si>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</si>
  <si>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</si>
  <si>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</si>
  <si>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</si>
  <si>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</si>
  <si>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</si>
  <si>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</si>
  <si>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</si>
  <si>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</si>
  <si>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</si>
  <si>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</si>
  <si>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</si>
  <si>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</si>
  <si>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</si>
  <si>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</si>
  <si>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</si>
  <si>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</si>
  <si>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</si>
  <si>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</si>
  <si>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</si>
  <si>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</si>
  <si>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</si>
  <si>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</si>
  <si>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</si>
  <si>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</si>
  <si>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</si>
  <si>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</si>
  <si>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</si>
  <si>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</si>
  <si>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</si>
  <si>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</si>
  <si>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</si>
  <si>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</si>
  <si>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</si>
  <si>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</si>
  <si>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</si>
  <si>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</si>
  <si>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</si>
  <si>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</si>
  <si>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</si>
  <si>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</si>
  <si>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</si>
  <si>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</si>
  <si>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</si>
  <si>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</si>
  <si>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</si>
  <si>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</si>
  <si>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</si>
  <si>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</si>
  <si>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</si>
  <si>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</si>
  <si>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</si>
  <si>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</si>
  <si>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</si>
  <si>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</si>
  <si>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</si>
  <si>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</si>
  <si>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</si>
  <si>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</si>
  <si>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</si>
  <si>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</si>
  <si>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</si>
  <si>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</si>
  <si>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</si>
  <si>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</si>
  <si>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</si>
  <si>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</si>
  <si>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</si>
  <si>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</si>
  <si>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</si>
  <si>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</si>
  <si>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</si>
  <si>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</si>
  <si>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</si>
  <si>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</si>
  <si>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</si>
  <si>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</si>
  <si>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</si>
  <si>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</si>
  <si>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</si>
  <si>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</si>
  <si>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</si>
  <si>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</si>
  <si>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</si>
  <si>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</si>
  <si>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</si>
  <si>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</si>
  <si>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</si>
  <si>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</si>
  <si>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</si>
  <si>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</si>
  <si>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</si>
  <si>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</si>
  <si>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</si>
  <si>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</si>
  <si>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</si>
  <si>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</si>
  <si>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</si>
  <si>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</si>
  <si>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</si>
  <si>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</si>
  <si>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</si>
  <si>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</si>
  <si>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</si>
  <si>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</si>
  <si>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</si>
  <si>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</si>
  <si>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</si>
  <si>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</si>
  <si>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=IF(x5,MAX(0,x2+x6-x5),x7*x8/x3/24)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</si>
  <si>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</si>
  <si>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</si>
  <si>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</si>
  <si>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</si>
  <si>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</si>
  <si>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</si>
  <si>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</si>
  <si>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</si>
  <si>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</si>
  <si>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</si>
  <si>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</si>
  <si>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</si>
  <si>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</si>
  <si>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</si>
  <si>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</si>
  <si>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</si>
  <si>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</si>
  <si>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</si>
  <si>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</si>
  <si>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</si>
  <si>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</si>
  <si>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</si>
  <si>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</si>
  <si>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</si>
  <si>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</si>
  <si>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</si>
  <si>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</si>
  <si>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</si>
  <si>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</si>
  <si>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</si>
  <si>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</si>
  <si>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</si>
  <si>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</si>
  <si>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</si>
  <si>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</si>
  <si>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</si>
  <si>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</si>
  <si>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</si>
  <si>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</si>
  <si>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</si>
  <si>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</si>
  <si>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</si>
  <si>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</si>
  <si>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</si>
  <si>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</si>
  <si>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</si>
  <si>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</si>
  <si>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</si>
  <si>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</si>
  <si>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</si>
  <si>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</si>
  <si>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</si>
  <si>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</si>
  <si>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</si>
  <si>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</si>
  <si>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</si>
  <si>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</si>
  <si>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</si>
  <si>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</si>
  <si>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</si>
  <si>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</si>
  <si>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</si>
  <si>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</si>
  <si>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</si>
  <si>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</si>
  <si>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</si>
  <si>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</si>
  <si>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</si>
  <si>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</si>
  <si>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</si>
  <si>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</si>
  <si>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</si>
  <si>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</si>
  <si>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</si>
  <si>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</si>
  <si>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</si>
  <si>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</si>
  <si>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</si>
  <si>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</si>
  <si>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</si>
  <si>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</si>
  <si>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</si>
  <si>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</si>
  <si>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</si>
  <si>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</si>
  <si>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</si>
  <si>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</si>
  <si>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</si>
  <si>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</si>
  <si>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</si>
  <si>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</si>
  <si>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</si>
  <si>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</si>
  <si>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</si>
  <si>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</si>
  <si>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</si>
  <si>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</si>
  <si>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</si>
  <si>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</si>
  <si>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</si>
  <si>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</si>
  <si>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</si>
  <si>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</si>
  <si>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</si>
  <si>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</si>
  <si>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</si>
  <si>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</si>
  <si>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</si>
  <si>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</si>
  <si>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</si>
  <si>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</si>
  <si>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</si>
  <si>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</si>
  <si>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</si>
  <si>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</si>
  <si>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</si>
  <si>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</si>
  <si>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</si>
  <si>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</si>
  <si>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</si>
  <si>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</si>
  <si>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</si>
  <si>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</si>
  <si>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</si>
  <si>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</si>
  <si>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</si>
  <si>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</si>
  <si>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</si>
  <si>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</si>
  <si>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</si>
  <si>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</si>
  <si>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</si>
  <si>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</si>
  <si>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</si>
  <si>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</si>
  <si>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</si>
  <si>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</si>
  <si>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</si>
  <si>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</si>
  <si>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</si>
  <si>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</si>
  <si>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</si>
  <si>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</si>
  <si>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</si>
  <si>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</si>
  <si>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</si>
  <si>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</si>
  <si>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</si>
  <si>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</si>
  <si>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</si>
  <si>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</si>
  <si>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</si>
  <si>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</si>
  <si>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</si>
  <si>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</si>
  <si>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</si>
  <si>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</si>
  <si>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</si>
  <si>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</si>
  <si>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</si>
  <si>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</si>
  <si>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</si>
  <si>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</si>
  <si>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</si>
  <si>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</si>
  <si>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</si>
  <si>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</si>
  <si>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</si>
  <si>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</si>
  <si>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</si>
  <si>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</si>
  <si>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</si>
  <si>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</si>
  <si>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</si>
  <si>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</si>
  <si>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</si>
  <si>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</si>
  <si>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</si>
  <si>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</si>
  <si>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</si>
  <si>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</si>
  <si>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</si>
  <si>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</si>
  <si>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</si>
  <si>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</si>
  <si>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</si>
  <si>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</si>
  <si>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</si>
  <si>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</si>
  <si>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</si>
  <si>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</si>
  <si>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</si>
  <si>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</si>
  <si>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</si>
  <si>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</si>
  <si>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</si>
  <si>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</si>
  <si>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</si>
  <si>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</si>
  <si>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</si>
  <si>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</si>
  <si>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</si>
  <si>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</si>
  <si>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</si>
  <si>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</si>
  <si>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</si>
  <si>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</si>
  <si>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</si>
  <si>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</si>
  <si>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</si>
  <si>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</si>
  <si>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</si>
  <si>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</si>
  <si>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</si>
  <si>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</si>
  <si>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</si>
  <si>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</si>
  <si>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</si>
  <si>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</si>
  <si>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</si>
  <si>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</si>
  <si>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</si>
  <si>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</si>
  <si>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</si>
  <si>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</si>
  <si>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</si>
  <si>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</si>
  <si>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</si>
  <si>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</si>
  <si>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</si>
  <si>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</si>
  <si>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</si>
  <si>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</si>
  <si>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</si>
  <si>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</si>
  <si>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</si>
  <si>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</si>
  <si>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</si>
  <si>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</si>
  <si>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</si>
  <si>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</si>
  <si>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</si>
  <si>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</si>
  <si>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</si>
  <si>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</si>
  <si>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</si>
  <si>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</si>
  <si>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</si>
  <si>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</si>
  <si>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</si>
  <si>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</si>
  <si>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</si>
  <si>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</si>
  <si>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</si>
  <si>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</si>
  <si>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</si>
  <si>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</si>
  <si>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</si>
  <si>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</si>
  <si>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</si>
  <si>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</si>
  <si>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</si>
  <si>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</si>
  <si>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</si>
  <si>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</si>
  <si>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</si>
  <si>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</si>
  <si>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</si>
  <si>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</si>
  <si>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</si>
  <si>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</si>
  <si>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</si>
  <si>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</si>
  <si>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</si>
  <si>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</si>
  <si>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</si>
  <si>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</si>
  <si>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</si>
  <si>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</si>
  <si>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</si>
  <si>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</si>
  <si>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</si>
  <si>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</si>
  <si>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</si>
  <si>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</si>
  <si>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</si>
  <si>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</si>
  <si>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</si>
  <si>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</si>
  <si>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</si>
  <si>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</si>
  <si>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</si>
  <si>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</si>
  <si>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</si>
  <si>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</si>
  <si>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</si>
  <si>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</si>
  <si>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</si>
  <si>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</si>
  <si>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</si>
  <si>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</si>
  <si>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</si>
  <si>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</si>
  <si>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</si>
  <si>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</si>
  <si>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</si>
  <si>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</si>
  <si>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</si>
  <si>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</si>
  <si>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</si>
  <si>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</si>
  <si>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</si>
  <si>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</si>
  <si>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</si>
  <si>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</si>
  <si>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</si>
  <si>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</si>
  <si>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</si>
  <si>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</si>
  <si>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</si>
  <si>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</si>
  <si>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</si>
  <si>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</si>
  <si>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3203.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</si>
  <si>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</si>
  <si>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</si>
  <si>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</si>
  <si>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</si>
  <si>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</si>
  <si>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</si>
  <si>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</si>
  <si>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</si>
  <si>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</si>
  <si>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</si>
  <si>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</si>
  <si>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</si>
  <si>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</si>
  <si>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</si>
  <si>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</si>
  <si>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</si>
  <si>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</si>
  <si>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</si>
  <si>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</si>
  <si>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</si>
  <si>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</si>
  <si>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</si>
  <si>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</si>
  <si>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</si>
  <si>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</si>
  <si>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</si>
  <si>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</si>
  <si>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</si>
  <si>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</si>
  <si>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</si>
  <si>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</si>
  <si>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</si>
  <si>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</si>
  <si>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</si>
  <si>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</si>
  <si>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</si>
  <si>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</si>
  <si>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</si>
  <si>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</si>
  <si>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</si>
  <si>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</si>
  <si>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</si>
  <si>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</si>
  <si>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</si>
  <si>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</si>
  <si>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</si>
  <si>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</si>
  <si>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</si>
  <si>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</si>
  <si>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</si>
  <si>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</si>
  <si>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</si>
  <si>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</si>
  <si>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</si>
  <si>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</si>
  <si>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</si>
  <si>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</si>
  <si>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</si>
  <si>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</si>
  <si>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</si>
  <si>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</si>
  <si>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</si>
  <si>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</si>
  <si>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</si>
  <si>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</si>
  <si>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</si>
  <si>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</si>
  <si>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</si>
  <si>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</si>
  <si>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</si>
  <si>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</si>
  <si>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</si>
  <si>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</si>
  <si>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</si>
  <si>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</si>
  <si>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</si>
  <si>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</si>
  <si>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</si>
  <si>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</si>
  <si>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</si>
  <si>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</si>
  <si>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</si>
  <si>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</si>
  <si>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</si>
  <si>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</si>
  <si>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</si>
  <si>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</si>
  <si>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</si>
  <si>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</si>
  <si>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</si>
  <si>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</si>
  <si>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</si>
  <si>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</si>
  <si>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</si>
  <si>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</si>
  <si>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</si>
  <si>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</si>
  <si>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</si>
  <si>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</si>
  <si>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</si>
  <si>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</si>
  <si>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</si>
  <si>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</si>
  <si>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</si>
  <si>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</si>
  <si>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</si>
  <si>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</si>
  <si>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</si>
  <si>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</si>
  <si>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</si>
  <si>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</si>
  <si>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</si>
  <si>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</si>
  <si>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</si>
  <si>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</si>
  <si>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</si>
  <si>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</si>
  <si>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</si>
  <si>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</si>
  <si>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Constraint-free solution</t>
  </si>
  <si>
    <t>x1 = 3403. Revenue shortfall (surplus) £ (in Revenue surplus or shortfall)</t>
  </si>
  <si>
    <t>x2 = 3504. Effect through Unit rate 1 p/kWh (in Marginal revenue effect of scaler)</t>
  </si>
  <si>
    <t>x3 = 3504. Effect through Unit rate 2 p/kWh (in Marginal revenue effect of scaler)</t>
  </si>
  <si>
    <t>x4 = 3504. Effect through Unit rate 3 p/kWh (in Marginal revenue effect of scaler)</t>
  </si>
  <si>
    <t>x5 = 3504. Effect through Fixed charge p/MPAN/day (in Marginal revenue effect of scaler)</t>
  </si>
  <si>
    <t>x6 = 3504. Effect through Capacity charge p/kVA/day (in Marginal revenue effect of scaler)</t>
  </si>
  <si>
    <t>x7 = 3504.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</si>
  <si>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</si>
  <si>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</si>
  <si>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</si>
  <si>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</si>
  <si>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3505. Scaler threshold for Unit rate 1 p/kWh (in Scaler value at which the minimum is breached)</t>
  </si>
  <si>
    <t>x3 = 3505. Scaler threshold for Unit rate 2 p/kWh (in Scaler value at which the minimum is breached)</t>
  </si>
  <si>
    <t>x4 = 3505. Scaler threshold for Unit rate 3 p/kWh (in Scaler value at which the minimum is breached)</t>
  </si>
  <si>
    <t>x5 = 3505. Scaler threshold for Fixed charge p/MPAN/day (in Scaler value at which the minimum is breached)</t>
  </si>
  <si>
    <t>x6 = 3505. Scaler threshold for Capacity charge p/kVA/day (in Scaler value at which the minimum is breached)</t>
  </si>
  <si>
    <t>x7 = 3505.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</si>
  <si>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</si>
  <si>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</si>
  <si>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</si>
  <si>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</si>
  <si>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Location (in Solve for General scaler rate)</t>
  </si>
  <si>
    <t>x9 = Kink (in Solve for General scaler rate)</t>
  </si>
  <si>
    <t>x10 = Ranking before tie break (in Solve for General scaler rate)</t>
  </si>
  <si>
    <t>x11 = Counter (in Solve for General scaler rate)</t>
  </si>
  <si>
    <t>x12 = Tie breaker (in Solve for General scaler rate)</t>
  </si>
  <si>
    <t>x13 = Ranking (in Solve for General scaler rate)</t>
  </si>
  <si>
    <t>x14 = Kink reordering (in Solve for General scaler rate)</t>
  </si>
  <si>
    <t>x15 = Starting slope contributions (in Solve for General scaler rate)</t>
  </si>
  <si>
    <t>x16 = New slope (in Solve for General scaler rate)</t>
  </si>
  <si>
    <t>x17 = Location (ordered) (in Solve for General scaler rate)</t>
  </si>
  <si>
    <t>x18 = Starting values (in Solve for General scaler rate)</t>
  </si>
  <si>
    <t>x19 = 3403. Revenue shortfall (surplus) £ (in Revenue surplus or shortfall)</t>
  </si>
  <si>
    <t>x20 = 3506. Constraint-free solution</t>
  </si>
  <si>
    <t>x21 = Value (in Solve for General scaler rate)</t>
  </si>
  <si>
    <t>=IF(ISERROR(x8),x9,0)</t>
  </si>
  <si>
    <t>=MAX(x1,x8)*x9</t>
  </si>
  <si>
    <t>=RANK(x8,x8,1)</t>
  </si>
  <si>
    <t>=x10*162+x11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</si>
  <si>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</si>
  <si>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</si>
  <si>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</si>
  <si>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</si>
  <si>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</si>
  <si>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</si>
  <si>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</si>
  <si>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</si>
  <si>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</si>
  <si>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</si>
  <si>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</si>
  <si>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</si>
  <si>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</si>
  <si>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</si>
  <si>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</si>
  <si>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</si>
  <si>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</si>
  <si>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</si>
  <si>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</si>
  <si>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</si>
  <si>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</si>
  <si>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</si>
  <si>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</si>
  <si>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</si>
  <si>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</si>
  <si>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</si>
  <si>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</si>
  <si>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</si>
  <si>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</si>
  <si>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</si>
  <si>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</si>
  <si>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</si>
  <si>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</si>
  <si>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</si>
  <si>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</si>
  <si>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</si>
  <si>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</si>
  <si>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</si>
  <si>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</si>
  <si>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</si>
  <si>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</si>
  <si>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</si>
  <si>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</si>
  <si>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</si>
  <si>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</si>
  <si>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</si>
  <si>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</si>
  <si>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</si>
  <si>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</si>
  <si>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</si>
  <si>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</si>
  <si>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</si>
  <si>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</si>
  <si>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</si>
  <si>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</si>
  <si>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</si>
  <si>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</si>
  <si>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</si>
  <si>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</si>
  <si>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</si>
  <si>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</si>
  <si>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</si>
  <si>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</si>
  <si>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</si>
  <si>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</si>
  <si>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</si>
  <si>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</si>
  <si>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</si>
  <si>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</si>
  <si>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</si>
  <si>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</si>
  <si>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</si>
  <si>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</si>
  <si>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</si>
  <si>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</si>
  <si>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</si>
  <si>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</si>
  <si>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</si>
  <si>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</si>
  <si>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</si>
  <si>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</si>
  <si>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</si>
  <si>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</si>
  <si>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</si>
  <si>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</si>
  <si>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</si>
  <si>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</si>
  <si>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</si>
  <si>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</si>
  <si>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</si>
  <si>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</si>
  <si>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</si>
  <si>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</si>
  <si>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</si>
  <si>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</si>
  <si>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</si>
  <si>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</si>
  <si>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</si>
  <si>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</si>
  <si>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</si>
  <si>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</si>
  <si>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</si>
  <si>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</si>
  <si>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</si>
  <si>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</si>
  <si>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</si>
  <si>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</si>
  <si>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</si>
  <si>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</si>
  <si>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</si>
  <si>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</si>
  <si>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</si>
  <si>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</si>
  <si>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</si>
  <si>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</si>
  <si>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</si>
  <si>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</si>
  <si>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</si>
  <si>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</si>
  <si>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</si>
  <si>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</si>
  <si>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</si>
  <si>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</si>
  <si>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</si>
  <si>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</si>
  <si>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</si>
  <si>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</si>
  <si>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</si>
  <si>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</si>
  <si>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</si>
  <si>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</si>
  <si>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</si>
  <si>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</si>
  <si>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</si>
  <si>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</si>
  <si>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</si>
  <si>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</si>
  <si>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</si>
  <si>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</si>
  <si>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</si>
  <si>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</si>
  <si>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</si>
  <si>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</si>
  <si>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</si>
  <si>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</si>
  <si>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</si>
  <si>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</si>
  <si>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</si>
  <si>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</si>
  <si>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</si>
  <si>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</si>
  <si>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</si>
  <si>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</si>
  <si>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</si>
  <si>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</si>
  <si>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</si>
  <si>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</si>
  <si>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</si>
  <si>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</si>
  <si>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</si>
  <si>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</si>
  <si>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</si>
  <si>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</si>
  <si>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</si>
  <si>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</si>
  <si>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</si>
  <si>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</si>
  <si>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</si>
  <si>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</si>
  <si>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</si>
  <si>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</si>
  <si>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</si>
  <si>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</si>
  <si>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</si>
  <si>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</si>
  <si>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</si>
  <si>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</si>
  <si>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</si>
  <si>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</si>
  <si>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</si>
  <si>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</si>
  <si>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</si>
  <si>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</si>
  <si>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</si>
  <si>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</si>
  <si>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</si>
  <si>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</si>
  <si>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</si>
  <si>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</si>
  <si>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</si>
  <si>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</si>
  <si>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</si>
  <si>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</si>
  <si>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</si>
  <si>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</si>
  <si>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</si>
  <si>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</si>
  <si>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</si>
  <si>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</si>
  <si>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</si>
  <si>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</si>
  <si>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</si>
  <si>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</si>
  <si>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</si>
  <si>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</si>
  <si>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</si>
  <si>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</si>
  <si>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</si>
  <si>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</si>
  <si>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</si>
  <si>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</si>
  <si>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</si>
  <si>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</si>
  <si>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</si>
  <si>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</si>
  <si>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</si>
  <si>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</si>
  <si>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</si>
  <si>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</si>
  <si>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</si>
  <si>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</si>
  <si>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</si>
  <si>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</si>
  <si>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</si>
  <si>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</si>
  <si>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</si>
  <si>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</si>
  <si>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</si>
  <si>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</si>
  <si>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</si>
  <si>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</si>
  <si>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</si>
  <si>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</si>
  <si>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</si>
  <si>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</si>
  <si>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</si>
  <si>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</si>
  <si>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</si>
  <si>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</si>
  <si>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</si>
  <si>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</si>
  <si>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</si>
  <si>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</si>
  <si>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</si>
  <si>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</si>
  <si>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</si>
  <si>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</si>
  <si>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</si>
  <si>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</si>
  <si>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</si>
  <si>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</si>
  <si>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</si>
  <si>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</si>
  <si>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</si>
  <si>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</si>
  <si>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</si>
  <si>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</si>
  <si>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</si>
  <si>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</si>
  <si>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</si>
  <si>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</si>
  <si>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</si>
  <si>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</si>
  <si>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</si>
  <si>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</si>
  <si>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</si>
  <si>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</si>
  <si>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</si>
  <si>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</si>
  <si>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</si>
  <si>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</si>
  <si>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</si>
  <si>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</si>
  <si>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</si>
  <si>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</si>
  <si>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</si>
  <si>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</si>
  <si>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</si>
  <si>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</si>
  <si>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</si>
  <si>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</si>
  <si>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</si>
  <si>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</si>
  <si>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</si>
  <si>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</si>
  <si>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</si>
  <si>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</si>
  <si>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</si>
  <si>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</si>
  <si>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</si>
  <si>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</si>
  <si>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</si>
  <si>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</si>
  <si>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</si>
  <si>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</si>
  <si>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</si>
  <si>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</si>
  <si>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</si>
  <si>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</si>
  <si>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</si>
  <si>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</si>
  <si>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</si>
  <si>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</si>
  <si>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</si>
  <si>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</si>
  <si>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</si>
  <si>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</si>
  <si>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</si>
  <si>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</si>
  <si>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</si>
  <si>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</si>
  <si>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</si>
  <si>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</si>
  <si>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</si>
  <si>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</si>
  <si>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</si>
  <si>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</si>
  <si>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</si>
  <si>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</si>
  <si>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</si>
  <si>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</si>
  <si>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</si>
  <si>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</si>
  <si>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</si>
  <si>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</si>
  <si>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</si>
  <si>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</si>
  <si>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</si>
  <si>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</si>
  <si>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</si>
  <si>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</si>
  <si>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</si>
  <si>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</si>
  <si>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</si>
  <si>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</si>
  <si>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</si>
  <si>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</si>
  <si>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</si>
  <si>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</si>
  <si>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</si>
  <si>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</si>
  <si>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</si>
  <si>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</si>
  <si>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</si>
  <si>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</si>
  <si>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</si>
  <si>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</si>
  <si>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</si>
  <si>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</si>
  <si>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</si>
  <si>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</si>
  <si>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</si>
  <si>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</si>
  <si>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</si>
  <si>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</si>
  <si>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</si>
  <si>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</si>
  <si>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</si>
  <si>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</si>
  <si>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</si>
  <si>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</si>
  <si>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</si>
  <si>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</si>
  <si>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</si>
  <si>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</si>
  <si>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</si>
  <si>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</si>
  <si>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</si>
  <si>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</si>
  <si>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</si>
  <si>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</si>
  <si>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</si>
  <si>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</si>
  <si>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</si>
  <si>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</si>
  <si>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</si>
  <si>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</si>
  <si>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</si>
  <si>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</si>
  <si>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</si>
  <si>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</si>
  <si>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</si>
  <si>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</si>
  <si>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</si>
  <si>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</si>
  <si>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</si>
  <si>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</si>
  <si>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</si>
  <si>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</si>
  <si>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</si>
  <si>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</si>
  <si>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</si>
  <si>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</si>
  <si>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</si>
  <si>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</si>
  <si>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</si>
  <si>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</si>
  <si>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</si>
  <si>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</si>
  <si>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</si>
  <si>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</si>
  <si>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</si>
  <si>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</si>
  <si>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</si>
  <si>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</si>
  <si>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</si>
  <si>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</si>
  <si>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</si>
  <si>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</si>
  <si>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</si>
  <si>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</si>
  <si>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</si>
  <si>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</si>
  <si>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</si>
  <si>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</si>
  <si>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</si>
  <si>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</si>
  <si>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</si>
  <si>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</si>
  <si>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</si>
  <si>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</si>
  <si>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</si>
  <si>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</si>
  <si>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</si>
  <si>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</si>
  <si>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</si>
  <si>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</si>
  <si>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</si>
  <si>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</si>
  <si>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</si>
  <si>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</si>
  <si>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</si>
  <si>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</si>
  <si>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</si>
  <si>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</si>
  <si>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</si>
  <si>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</si>
  <si>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</si>
  <si>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</si>
  <si>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</si>
  <si>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</si>
  <si>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</si>
  <si>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</si>
  <si>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</si>
  <si>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</si>
  <si>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</si>
  <si>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</si>
  <si>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</si>
  <si>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</si>
  <si>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</si>
  <si>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</si>
  <si>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</si>
  <si>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</si>
  <si>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</si>
  <si>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</si>
  <si>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</si>
  <si>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</si>
  <si>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</si>
  <si>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</si>
  <si>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</si>
  <si>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</si>
  <si>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</si>
  <si>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</si>
  <si>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</si>
  <si>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</si>
  <si>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</si>
  <si>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</si>
  <si>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</si>
  <si>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</si>
  <si>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</si>
  <si>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</si>
  <si>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</si>
  <si>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</si>
  <si>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</si>
  <si>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</si>
  <si>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</si>
  <si>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</si>
  <si>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</si>
  <si>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</si>
  <si>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</si>
  <si>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</si>
  <si>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</si>
  <si>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</si>
  <si>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</si>
  <si>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</si>
  <si>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</si>
  <si>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</si>
  <si>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</si>
  <si>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</si>
  <si>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</si>
  <si>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</si>
  <si>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</si>
  <si>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</si>
  <si>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</si>
  <si>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</si>
  <si>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</si>
  <si>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</si>
  <si>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</si>
  <si>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</si>
  <si>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</si>
  <si>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</si>
  <si>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</si>
  <si>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</si>
  <si>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</si>
  <si>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</si>
  <si>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</si>
  <si>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</si>
  <si>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</si>
  <si>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</si>
  <si>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</si>
  <si>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</si>
  <si>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</si>
  <si>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</si>
  <si>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</si>
  <si>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</si>
  <si>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</si>
  <si>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</si>
  <si>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</si>
  <si>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</si>
  <si>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</si>
  <si>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</si>
  <si>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</si>
  <si>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 one of its working</t>
  </si>
  <si>
    <t xml:space="preserve">groups.  Only the DCUSA Panel and its working groups have authority to approve this material as meeting their requirements. 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</si>
  <si>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</si>
  <si>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</si>
  <si>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</si>
  <si>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</si>
  <si>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</si>
  <si>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</si>
  <si>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</si>
  <si>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</si>
  <si>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 xml:space="preserve">Copyright 2009-2011 Energy Networks Association Limited and others. Copyright 2011-2015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</si>
  <si>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</si>
  <si>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</si>
  <si>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</si>
  <si>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</si>
  <si>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</si>
  <si>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</si>
  <si>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</si>
  <si>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</si>
  <si>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</si>
  <si>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</si>
  <si>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</si>
  <si>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</si>
  <si>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</si>
  <si>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</si>
  <si>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</si>
  <si>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</si>
  <si>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</si>
  <si>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</si>
  <si>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</si>
  <si>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</si>
  <si>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</si>
  <si>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</si>
  <si>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</si>
  <si>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</si>
  <si>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</si>
  <si>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</si>
  <si>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</si>
  <si>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</si>
  <si>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</si>
  <si>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</si>
  <si>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</si>
  <si>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</si>
  <si>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</si>
  <si>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</si>
  <si>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</si>
  <si>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</si>
  <si>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</si>
  <si>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</si>
  <si>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</si>
  <si>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</si>
  <si>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</si>
  <si>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</si>
  <si>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</si>
  <si>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</si>
  <si>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</si>
  <si>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</si>
  <si>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</si>
  <si>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</si>
  <si>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</si>
  <si>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</si>
  <si>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</si>
  <si>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checksums: ''</t>
  </si>
  <si>
    <t>coincidenceAdj: ''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</si>
  <si>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</si>
  <si>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</si>
  <si>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</si>
  <si>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</si>
  <si>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</si>
  <si>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</si>
  <si>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</si>
  <si>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</si>
  <si>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</si>
  <si>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r7062</t>
  </si>
  <si>
    <t>scaler: levelledpickexitnogenminzero</t>
  </si>
  <si>
    <t>standing: sub132</t>
  </si>
  <si>
    <t>summary: consultation1</t>
  </si>
  <si>
    <t>targetRevenue: dcp132</t>
  </si>
  <si>
    <t>tariffs: commongensubdcp130dcp163pc12hhpc34hh</t>
  </si>
  <si>
    <t>template: '%-model227+'</t>
  </si>
  <si>
    <t>timeOfDay: timeOfDay179</t>
  </si>
  <si>
    <t>unauth: ''</t>
  </si>
  <si>
    <t>validation: lenientnomsg</t>
  </si>
  <si>
    <t>'~codeValidation':</t>
  </si>
  <si>
    <t xml:space="preserve">  Ancillary/Validation.pm: fdb5a46b1b8fbd1573e33c165ae1cddec92c37ee</t>
  </si>
  <si>
    <t xml:space="preserve">  CDCM/AML.pm: b8e65799e0293d3f65d21d47e4c56b31688a9ab8</t>
  </si>
  <si>
    <t xml:space="preserve">  CDCM/Aggregation.pm: 372b53e6dba1fe9433020bbd13328009851a036a</t>
  </si>
  <si>
    <t xml:space="preserve">  CDCM/Contributions.pm: 59059a8d19bbfa52829fec34b5ea22693cd64085</t>
  </si>
  <si>
    <t xml:space="preserve">  CDCM/Discounts.pm: 7da37bdae365cee037cc886326918eeea537f8a9</t>
  </si>
  <si>
    <t xml:space="preserve">  CDCM/Loads.pm: 37ecb145b481f519789dd55df6b3abe350614bab</t>
  </si>
  <si>
    <t xml:space="preserve">  CDCM/Master.pm: 6beeb565422e1dc5aec583e69cf459cc95ca9ba9</t>
  </si>
  <si>
    <t xml:space="preserve">  CDCM/Matching.pm: a8a99513b1105ec79371ca31d8ca2d323cb517ca</t>
  </si>
  <si>
    <t xml:space="preserve">  CDCM/NetworkSizer.pm: 50def4231b67757f2bd222cc1579fa342876afd0</t>
  </si>
  <si>
    <t xml:space="preserve">  CDCM/Operating.pm: e01eeb096f43ab8cb183e26c30d2c1dc15d27a5d</t>
  </si>
  <si>
    <t xml:space="preserve">  CDCM/Reactive.pm: e2318e6ee9559bf7cd3cfcfff58c399eb12c866a</t>
  </si>
  <si>
    <t xml:space="preserve">  CDCM/Revenue.pm: bb9fa27043e2ec8edecdbd630bd6023962e87136</t>
  </si>
  <si>
    <t xml:space="preserve">  CDCM/Routeing.pm: b5f53b67c00da9f33b3134520ba4bdf36d12ccf7</t>
  </si>
  <si>
    <t xml:space="preserve">  CDCM/SML.pm: e7799175fb0b06ae377f08ff486dfb83205ab68c</t>
  </si>
  <si>
    <t xml:space="preserve">  CDCM/ServiceModels.pm: ef64ca7f9c557fd1ac7b71f36a3a643f83bf1d8f</t>
  </si>
  <si>
    <t xml:space="preserve">  CDCM/Setup.pm: f65c9424e5b82946dccbc0cc45cddf56423b1d24</t>
  </si>
  <si>
    <t xml:space="preserve">  CDCM/Sheets.pm: 2d406d14d6f3ef4c42dcc1996c2e6fabccd910c8</t>
  </si>
  <si>
    <t xml:space="preserve">  CDCM/Standing.pm: 0677863cc8c69940e82611a34f6a4cf6e6c938f6</t>
  </si>
  <si>
    <t xml:space="preserve">  CDCM/Summary.pm: c15db3008f08fafb234d9790d3cfbd0812e1fdf2</t>
  </si>
  <si>
    <t xml:space="preserve">  CDCM/Table1001.pm: f92bf3d78568d5addf3cba5ca9be6a33b0c0dcd9</t>
  </si>
  <si>
    <t xml:space="preserve">  CDCM/TariffList.pm: 5862c24646e9084505c961ce4882a61d76880847</t>
  </si>
  <si>
    <t xml:space="preserve">  CDCM/Tariffs.pm: 74408ddcb0ff951c20ab0d9e7295f437f444de05</t>
  </si>
  <si>
    <t xml:space="preserve">  CDCM/TimeOfDay179.pm: a73c7ed284224f9aee660d248df1208482914259</t>
  </si>
  <si>
    <t xml:space="preserve">  CDCM/Yardsticks.pm: 14fa4ca8c5e1b83888203f2a0a27b027b0e1be67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</si>
  <si>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</si>
  <si>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</si>
  <si>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9c41f8f190c0de29b53089e92b30b4b05a4bf80b</t>
  </si>
  <si>
    <t xml:space="preserve">  SpreadsheetModel/Custom.pm: 64258a1a23160d1b05311a838e34f4078f7516be</t>
  </si>
  <si>
    <t xml:space="preserve">  SpreadsheetModel/Dataset.pm: b85f0e902b8bce62f21a95cc6d2dfe7e812b9739</t>
  </si>
  <si>
    <t xml:space="preserve">  SpreadsheetModel/FormatLegend.pm: 83afcc2d5eedd8cd64613aae3d9a04dbb6e00702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</si>
  <si>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</si>
  <si>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</si>
  <si>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</si>
  <si>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504306d6f19faf478bdccc6fa8db41fc87859593</t>
  </si>
  <si>
    <t xml:space="preserve">  SpreadsheetModel/Notes.pm: 3d92bc2948537a675ba36a2fd72b6c965ac08d56</t>
  </si>
  <si>
    <t xml:space="preserve">  SpreadsheetModel/Object.pm: 1eb394612892d4786a4c6f6be1446bfaf92d9db0</t>
  </si>
  <si>
    <t xml:space="preserve">  SpreadsheetModel/Reshape.pm: 44d60329c15bdfdf839a71781406c921808898b4</t>
  </si>
  <si>
    <t xml:space="preserve">  SpreadsheetModel/SegmentRoot.pm: f684d07d04056e2553a5e46c1e78fe34c4ee6852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</si>
  <si>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</si>
  <si>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</si>
  <si>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</si>
  <si>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67c6a52779375daf27c9f2efede9d45e753ca1eb</t>
  </si>
  <si>
    <t xml:space="preserve">  SpreadsheetModel/WorkbookFormats.pm: 1bccbe711e2d4ec3793c66bcd08cd58d5e188521</t>
  </si>
  <si>
    <t>'~datasetName': Blank</t>
  </si>
  <si>
    <t>'~datasetSource': Empty dataset</t>
  </si>
  <si>
    <t>Generated on Wed 18 Nov 2015 17:21:18 by www.dcmf.co.uk</t>
  </si>
  <si>
    <t>WPD East Midlands</t>
  </si>
  <si>
    <t>April 17</t>
  </si>
  <si>
    <t>Final</t>
  </si>
  <si>
    <t>1</t>
  </si>
  <si>
    <t>3</t>
  </si>
  <si>
    <t>11</t>
  </si>
  <si>
    <t>13</t>
  </si>
  <si>
    <t>37</t>
  </si>
  <si>
    <t>901</t>
  </si>
  <si>
    <t>81</t>
  </si>
  <si>
    <t>80</t>
  </si>
  <si>
    <t>90</t>
  </si>
  <si>
    <t>58, 990</t>
  </si>
  <si>
    <t>59</t>
  </si>
  <si>
    <t>60, 991</t>
  </si>
  <si>
    <t>800</t>
  </si>
  <si>
    <t>801</t>
  </si>
  <si>
    <t>802</t>
  </si>
  <si>
    <t>803</t>
  </si>
  <si>
    <t>804</t>
  </si>
  <si>
    <t>986</t>
  </si>
  <si>
    <t>970</t>
  </si>
  <si>
    <t>971</t>
  </si>
  <si>
    <t>973</t>
  </si>
  <si>
    <t>972</t>
  </si>
  <si>
    <t>974</t>
  </si>
  <si>
    <t>975</t>
  </si>
  <si>
    <t>977</t>
  </si>
  <si>
    <t>4, 8</t>
  </si>
  <si>
    <t>900</t>
  </si>
  <si>
    <t>22, 34, 43</t>
  </si>
  <si>
    <t>16, 28, 31, 49, 52</t>
  </si>
  <si>
    <t>83,85</t>
  </si>
  <si>
    <t>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</si>
</sst>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Blue]0;[Red]\-0;;[Black]@"/>
    <numFmt numFmtId="165" formatCode="[Black]0;[Black]\-0;;[Black]@"/>
    <numFmt numFmtId="166" formatCode="[Black]\ _(???,???,??0_);[Red]\ \(???,???,??0\);;[Cyan]@"/>
    <numFmt numFmtId="167" formatCode="[Black]\ _(???,??0.000_);[Red]\ \(???,??0.000\);;[Cyan]@"/>
    <numFmt numFmtId="168" formatCode="[Black]\ _(??0.0%_);[Red]\ \(??0.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??0.0%;[Red]_+\-????0.0%;[Green]\=;[Cyan]@"/>
    <numFmt numFmtId="173" formatCode="[Blue]_-\+?0.000;[Red]_+\-?0.000;[Green]\=;[Cyan]@"/>
    <numFmt numFmtId="174" formatCode="\ _(???,???,??0_);[Red]\ \(???,???,??0\);;@"/>
    <numFmt numFmtId="175" formatCode="\ _(???,???,??0.000_);[Red]\ \(???,???,??0.000\);;@"/>
    <numFmt numFmtId="176" formatCode="0.000;\-0.000;;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Protection="1">
      <protection locked="0"/>
    </xf>
    <xf numFmtId="164" fontId="0" fillId="8" borderId="0" xfId="0" applyNumberFormat="1" applyFill="1"/>
    <xf numFmtId="0" fontId="4" fillId="0" borderId="1" xfId="0" applyFont="1" applyBorder="1" applyProtection="1">
      <protection locked="0"/>
    </xf>
    <xf numFmtId="49" fontId="5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6" fontId="3" fillId="5" borderId="0" xfId="0" applyNumberFormat="1" applyFont="1" applyFill="1" applyAlignment="1">
      <alignment horizontal="center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0" fontId="0" fillId="0" borderId="0" xfId="0" applyProtection="1">
      <protection locked="0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70" fontId="3" fillId="6" borderId="0" xfId="0" applyNumberFormat="1" applyFont="1" applyFill="1" applyAlignment="1">
      <alignment horizontal="center"/>
    </xf>
    <xf numFmtId="165" fontId="3" fillId="4" borderId="0" xfId="0" applyNumberFormat="1" applyFont="1" applyFill="1" applyAlignment="1" applyProtection="1">
      <alignment horizontal="center" wrapText="1"/>
      <protection locked="0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0" fontId="4" fillId="0" borderId="1" xfId="0" applyFont="1" applyBorder="1" applyAlignment="1" applyProtection="1">
      <alignment vertical="center"/>
      <protection locked="0"/>
    </xf>
    <xf numFmtId="174" fontId="0" fillId="3" borderId="0" xfId="0" applyNumberFormat="1" applyFill="1" applyAlignment="1" applyProtection="1">
      <alignment horizontal="center" vertical="center"/>
      <protection locked="0"/>
    </xf>
    <xf numFmtId="175" fontId="0" fillId="3" borderId="0" xfId="0" applyNumberFormat="1" applyFill="1" applyAlignment="1" applyProtection="1">
      <alignment horizontal="center" vertical="center"/>
      <protection locked="0"/>
    </xf>
    <xf numFmtId="176" fontId="0" fillId="7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4"/>
  <sheetViews>
    <sheetView showGridLines="0" workbookViewId="0">
      <pane ySplit="1" topLeftCell="A41" activePane="bottomLeft" state="frozen"/>
      <selection pane="bottomLeft" activeCell="B58" sqref="B58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"Overview for "&amp;Input!B7&amp;" in "&amp;Input!C7&amp;" ("&amp;Input!D7&amp;")"</f>
        <v>Overview for WPD East Midlands in April 17 (Final)</v>
      </c>
    </row>
    <row r="2" spans="1:1" x14ac:dyDescent="0.25">
      <c r="A2" s="2"/>
    </row>
    <row r="3" spans="1:1" x14ac:dyDescent="0.25">
      <c r="A3" s="2" t="s">
        <v>1773</v>
      </c>
    </row>
    <row r="4" spans="1:1" x14ac:dyDescent="0.25">
      <c r="A4" s="2" t="s">
        <v>1774</v>
      </c>
    </row>
    <row r="5" spans="1:1" x14ac:dyDescent="0.25">
      <c r="A5" s="2" t="s">
        <v>1775</v>
      </c>
    </row>
    <row r="6" spans="1:1" x14ac:dyDescent="0.25">
      <c r="A6" s="2" t="s">
        <v>1776</v>
      </c>
    </row>
    <row r="7" spans="1:1" x14ac:dyDescent="0.25">
      <c r="A7" s="2"/>
    </row>
    <row r="8" spans="1:1" x14ac:dyDescent="0.25">
      <c r="A8" s="2" t="s">
        <v>1777</v>
      </c>
    </row>
    <row r="9" spans="1:1" x14ac:dyDescent="0.25">
      <c r="A9" s="2"/>
    </row>
    <row r="10" spans="1:1" x14ac:dyDescent="0.25">
      <c r="A10" s="2" t="s">
        <v>1778</v>
      </c>
    </row>
    <row r="11" spans="1:1" x14ac:dyDescent="0.25">
      <c r="A11" s="2" t="s">
        <v>1779</v>
      </c>
    </row>
    <row r="12" spans="1:1" x14ac:dyDescent="0.25">
      <c r="A12" s="2" t="s">
        <v>1780</v>
      </c>
    </row>
    <row r="13" spans="1:1" x14ac:dyDescent="0.25">
      <c r="A13" s="2" t="s">
        <v>1781</v>
      </c>
    </row>
    <row r="14" spans="1:1" x14ac:dyDescent="0.25">
      <c r="A14" s="2" t="s">
        <v>1782</v>
      </c>
    </row>
    <row r="15" spans="1:1" x14ac:dyDescent="0.25">
      <c r="A15" s="2"/>
    </row>
    <row r="16" spans="1:1" x14ac:dyDescent="0.25">
      <c r="A16" s="2" t="s">
        <v>1783</v>
      </c>
    </row>
    <row r="17" spans="1:3" x14ac:dyDescent="0.25">
      <c r="A17" s="2" t="s">
        <v>1784</v>
      </c>
    </row>
    <row r="18" spans="1:3" x14ac:dyDescent="0.25">
      <c r="A18" s="2" t="s">
        <v>1785</v>
      </c>
      <c r="C18" s="3" t="s">
        <v>1793</v>
      </c>
    </row>
    <row r="19" spans="1:3" x14ac:dyDescent="0.25">
      <c r="A19" s="2" t="s">
        <v>1786</v>
      </c>
      <c r="C19" s="4" t="s">
        <v>1567</v>
      </c>
    </row>
    <row r="20" spans="1:3" x14ac:dyDescent="0.25">
      <c r="A20" s="2" t="s">
        <v>1787</v>
      </c>
      <c r="C20" s="5" t="s">
        <v>1794</v>
      </c>
    </row>
    <row r="21" spans="1:3" x14ac:dyDescent="0.25">
      <c r="A21" s="2" t="s">
        <v>1788</v>
      </c>
      <c r="C21" s="6" t="s">
        <v>1795</v>
      </c>
    </row>
    <row r="22" spans="1:3" x14ac:dyDescent="0.25">
      <c r="A22" s="2" t="s">
        <v>1789</v>
      </c>
      <c r="C22" s="7" t="s">
        <v>1796</v>
      </c>
    </row>
    <row r="23" spans="1:3" x14ac:dyDescent="0.25">
      <c r="A23" s="2" t="s">
        <v>1790</v>
      </c>
      <c r="C23" s="8" t="s">
        <v>1797</v>
      </c>
    </row>
    <row r="24" spans="1:3" x14ac:dyDescent="0.25">
      <c r="A24" s="2" t="s">
        <v>1791</v>
      </c>
      <c r="C24" s="9" t="s">
        <v>1798</v>
      </c>
    </row>
    <row r="25" spans="1:3" x14ac:dyDescent="0.25">
      <c r="A25" s="2" t="s">
        <v>1792</v>
      </c>
      <c r="C25" s="10" t="s">
        <v>1799</v>
      </c>
    </row>
    <row r="27" spans="1:3" x14ac:dyDescent="0.25">
      <c r="A27" s="3" t="s">
        <v>1800</v>
      </c>
      <c r="B27" s="3" t="s">
        <v>1801</v>
      </c>
      <c r="C27" s="3" t="s">
        <v>1802</v>
      </c>
    </row>
    <row r="28" spans="1:3" x14ac:dyDescent="0.25">
      <c r="A28" s="2" t="s">
        <v>1803</v>
      </c>
      <c r="B28" s="11" t="s">
        <v>0</v>
      </c>
      <c r="C28" s="2" t="s">
        <v>1567</v>
      </c>
    </row>
    <row r="29" spans="1:3" x14ac:dyDescent="0.25">
      <c r="A29" s="2" t="s">
        <v>1803</v>
      </c>
      <c r="B29" s="11" t="s">
        <v>5</v>
      </c>
      <c r="C29" s="2" t="s">
        <v>1804</v>
      </c>
    </row>
    <row r="30" spans="1:3" x14ac:dyDescent="0.25">
      <c r="A30" s="2" t="s">
        <v>1803</v>
      </c>
      <c r="B30" s="11" t="s">
        <v>123</v>
      </c>
      <c r="C30" s="2" t="s">
        <v>1804</v>
      </c>
    </row>
    <row r="31" spans="1:3" x14ac:dyDescent="0.25">
      <c r="A31" s="2" t="s">
        <v>1803</v>
      </c>
      <c r="B31" s="11" t="s">
        <v>132</v>
      </c>
      <c r="C31" s="2" t="s">
        <v>1567</v>
      </c>
    </row>
    <row r="32" spans="1:3" x14ac:dyDescent="0.25">
      <c r="A32" s="2" t="s">
        <v>1803</v>
      </c>
      <c r="B32" s="11" t="s">
        <v>147</v>
      </c>
      <c r="C32" s="2" t="s">
        <v>1567</v>
      </c>
    </row>
    <row r="33" spans="1:3" x14ac:dyDescent="0.25">
      <c r="A33" s="2" t="s">
        <v>1803</v>
      </c>
      <c r="B33" s="11" t="s">
        <v>149</v>
      </c>
      <c r="C33" s="2" t="s">
        <v>1567</v>
      </c>
    </row>
    <row r="34" spans="1:3" x14ac:dyDescent="0.25">
      <c r="A34" s="2" t="s">
        <v>1803</v>
      </c>
      <c r="B34" s="11" t="s">
        <v>151</v>
      </c>
      <c r="C34" s="2" t="s">
        <v>1567</v>
      </c>
    </row>
    <row r="35" spans="1:3" x14ac:dyDescent="0.25">
      <c r="A35" s="2" t="s">
        <v>1803</v>
      </c>
      <c r="B35" s="11" t="s">
        <v>153</v>
      </c>
      <c r="C35" s="2" t="s">
        <v>1567</v>
      </c>
    </row>
    <row r="36" spans="1:3" x14ac:dyDescent="0.25">
      <c r="A36" s="2" t="s">
        <v>1803</v>
      </c>
      <c r="B36" s="11" t="s">
        <v>163</v>
      </c>
      <c r="C36" s="2" t="s">
        <v>1567</v>
      </c>
    </row>
    <row r="37" spans="1:3" x14ac:dyDescent="0.25">
      <c r="A37" s="2" t="s">
        <v>1803</v>
      </c>
      <c r="B37" s="11" t="s">
        <v>170</v>
      </c>
      <c r="C37" s="2" t="s">
        <v>1567</v>
      </c>
    </row>
    <row r="38" spans="1:3" x14ac:dyDescent="0.25">
      <c r="A38" s="2" t="s">
        <v>1803</v>
      </c>
      <c r="B38" s="11" t="s">
        <v>187</v>
      </c>
      <c r="C38" s="2" t="s">
        <v>1567</v>
      </c>
    </row>
    <row r="39" spans="1:3" x14ac:dyDescent="0.25">
      <c r="A39" s="2" t="s">
        <v>1803</v>
      </c>
      <c r="B39" s="11" t="s">
        <v>191</v>
      </c>
      <c r="C39" s="2" t="s">
        <v>1567</v>
      </c>
    </row>
    <row r="40" spans="1:3" x14ac:dyDescent="0.25">
      <c r="A40" s="2" t="s">
        <v>1803</v>
      </c>
      <c r="B40" s="11" t="s">
        <v>196</v>
      </c>
      <c r="C40" s="2" t="s">
        <v>1567</v>
      </c>
    </row>
    <row r="41" spans="1:3" x14ac:dyDescent="0.25">
      <c r="A41" s="2" t="s">
        <v>1803</v>
      </c>
      <c r="B41" s="11" t="s">
        <v>199</v>
      </c>
      <c r="C41" s="2" t="s">
        <v>1567</v>
      </c>
    </row>
    <row r="42" spans="1:3" x14ac:dyDescent="0.25">
      <c r="A42" s="2" t="s">
        <v>1803</v>
      </c>
      <c r="B42" s="11" t="s">
        <v>207</v>
      </c>
      <c r="C42" s="2" t="s">
        <v>1567</v>
      </c>
    </row>
    <row r="43" spans="1:3" x14ac:dyDescent="0.25">
      <c r="A43" s="2" t="s">
        <v>1803</v>
      </c>
      <c r="B43" s="11" t="s">
        <v>218</v>
      </c>
      <c r="C43" s="2" t="s">
        <v>1567</v>
      </c>
    </row>
    <row r="44" spans="1:3" x14ac:dyDescent="0.25">
      <c r="A44" s="2" t="s">
        <v>1803</v>
      </c>
      <c r="B44" s="11" t="s">
        <v>298</v>
      </c>
      <c r="C44" s="2" t="s">
        <v>1567</v>
      </c>
    </row>
    <row r="45" spans="1:3" x14ac:dyDescent="0.25">
      <c r="A45" s="2" t="s">
        <v>1803</v>
      </c>
      <c r="B45" s="11" t="s">
        <v>301</v>
      </c>
      <c r="C45" s="2" t="s">
        <v>1567</v>
      </c>
    </row>
    <row r="46" spans="1:3" x14ac:dyDescent="0.25">
      <c r="A46" s="2" t="s">
        <v>1803</v>
      </c>
      <c r="B46" s="11" t="s">
        <v>307</v>
      </c>
      <c r="C46" s="2" t="s">
        <v>1567</v>
      </c>
    </row>
    <row r="47" spans="1:3" x14ac:dyDescent="0.25">
      <c r="A47" s="2" t="s">
        <v>1803</v>
      </c>
      <c r="B47" s="11" t="s">
        <v>323</v>
      </c>
      <c r="C47" s="2" t="s">
        <v>1567</v>
      </c>
    </row>
    <row r="48" spans="1:3" x14ac:dyDescent="0.25">
      <c r="A48" s="2" t="s">
        <v>1803</v>
      </c>
      <c r="B48" s="11" t="s">
        <v>327</v>
      </c>
      <c r="C48" s="2" t="s">
        <v>1567</v>
      </c>
    </row>
    <row r="49" spans="1:3" x14ac:dyDescent="0.25">
      <c r="A49" s="2" t="s">
        <v>1803</v>
      </c>
      <c r="B49" s="11" t="s">
        <v>328</v>
      </c>
      <c r="C49" s="2" t="s">
        <v>1567</v>
      </c>
    </row>
    <row r="50" spans="1:3" x14ac:dyDescent="0.25">
      <c r="A50" s="2" t="s">
        <v>1803</v>
      </c>
      <c r="B50" s="11" t="s">
        <v>331</v>
      </c>
      <c r="C50" s="2" t="s">
        <v>1567</v>
      </c>
    </row>
    <row r="51" spans="1:3" x14ac:dyDescent="0.25">
      <c r="A51" s="2" t="s">
        <v>1803</v>
      </c>
      <c r="B51" s="11" t="s">
        <v>335</v>
      </c>
      <c r="C51" s="2" t="s">
        <v>1567</v>
      </c>
    </row>
    <row r="52" spans="1:3" x14ac:dyDescent="0.25">
      <c r="A52" s="2" t="s">
        <v>1803</v>
      </c>
      <c r="B52" s="11" t="s">
        <v>336</v>
      </c>
      <c r="C52" s="2" t="s">
        <v>1567</v>
      </c>
    </row>
    <row r="53" spans="1:3" x14ac:dyDescent="0.25">
      <c r="A53" s="2" t="s">
        <v>1803</v>
      </c>
      <c r="B53" s="11" t="s">
        <v>340</v>
      </c>
      <c r="C53" s="2" t="s">
        <v>1567</v>
      </c>
    </row>
    <row r="54" spans="1:3" x14ac:dyDescent="0.25">
      <c r="A54" s="2" t="s">
        <v>1803</v>
      </c>
      <c r="B54" s="11" t="s">
        <v>344</v>
      </c>
      <c r="C54" s="2" t="s">
        <v>1567</v>
      </c>
    </row>
    <row r="55" spans="1:3" x14ac:dyDescent="0.25">
      <c r="A55" s="2" t="s">
        <v>1805</v>
      </c>
      <c r="B55" s="11" t="s">
        <v>355</v>
      </c>
      <c r="C55" s="2" t="s">
        <v>1804</v>
      </c>
    </row>
    <row r="56" spans="1:3" x14ac:dyDescent="0.25">
      <c r="A56" s="2" t="s">
        <v>1805</v>
      </c>
      <c r="B56" s="11" t="s">
        <v>366</v>
      </c>
      <c r="C56" s="2" t="s">
        <v>360</v>
      </c>
    </row>
    <row r="57" spans="1:3" x14ac:dyDescent="0.25">
      <c r="A57" s="2" t="s">
        <v>1805</v>
      </c>
      <c r="B57" s="11" t="s">
        <v>367</v>
      </c>
      <c r="C57" s="2" t="s">
        <v>361</v>
      </c>
    </row>
    <row r="58" spans="1:3" x14ac:dyDescent="0.25">
      <c r="A58" s="2" t="s">
        <v>1805</v>
      </c>
      <c r="B58" s="11" t="s">
        <v>371</v>
      </c>
      <c r="C58" s="2" t="s">
        <v>523</v>
      </c>
    </row>
    <row r="59" spans="1:3" x14ac:dyDescent="0.25">
      <c r="A59" s="2" t="s">
        <v>1805</v>
      </c>
      <c r="B59" s="11" t="s">
        <v>376</v>
      </c>
      <c r="C59" s="2" t="s">
        <v>360</v>
      </c>
    </row>
    <row r="60" spans="1:3" x14ac:dyDescent="0.25">
      <c r="A60" s="2" t="s">
        <v>1805</v>
      </c>
      <c r="B60" s="11" t="s">
        <v>380</v>
      </c>
      <c r="C60" s="2" t="s">
        <v>489</v>
      </c>
    </row>
    <row r="61" spans="1:3" x14ac:dyDescent="0.25">
      <c r="A61" s="2" t="s">
        <v>1805</v>
      </c>
      <c r="B61" s="11" t="s">
        <v>383</v>
      </c>
      <c r="C61" s="2" t="s">
        <v>489</v>
      </c>
    </row>
    <row r="62" spans="1:3" x14ac:dyDescent="0.25">
      <c r="A62" s="2" t="s">
        <v>1805</v>
      </c>
      <c r="B62" s="11" t="s">
        <v>384</v>
      </c>
      <c r="C62" s="2" t="s">
        <v>489</v>
      </c>
    </row>
    <row r="63" spans="1:3" x14ac:dyDescent="0.25">
      <c r="A63" s="2" t="s">
        <v>1805</v>
      </c>
      <c r="B63" s="11" t="s">
        <v>385</v>
      </c>
      <c r="C63" s="2" t="s">
        <v>523</v>
      </c>
    </row>
    <row r="64" spans="1:3" x14ac:dyDescent="0.25">
      <c r="A64" s="2" t="s">
        <v>1805</v>
      </c>
      <c r="B64" s="11" t="s">
        <v>392</v>
      </c>
      <c r="C64" s="2" t="s">
        <v>361</v>
      </c>
    </row>
    <row r="65" spans="1:3" x14ac:dyDescent="0.25">
      <c r="A65" s="2" t="s">
        <v>1805</v>
      </c>
      <c r="B65" s="11" t="s">
        <v>395</v>
      </c>
      <c r="C65" s="2" t="s">
        <v>523</v>
      </c>
    </row>
    <row r="66" spans="1:3" x14ac:dyDescent="0.25">
      <c r="A66" s="2" t="s">
        <v>1805</v>
      </c>
      <c r="B66" s="11" t="s">
        <v>400</v>
      </c>
      <c r="C66" s="2" t="s">
        <v>489</v>
      </c>
    </row>
    <row r="67" spans="1:3" x14ac:dyDescent="0.25">
      <c r="A67" s="2" t="s">
        <v>1806</v>
      </c>
      <c r="B67" s="11" t="s">
        <v>406</v>
      </c>
      <c r="C67" s="2" t="s">
        <v>489</v>
      </c>
    </row>
    <row r="68" spans="1:3" x14ac:dyDescent="0.25">
      <c r="A68" s="2" t="s">
        <v>1806</v>
      </c>
      <c r="B68" s="11" t="s">
        <v>412</v>
      </c>
      <c r="C68" s="2" t="s">
        <v>523</v>
      </c>
    </row>
    <row r="69" spans="1:3" x14ac:dyDescent="0.25">
      <c r="A69" s="2" t="s">
        <v>1806</v>
      </c>
      <c r="B69" s="11" t="s">
        <v>415</v>
      </c>
      <c r="C69" s="2" t="s">
        <v>1804</v>
      </c>
    </row>
    <row r="70" spans="1:3" x14ac:dyDescent="0.25">
      <c r="A70" s="2" t="s">
        <v>1806</v>
      </c>
      <c r="B70" s="11" t="s">
        <v>424</v>
      </c>
      <c r="C70" s="2" t="s">
        <v>427</v>
      </c>
    </row>
    <row r="71" spans="1:3" x14ac:dyDescent="0.25">
      <c r="A71" s="2" t="s">
        <v>1806</v>
      </c>
      <c r="B71" s="11" t="s">
        <v>433</v>
      </c>
      <c r="C71" s="2" t="s">
        <v>489</v>
      </c>
    </row>
    <row r="72" spans="1:3" x14ac:dyDescent="0.25">
      <c r="A72" s="2" t="s">
        <v>1806</v>
      </c>
      <c r="B72" s="11" t="s">
        <v>438</v>
      </c>
      <c r="C72" s="2" t="s">
        <v>489</v>
      </c>
    </row>
    <row r="73" spans="1:3" x14ac:dyDescent="0.25">
      <c r="A73" s="2" t="s">
        <v>1806</v>
      </c>
      <c r="B73" s="11" t="s">
        <v>444</v>
      </c>
      <c r="C73" s="2" t="s">
        <v>523</v>
      </c>
    </row>
    <row r="74" spans="1:3" x14ac:dyDescent="0.25">
      <c r="A74" s="2" t="s">
        <v>1806</v>
      </c>
      <c r="B74" s="11" t="s">
        <v>446</v>
      </c>
      <c r="C74" s="2" t="s">
        <v>361</v>
      </c>
    </row>
    <row r="75" spans="1:3" x14ac:dyDescent="0.25">
      <c r="A75" s="2" t="s">
        <v>1806</v>
      </c>
      <c r="B75" s="11" t="s">
        <v>450</v>
      </c>
      <c r="C75" s="2" t="s">
        <v>489</v>
      </c>
    </row>
    <row r="76" spans="1:3" x14ac:dyDescent="0.25">
      <c r="A76" s="2" t="s">
        <v>1807</v>
      </c>
      <c r="B76" s="11" t="s">
        <v>465</v>
      </c>
      <c r="C76" s="2" t="s">
        <v>361</v>
      </c>
    </row>
    <row r="77" spans="1:3" x14ac:dyDescent="0.25">
      <c r="A77" s="2" t="s">
        <v>1807</v>
      </c>
      <c r="B77" s="11" t="s">
        <v>469</v>
      </c>
      <c r="C77" s="2" t="s">
        <v>361</v>
      </c>
    </row>
    <row r="78" spans="1:3" x14ac:dyDescent="0.25">
      <c r="A78" s="2" t="s">
        <v>1807</v>
      </c>
      <c r="B78" s="11" t="s">
        <v>472</v>
      </c>
      <c r="C78" s="2" t="s">
        <v>489</v>
      </c>
    </row>
    <row r="79" spans="1:3" x14ac:dyDescent="0.25">
      <c r="A79" s="2" t="s">
        <v>1807</v>
      </c>
      <c r="B79" s="11" t="s">
        <v>477</v>
      </c>
      <c r="C79" s="2" t="s">
        <v>361</v>
      </c>
    </row>
    <row r="80" spans="1:3" x14ac:dyDescent="0.25">
      <c r="A80" s="2" t="s">
        <v>1807</v>
      </c>
      <c r="B80" s="11" t="s">
        <v>481</v>
      </c>
      <c r="C80" s="2" t="s">
        <v>523</v>
      </c>
    </row>
    <row r="81" spans="1:3" x14ac:dyDescent="0.25">
      <c r="A81" s="2" t="s">
        <v>1807</v>
      </c>
      <c r="B81" s="11" t="s">
        <v>484</v>
      </c>
      <c r="C81" s="2" t="s">
        <v>1804</v>
      </c>
    </row>
    <row r="82" spans="1:3" x14ac:dyDescent="0.25">
      <c r="A82" s="2" t="s">
        <v>1808</v>
      </c>
      <c r="B82" s="11" t="s">
        <v>502</v>
      </c>
      <c r="C82" s="2" t="s">
        <v>489</v>
      </c>
    </row>
    <row r="83" spans="1:3" x14ac:dyDescent="0.25">
      <c r="A83" s="2" t="s">
        <v>1808</v>
      </c>
      <c r="B83" s="11" t="s">
        <v>506</v>
      </c>
      <c r="C83" s="2" t="s">
        <v>523</v>
      </c>
    </row>
    <row r="84" spans="1:3" x14ac:dyDescent="0.25">
      <c r="A84" s="2" t="s">
        <v>1808</v>
      </c>
      <c r="B84" s="11" t="s">
        <v>510</v>
      </c>
      <c r="C84" s="2" t="s">
        <v>360</v>
      </c>
    </row>
    <row r="85" spans="1:3" x14ac:dyDescent="0.25">
      <c r="A85" s="2" t="s">
        <v>1808</v>
      </c>
      <c r="B85" s="11" t="s">
        <v>511</v>
      </c>
      <c r="C85" s="2" t="s">
        <v>1804</v>
      </c>
    </row>
    <row r="86" spans="1:3" x14ac:dyDescent="0.25">
      <c r="A86" s="2" t="s">
        <v>1808</v>
      </c>
      <c r="B86" s="11" t="s">
        <v>533</v>
      </c>
      <c r="C86" s="2" t="s">
        <v>490</v>
      </c>
    </row>
    <row r="87" spans="1:3" x14ac:dyDescent="0.25">
      <c r="A87" s="2" t="s">
        <v>1809</v>
      </c>
      <c r="B87" s="11" t="s">
        <v>545</v>
      </c>
      <c r="C87" s="2" t="s">
        <v>1804</v>
      </c>
    </row>
    <row r="88" spans="1:3" x14ac:dyDescent="0.25">
      <c r="A88" s="2" t="s">
        <v>1809</v>
      </c>
      <c r="B88" s="11" t="s">
        <v>553</v>
      </c>
      <c r="C88" s="2" t="s">
        <v>1804</v>
      </c>
    </row>
    <row r="89" spans="1:3" x14ac:dyDescent="0.25">
      <c r="A89" s="2" t="s">
        <v>1809</v>
      </c>
      <c r="B89" s="11" t="s">
        <v>561</v>
      </c>
      <c r="C89" s="2" t="s">
        <v>523</v>
      </c>
    </row>
    <row r="90" spans="1:3" x14ac:dyDescent="0.25">
      <c r="A90" s="2" t="s">
        <v>1809</v>
      </c>
      <c r="B90" s="11" t="s">
        <v>564</v>
      </c>
      <c r="C90" s="2" t="s">
        <v>1804</v>
      </c>
    </row>
    <row r="91" spans="1:3" x14ac:dyDescent="0.25">
      <c r="A91" s="2" t="s">
        <v>1809</v>
      </c>
      <c r="B91" s="11" t="s">
        <v>568</v>
      </c>
      <c r="C91" s="2" t="s">
        <v>523</v>
      </c>
    </row>
    <row r="92" spans="1:3" x14ac:dyDescent="0.25">
      <c r="A92" s="2" t="s">
        <v>1809</v>
      </c>
      <c r="B92" s="11" t="s">
        <v>571</v>
      </c>
      <c r="C92" s="2" t="s">
        <v>360</v>
      </c>
    </row>
    <row r="93" spans="1:3" x14ac:dyDescent="0.25">
      <c r="A93" s="2" t="s">
        <v>1809</v>
      </c>
      <c r="B93" s="11" t="s">
        <v>572</v>
      </c>
      <c r="C93" s="2" t="s">
        <v>489</v>
      </c>
    </row>
    <row r="94" spans="1:3" x14ac:dyDescent="0.25">
      <c r="A94" s="2" t="s">
        <v>1809</v>
      </c>
      <c r="B94" s="11" t="s">
        <v>578</v>
      </c>
      <c r="C94" s="2" t="s">
        <v>489</v>
      </c>
    </row>
    <row r="95" spans="1:3" x14ac:dyDescent="0.25">
      <c r="A95" s="2" t="s">
        <v>1809</v>
      </c>
      <c r="B95" s="11" t="s">
        <v>589</v>
      </c>
      <c r="C95" s="2" t="s">
        <v>489</v>
      </c>
    </row>
    <row r="96" spans="1:3" x14ac:dyDescent="0.25">
      <c r="A96" s="2" t="s">
        <v>1809</v>
      </c>
      <c r="B96" s="11" t="s">
        <v>599</v>
      </c>
      <c r="C96" s="2" t="s">
        <v>489</v>
      </c>
    </row>
    <row r="97" spans="1:3" x14ac:dyDescent="0.25">
      <c r="A97" s="2" t="s">
        <v>1809</v>
      </c>
      <c r="B97" s="11" t="s">
        <v>609</v>
      </c>
      <c r="C97" s="2" t="s">
        <v>1804</v>
      </c>
    </row>
    <row r="98" spans="1:3" x14ac:dyDescent="0.25">
      <c r="A98" s="2" t="s">
        <v>1809</v>
      </c>
      <c r="B98" s="11" t="s">
        <v>619</v>
      </c>
      <c r="C98" s="2" t="s">
        <v>1804</v>
      </c>
    </row>
    <row r="99" spans="1:3" x14ac:dyDescent="0.25">
      <c r="A99" s="2" t="s">
        <v>1809</v>
      </c>
      <c r="B99" s="11" t="s">
        <v>627</v>
      </c>
      <c r="C99" s="2" t="s">
        <v>1810</v>
      </c>
    </row>
    <row r="100" spans="1:3" x14ac:dyDescent="0.25">
      <c r="A100" s="2" t="s">
        <v>1809</v>
      </c>
      <c r="B100" s="11" t="s">
        <v>631</v>
      </c>
      <c r="C100" s="2" t="s">
        <v>489</v>
      </c>
    </row>
    <row r="101" spans="1:3" x14ac:dyDescent="0.25">
      <c r="A101" s="2" t="s">
        <v>1809</v>
      </c>
      <c r="B101" s="11" t="s">
        <v>636</v>
      </c>
      <c r="C101" s="2" t="s">
        <v>418</v>
      </c>
    </row>
    <row r="102" spans="1:3" x14ac:dyDescent="0.25">
      <c r="A102" s="2" t="s">
        <v>1809</v>
      </c>
      <c r="B102" s="11" t="s">
        <v>639</v>
      </c>
      <c r="C102" s="2" t="s">
        <v>418</v>
      </c>
    </row>
    <row r="103" spans="1:3" x14ac:dyDescent="0.25">
      <c r="A103" s="2" t="s">
        <v>1809</v>
      </c>
      <c r="B103" s="11" t="s">
        <v>641</v>
      </c>
      <c r="C103" s="2" t="s">
        <v>418</v>
      </c>
    </row>
    <row r="104" spans="1:3" x14ac:dyDescent="0.25">
      <c r="A104" s="2" t="s">
        <v>1809</v>
      </c>
      <c r="B104" s="11" t="s">
        <v>643</v>
      </c>
      <c r="C104" s="2" t="s">
        <v>361</v>
      </c>
    </row>
    <row r="105" spans="1:3" x14ac:dyDescent="0.25">
      <c r="A105" s="2" t="s">
        <v>1809</v>
      </c>
      <c r="B105" s="11" t="s">
        <v>646</v>
      </c>
      <c r="C105" s="2" t="s">
        <v>418</v>
      </c>
    </row>
    <row r="106" spans="1:3" x14ac:dyDescent="0.25">
      <c r="A106" s="2" t="s">
        <v>1809</v>
      </c>
      <c r="B106" s="11" t="s">
        <v>648</v>
      </c>
      <c r="C106" s="2" t="s">
        <v>418</v>
      </c>
    </row>
    <row r="107" spans="1:3" x14ac:dyDescent="0.25">
      <c r="A107" s="2" t="s">
        <v>1809</v>
      </c>
      <c r="B107" s="11" t="s">
        <v>649</v>
      </c>
      <c r="C107" s="2" t="s">
        <v>418</v>
      </c>
    </row>
    <row r="108" spans="1:3" x14ac:dyDescent="0.25">
      <c r="A108" s="2" t="s">
        <v>1809</v>
      </c>
      <c r="B108" s="11" t="s">
        <v>651</v>
      </c>
      <c r="C108" s="2" t="s">
        <v>361</v>
      </c>
    </row>
    <row r="109" spans="1:3" x14ac:dyDescent="0.25">
      <c r="A109" s="2" t="s">
        <v>1809</v>
      </c>
      <c r="B109" s="11" t="s">
        <v>654</v>
      </c>
      <c r="C109" s="2" t="s">
        <v>418</v>
      </c>
    </row>
    <row r="110" spans="1:3" x14ac:dyDescent="0.25">
      <c r="A110" s="2" t="s">
        <v>1809</v>
      </c>
      <c r="B110" s="11" t="s">
        <v>656</v>
      </c>
      <c r="C110" s="2" t="s">
        <v>418</v>
      </c>
    </row>
    <row r="111" spans="1:3" x14ac:dyDescent="0.25">
      <c r="A111" s="2" t="s">
        <v>1809</v>
      </c>
      <c r="B111" s="11" t="s">
        <v>657</v>
      </c>
      <c r="C111" s="2" t="s">
        <v>418</v>
      </c>
    </row>
    <row r="112" spans="1:3" x14ac:dyDescent="0.25">
      <c r="A112" s="2" t="s">
        <v>1809</v>
      </c>
      <c r="B112" s="11" t="s">
        <v>658</v>
      </c>
      <c r="C112" s="2" t="s">
        <v>361</v>
      </c>
    </row>
    <row r="113" spans="1:3" x14ac:dyDescent="0.25">
      <c r="A113" s="2" t="s">
        <v>1809</v>
      </c>
      <c r="B113" s="11" t="s">
        <v>661</v>
      </c>
      <c r="C113" s="2" t="s">
        <v>418</v>
      </c>
    </row>
    <row r="114" spans="1:3" x14ac:dyDescent="0.25">
      <c r="A114" s="2" t="s">
        <v>1809</v>
      </c>
      <c r="B114" s="11" t="s">
        <v>663</v>
      </c>
      <c r="C114" s="2" t="s">
        <v>418</v>
      </c>
    </row>
    <row r="115" spans="1:3" x14ac:dyDescent="0.25">
      <c r="A115" s="2" t="s">
        <v>1809</v>
      </c>
      <c r="B115" s="11" t="s">
        <v>664</v>
      </c>
      <c r="C115" s="2" t="s">
        <v>418</v>
      </c>
    </row>
    <row r="116" spans="1:3" x14ac:dyDescent="0.25">
      <c r="A116" s="2" t="s">
        <v>1809</v>
      </c>
      <c r="B116" s="11" t="s">
        <v>666</v>
      </c>
      <c r="C116" s="2" t="s">
        <v>361</v>
      </c>
    </row>
    <row r="117" spans="1:3" x14ac:dyDescent="0.25">
      <c r="A117" s="2" t="s">
        <v>1809</v>
      </c>
      <c r="B117" s="11" t="s">
        <v>669</v>
      </c>
      <c r="C117" s="2" t="s">
        <v>489</v>
      </c>
    </row>
    <row r="118" spans="1:3" x14ac:dyDescent="0.25">
      <c r="A118" s="2" t="s">
        <v>1809</v>
      </c>
      <c r="B118" s="11" t="s">
        <v>679</v>
      </c>
      <c r="C118" s="2" t="s">
        <v>489</v>
      </c>
    </row>
    <row r="119" spans="1:3" x14ac:dyDescent="0.25">
      <c r="A119" s="2" t="s">
        <v>1809</v>
      </c>
      <c r="B119" s="11" t="s">
        <v>682</v>
      </c>
      <c r="C119" s="2" t="s">
        <v>361</v>
      </c>
    </row>
    <row r="120" spans="1:3" x14ac:dyDescent="0.25">
      <c r="A120" s="2" t="s">
        <v>1809</v>
      </c>
      <c r="B120" s="11" t="s">
        <v>684</v>
      </c>
      <c r="C120" s="2" t="s">
        <v>489</v>
      </c>
    </row>
    <row r="121" spans="1:3" x14ac:dyDescent="0.25">
      <c r="A121" s="2" t="s">
        <v>1809</v>
      </c>
      <c r="B121" s="11" t="s">
        <v>687</v>
      </c>
      <c r="C121" s="2" t="s">
        <v>489</v>
      </c>
    </row>
    <row r="122" spans="1:3" x14ac:dyDescent="0.25">
      <c r="A122" s="2" t="s">
        <v>1809</v>
      </c>
      <c r="B122" s="11" t="s">
        <v>692</v>
      </c>
      <c r="C122" s="2" t="s">
        <v>489</v>
      </c>
    </row>
    <row r="123" spans="1:3" x14ac:dyDescent="0.25">
      <c r="A123" s="2" t="s">
        <v>1809</v>
      </c>
      <c r="B123" s="11" t="s">
        <v>695</v>
      </c>
      <c r="C123" s="2" t="s">
        <v>489</v>
      </c>
    </row>
    <row r="124" spans="1:3" x14ac:dyDescent="0.25">
      <c r="A124" s="2" t="s">
        <v>1809</v>
      </c>
      <c r="B124" s="11" t="s">
        <v>696</v>
      </c>
      <c r="C124" s="2" t="s">
        <v>489</v>
      </c>
    </row>
    <row r="125" spans="1:3" x14ac:dyDescent="0.25">
      <c r="A125" s="2" t="s">
        <v>1809</v>
      </c>
      <c r="B125" s="11" t="s">
        <v>697</v>
      </c>
      <c r="C125" s="2" t="s">
        <v>489</v>
      </c>
    </row>
    <row r="126" spans="1:3" x14ac:dyDescent="0.25">
      <c r="A126" s="2" t="s">
        <v>1809</v>
      </c>
      <c r="B126" s="11" t="s">
        <v>700</v>
      </c>
      <c r="C126" s="2" t="s">
        <v>523</v>
      </c>
    </row>
    <row r="127" spans="1:3" x14ac:dyDescent="0.25">
      <c r="A127" s="2" t="s">
        <v>1809</v>
      </c>
      <c r="B127" s="11" t="s">
        <v>706</v>
      </c>
      <c r="C127" s="2" t="s">
        <v>361</v>
      </c>
    </row>
    <row r="128" spans="1:3" x14ac:dyDescent="0.25">
      <c r="A128" s="2" t="s">
        <v>1809</v>
      </c>
      <c r="B128" s="11" t="s">
        <v>709</v>
      </c>
      <c r="C128" s="2" t="s">
        <v>361</v>
      </c>
    </row>
    <row r="129" spans="1:3" x14ac:dyDescent="0.25">
      <c r="A129" s="2" t="s">
        <v>1809</v>
      </c>
      <c r="B129" s="11" t="s">
        <v>711</v>
      </c>
      <c r="C129" s="2" t="s">
        <v>361</v>
      </c>
    </row>
    <row r="130" spans="1:3" x14ac:dyDescent="0.25">
      <c r="A130" s="2" t="s">
        <v>1809</v>
      </c>
      <c r="B130" s="11" t="s">
        <v>713</v>
      </c>
      <c r="C130" s="2" t="s">
        <v>1804</v>
      </c>
    </row>
    <row r="131" spans="1:3" x14ac:dyDescent="0.25">
      <c r="A131" s="2" t="s">
        <v>1809</v>
      </c>
      <c r="B131" s="11" t="s">
        <v>718</v>
      </c>
      <c r="C131" s="2" t="s">
        <v>1804</v>
      </c>
    </row>
    <row r="132" spans="1:3" x14ac:dyDescent="0.25">
      <c r="A132" s="2" t="s">
        <v>1809</v>
      </c>
      <c r="B132" s="11" t="s">
        <v>723</v>
      </c>
      <c r="C132" s="2" t="s">
        <v>523</v>
      </c>
    </row>
    <row r="133" spans="1:3" x14ac:dyDescent="0.25">
      <c r="A133" s="2" t="s">
        <v>1809</v>
      </c>
      <c r="B133" s="11" t="s">
        <v>726</v>
      </c>
      <c r="C133" s="2" t="s">
        <v>360</v>
      </c>
    </row>
    <row r="134" spans="1:3" x14ac:dyDescent="0.25">
      <c r="A134" s="2" t="s">
        <v>1809</v>
      </c>
      <c r="B134" s="11" t="s">
        <v>727</v>
      </c>
      <c r="C134" s="2" t="s">
        <v>360</v>
      </c>
    </row>
    <row r="135" spans="1:3" x14ac:dyDescent="0.25">
      <c r="A135" s="2" t="s">
        <v>1809</v>
      </c>
      <c r="B135" s="11" t="s">
        <v>728</v>
      </c>
      <c r="C135" s="2" t="s">
        <v>489</v>
      </c>
    </row>
    <row r="136" spans="1:3" x14ac:dyDescent="0.25">
      <c r="A136" s="2" t="s">
        <v>1809</v>
      </c>
      <c r="B136" s="11" t="s">
        <v>734</v>
      </c>
      <c r="C136" s="2" t="s">
        <v>489</v>
      </c>
    </row>
    <row r="137" spans="1:3" x14ac:dyDescent="0.25">
      <c r="A137" s="2" t="s">
        <v>1809</v>
      </c>
      <c r="B137" s="11" t="s">
        <v>741</v>
      </c>
      <c r="C137" s="2" t="s">
        <v>1804</v>
      </c>
    </row>
    <row r="138" spans="1:3" x14ac:dyDescent="0.25">
      <c r="A138" s="2" t="s">
        <v>1809</v>
      </c>
      <c r="B138" s="11" t="s">
        <v>754</v>
      </c>
      <c r="C138" s="2" t="s">
        <v>489</v>
      </c>
    </row>
    <row r="139" spans="1:3" x14ac:dyDescent="0.25">
      <c r="A139" s="2" t="s">
        <v>1809</v>
      </c>
      <c r="B139" s="11" t="s">
        <v>759</v>
      </c>
      <c r="C139" s="2" t="s">
        <v>1804</v>
      </c>
    </row>
    <row r="140" spans="1:3" x14ac:dyDescent="0.25">
      <c r="A140" s="2" t="s">
        <v>1809</v>
      </c>
      <c r="B140" s="11" t="s">
        <v>774</v>
      </c>
      <c r="C140" s="2" t="s">
        <v>523</v>
      </c>
    </row>
    <row r="141" spans="1:3" x14ac:dyDescent="0.25">
      <c r="A141" s="2" t="s">
        <v>1809</v>
      </c>
      <c r="B141" s="11" t="s">
        <v>778</v>
      </c>
      <c r="C141" s="2" t="s">
        <v>1810</v>
      </c>
    </row>
    <row r="142" spans="1:3" x14ac:dyDescent="0.25">
      <c r="A142" s="2" t="s">
        <v>1809</v>
      </c>
      <c r="B142" s="11" t="s">
        <v>780</v>
      </c>
      <c r="C142" s="2" t="s">
        <v>489</v>
      </c>
    </row>
    <row r="143" spans="1:3" x14ac:dyDescent="0.25">
      <c r="A143" s="2" t="s">
        <v>1809</v>
      </c>
      <c r="B143" s="11" t="s">
        <v>785</v>
      </c>
      <c r="C143" s="2" t="s">
        <v>361</v>
      </c>
    </row>
    <row r="144" spans="1:3" x14ac:dyDescent="0.25">
      <c r="A144" s="2" t="s">
        <v>1809</v>
      </c>
      <c r="B144" s="11" t="s">
        <v>788</v>
      </c>
      <c r="C144" s="2" t="s">
        <v>361</v>
      </c>
    </row>
    <row r="145" spans="1:3" x14ac:dyDescent="0.25">
      <c r="A145" s="2" t="s">
        <v>1809</v>
      </c>
      <c r="B145" s="11" t="s">
        <v>790</v>
      </c>
      <c r="C145" s="2" t="s">
        <v>361</v>
      </c>
    </row>
    <row r="146" spans="1:3" x14ac:dyDescent="0.25">
      <c r="A146" s="2" t="s">
        <v>1809</v>
      </c>
      <c r="B146" s="11" t="s">
        <v>792</v>
      </c>
      <c r="C146" s="2" t="s">
        <v>523</v>
      </c>
    </row>
    <row r="147" spans="1:3" x14ac:dyDescent="0.25">
      <c r="A147" s="2" t="s">
        <v>1809</v>
      </c>
      <c r="B147" s="11" t="s">
        <v>795</v>
      </c>
      <c r="C147" s="2" t="s">
        <v>523</v>
      </c>
    </row>
    <row r="148" spans="1:3" x14ac:dyDescent="0.25">
      <c r="A148" s="2" t="s">
        <v>1809</v>
      </c>
      <c r="B148" s="11" t="s">
        <v>798</v>
      </c>
      <c r="C148" s="2" t="s">
        <v>523</v>
      </c>
    </row>
    <row r="149" spans="1:3" x14ac:dyDescent="0.25">
      <c r="A149" s="2" t="s">
        <v>1811</v>
      </c>
      <c r="B149" s="11" t="s">
        <v>801</v>
      </c>
      <c r="C149" s="2" t="s">
        <v>489</v>
      </c>
    </row>
    <row r="150" spans="1:3" x14ac:dyDescent="0.25">
      <c r="A150" s="2" t="s">
        <v>1811</v>
      </c>
      <c r="B150" s="11" t="s">
        <v>805</v>
      </c>
      <c r="C150" s="2" t="s">
        <v>489</v>
      </c>
    </row>
    <row r="151" spans="1:3" x14ac:dyDescent="0.25">
      <c r="A151" s="2" t="s">
        <v>1811</v>
      </c>
      <c r="B151" s="11" t="s">
        <v>810</v>
      </c>
      <c r="C151" s="2" t="s">
        <v>489</v>
      </c>
    </row>
    <row r="152" spans="1:3" x14ac:dyDescent="0.25">
      <c r="A152" s="2" t="s">
        <v>1811</v>
      </c>
      <c r="B152" s="11" t="s">
        <v>815</v>
      </c>
      <c r="C152" s="2" t="s">
        <v>489</v>
      </c>
    </row>
    <row r="153" spans="1:3" x14ac:dyDescent="0.25">
      <c r="A153" s="2" t="s">
        <v>1811</v>
      </c>
      <c r="B153" s="11" t="s">
        <v>818</v>
      </c>
      <c r="C153" s="2" t="s">
        <v>523</v>
      </c>
    </row>
    <row r="154" spans="1:3" x14ac:dyDescent="0.25">
      <c r="A154" s="2" t="s">
        <v>1811</v>
      </c>
      <c r="B154" s="11" t="s">
        <v>824</v>
      </c>
      <c r="C154" s="2" t="s">
        <v>490</v>
      </c>
    </row>
    <row r="155" spans="1:3" x14ac:dyDescent="0.25">
      <c r="A155" s="2" t="s">
        <v>1812</v>
      </c>
      <c r="B155" s="11" t="s">
        <v>828</v>
      </c>
      <c r="C155" s="2" t="s">
        <v>1804</v>
      </c>
    </row>
    <row r="156" spans="1:3" x14ac:dyDescent="0.25">
      <c r="A156" s="2" t="s">
        <v>1812</v>
      </c>
      <c r="B156" s="11" t="s">
        <v>836</v>
      </c>
      <c r="C156" s="2" t="s">
        <v>523</v>
      </c>
    </row>
    <row r="157" spans="1:3" x14ac:dyDescent="0.25">
      <c r="A157" s="2" t="s">
        <v>1812</v>
      </c>
      <c r="B157" s="11" t="s">
        <v>840</v>
      </c>
      <c r="C157" s="2" t="s">
        <v>489</v>
      </c>
    </row>
    <row r="158" spans="1:3" x14ac:dyDescent="0.25">
      <c r="A158" s="2" t="s">
        <v>1812</v>
      </c>
      <c r="B158" s="11" t="s">
        <v>846</v>
      </c>
      <c r="C158" s="2" t="s">
        <v>489</v>
      </c>
    </row>
    <row r="159" spans="1:3" x14ac:dyDescent="0.25">
      <c r="A159" s="2" t="s">
        <v>1812</v>
      </c>
      <c r="B159" s="11" t="s">
        <v>848</v>
      </c>
      <c r="C159" s="2" t="s">
        <v>523</v>
      </c>
    </row>
    <row r="160" spans="1:3" x14ac:dyDescent="0.25">
      <c r="A160" s="2" t="s">
        <v>1812</v>
      </c>
      <c r="B160" s="11" t="s">
        <v>851</v>
      </c>
      <c r="C160" s="2" t="s">
        <v>490</v>
      </c>
    </row>
    <row r="161" spans="1:3" x14ac:dyDescent="0.25">
      <c r="A161" s="2" t="s">
        <v>1812</v>
      </c>
      <c r="B161" s="11" t="s">
        <v>854</v>
      </c>
      <c r="C161" s="2" t="s">
        <v>489</v>
      </c>
    </row>
    <row r="162" spans="1:3" x14ac:dyDescent="0.25">
      <c r="A162" s="2" t="s">
        <v>1812</v>
      </c>
      <c r="B162" s="11" t="s">
        <v>856</v>
      </c>
      <c r="C162" s="2" t="s">
        <v>490</v>
      </c>
    </row>
    <row r="163" spans="1:3" x14ac:dyDescent="0.25">
      <c r="A163" s="2" t="s">
        <v>1812</v>
      </c>
      <c r="B163" s="11" t="s">
        <v>859</v>
      </c>
      <c r="C163" s="2" t="s">
        <v>489</v>
      </c>
    </row>
    <row r="164" spans="1:3" x14ac:dyDescent="0.25">
      <c r="A164" s="2" t="s">
        <v>1812</v>
      </c>
      <c r="B164" s="11" t="s">
        <v>864</v>
      </c>
      <c r="C164" s="2" t="s">
        <v>360</v>
      </c>
    </row>
    <row r="165" spans="1:3" x14ac:dyDescent="0.25">
      <c r="A165" s="2" t="s">
        <v>1812</v>
      </c>
      <c r="B165" s="11" t="s">
        <v>865</v>
      </c>
      <c r="C165" s="2" t="s">
        <v>361</v>
      </c>
    </row>
    <row r="166" spans="1:3" x14ac:dyDescent="0.25">
      <c r="A166" s="2" t="s">
        <v>1812</v>
      </c>
      <c r="B166" s="11" t="s">
        <v>869</v>
      </c>
      <c r="C166" s="2" t="s">
        <v>523</v>
      </c>
    </row>
    <row r="167" spans="1:3" x14ac:dyDescent="0.25">
      <c r="A167" s="2" t="s">
        <v>1812</v>
      </c>
      <c r="B167" s="11" t="s">
        <v>873</v>
      </c>
      <c r="C167" s="2" t="s">
        <v>489</v>
      </c>
    </row>
    <row r="168" spans="1:3" x14ac:dyDescent="0.25">
      <c r="A168" s="2" t="s">
        <v>1813</v>
      </c>
      <c r="B168" s="11" t="s">
        <v>879</v>
      </c>
      <c r="C168" s="2" t="s">
        <v>523</v>
      </c>
    </row>
    <row r="169" spans="1:3" x14ac:dyDescent="0.25">
      <c r="A169" s="2" t="s">
        <v>1813</v>
      </c>
      <c r="B169" s="11" t="s">
        <v>893</v>
      </c>
      <c r="C169" s="2" t="s">
        <v>489</v>
      </c>
    </row>
    <row r="170" spans="1:3" x14ac:dyDescent="0.25">
      <c r="A170" s="2" t="s">
        <v>1813</v>
      </c>
      <c r="B170" s="11" t="s">
        <v>898</v>
      </c>
      <c r="C170" s="2" t="s">
        <v>418</v>
      </c>
    </row>
    <row r="171" spans="1:3" x14ac:dyDescent="0.25">
      <c r="A171" s="2" t="s">
        <v>1813</v>
      </c>
      <c r="B171" s="11" t="s">
        <v>900</v>
      </c>
      <c r="C171" s="2" t="s">
        <v>490</v>
      </c>
    </row>
    <row r="172" spans="1:3" x14ac:dyDescent="0.25">
      <c r="A172" s="2" t="s">
        <v>1813</v>
      </c>
      <c r="B172" s="11" t="s">
        <v>903</v>
      </c>
      <c r="C172" s="2" t="s">
        <v>1804</v>
      </c>
    </row>
    <row r="173" spans="1:3" x14ac:dyDescent="0.25">
      <c r="A173" s="2" t="s">
        <v>1813</v>
      </c>
      <c r="B173" s="11" t="s">
        <v>918</v>
      </c>
      <c r="C173" s="2" t="s">
        <v>1804</v>
      </c>
    </row>
    <row r="174" spans="1:3" x14ac:dyDescent="0.25">
      <c r="A174" s="2" t="s">
        <v>1813</v>
      </c>
      <c r="B174" s="11" t="s">
        <v>925</v>
      </c>
      <c r="C174" s="2" t="s">
        <v>489</v>
      </c>
    </row>
    <row r="175" spans="1:3" x14ac:dyDescent="0.25">
      <c r="A175" s="2" t="s">
        <v>1813</v>
      </c>
      <c r="B175" s="11" t="s">
        <v>932</v>
      </c>
      <c r="C175" s="2" t="s">
        <v>489</v>
      </c>
    </row>
    <row r="176" spans="1:3" x14ac:dyDescent="0.25">
      <c r="A176" s="2" t="s">
        <v>1813</v>
      </c>
      <c r="B176" s="11" t="s">
        <v>939</v>
      </c>
      <c r="C176" s="2" t="s">
        <v>489</v>
      </c>
    </row>
    <row r="177" spans="1:3" x14ac:dyDescent="0.25">
      <c r="A177" s="2" t="s">
        <v>1813</v>
      </c>
      <c r="B177" s="11" t="s">
        <v>944</v>
      </c>
      <c r="C177" s="2" t="s">
        <v>489</v>
      </c>
    </row>
    <row r="178" spans="1:3" x14ac:dyDescent="0.25">
      <c r="A178" s="2" t="s">
        <v>1813</v>
      </c>
      <c r="B178" s="11" t="s">
        <v>948</v>
      </c>
      <c r="C178" s="2" t="s">
        <v>1804</v>
      </c>
    </row>
    <row r="179" spans="1:3" x14ac:dyDescent="0.25">
      <c r="A179" s="2" t="s">
        <v>1813</v>
      </c>
      <c r="B179" s="11" t="s">
        <v>955</v>
      </c>
      <c r="C179" s="2" t="s">
        <v>489</v>
      </c>
    </row>
    <row r="180" spans="1:3" x14ac:dyDescent="0.25">
      <c r="A180" s="2" t="s">
        <v>1814</v>
      </c>
      <c r="B180" s="11" t="s">
        <v>959</v>
      </c>
      <c r="C180" s="2" t="s">
        <v>360</v>
      </c>
    </row>
    <row r="181" spans="1:3" x14ac:dyDescent="0.25">
      <c r="A181" s="2" t="s">
        <v>1814</v>
      </c>
      <c r="B181" s="11" t="s">
        <v>960</v>
      </c>
      <c r="C181" s="2" t="s">
        <v>489</v>
      </c>
    </row>
    <row r="182" spans="1:3" x14ac:dyDescent="0.25">
      <c r="A182" s="2" t="s">
        <v>1814</v>
      </c>
      <c r="B182" s="11" t="s">
        <v>964</v>
      </c>
      <c r="C182" s="2" t="s">
        <v>361</v>
      </c>
    </row>
    <row r="183" spans="1:3" x14ac:dyDescent="0.25">
      <c r="A183" s="2" t="s">
        <v>1814</v>
      </c>
      <c r="B183" s="11" t="s">
        <v>967</v>
      </c>
      <c r="C183" s="2" t="s">
        <v>523</v>
      </c>
    </row>
    <row r="184" spans="1:3" x14ac:dyDescent="0.25">
      <c r="A184" s="2" t="s">
        <v>1815</v>
      </c>
      <c r="B184" s="11" t="s">
        <v>972</v>
      </c>
      <c r="C184" s="2" t="s">
        <v>523</v>
      </c>
    </row>
    <row r="185" spans="1:3" x14ac:dyDescent="0.25">
      <c r="A185" s="2" t="s">
        <v>1815</v>
      </c>
      <c r="B185" s="11" t="s">
        <v>976</v>
      </c>
      <c r="C185" s="2" t="s">
        <v>489</v>
      </c>
    </row>
    <row r="186" spans="1:3" x14ac:dyDescent="0.25">
      <c r="A186" s="2" t="s">
        <v>1815</v>
      </c>
      <c r="B186" s="11" t="s">
        <v>980</v>
      </c>
      <c r="C186" s="2" t="s">
        <v>489</v>
      </c>
    </row>
    <row r="187" spans="1:3" x14ac:dyDescent="0.25">
      <c r="A187" s="2" t="s">
        <v>1815</v>
      </c>
      <c r="B187" s="11" t="s">
        <v>984</v>
      </c>
      <c r="C187" s="2" t="s">
        <v>489</v>
      </c>
    </row>
    <row r="188" spans="1:3" x14ac:dyDescent="0.25">
      <c r="A188" s="2" t="s">
        <v>1815</v>
      </c>
      <c r="B188" s="11" t="s">
        <v>986</v>
      </c>
      <c r="C188" s="2" t="s">
        <v>489</v>
      </c>
    </row>
    <row r="189" spans="1:3" x14ac:dyDescent="0.25">
      <c r="A189" s="2" t="s">
        <v>1816</v>
      </c>
      <c r="B189" s="11" t="s">
        <v>989</v>
      </c>
      <c r="C189" s="2" t="s">
        <v>489</v>
      </c>
    </row>
    <row r="190" spans="1:3" x14ac:dyDescent="0.25">
      <c r="A190" s="2" t="s">
        <v>1816</v>
      </c>
      <c r="B190" s="11" t="s">
        <v>993</v>
      </c>
      <c r="C190" s="2" t="s">
        <v>489</v>
      </c>
    </row>
    <row r="191" spans="1:3" x14ac:dyDescent="0.25">
      <c r="A191" s="2" t="s">
        <v>1816</v>
      </c>
      <c r="B191" s="11" t="s">
        <v>1001</v>
      </c>
      <c r="C191" s="2" t="s">
        <v>489</v>
      </c>
    </row>
    <row r="192" spans="1:3" x14ac:dyDescent="0.25">
      <c r="A192" s="2" t="s">
        <v>1816</v>
      </c>
      <c r="B192" s="11" t="s">
        <v>1004</v>
      </c>
      <c r="C192" s="2" t="s">
        <v>489</v>
      </c>
    </row>
    <row r="193" spans="1:3" x14ac:dyDescent="0.25">
      <c r="A193" s="2" t="s">
        <v>1816</v>
      </c>
      <c r="B193" s="11" t="s">
        <v>1006</v>
      </c>
      <c r="C193" s="2" t="s">
        <v>489</v>
      </c>
    </row>
    <row r="194" spans="1:3" x14ac:dyDescent="0.25">
      <c r="A194" s="2" t="s">
        <v>1816</v>
      </c>
      <c r="B194" s="11" t="s">
        <v>1008</v>
      </c>
      <c r="C194" s="2" t="s">
        <v>489</v>
      </c>
    </row>
    <row r="195" spans="1:3" x14ac:dyDescent="0.25">
      <c r="A195" s="2" t="s">
        <v>1817</v>
      </c>
      <c r="B195" s="11" t="s">
        <v>1011</v>
      </c>
      <c r="C195" s="2" t="s">
        <v>360</v>
      </c>
    </row>
    <row r="196" spans="1:3" x14ac:dyDescent="0.25">
      <c r="A196" s="2" t="s">
        <v>1817</v>
      </c>
      <c r="B196" s="11" t="s">
        <v>1016</v>
      </c>
      <c r="C196" s="2" t="s">
        <v>1804</v>
      </c>
    </row>
    <row r="197" spans="1:3" x14ac:dyDescent="0.25">
      <c r="A197" s="2" t="s">
        <v>1817</v>
      </c>
      <c r="B197" s="11" t="s">
        <v>1021</v>
      </c>
      <c r="C197" s="2" t="s">
        <v>361</v>
      </c>
    </row>
    <row r="198" spans="1:3" x14ac:dyDescent="0.25">
      <c r="A198" s="2" t="s">
        <v>1817</v>
      </c>
      <c r="B198" s="11" t="s">
        <v>1025</v>
      </c>
      <c r="C198" s="2" t="s">
        <v>361</v>
      </c>
    </row>
    <row r="199" spans="1:3" x14ac:dyDescent="0.25">
      <c r="A199" s="2" t="s">
        <v>1817</v>
      </c>
      <c r="B199" s="11" t="s">
        <v>1028</v>
      </c>
      <c r="C199" s="2" t="s">
        <v>489</v>
      </c>
    </row>
    <row r="200" spans="1:3" x14ac:dyDescent="0.25">
      <c r="A200" s="2" t="s">
        <v>1817</v>
      </c>
      <c r="B200" s="11" t="s">
        <v>1034</v>
      </c>
      <c r="C200" s="2" t="s">
        <v>361</v>
      </c>
    </row>
    <row r="201" spans="1:3" x14ac:dyDescent="0.25">
      <c r="A201" s="2" t="s">
        <v>1817</v>
      </c>
      <c r="B201" s="11" t="s">
        <v>1037</v>
      </c>
      <c r="C201" s="2" t="s">
        <v>489</v>
      </c>
    </row>
    <row r="202" spans="1:3" x14ac:dyDescent="0.25">
      <c r="A202" s="2" t="s">
        <v>1818</v>
      </c>
      <c r="B202" s="11" t="s">
        <v>1040</v>
      </c>
      <c r="C202" s="2" t="s">
        <v>360</v>
      </c>
    </row>
    <row r="203" spans="1:3" x14ac:dyDescent="0.25">
      <c r="A203" s="2" t="s">
        <v>1818</v>
      </c>
      <c r="B203" s="11" t="s">
        <v>1043</v>
      </c>
      <c r="C203" s="2" t="s">
        <v>489</v>
      </c>
    </row>
    <row r="204" spans="1:3" x14ac:dyDescent="0.25">
      <c r="A204" s="2" t="s">
        <v>1818</v>
      </c>
      <c r="B204" s="11" t="s">
        <v>1046</v>
      </c>
      <c r="C204" s="2" t="s">
        <v>489</v>
      </c>
    </row>
    <row r="205" spans="1:3" x14ac:dyDescent="0.25">
      <c r="A205" s="2" t="s">
        <v>1818</v>
      </c>
      <c r="B205" s="11" t="s">
        <v>1049</v>
      </c>
      <c r="C205" s="2" t="s">
        <v>489</v>
      </c>
    </row>
    <row r="206" spans="1:3" x14ac:dyDescent="0.25">
      <c r="A206" s="2" t="s">
        <v>1818</v>
      </c>
      <c r="B206" s="11" t="s">
        <v>1052</v>
      </c>
      <c r="C206" s="2" t="s">
        <v>489</v>
      </c>
    </row>
    <row r="207" spans="1:3" x14ac:dyDescent="0.25">
      <c r="A207" s="2" t="s">
        <v>1818</v>
      </c>
      <c r="B207" s="11" t="s">
        <v>1059</v>
      </c>
      <c r="C207" s="2" t="s">
        <v>489</v>
      </c>
    </row>
    <row r="208" spans="1:3" x14ac:dyDescent="0.25">
      <c r="A208" s="2" t="s">
        <v>1819</v>
      </c>
      <c r="B208" s="11" t="s">
        <v>1062</v>
      </c>
      <c r="C208" s="2" t="s">
        <v>523</v>
      </c>
    </row>
    <row r="209" spans="1:3" x14ac:dyDescent="0.25">
      <c r="A209" s="2" t="s">
        <v>1819</v>
      </c>
      <c r="B209" s="11" t="s">
        <v>1069</v>
      </c>
      <c r="C209" s="2" t="s">
        <v>523</v>
      </c>
    </row>
    <row r="210" spans="1:3" x14ac:dyDescent="0.25">
      <c r="A210" s="2" t="s">
        <v>1819</v>
      </c>
      <c r="B210" s="11" t="s">
        <v>1075</v>
      </c>
      <c r="C210" s="2" t="s">
        <v>523</v>
      </c>
    </row>
    <row r="211" spans="1:3" x14ac:dyDescent="0.25">
      <c r="A211" s="2" t="s">
        <v>1819</v>
      </c>
      <c r="B211" s="11" t="s">
        <v>1081</v>
      </c>
      <c r="C211" s="2" t="s">
        <v>523</v>
      </c>
    </row>
    <row r="212" spans="1:3" x14ac:dyDescent="0.25">
      <c r="A212" s="2" t="s">
        <v>1819</v>
      </c>
      <c r="B212" s="11" t="s">
        <v>1087</v>
      </c>
      <c r="C212" s="2" t="s">
        <v>418</v>
      </c>
    </row>
    <row r="213" spans="1:3" x14ac:dyDescent="0.25">
      <c r="A213" s="2" t="s">
        <v>1819</v>
      </c>
      <c r="B213" s="11" t="s">
        <v>1089</v>
      </c>
      <c r="C213" s="2" t="s">
        <v>523</v>
      </c>
    </row>
    <row r="214" spans="1:3" x14ac:dyDescent="0.25">
      <c r="A214" s="2" t="s">
        <v>1819</v>
      </c>
      <c r="B214" s="11" t="s">
        <v>1092</v>
      </c>
      <c r="C214" s="2" t="s">
        <v>490</v>
      </c>
    </row>
    <row r="215" spans="1:3" x14ac:dyDescent="0.25">
      <c r="A215" s="2" t="s">
        <v>1820</v>
      </c>
      <c r="B215" s="11" t="s">
        <v>1105</v>
      </c>
      <c r="C215" s="2" t="s">
        <v>489</v>
      </c>
    </row>
    <row r="216" spans="1:3" x14ac:dyDescent="0.25">
      <c r="A216" s="2" t="s">
        <v>1820</v>
      </c>
      <c r="B216" s="11" t="s">
        <v>1120</v>
      </c>
      <c r="C216" s="2" t="s">
        <v>1804</v>
      </c>
    </row>
    <row r="217" spans="1:3" x14ac:dyDescent="0.25">
      <c r="A217" s="2" t="s">
        <v>1820</v>
      </c>
      <c r="B217" s="11" t="s">
        <v>1128</v>
      </c>
      <c r="C217" s="2" t="s">
        <v>1804</v>
      </c>
    </row>
    <row r="218" spans="1:3" x14ac:dyDescent="0.25">
      <c r="A218" s="2" t="s">
        <v>1675</v>
      </c>
      <c r="B218" s="11" t="s">
        <v>1136</v>
      </c>
      <c r="C218" s="2" t="s">
        <v>489</v>
      </c>
    </row>
    <row r="219" spans="1:3" x14ac:dyDescent="0.25">
      <c r="A219" s="2" t="s">
        <v>1675</v>
      </c>
      <c r="B219" s="11" t="s">
        <v>1139</v>
      </c>
      <c r="C219" s="2" t="s">
        <v>523</v>
      </c>
    </row>
    <row r="220" spans="1:3" x14ac:dyDescent="0.25">
      <c r="A220" s="2" t="s">
        <v>1675</v>
      </c>
      <c r="B220" s="11" t="s">
        <v>1143</v>
      </c>
      <c r="C220" s="2" t="s">
        <v>361</v>
      </c>
    </row>
    <row r="221" spans="1:3" x14ac:dyDescent="0.25">
      <c r="A221" s="2" t="s">
        <v>1675</v>
      </c>
      <c r="B221" s="11" t="s">
        <v>1161</v>
      </c>
      <c r="C221" s="2" t="s">
        <v>489</v>
      </c>
    </row>
    <row r="222" spans="1:3" x14ac:dyDescent="0.25">
      <c r="A222" s="2" t="s">
        <v>1675</v>
      </c>
      <c r="B222" s="11" t="s">
        <v>1187</v>
      </c>
      <c r="C222" s="2" t="s">
        <v>489</v>
      </c>
    </row>
    <row r="223" spans="1:3" x14ac:dyDescent="0.25">
      <c r="A223" s="2" t="s">
        <v>1675</v>
      </c>
      <c r="B223" s="11" t="s">
        <v>1211</v>
      </c>
      <c r="C223" s="2" t="s">
        <v>489</v>
      </c>
    </row>
    <row r="224" spans="1:3" x14ac:dyDescent="0.25">
      <c r="A224" s="2" t="s">
        <v>1675</v>
      </c>
      <c r="B224" s="11" t="s">
        <v>1221</v>
      </c>
      <c r="C224" s="2" t="s">
        <v>489</v>
      </c>
    </row>
    <row r="225" spans="1:3" x14ac:dyDescent="0.25">
      <c r="A225" s="2" t="s">
        <v>1675</v>
      </c>
      <c r="B225" s="11" t="s">
        <v>1231</v>
      </c>
      <c r="C225" s="2" t="s">
        <v>1804</v>
      </c>
    </row>
    <row r="226" spans="1:3" x14ac:dyDescent="0.25">
      <c r="A226" s="2" t="s">
        <v>1675</v>
      </c>
      <c r="B226" s="11" t="s">
        <v>1428</v>
      </c>
      <c r="C226" s="2" t="s">
        <v>489</v>
      </c>
    </row>
    <row r="227" spans="1:3" x14ac:dyDescent="0.25">
      <c r="A227" s="2" t="s">
        <v>1675</v>
      </c>
      <c r="B227" s="11" t="s">
        <v>1432</v>
      </c>
      <c r="C227" s="2" t="s">
        <v>489</v>
      </c>
    </row>
    <row r="228" spans="1:3" x14ac:dyDescent="0.25">
      <c r="A228" s="2" t="s">
        <v>1821</v>
      </c>
      <c r="B228" s="11" t="s">
        <v>1470</v>
      </c>
      <c r="C228" s="2" t="s">
        <v>489</v>
      </c>
    </row>
    <row r="229" spans="1:3" x14ac:dyDescent="0.25">
      <c r="A229" s="2" t="s">
        <v>1821</v>
      </c>
      <c r="B229" s="11" t="s">
        <v>1494</v>
      </c>
      <c r="C229" s="2" t="s">
        <v>360</v>
      </c>
    </row>
    <row r="230" spans="1:3" x14ac:dyDescent="0.25">
      <c r="A230" s="2" t="s">
        <v>1821</v>
      </c>
      <c r="B230" s="11" t="s">
        <v>1496</v>
      </c>
      <c r="C230" s="2" t="s">
        <v>489</v>
      </c>
    </row>
    <row r="231" spans="1:3" x14ac:dyDescent="0.25">
      <c r="A231" s="2" t="s">
        <v>1821</v>
      </c>
      <c r="B231" s="11" t="s">
        <v>1515</v>
      </c>
      <c r="C231" s="2" t="s">
        <v>489</v>
      </c>
    </row>
    <row r="232" spans="1:3" x14ac:dyDescent="0.25">
      <c r="A232" s="2" t="s">
        <v>1821</v>
      </c>
      <c r="B232" s="11" t="s">
        <v>1522</v>
      </c>
      <c r="C232" s="2" t="s">
        <v>489</v>
      </c>
    </row>
    <row r="233" spans="1:3" x14ac:dyDescent="0.25">
      <c r="A233" s="2" t="s">
        <v>1821</v>
      </c>
      <c r="B233" s="11" t="s">
        <v>1529</v>
      </c>
      <c r="C233" s="2" t="s">
        <v>1804</v>
      </c>
    </row>
    <row r="234" spans="1:3" x14ac:dyDescent="0.25">
      <c r="A234" s="2" t="s">
        <v>1821</v>
      </c>
      <c r="B234" s="11" t="s">
        <v>1545</v>
      </c>
      <c r="C234" s="2" t="s">
        <v>489</v>
      </c>
    </row>
    <row r="235" spans="1:3" x14ac:dyDescent="0.25">
      <c r="A235" s="2" t="s">
        <v>1822</v>
      </c>
      <c r="B235" s="11" t="s">
        <v>1560</v>
      </c>
      <c r="C235" s="2" t="s">
        <v>1804</v>
      </c>
    </row>
    <row r="236" spans="1:3" x14ac:dyDescent="0.25">
      <c r="A236" s="2" t="s">
        <v>1823</v>
      </c>
      <c r="B236" s="11" t="s">
        <v>1577</v>
      </c>
      <c r="C236" s="2" t="s">
        <v>1804</v>
      </c>
    </row>
    <row r="237" spans="1:3" x14ac:dyDescent="0.25">
      <c r="A237" s="2" t="s">
        <v>1823</v>
      </c>
      <c r="B237" s="11" t="s">
        <v>1584</v>
      </c>
      <c r="C237" s="2" t="s">
        <v>1804</v>
      </c>
    </row>
    <row r="238" spans="1:3" x14ac:dyDescent="0.25">
      <c r="A238" s="2" t="s">
        <v>1823</v>
      </c>
      <c r="B238" s="11" t="s">
        <v>1642</v>
      </c>
      <c r="C238" s="2" t="s">
        <v>490</v>
      </c>
    </row>
    <row r="239" spans="1:3" x14ac:dyDescent="0.25">
      <c r="A239" s="2" t="s">
        <v>1824</v>
      </c>
      <c r="B239" s="11" t="s">
        <v>1681</v>
      </c>
      <c r="C239" s="2" t="s">
        <v>1804</v>
      </c>
    </row>
    <row r="240" spans="1:3" x14ac:dyDescent="0.25">
      <c r="A240" s="2" t="s">
        <v>1824</v>
      </c>
      <c r="B240" s="11" t="s">
        <v>1684</v>
      </c>
      <c r="C240" s="2" t="s">
        <v>490</v>
      </c>
    </row>
    <row r="241" spans="1:3" x14ac:dyDescent="0.25">
      <c r="A241" s="2" t="s">
        <v>1825</v>
      </c>
      <c r="B241" s="11" t="s">
        <v>1688</v>
      </c>
      <c r="C241" s="2" t="s">
        <v>489</v>
      </c>
    </row>
    <row r="242" spans="1:3" x14ac:dyDescent="0.25">
      <c r="A242" s="2" t="s">
        <v>1825</v>
      </c>
      <c r="B242" s="11" t="s">
        <v>1703</v>
      </c>
      <c r="C242" s="2" t="s">
        <v>418</v>
      </c>
    </row>
    <row r="243" spans="1:3" x14ac:dyDescent="0.25">
      <c r="A243" s="2" t="s">
        <v>1825</v>
      </c>
      <c r="B243" s="11" t="s">
        <v>1708</v>
      </c>
      <c r="C243" s="2" t="s">
        <v>360</v>
      </c>
    </row>
    <row r="244" spans="1:3" x14ac:dyDescent="0.25">
      <c r="A244" s="2" t="s">
        <v>1825</v>
      </c>
      <c r="B244" s="11" t="s">
        <v>1713</v>
      </c>
      <c r="C244" s="2" t="s">
        <v>489</v>
      </c>
    </row>
    <row r="245" spans="1:3" x14ac:dyDescent="0.25">
      <c r="A245" s="2" t="s">
        <v>1825</v>
      </c>
      <c r="B245" s="11" t="s">
        <v>1748</v>
      </c>
      <c r="C245" s="2" t="s">
        <v>418</v>
      </c>
    </row>
    <row r="246" spans="1:3" x14ac:dyDescent="0.25">
      <c r="A246" s="2" t="s">
        <v>1825</v>
      </c>
      <c r="B246" s="11" t="s">
        <v>1752</v>
      </c>
      <c r="C246" s="2" t="s">
        <v>418</v>
      </c>
    </row>
    <row r="247" spans="1:3" x14ac:dyDescent="0.25">
      <c r="A247" s="2" t="s">
        <v>1826</v>
      </c>
      <c r="B247" s="11" t="s">
        <v>1754</v>
      </c>
      <c r="C247" s="2" t="s">
        <v>1804</v>
      </c>
    </row>
    <row r="248" spans="1:3" x14ac:dyDescent="0.25">
      <c r="A248" s="2" t="s">
        <v>1826</v>
      </c>
      <c r="B248" s="11" t="s">
        <v>1762</v>
      </c>
      <c r="C248" s="2" t="s">
        <v>1804</v>
      </c>
    </row>
    <row r="249" spans="1:3" x14ac:dyDescent="0.25">
      <c r="A249" s="2" t="s">
        <v>1829</v>
      </c>
      <c r="B249" s="11" t="s">
        <v>1827</v>
      </c>
      <c r="C249" s="2" t="s">
        <v>1828</v>
      </c>
    </row>
    <row r="251" spans="1:3" ht="21" customHeight="1" x14ac:dyDescent="0.3">
      <c r="A251" s="1" t="s">
        <v>1830</v>
      </c>
    </row>
    <row r="252" spans="1:3" x14ac:dyDescent="0.25">
      <c r="A252" s="2" t="s">
        <v>1831</v>
      </c>
    </row>
    <row r="253" spans="1:3" x14ac:dyDescent="0.25">
      <c r="A253" s="2" t="s">
        <v>1832</v>
      </c>
    </row>
    <row r="254" spans="1:3" x14ac:dyDescent="0.25">
      <c r="A254" s="2" t="s">
        <v>1833</v>
      </c>
    </row>
    <row r="255" spans="1:3" x14ac:dyDescent="0.25">
      <c r="A255" s="2" t="s">
        <v>1834</v>
      </c>
    </row>
    <row r="256" spans="1:3" x14ac:dyDescent="0.25">
      <c r="A256" s="2" t="s">
        <v>1835</v>
      </c>
    </row>
    <row r="257" spans="1:1" x14ac:dyDescent="0.25">
      <c r="A257" s="2" t="s">
        <v>1836</v>
      </c>
    </row>
    <row r="258" spans="1:1" x14ac:dyDescent="0.25">
      <c r="A258" s="2" t="s">
        <v>1837</v>
      </c>
    </row>
    <row r="259" spans="1:1" x14ac:dyDescent="0.25">
      <c r="A259" s="2" t="s">
        <v>1838</v>
      </c>
    </row>
    <row r="260" spans="1:1" x14ac:dyDescent="0.25">
      <c r="A260" s="2" t="s">
        <v>1839</v>
      </c>
    </row>
    <row r="261" spans="1:1" x14ac:dyDescent="0.25">
      <c r="A261" s="2" t="s">
        <v>1840</v>
      </c>
    </row>
    <row r="262" spans="1:1" x14ac:dyDescent="0.25">
      <c r="A262" s="2" t="s">
        <v>1841</v>
      </c>
    </row>
    <row r="263" spans="1:1" x14ac:dyDescent="0.25">
      <c r="A263" s="2" t="s">
        <v>1842</v>
      </c>
    </row>
    <row r="264" spans="1:1" x14ac:dyDescent="0.25">
      <c r="A264" s="2" t="s">
        <v>1843</v>
      </c>
    </row>
    <row r="265" spans="1:1" x14ac:dyDescent="0.25">
      <c r="A265" s="2" t="s">
        <v>1844</v>
      </c>
    </row>
    <row r="266" spans="1:1" x14ac:dyDescent="0.25">
      <c r="A266" s="2" t="s">
        <v>1845</v>
      </c>
    </row>
    <row r="267" spans="1:1" x14ac:dyDescent="0.25">
      <c r="A267" s="2" t="s">
        <v>1846</v>
      </c>
    </row>
    <row r="268" spans="1:1" x14ac:dyDescent="0.25">
      <c r="A268" s="2" t="s">
        <v>1847</v>
      </c>
    </row>
    <row r="269" spans="1:1" x14ac:dyDescent="0.25">
      <c r="A269" s="2" t="s">
        <v>1848</v>
      </c>
    </row>
    <row r="270" spans="1:1" x14ac:dyDescent="0.25">
      <c r="A270" s="2" t="s">
        <v>1849</v>
      </c>
    </row>
    <row r="271" spans="1:1" x14ac:dyDescent="0.25">
      <c r="A271" s="2" t="s">
        <v>1850</v>
      </c>
    </row>
    <row r="272" spans="1:1" x14ac:dyDescent="0.25">
      <c r="A272" s="2" t="s">
        <v>1851</v>
      </c>
    </row>
    <row r="273" spans="1:1" x14ac:dyDescent="0.25">
      <c r="A273" s="2" t="s">
        <v>1852</v>
      </c>
    </row>
    <row r="274" spans="1:1" x14ac:dyDescent="0.25">
      <c r="A274" s="2" t="s">
        <v>1853</v>
      </c>
    </row>
    <row r="275" spans="1:1" x14ac:dyDescent="0.25">
      <c r="A275" s="2" t="s">
        <v>1854</v>
      </c>
    </row>
    <row r="276" spans="1:1" x14ac:dyDescent="0.25">
      <c r="A276" s="2" t="s">
        <v>1855</v>
      </c>
    </row>
    <row r="277" spans="1:1" x14ac:dyDescent="0.25">
      <c r="A277" s="2" t="s">
        <v>1856</v>
      </c>
    </row>
    <row r="278" spans="1:1" x14ac:dyDescent="0.25">
      <c r="A278" s="2" t="s">
        <v>1857</v>
      </c>
    </row>
    <row r="279" spans="1:1" x14ac:dyDescent="0.25">
      <c r="A279" s="2" t="s">
        <v>1858</v>
      </c>
    </row>
    <row r="280" spans="1:1" x14ac:dyDescent="0.25">
      <c r="A280" s="2" t="s">
        <v>1859</v>
      </c>
    </row>
    <row r="281" spans="1:1" x14ac:dyDescent="0.25">
      <c r="A281" s="2" t="s">
        <v>1860</v>
      </c>
    </row>
    <row r="282" spans="1:1" x14ac:dyDescent="0.25">
      <c r="A282" s="2" t="s">
        <v>1861</v>
      </c>
    </row>
    <row r="283" spans="1:1" x14ac:dyDescent="0.25">
      <c r="A283" s="2" t="s">
        <v>1862</v>
      </c>
    </row>
    <row r="284" spans="1:1" x14ac:dyDescent="0.25">
      <c r="A284" s="2" t="s">
        <v>1863</v>
      </c>
    </row>
    <row r="285" spans="1:1" x14ac:dyDescent="0.25">
      <c r="A285" s="2" t="s">
        <v>1864</v>
      </c>
    </row>
    <row r="286" spans="1:1" x14ac:dyDescent="0.25">
      <c r="A286" s="2" t="s">
        <v>1865</v>
      </c>
    </row>
    <row r="287" spans="1:1" x14ac:dyDescent="0.25">
      <c r="A287" s="2" t="s">
        <v>1866</v>
      </c>
    </row>
    <row r="288" spans="1:1" x14ac:dyDescent="0.25">
      <c r="A288" s="2" t="s">
        <v>1867</v>
      </c>
    </row>
    <row r="289" spans="1:1" x14ac:dyDescent="0.25">
      <c r="A289" s="2" t="s">
        <v>1868</v>
      </c>
    </row>
    <row r="290" spans="1:1" x14ac:dyDescent="0.25">
      <c r="A290" s="2" t="s">
        <v>1869</v>
      </c>
    </row>
    <row r="291" spans="1:1" x14ac:dyDescent="0.25">
      <c r="A291" s="2" t="s">
        <v>1870</v>
      </c>
    </row>
    <row r="292" spans="1:1" x14ac:dyDescent="0.25">
      <c r="A292" s="2" t="s">
        <v>1871</v>
      </c>
    </row>
    <row r="293" spans="1:1" x14ac:dyDescent="0.25">
      <c r="A293" s="2" t="s">
        <v>1872</v>
      </c>
    </row>
    <row r="294" spans="1:1" x14ac:dyDescent="0.25">
      <c r="A294" s="2" t="s">
        <v>1873</v>
      </c>
    </row>
    <row r="295" spans="1:1" x14ac:dyDescent="0.25">
      <c r="A295" s="2" t="s">
        <v>1874</v>
      </c>
    </row>
    <row r="296" spans="1:1" x14ac:dyDescent="0.25">
      <c r="A296" s="2" t="s">
        <v>1875</v>
      </c>
    </row>
    <row r="297" spans="1:1" x14ac:dyDescent="0.25">
      <c r="A297" s="2" t="s">
        <v>1876</v>
      </c>
    </row>
    <row r="298" spans="1:1" x14ac:dyDescent="0.25">
      <c r="A298" s="2" t="s">
        <v>1877</v>
      </c>
    </row>
    <row r="299" spans="1:1" x14ac:dyDescent="0.25">
      <c r="A299" s="2" t="s">
        <v>1878</v>
      </c>
    </row>
    <row r="300" spans="1:1" x14ac:dyDescent="0.25">
      <c r="A300" s="2" t="s">
        <v>1879</v>
      </c>
    </row>
    <row r="301" spans="1:1" x14ac:dyDescent="0.25">
      <c r="A301" s="2" t="s">
        <v>1880</v>
      </c>
    </row>
    <row r="302" spans="1:1" x14ac:dyDescent="0.25">
      <c r="A302" s="2" t="s">
        <v>1881</v>
      </c>
    </row>
    <row r="303" spans="1:1" x14ac:dyDescent="0.25">
      <c r="A303" s="2" t="s">
        <v>1882</v>
      </c>
    </row>
    <row r="304" spans="1:1" x14ac:dyDescent="0.25">
      <c r="A304" s="2" t="s">
        <v>1883</v>
      </c>
    </row>
    <row r="305" spans="1:1" x14ac:dyDescent="0.25">
      <c r="A305" s="2" t="s">
        <v>1884</v>
      </c>
    </row>
    <row r="306" spans="1:1" x14ac:dyDescent="0.25">
      <c r="A306" s="2" t="s">
        <v>1885</v>
      </c>
    </row>
    <row r="307" spans="1:1" x14ac:dyDescent="0.25">
      <c r="A307" s="2" t="s">
        <v>1886</v>
      </c>
    </row>
    <row r="308" spans="1:1" x14ac:dyDescent="0.25">
      <c r="A308" s="2" t="s">
        <v>1887</v>
      </c>
    </row>
    <row r="309" spans="1:1" x14ac:dyDescent="0.25">
      <c r="A309" s="2" t="s">
        <v>1888</v>
      </c>
    </row>
    <row r="310" spans="1:1" x14ac:dyDescent="0.25">
      <c r="A310" s="2" t="s">
        <v>1889</v>
      </c>
    </row>
    <row r="311" spans="1:1" x14ac:dyDescent="0.25">
      <c r="A311" s="2" t="s">
        <v>1890</v>
      </c>
    </row>
    <row r="312" spans="1:1" x14ac:dyDescent="0.25">
      <c r="A312" s="2" t="s">
        <v>1891</v>
      </c>
    </row>
    <row r="313" spans="1:1" x14ac:dyDescent="0.25">
      <c r="A313" s="2" t="s">
        <v>1892</v>
      </c>
    </row>
    <row r="314" spans="1:1" x14ac:dyDescent="0.25">
      <c r="A314" s="2" t="s">
        <v>1893</v>
      </c>
    </row>
    <row r="315" spans="1:1" x14ac:dyDescent="0.25">
      <c r="A315" s="2" t="s">
        <v>1894</v>
      </c>
    </row>
    <row r="316" spans="1:1" x14ac:dyDescent="0.25">
      <c r="A316" s="2" t="s">
        <v>1895</v>
      </c>
    </row>
    <row r="317" spans="1:1" x14ac:dyDescent="0.25">
      <c r="A317" s="2" t="s">
        <v>1896</v>
      </c>
    </row>
    <row r="318" spans="1:1" x14ac:dyDescent="0.25">
      <c r="A318" s="2" t="s">
        <v>1897</v>
      </c>
    </row>
    <row r="319" spans="1:1" x14ac:dyDescent="0.25">
      <c r="A319" s="2" t="s">
        <v>1898</v>
      </c>
    </row>
    <row r="320" spans="1:1" x14ac:dyDescent="0.25">
      <c r="A320" s="2" t="s">
        <v>1899</v>
      </c>
    </row>
    <row r="321" spans="1:1" x14ac:dyDescent="0.25">
      <c r="A321" s="2" t="s">
        <v>1900</v>
      </c>
    </row>
    <row r="322" spans="1:1" x14ac:dyDescent="0.25">
      <c r="A322" s="2" t="s">
        <v>1901</v>
      </c>
    </row>
    <row r="323" spans="1:1" x14ac:dyDescent="0.25">
      <c r="A323" s="2"/>
    </row>
    <row r="324" spans="1:1" x14ac:dyDescent="0.25">
      <c r="A324" s="2" t="s">
        <v>1902</v>
      </c>
    </row>
  </sheetData>
  <autoFilter ref="A27:C249"/>
  <hyperlinks>
    <hyperlink ref="B28" location="'Input'!B6" display="1000. Company, charging year, data version"/>
    <hyperlink ref="B29" location="'Input'!B11" display="1001. CDCM target revenue"/>
    <hyperlink ref="B30" location="'Input'!B57" display="1010. Financial and general assumptions"/>
    <hyperlink ref="B31" location="'Input'!B67" display="1017. Diversity allowance between top and bottom of network level"/>
    <hyperlink ref="B32" location="'Input'!B79" display="1018. Proportion of relevant load going through 132kV/HV direct transformation"/>
    <hyperlink ref="B33" location="'Input'!B84" display="1019. Network model GSP peak demand (MW)"/>
    <hyperlink ref="B34" location="'Input'!B89" display="1020. Gross asset cost by network level (£)"/>
    <hyperlink ref="B35" location="'Input'!B101" display="1022. LV service model asset cost (£)"/>
    <hyperlink ref="B36" location="'Input'!B106" display="1023. HV service model asset cost (£)"/>
    <hyperlink ref="B37" location="'Input'!B111" display="1025. Matrix of applicability of LV service models to tariffs with fixed charges"/>
    <hyperlink ref="B38" location="'Input'!B133" display="1026. Matrix of applicability of LV service models to unmetered tariffs"/>
    <hyperlink ref="B39" location="'Input'!B138" display="1028. Matrix of applicability of HV service models to tariffs with fixed charges"/>
    <hyperlink ref="B40" location="'Input'!B147" display="1032. Loss adjustment factors to transmission"/>
    <hyperlink ref="B41" location="'Input'!B153" display="1037. Embedded network (LDNO) discounts"/>
    <hyperlink ref="B42" location="'Input'!B159" display="1041. Load profile data for demand users"/>
    <hyperlink ref="B43" location="'Input'!B185" display="1053. Volume forecasts for the charging year"/>
    <hyperlink ref="B44" location="'Input'!B287" display="1055. Transmission exit charges (£/year)"/>
    <hyperlink ref="B45" location="'Input'!B292" display="1059. Other expenditure"/>
    <hyperlink ref="B46" location="'Input'!B300" display="1060. Customer contributions under current connection charging policy"/>
    <hyperlink ref="B47" location="'Input'!B308" display="1061. Average split of rate 1 units by distribution time band"/>
    <hyperlink ref="B48" location="'Input'!B321" display="1062. Average split of rate 2 units by distribution time band"/>
    <hyperlink ref="B49" location="'Input'!B330" display="1064. Average split of rate 1 units by special distribution time band"/>
    <hyperlink ref="B50" location="'Input'!B340" display="1066. Typical annual hours by special distribution time band"/>
    <hyperlink ref="B51" location="'Input'!B347" display="1068. Typical annual hours by distribution time band"/>
    <hyperlink ref="B52" location="'Input'!B354" display="1069. Peaking probabilities by network level"/>
    <hyperlink ref="B53" location="'Input'!B369" display="1092. Average kVAr by kVA, by network level"/>
    <hyperlink ref="B54" location="'Input'!B374" display="1201. Current tariff information"/>
    <hyperlink ref="B55" location="'LAFs'!B13" display="2001. Loss adjustment factors to transmission"/>
    <hyperlink ref="B56" location="'LAFs'!B44" display="2002. Mapping of DRM network levels to core network levels"/>
    <hyperlink ref="B57" location="'LAFs'!B60" display="2003. Loss adjustment factor to transmission for each DRM network level"/>
    <hyperlink ref="B58" location="'LAFs'!B76" display="2004. Loss adjustment factor to transmission for each network level"/>
    <hyperlink ref="B59" location="'LAFs'!B84" display="2005. Network use factors"/>
    <hyperlink ref="B60" location="'LAFs'!B118" display="2006. Proportion going through 132kV/EHV"/>
    <hyperlink ref="B61" location="'LAFs'!B126" display="2007. Proportion going through EHV"/>
    <hyperlink ref="B62" location="'LAFs'!B134" display="2008. Proportion going through EHV/HV"/>
    <hyperlink ref="B63" location="'LAFs'!B147" display="2009. Rerouteing matrix for all network levels"/>
    <hyperlink ref="B64" location="'LAFs'!B164" display="2010. Network use factors: interim step in calculations before adjustments"/>
    <hyperlink ref="B65" location="'LAFs'!B200" display="2011. Network use factors for all tariffs"/>
    <hyperlink ref="B66" location="'LAFs'!B236" display="2012. Loss adjustment factors between end user meter reading and each network level, scaled by network use"/>
    <hyperlink ref="B67" location="'DRM'!B11" display="2101. Annuity rate"/>
    <hyperlink ref="B68" location="'DRM'!B20" display="2102. Loss adjustment factor to transmission for each core level"/>
    <hyperlink ref="B69" location="'DRM'!B30" display="2103. Loss adjustment factors"/>
    <hyperlink ref="B70" location="'DRM'!B47" display="2104. Diversity calculations"/>
    <hyperlink ref="B71" location="'DRM'!B63" display="2105. Network model total maximum demand at substation (MW)"/>
    <hyperlink ref="B72" location="'DRM'!B79" display="2106. Network model contribution to system maximum load measured at network level exit (MW)"/>
    <hyperlink ref="B73" location="'DRM'!B97" display="2107. Rerouteing matrix for DRM network levels"/>
    <hyperlink ref="B74" location="'DRM'!B112" display="2108. GSP simultaneous maximum load assumed through each network level (MW)"/>
    <hyperlink ref="B75" location="'DRM'!B129" display="2109. Network model annuity by simultaneous maximum load for each network level (£/kW/year)"/>
    <hyperlink ref="B76" location="'SM'!B10" display="2201. Asset £/customer from LV service models"/>
    <hyperlink ref="B77" location="'SM'!B34" display="2202. LV unmetered service model assets £/(MWh/year)"/>
    <hyperlink ref="B78" location="'SM'!B44" display="2203. LV unmetered service model asset charge (p/kWh)"/>
    <hyperlink ref="B79" location="'SM'!B53" display="2204. Asset £/customer from HV service models"/>
    <hyperlink ref="B80" location="'SM'!B65" display="2205. Service model assets by tariff (£)"/>
    <hyperlink ref="B81" location="'SM'!B105" display="2206. Replacement annuities for service models"/>
    <hyperlink ref="B82" location="'Loads'!B18" display="2301. Demand coefficient (load at time of system maximum load divided by average load)"/>
    <hyperlink ref="B83" location="'Loads'!B45" display="2302. Load coefficient"/>
    <hyperlink ref="B84" location="'Loads'!B76" display="2303. Discount map"/>
    <hyperlink ref="B85" location="'Loads'!B191" display="2304. LDNO discounts and volumes adjusted for discount"/>
    <hyperlink ref="B86" location="'Loads'!B301" display="2305. Equivalent volume for each end user"/>
    <hyperlink ref="B87" location="'Multi'!B12" display="2401. Adjust annual hours by distribution time band to match days in year"/>
    <hyperlink ref="B88" location="'Multi'!B25" display="2402. Normalisation of split of rate 1 units by time band"/>
    <hyperlink ref="B89" location="'Multi'!B42" display="2403. Split of rate 1 units between distribution time bands"/>
    <hyperlink ref="B90" location="'Multi'!B71" display="2404. Normalisation of split of rate 2 units by time band"/>
    <hyperlink ref="B91" location="'Multi'!B84" display="2405. Split of rate 2 units between distribution time bands"/>
    <hyperlink ref="B92" location="'Multi'!B101" display="2406. Split of rate 3 units between distribution time bands (default)"/>
    <hyperlink ref="B93" location="'Multi'!B118" display="2407. All units (MWh)"/>
    <hyperlink ref="B94" location="'Multi'!B159" display="2408. Calculation of implied load coefficients for one-rate users"/>
    <hyperlink ref="B95" location="'Multi'!B177" display="2409. Calculation of implied load coefficients for two-rate users"/>
    <hyperlink ref="B96" location="'Multi'!B200" display="2410. Calculation of implied load coefficients for three-rate users"/>
    <hyperlink ref="B97" location="'Multi'!B217" display="2411. Calculation of adjusted time band load coefficients"/>
    <hyperlink ref="B98" location="'Multi'!B246" display="2412. Normalisation of peaking probabilities"/>
    <hyperlink ref="B99" location="'Multi'!B262" display="2413. Peaking probabilities by network level (reshaped)"/>
    <hyperlink ref="B100" location="'Multi'!B273" display="2414. Pseudo load coefficient by time band and network level"/>
    <hyperlink ref="B101" location="'Multi'!B297" display="2415. Single rate non half hourly pseudo timeband load coefficients"/>
    <hyperlink ref="B102" location="'Multi'!B306" display="2416. Single rate non half hourly units (MWh)"/>
    <hyperlink ref="B103" location="'Multi'!B315" display="2417. Single rate non half hourly timeband use"/>
    <hyperlink ref="B104" location="'Multi'!B325" display="2418. Single rate non half hourly tariff pseudo load coefficient"/>
    <hyperlink ref="B105" location="'Multi'!B334" display="2419. Multi rate non half hourly units (MWh)"/>
    <hyperlink ref="B106" location="'Multi'!B343" display="2420. Multi rate non half hourly pseudo timeband load coefficients"/>
    <hyperlink ref="B107" location="'Multi'!B352" display="2421. Multi rate non half hourly timeband use"/>
    <hyperlink ref="B108" location="'Multi'!B362" display="2422. Multi rate non half hourly tariff pseudo load coefficient"/>
    <hyperlink ref="B109" location="'Multi'!B371" display="2423. Off-peak non half hourly units (MWh)"/>
    <hyperlink ref="B110" location="'Multi'!B380" display="2424. Off-peak non half hourly pseudo timeband load coefficients"/>
    <hyperlink ref="B111" location="'Multi'!B389" display="2425. Off-peak non half hourly timeband use"/>
    <hyperlink ref="B112" location="'Multi'!B399" display="2426. Off-peak non half hourly tariff pseudo load coefficient"/>
    <hyperlink ref="B113" location="'Multi'!B408" display="2427. Aggregated half hourly units (MWh)"/>
    <hyperlink ref="B114" location="'Multi'!B417" display="2428. Aggregated half hourly pseudo timeband load coefficients"/>
    <hyperlink ref="B115" location="'Multi'!B426" display="2429. Aggregated half hourly timeband use"/>
    <hyperlink ref="B116" location="'Multi'!B436" display="2430. Aggregated half hourly tariff pseudo load coefficient"/>
    <hyperlink ref="B117" location="'Multi'!B450" display="2431. Average non half hourly tariff pseudo load coefficient"/>
    <hyperlink ref="B118" location="'Multi'!B464" display="2432. Average non half hourly timeband use"/>
    <hyperlink ref="B119" location="'Multi'!B474" display="2433. Aggregated half hourly tariff pseudo load coefficient using average non half hourly unit mix"/>
    <hyperlink ref="B120" location="'Multi'!B484" display="2434. Relative correction factor for aggregated half hourly tariff"/>
    <hyperlink ref="B121" location="'Multi'!B501" display="2435. Correction factor for non half hourly tariffs"/>
    <hyperlink ref="B122" location="'Multi'!B511" display="2436. Single rate non half hourly corrected pseudo timeband load coefficient"/>
    <hyperlink ref="B123" location="'Multi'!B521" display="2437. Multi rate non half hourly corrected pseudo timeband load coefficient"/>
    <hyperlink ref="B124" location="'Multi'!B531" display="2438. Off-peak non half hourly corrected pseudo timeband load coefficient"/>
    <hyperlink ref="B125" location="'Multi'!B542" display="2439. Aggregated half hourly corrected pseudo timeband load coefficient"/>
    <hyperlink ref="B126" location="'Multi'!B555" display="2440. Pseudo load coefficient by time band and network level (equalised)"/>
    <hyperlink ref="B127" location="'Multi'!B580" display="2441. Unit rate 1 pseudo load coefficient by network level"/>
    <hyperlink ref="B128" location="'Multi'!B605" display="2442. Unit rate 2 pseudo load coefficient by network level"/>
    <hyperlink ref="B129" location="'Multi'!B626" display="2443. Unit rate 3 pseudo load coefficient by network level"/>
    <hyperlink ref="B130" location="'Multi'!B645" display="2444. Adjust annual hours by special distribution time band to match days in year"/>
    <hyperlink ref="B131" location="'Multi'!B658" display="2445. Normalisation of split of rate 1 units by special time band"/>
    <hyperlink ref="B132" location="'Multi'!B670" display="2446. Split of rate 1 units between special distribution time bands"/>
    <hyperlink ref="B133" location="'Multi'!B679" display="2447. Split of rate 2 units between special distribution time bands (default)"/>
    <hyperlink ref="B134" location="'Multi'!B684" display="2448. Split of rate 3 units between special distribution time bands (default)"/>
    <hyperlink ref="B135" location="'Multi'!B699" display="2449. Calculation of implied special load coefficients for one-rate users"/>
    <hyperlink ref="B136" location="'Multi'!B721" display="2450. Calculation of implied special load coefficients for three-rate users"/>
    <hyperlink ref="B137" location="'Multi'!B735" display="2451. Estimated contributions to peak demand"/>
    <hyperlink ref="B138" location="'Multi'!B748" display="2452. Load coefficient correction factor for the group"/>
    <hyperlink ref="B139" location="'Multi'!B766" display="2453. Calculation of special peaking probabilities"/>
    <hyperlink ref="B140" location="'Multi'!B784" display="2454. Special peaking probabilities by network level"/>
    <hyperlink ref="B141" location="'Multi'!B800" display="2455. Special peaking probabilities by network level (reshaped)"/>
    <hyperlink ref="B142" location="'Multi'!B811" display="2456. Pseudo load coefficient by special time band and network level"/>
    <hyperlink ref="B143" location="'Multi'!B820" display="2457. Unit rate 1 pseudo load coefficient by network level (special)"/>
    <hyperlink ref="B144" location="'Multi'!B833" display="2458. Unit rate 2 pseudo load coefficient by network level (special)"/>
    <hyperlink ref="B145" location="'Multi'!B842" display="2459. Unit rate 3 pseudo load coefficient by network level (special)"/>
    <hyperlink ref="B146" location="'Multi'!B851" display="2460. Unit rate 1 pseudo load coefficient by network level (combined)"/>
    <hyperlink ref="B147" location="'Multi'!B881" display="2461. Unit rate 2 pseudo load coefficient by network level (combined)"/>
    <hyperlink ref="B148" location="'Multi'!B903" display="2462. Unit rate 3 pseudo load coefficient by network level (combined)"/>
    <hyperlink ref="B149" location="'SMD'!B11" display="2501. Contributions of users on one-rate multi tariffs to system simultaneous maximum load by network level (kW)"/>
    <hyperlink ref="B150" location="'SMD'!B31" display="2502. Contributions of users on two-rate multi tariffs to system simultaneous maximum load by network level (kW)"/>
    <hyperlink ref="B151" location="'SMD'!B50" display="2503. Contributions of users on three-rate multi tariffs to system simultaneous maximum load by network level (kW)"/>
    <hyperlink ref="B152" location="'SMD'!B69" display="2504. Estimated contributions of users on each tariff to system simultaneous maximum load by network level (kW)"/>
    <hyperlink ref="B153" location="'SMD'!B106" display="2505. Contributions of users on each tariff to system simultaneous maximum load by network level (kW)"/>
    <hyperlink ref="B154" location="'SMD'!B140" display="2506. Forecast system simultaneous maximum load (kW) from forecast units"/>
    <hyperlink ref="B155" location="'AMD'!B12" display="2601. Pre-processing of data for standing charge factors"/>
    <hyperlink ref="B156" location="'AMD'!B40" display="2602. Standing charges factors adapted to use 132kV/HV"/>
    <hyperlink ref="B157" location="'AMD'!B69" display="2603. Capacity-based contributions to chargeable aggregate maximum load by network level (kW)"/>
    <hyperlink ref="B158" location="'AMD'!B83" display="2604. Unit-based contributions to chargeable aggregate maximum load (kW)"/>
    <hyperlink ref="B159" location="'AMD'!B100" display="2605. Contributions to aggregate maximum load by network level (kW)"/>
    <hyperlink ref="B160" location="'AMD'!B119" display="2606. Forecast chargeable aggregate maximum load (kW)"/>
    <hyperlink ref="B161" location="'AMD'!B128" display="2607. Forecast simultaneous load subject to standing charge factors (kW)"/>
    <hyperlink ref="B162" location="'AMD'!B154" display="2608. Forecast simultaneous load replaced by standing charge (kW)"/>
    <hyperlink ref="B163" location="'AMD'!B163" display="2609. Calculated LV diversity allowance"/>
    <hyperlink ref="B164" location="'AMD'!B168" display="2610. Network level mapping for diversity allowances"/>
    <hyperlink ref="B165" location="'AMD'!B184" display="2611. Diversity allowances including 132kV/HV"/>
    <hyperlink ref="B166" location="'AMD'!B201" display="2612. Diversity allowances (including calculated LV value)"/>
    <hyperlink ref="B167" location="'AMD'!B212" display="2613. Forecast simultaneous maximum load (kW) adjusted for standing charges"/>
    <hyperlink ref="B168" location="'Otex'!B9" display="2701. Operating expenditure coded by network level (£/year)"/>
    <hyperlink ref="B169" location="'Otex'!B19" display="2702. Network model assets (£) scaled by load forecast"/>
    <hyperlink ref="B170" location="'Otex'!B27" display="2703. Annual consumption by tariff for unmetered users (MWh)"/>
    <hyperlink ref="B171" location="'Otex'!B39" display="2704. Total unmetered units"/>
    <hyperlink ref="B172" location="'Otex'!B55" display="2705. Service model asset data"/>
    <hyperlink ref="B173" location="'Otex'!B67" display="2706. Data for allocation of operating expenditure"/>
    <hyperlink ref="B174" location="'Otex'!B78" display="2707. Amount of expenditure to be allocated according to asset values (£/year)"/>
    <hyperlink ref="B175" location="'Otex'!B89" display="2708. Total operating expenditure by network level  (£/year)"/>
    <hyperlink ref="B176" location="'Otex'!B98" display="2709. Operating expenditure percentage by network level"/>
    <hyperlink ref="B177" location="'Otex'!B107" display="2710. Unit operating expenditure based on simultaneous maximum load (£/kW/year)"/>
    <hyperlink ref="B178" location="'Otex'!B120" display="2711. Operating expenditure for customer assets p/MPAN/day"/>
    <hyperlink ref="B179" location="'Otex'!B155" display="2712. Operating expenditure for unmetered customer assets (p/kWh)"/>
    <hyperlink ref="B180" location="'Contrib'!B6" display="2801. Network level of supply (for customer contributions) by tariff"/>
    <hyperlink ref="B181" location="'Contrib'!B41" display="2802. Contribution proportion of asset annuities, by customer type and network level of assets"/>
    <hyperlink ref="B182" location="'Contrib'!B57" display="2803. Proportion of assets annuities deemed to be covered by customer contributions"/>
    <hyperlink ref="B183" location="'Contrib'!B93" display="2804. Proportion of annual charge covered by contributions (for all charging levels)"/>
    <hyperlink ref="B184" location="'Yard'!B10" display="2901. Unit cost at each level, £/kW/year (relative to system simultaneous maximum load)"/>
    <hyperlink ref="B185" location="'Yard'!B22" display="2902. Pay-as-you-go yardstick unit costs by charging level (p/kWh)"/>
    <hyperlink ref="B186" location="'Yard'!B60" display="2903. Contributions to pay-as-you-go unit rate 1 (p/kWh)"/>
    <hyperlink ref="B187" location="'Yard'!B93" display="2904. Contributions to pay-as-you-go unit rate 2 (p/kWh)"/>
    <hyperlink ref="B188" location="'Yard'!B118" display="2905. Contributions to pay-as-you-go unit rate 3 (p/kWh)"/>
    <hyperlink ref="B189" location="'Standing'!B10" display="3001. Costs based on aggregate maximum load (£/kW/year)"/>
    <hyperlink ref="B190" location="'Standing'!B24" display="3002. Capacity elements p/kVA/day"/>
    <hyperlink ref="B191" location="'Standing'!B51" display="3003. Yardstick components p/kWh (taking account of standing charges)"/>
    <hyperlink ref="B192" location="'Standing'!B78" display="3004. Contributions to unit rate 1 p/kWh by network level (taking account of standing charges)"/>
    <hyperlink ref="B193" location="'Standing'!B105" display="3005. Contributions to unit rate 2 p/kWh by network level (taking account of standing charges)"/>
    <hyperlink ref="B194" location="'Standing'!B124" display="3006. Contributions to unit rate 3 p/kWh by network level (taking account of standing charges)"/>
    <hyperlink ref="B195" location="'AggCap'!B6" display="3101. Mapping of tariffs to tariff groups"/>
    <hyperlink ref="B196" location="'AggCap'!B26" display="3102. Capacity use for tariffs charged for capacity on an exit point basis"/>
    <hyperlink ref="B197" location="'AggCap'!B43" display="3103. Aggregate capacity (kW)"/>
    <hyperlink ref="B198" location="'AggCap'!B52" display="3104. Aggregate number of users charged for capacity on an exit point basis"/>
    <hyperlink ref="B199" location="'AggCap'!B62" display="3105. Average maximum kVA by exit point"/>
    <hyperlink ref="B200" location="'AggCap'!B71" display="3106. Deemed average maximum kVA for each tariff"/>
    <hyperlink ref="B201" location="'AggCap'!B88" display="3107. Capacity-driven fixed charge elements from standing charges factors p/MPAN/day"/>
    <hyperlink ref="B202" location="'Reactive'!B7" display="3201. Network use factors for generator reactive unit charges"/>
    <hyperlink ref="B203" location="'Reactive'!B20" display="3202. Standard components p/kWh for reactive power (absolute value)"/>
    <hyperlink ref="B204" location="'Reactive'!B32" display="3203. Standard reactive p/kVArh"/>
    <hyperlink ref="B205" location="'Reactive'!B42" display="3204. Absolute value of load coefficient (kW peak / average kW)"/>
    <hyperlink ref="B206" location="'Reactive'!B61" display="3205. Pay-as-you-go components p/kWh for reactive power (absolute value)"/>
    <hyperlink ref="B207" location="'Reactive'!B76" display="3206. Pay-as-you-go reactive p/kVArh"/>
    <hyperlink ref="B208" location="'Aggreg'!B14" display="3301. Unit rate 1 p/kWh (elements)"/>
    <hyperlink ref="B209" location="'Aggreg'!B52" display="3302. Unit rate 2 p/kWh (elements)"/>
    <hyperlink ref="B210" location="'Aggreg'!B90" display="3303. Unit rate 3 p/kWh (elements)"/>
    <hyperlink ref="B211" location="'Aggreg'!B128" display="3304. Fixed charge p/MPAN/day (elements)"/>
    <hyperlink ref="B212" location="'Aggreg'!B162" display="3305. Capacity charge p/kVA/day (elements)"/>
    <hyperlink ref="B213" location="'Aggreg'!B197" display="3306. Reactive power charge p/kVArh (elements)"/>
    <hyperlink ref="B214" location="'Aggreg'!B237" display="3307. Summary of charges before revenue matching"/>
    <hyperlink ref="B215" location="'Revenue'!B20" display="3401. Net revenues by tariff before matching (£)"/>
    <hyperlink ref="B216" location="'Revenue'!B57" display="3402. Target CDCM revenue"/>
    <hyperlink ref="B217" location="'Revenue'!B68" display="3403. Revenue surplus or shortfall"/>
    <hyperlink ref="B218" location="'Scaler'!B9" display="3501. Factor to scale to £1/kW at transmission exit level"/>
    <hyperlink ref="B219" location="'Scaler'!B18" display="3502. Applicability factor for £1/kW scaler"/>
    <hyperlink ref="B220" location="'Scaler'!B33" display="3503. Scalable elements of tariff components"/>
    <hyperlink ref="B221" location="'Scaler'!B81" display="3504. Marginal revenue effect of scaler"/>
    <hyperlink ref="B222" location="'Scaler'!B127" display="3505. Scaler value at which the minimum is breached"/>
    <hyperlink ref="B223" location="'Scaler'!B167" display="3506. Constraint-free solution"/>
    <hyperlink ref="B224" location="'Scaler'!B181" display="3507. Starting point"/>
    <hyperlink ref="B225" location="'Scaler'!B210" display="3508. Solve for General scaler rate"/>
    <hyperlink ref="B226" location="'Scaler'!B380" display="3509. General scaler rate"/>
    <hyperlink ref="B227" location="'Scaler'!B415" display="3510. Scaler"/>
    <hyperlink ref="B228" location="'Adjust'!B20" display="3601. Tariffs before rounding"/>
    <hyperlink ref="B229" location="'Adjust'!B51" display="3602. Decimal places"/>
    <hyperlink ref="B230" location="'Adjust'!B71" display="3603. Tariff rounding"/>
    <hyperlink ref="B231" location="'Adjust'!B117" display="3604. All the way tariffs"/>
    <hyperlink ref="B232" location="'Adjust'!B163" display="3605. Net revenues by tariff from rounding"/>
    <hyperlink ref="B233" location="'Adjust'!B205" display="3606. Revenue forecast summary"/>
    <hyperlink ref="B234" location="'Adjust'!B221" display="3607. Tariffs"/>
    <hyperlink ref="B235" location="'Tariffs'!B14" display="3701. Tariffs"/>
    <hyperlink ref="B236" location="'Summary'!B13" display="3801. Headline parameters"/>
    <hyperlink ref="B237" location="'Summary'!B44" display="3802. Revenue summary"/>
    <hyperlink ref="B238" location="'Summary'!B155" display="3803. Revenue summary by tariff component"/>
    <hyperlink ref="B239" location="'M-Rev'!B7" display="3901. Revenue matrix by tariff"/>
    <hyperlink ref="B240" location="'M-Rev'!B39" display="3902. Revenues by charging element and network level"/>
    <hyperlink ref="B241" location="'CData'!B22" display="4001. Revenues under current tariffs (£)"/>
    <hyperlink ref="B242" location="'CData'!B55" display="4002. All-the-way volumes"/>
    <hyperlink ref="B243" location="'CData'!B86" display="4003. Normalised to"/>
    <hyperlink ref="B244" location="'CData'!B141" display="4004. Normalised volumes for comparisons"/>
    <hyperlink ref="B245" location="'CData'!B245" display="4005. LDNO LV charges (normalised £)"/>
    <hyperlink ref="B246" location="'CData'!B27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0" display="Tariff matrices"/>
  </hyperlinks>
  <pageMargins left="0.7" right="0.7" top="0.75" bottom="0.75" header="0.3" footer="0.3"/>
  <pageSetup paperSize="9" scale="5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East Midlands in April 17 (Final)</v>
      </c>
    </row>
    <row r="3" spans="1:13" ht="21" customHeight="1" x14ac:dyDescent="0.3">
      <c r="A3" s="1" t="s">
        <v>879</v>
      </c>
    </row>
    <row r="4" spans="1:13" x14ac:dyDescent="0.25">
      <c r="A4" s="2" t="s">
        <v>356</v>
      </c>
    </row>
    <row r="5" spans="1:13" x14ac:dyDescent="0.25">
      <c r="A5" s="11" t="s">
        <v>880</v>
      </c>
    </row>
    <row r="6" spans="1:13" x14ac:dyDescent="0.25">
      <c r="A6" s="2" t="s">
        <v>881</v>
      </c>
    </row>
    <row r="7" spans="1:13" x14ac:dyDescent="0.25">
      <c r="A7" s="2" t="s">
        <v>374</v>
      </c>
    </row>
    <row r="9" spans="1:13" ht="30" x14ac:dyDescent="0.25">
      <c r="B9" s="12" t="s">
        <v>299</v>
      </c>
      <c r="C9" s="12" t="s">
        <v>882</v>
      </c>
      <c r="D9" s="12" t="s">
        <v>883</v>
      </c>
      <c r="E9" s="12" t="s">
        <v>884</v>
      </c>
      <c r="F9" s="12" t="s">
        <v>885</v>
      </c>
      <c r="G9" s="12" t="s">
        <v>886</v>
      </c>
      <c r="H9" s="12" t="s">
        <v>887</v>
      </c>
      <c r="I9" s="12" t="s">
        <v>888</v>
      </c>
      <c r="J9" s="12" t="s">
        <v>889</v>
      </c>
      <c r="K9" s="12" t="s">
        <v>890</v>
      </c>
      <c r="L9" s="12" t="s">
        <v>891</v>
      </c>
    </row>
    <row r="10" spans="1:13" ht="30" x14ac:dyDescent="0.25">
      <c r="A10" s="3" t="s">
        <v>892</v>
      </c>
      <c r="B10" s="39">
        <f>Input!$B288</f>
        <v>11765728.3737446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10"/>
    </row>
    <row r="12" spans="1:13" ht="21" customHeight="1" x14ac:dyDescent="0.3">
      <c r="A12" s="1" t="s">
        <v>893</v>
      </c>
    </row>
    <row r="13" spans="1:13" x14ac:dyDescent="0.25">
      <c r="A13" s="2" t="s">
        <v>356</v>
      </c>
    </row>
    <row r="14" spans="1:13" x14ac:dyDescent="0.25">
      <c r="A14" s="11" t="s">
        <v>451</v>
      </c>
    </row>
    <row r="15" spans="1:13" x14ac:dyDescent="0.25">
      <c r="A15" s="11" t="s">
        <v>894</v>
      </c>
    </row>
    <row r="16" spans="1:13" x14ac:dyDescent="0.25">
      <c r="A16" s="11" t="s">
        <v>895</v>
      </c>
    </row>
    <row r="17" spans="1:10" x14ac:dyDescent="0.25">
      <c r="A17" s="2" t="s">
        <v>896</v>
      </c>
    </row>
    <row r="19" spans="1:10" ht="30" x14ac:dyDescent="0.25">
      <c r="B19" s="12" t="s">
        <v>311</v>
      </c>
      <c r="C19" s="12" t="s">
        <v>312</v>
      </c>
      <c r="D19" s="12" t="s">
        <v>313</v>
      </c>
      <c r="E19" s="12" t="s">
        <v>314</v>
      </c>
      <c r="F19" s="12" t="s">
        <v>315</v>
      </c>
      <c r="G19" s="12" t="s">
        <v>316</v>
      </c>
      <c r="H19" s="12" t="s">
        <v>317</v>
      </c>
      <c r="I19" s="12" t="s">
        <v>318</v>
      </c>
    </row>
    <row r="20" spans="1:10" x14ac:dyDescent="0.25">
      <c r="A20" s="3" t="s">
        <v>897</v>
      </c>
      <c r="B20" s="17">
        <f>IF(DRM!$B$113,AMD!$C213*Input!$B$90/DRM!$B$113/1000,0)</f>
        <v>522092446.04092652</v>
      </c>
      <c r="C20" s="17">
        <f>IF(DRM!$B$114,AMD!$D213*Input!$B$91/DRM!$B$114/1000,0)</f>
        <v>261530777.43819585</v>
      </c>
      <c r="D20" s="17">
        <f>IF(DRM!$B$115,AMD!$E213*Input!$B$92/DRM!$B$115/1000,0)</f>
        <v>330950302.78383017</v>
      </c>
      <c r="E20" s="17">
        <f>IF(DRM!$B$116,AMD!$F213*Input!$B$93/DRM!$B$116/1000,0)</f>
        <v>649683401.489905</v>
      </c>
      <c r="F20" s="17">
        <f>IF(DRM!$B$117,AMD!$G213*Input!$B$94/DRM!$B$117/1000,0)</f>
        <v>57233575.461076222</v>
      </c>
      <c r="G20" s="17">
        <f>IF(DRM!$B$118,AMD!$H213*Input!$B$95/DRM!$B$118/1000,0)</f>
        <v>1529791693.6086891</v>
      </c>
      <c r="H20" s="17">
        <f>IF(DRM!$B$119,AMD!$I213*Input!$B$96/DRM!$B$119/1000,0)</f>
        <v>501950094.61154133</v>
      </c>
      <c r="I20" s="17">
        <f>IF(DRM!$B$120,AMD!$J213*Input!$B$97/DRM!$B$120/1000,0)</f>
        <v>820783995.87893784</v>
      </c>
      <c r="J20" s="10"/>
    </row>
    <row r="22" spans="1:10" ht="21" customHeight="1" x14ac:dyDescent="0.3">
      <c r="A22" s="1" t="s">
        <v>898</v>
      </c>
    </row>
    <row r="23" spans="1:10" x14ac:dyDescent="0.25">
      <c r="A23" s="2" t="s">
        <v>356</v>
      </c>
    </row>
    <row r="24" spans="1:10" x14ac:dyDescent="0.25">
      <c r="A24" s="11" t="s">
        <v>579</v>
      </c>
    </row>
    <row r="25" spans="1:10" x14ac:dyDescent="0.25">
      <c r="A25" s="2" t="s">
        <v>638</v>
      </c>
    </row>
    <row r="27" spans="1:10" ht="75" x14ac:dyDescent="0.25">
      <c r="B27" s="12" t="s">
        <v>899</v>
      </c>
    </row>
    <row r="28" spans="1:10" x14ac:dyDescent="0.25">
      <c r="A28" s="3" t="s">
        <v>213</v>
      </c>
      <c r="B28" s="39">
        <f>Multi!B$133</f>
        <v>50744.899374625769</v>
      </c>
      <c r="C28" s="10"/>
    </row>
    <row r="29" spans="1:10" x14ac:dyDescent="0.25">
      <c r="A29" s="3" t="s">
        <v>214</v>
      </c>
      <c r="B29" s="39">
        <f>Multi!B$134</f>
        <v>23328.46630202439</v>
      </c>
      <c r="C29" s="10"/>
    </row>
    <row r="30" spans="1:10" x14ac:dyDescent="0.25">
      <c r="A30" s="3" t="s">
        <v>215</v>
      </c>
      <c r="B30" s="39">
        <f>Multi!B$135</f>
        <v>356.22882700287499</v>
      </c>
      <c r="C30" s="10"/>
    </row>
    <row r="31" spans="1:10" x14ac:dyDescent="0.25">
      <c r="A31" s="3" t="s">
        <v>216</v>
      </c>
      <c r="B31" s="39">
        <f>Multi!B$136</f>
        <v>8317.3632405332482</v>
      </c>
      <c r="C31" s="10"/>
    </row>
    <row r="32" spans="1:10" x14ac:dyDescent="0.25">
      <c r="A32" s="3" t="s">
        <v>217</v>
      </c>
      <c r="B32" s="39">
        <f>Multi!B$137</f>
        <v>241377.91585398733</v>
      </c>
      <c r="C32" s="10"/>
    </row>
    <row r="34" spans="1:3" ht="21" customHeight="1" x14ac:dyDescent="0.3">
      <c r="A34" s="1" t="s">
        <v>900</v>
      </c>
    </row>
    <row r="35" spans="1:3" x14ac:dyDescent="0.25">
      <c r="A35" s="2" t="s">
        <v>356</v>
      </c>
    </row>
    <row r="36" spans="1:3" x14ac:dyDescent="0.25">
      <c r="A36" s="11" t="s">
        <v>901</v>
      </c>
    </row>
    <row r="37" spans="1:3" x14ac:dyDescent="0.25">
      <c r="A37" s="2" t="s">
        <v>826</v>
      </c>
    </row>
    <row r="39" spans="1:3" ht="30" x14ac:dyDescent="0.25">
      <c r="B39" s="12" t="s">
        <v>902</v>
      </c>
    </row>
    <row r="40" spans="1:3" x14ac:dyDescent="0.25">
      <c r="A40" s="3" t="s">
        <v>902</v>
      </c>
      <c r="B40" s="17">
        <f>SUM(B$28:B$32)</f>
        <v>324124.87359817361</v>
      </c>
      <c r="C40" s="10"/>
    </row>
    <row r="42" spans="1:3" ht="21" customHeight="1" x14ac:dyDescent="0.3">
      <c r="A42" s="1" t="s">
        <v>903</v>
      </c>
    </row>
    <row r="43" spans="1:3" x14ac:dyDescent="0.25">
      <c r="A43" s="2" t="s">
        <v>356</v>
      </c>
    </row>
    <row r="44" spans="1:3" x14ac:dyDescent="0.25">
      <c r="A44" s="11" t="s">
        <v>904</v>
      </c>
    </row>
    <row r="45" spans="1:3" x14ac:dyDescent="0.25">
      <c r="A45" s="11" t="s">
        <v>905</v>
      </c>
    </row>
    <row r="46" spans="1:3" x14ac:dyDescent="0.25">
      <c r="A46" s="11" t="s">
        <v>906</v>
      </c>
    </row>
    <row r="47" spans="1:3" x14ac:dyDescent="0.25">
      <c r="A47" s="11" t="s">
        <v>907</v>
      </c>
    </row>
    <row r="48" spans="1:3" x14ac:dyDescent="0.25">
      <c r="A48" s="11" t="s">
        <v>908</v>
      </c>
    </row>
    <row r="49" spans="1:13" x14ac:dyDescent="0.25">
      <c r="A49" s="11" t="s">
        <v>909</v>
      </c>
    </row>
    <row r="50" spans="1:13" x14ac:dyDescent="0.25">
      <c r="A50" s="11" t="s">
        <v>910</v>
      </c>
    </row>
    <row r="51" spans="1:13" x14ac:dyDescent="0.25">
      <c r="A51" s="29" t="s">
        <v>359</v>
      </c>
      <c r="B51" s="29" t="s">
        <v>361</v>
      </c>
      <c r="C51" s="29"/>
      <c r="D51" s="29" t="s">
        <v>489</v>
      </c>
      <c r="E51" s="29" t="s">
        <v>418</v>
      </c>
      <c r="F51" s="29"/>
      <c r="G51" s="29" t="s">
        <v>489</v>
      </c>
      <c r="H51" s="29"/>
    </row>
    <row r="52" spans="1:13" x14ac:dyDescent="0.25">
      <c r="A52" s="29" t="s">
        <v>362</v>
      </c>
      <c r="B52" s="29" t="s">
        <v>364</v>
      </c>
      <c r="C52" s="29"/>
      <c r="D52" s="29" t="s">
        <v>911</v>
      </c>
      <c r="E52" s="29" t="s">
        <v>912</v>
      </c>
      <c r="F52" s="29"/>
      <c r="G52" s="29" t="s">
        <v>913</v>
      </c>
      <c r="H52" s="29"/>
    </row>
    <row r="54" spans="1:13" ht="30" x14ac:dyDescent="0.25">
      <c r="B54" s="27" t="s">
        <v>914</v>
      </c>
      <c r="C54" s="27"/>
      <c r="E54" s="27" t="s">
        <v>915</v>
      </c>
      <c r="F54" s="27"/>
      <c r="G54" s="27" t="s">
        <v>916</v>
      </c>
      <c r="H54" s="27"/>
    </row>
    <row r="55" spans="1:13" ht="45" x14ac:dyDescent="0.25">
      <c r="B55" s="12" t="s">
        <v>468</v>
      </c>
      <c r="C55" s="12" t="s">
        <v>480</v>
      </c>
      <c r="D55" s="12" t="s">
        <v>915</v>
      </c>
      <c r="E55" s="12" t="s">
        <v>468</v>
      </c>
      <c r="F55" s="12" t="s">
        <v>480</v>
      </c>
      <c r="G55" s="12" t="s">
        <v>468</v>
      </c>
      <c r="H55" s="12" t="s">
        <v>480</v>
      </c>
    </row>
    <row r="56" spans="1:13" x14ac:dyDescent="0.25">
      <c r="A56" s="3" t="s">
        <v>917</v>
      </c>
      <c r="B56" s="17">
        <f>SUMPRODUCT(SM!B$66:B$92,Loads!$E$302:$E$328)</f>
        <v>774192098.86701453</v>
      </c>
      <c r="C56" s="17">
        <f>SUMPRODUCT(SM!C$66:C$92,Loads!$E$302:$E$328)</f>
        <v>30844163.299691524</v>
      </c>
      <c r="D56" s="17">
        <f>SM!B35*$B40</f>
        <v>77413634.281842694</v>
      </c>
      <c r="E56" s="39">
        <f>$D56</f>
        <v>77413634.281842694</v>
      </c>
      <c r="F56" s="9"/>
      <c r="G56" s="17">
        <f>B56+E56</f>
        <v>851605733.14885724</v>
      </c>
      <c r="H56" s="17">
        <f>C56+F56</f>
        <v>30844163.299691524</v>
      </c>
      <c r="I56" s="10"/>
    </row>
    <row r="58" spans="1:13" ht="21" customHeight="1" x14ac:dyDescent="0.3">
      <c r="A58" s="1" t="s">
        <v>918</v>
      </c>
    </row>
    <row r="59" spans="1:13" x14ac:dyDescent="0.25">
      <c r="A59" s="2" t="s">
        <v>356</v>
      </c>
    </row>
    <row r="60" spans="1:13" x14ac:dyDescent="0.25">
      <c r="A60" s="11" t="s">
        <v>919</v>
      </c>
    </row>
    <row r="61" spans="1:13" x14ac:dyDescent="0.25">
      <c r="A61" s="11" t="s">
        <v>920</v>
      </c>
    </row>
    <row r="62" spans="1:13" x14ac:dyDescent="0.25">
      <c r="A62" s="11" t="s">
        <v>921</v>
      </c>
    </row>
    <row r="63" spans="1:13" x14ac:dyDescent="0.25">
      <c r="A63" s="29" t="s">
        <v>359</v>
      </c>
      <c r="B63" s="30" t="s">
        <v>523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9" t="s">
        <v>490</v>
      </c>
    </row>
    <row r="64" spans="1:13" x14ac:dyDescent="0.25">
      <c r="A64" s="29" t="s">
        <v>362</v>
      </c>
      <c r="B64" s="30" t="s">
        <v>748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9" t="s">
        <v>542</v>
      </c>
    </row>
    <row r="66" spans="1:14" x14ac:dyDescent="0.25">
      <c r="B66" s="31" t="s">
        <v>922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4" ht="60" x14ac:dyDescent="0.25">
      <c r="B67" s="12" t="s">
        <v>139</v>
      </c>
      <c r="C67" s="12" t="s">
        <v>311</v>
      </c>
      <c r="D67" s="12" t="s">
        <v>312</v>
      </c>
      <c r="E67" s="12" t="s">
        <v>313</v>
      </c>
      <c r="F67" s="12" t="s">
        <v>314</v>
      </c>
      <c r="G67" s="12" t="s">
        <v>315</v>
      </c>
      <c r="H67" s="12" t="s">
        <v>316</v>
      </c>
      <c r="I67" s="12" t="s">
        <v>317</v>
      </c>
      <c r="J67" s="12" t="s">
        <v>318</v>
      </c>
      <c r="K67" s="12" t="s">
        <v>468</v>
      </c>
      <c r="L67" s="12" t="s">
        <v>480</v>
      </c>
      <c r="M67" s="12" t="s">
        <v>923</v>
      </c>
    </row>
    <row r="68" spans="1:14" x14ac:dyDescent="0.25">
      <c r="A68" s="3" t="s">
        <v>924</v>
      </c>
      <c r="B68" s="9"/>
      <c r="C68" s="39">
        <f>$B20</f>
        <v>522092446.04092652</v>
      </c>
      <c r="D68" s="39">
        <f>$C20</f>
        <v>261530777.43819585</v>
      </c>
      <c r="E68" s="39">
        <f>$D20</f>
        <v>330950302.78383017</v>
      </c>
      <c r="F68" s="39">
        <f>$E20</f>
        <v>649683401.489905</v>
      </c>
      <c r="G68" s="39">
        <f>$F20</f>
        <v>57233575.461076222</v>
      </c>
      <c r="H68" s="39">
        <f>$G20</f>
        <v>1529791693.6086891</v>
      </c>
      <c r="I68" s="39">
        <f>$H20</f>
        <v>501950094.61154133</v>
      </c>
      <c r="J68" s="39">
        <f>$I20</f>
        <v>820783995.87893784</v>
      </c>
      <c r="K68" s="39">
        <f>$G56</f>
        <v>851605733.14885724</v>
      </c>
      <c r="L68" s="39">
        <f>$H56</f>
        <v>30844163.299691524</v>
      </c>
      <c r="M68" s="39">
        <f>SUM($B68:$L68)</f>
        <v>5556466183.761651</v>
      </c>
      <c r="N68" s="10"/>
    </row>
    <row r="70" spans="1:14" ht="21" customHeight="1" x14ac:dyDescent="0.3">
      <c r="A70" s="1" t="s">
        <v>925</v>
      </c>
    </row>
    <row r="71" spans="1:14" x14ac:dyDescent="0.25">
      <c r="A71" s="2" t="s">
        <v>356</v>
      </c>
    </row>
    <row r="72" spans="1:14" x14ac:dyDescent="0.25">
      <c r="A72" s="11" t="s">
        <v>926</v>
      </c>
    </row>
    <row r="73" spans="1:14" x14ac:dyDescent="0.25">
      <c r="A73" s="11" t="s">
        <v>927</v>
      </c>
    </row>
    <row r="74" spans="1:14" x14ac:dyDescent="0.25">
      <c r="A74" s="11" t="s">
        <v>928</v>
      </c>
    </row>
    <row r="75" spans="1:14" x14ac:dyDescent="0.25">
      <c r="A75" s="11" t="s">
        <v>929</v>
      </c>
    </row>
    <row r="76" spans="1:14" x14ac:dyDescent="0.25">
      <c r="A76" s="2" t="s">
        <v>930</v>
      </c>
    </row>
    <row r="78" spans="1:14" ht="90" x14ac:dyDescent="0.25">
      <c r="B78" s="12" t="s">
        <v>931</v>
      </c>
    </row>
    <row r="79" spans="1:14" x14ac:dyDescent="0.25">
      <c r="A79" s="3" t="s">
        <v>306</v>
      </c>
      <c r="B79" s="17">
        <f>Input!B293+Input!E293+Input!C293*Input!D293</f>
        <v>132971969.33721876</v>
      </c>
      <c r="C79" s="10"/>
    </row>
    <row r="81" spans="1:13" ht="21" customHeight="1" x14ac:dyDescent="0.3">
      <c r="A81" s="1" t="s">
        <v>932</v>
      </c>
    </row>
    <row r="82" spans="1:13" x14ac:dyDescent="0.25">
      <c r="A82" s="2" t="s">
        <v>356</v>
      </c>
    </row>
    <row r="83" spans="1:13" x14ac:dyDescent="0.25">
      <c r="A83" s="11" t="s">
        <v>933</v>
      </c>
    </row>
    <row r="84" spans="1:13" x14ac:dyDescent="0.25">
      <c r="A84" s="11" t="s">
        <v>934</v>
      </c>
    </row>
    <row r="85" spans="1:13" x14ac:dyDescent="0.25">
      <c r="A85" s="11" t="s">
        <v>935</v>
      </c>
    </row>
    <row r="86" spans="1:13" x14ac:dyDescent="0.25">
      <c r="A86" s="11" t="s">
        <v>936</v>
      </c>
    </row>
    <row r="87" spans="1:13" x14ac:dyDescent="0.25">
      <c r="A87" s="2" t="s">
        <v>937</v>
      </c>
    </row>
    <row r="89" spans="1:13" ht="30" x14ac:dyDescent="0.25">
      <c r="B89" s="12" t="s">
        <v>299</v>
      </c>
      <c r="C89" s="12" t="s">
        <v>882</v>
      </c>
      <c r="D89" s="12" t="s">
        <v>883</v>
      </c>
      <c r="E89" s="12" t="s">
        <v>884</v>
      </c>
      <c r="F89" s="12" t="s">
        <v>885</v>
      </c>
      <c r="G89" s="12" t="s">
        <v>886</v>
      </c>
      <c r="H89" s="12" t="s">
        <v>887</v>
      </c>
      <c r="I89" s="12" t="s">
        <v>888</v>
      </c>
      <c r="J89" s="12" t="s">
        <v>889</v>
      </c>
      <c r="K89" s="12" t="s">
        <v>890</v>
      </c>
      <c r="L89" s="12" t="s">
        <v>891</v>
      </c>
    </row>
    <row r="90" spans="1:13" x14ac:dyDescent="0.25">
      <c r="A90" s="3" t="s">
        <v>938</v>
      </c>
      <c r="B90" s="17">
        <f t="shared" ref="B90:L90" si="0">B10+$B79/$M68*B68</f>
        <v>11765728.3737446</v>
      </c>
      <c r="C90" s="17">
        <f t="shared" si="0"/>
        <v>12494210.966141211</v>
      </c>
      <c r="D90" s="17">
        <f t="shared" si="0"/>
        <v>6258701.3702849019</v>
      </c>
      <c r="E90" s="17">
        <f t="shared" si="0"/>
        <v>7919982.2438445082</v>
      </c>
      <c r="F90" s="17">
        <f t="shared" si="0"/>
        <v>15547594.18752208</v>
      </c>
      <c r="G90" s="17">
        <f t="shared" si="0"/>
        <v>1369658.5184861948</v>
      </c>
      <c r="H90" s="17">
        <f t="shared" si="0"/>
        <v>36609493.776700072</v>
      </c>
      <c r="I90" s="17">
        <f t="shared" si="0"/>
        <v>12012183.712115079</v>
      </c>
      <c r="J90" s="17">
        <f t="shared" si="0"/>
        <v>19642207.965100382</v>
      </c>
      <c r="K90" s="17">
        <f t="shared" si="0"/>
        <v>20379803.942045741</v>
      </c>
      <c r="L90" s="17">
        <f t="shared" si="0"/>
        <v>738132.65497859148</v>
      </c>
      <c r="M90" s="10"/>
    </row>
    <row r="92" spans="1:13" ht="21" customHeight="1" x14ac:dyDescent="0.3">
      <c r="A92" s="1" t="s">
        <v>939</v>
      </c>
    </row>
    <row r="93" spans="1:13" x14ac:dyDescent="0.25">
      <c r="A93" s="2" t="s">
        <v>356</v>
      </c>
    </row>
    <row r="94" spans="1:13" x14ac:dyDescent="0.25">
      <c r="A94" s="11" t="s">
        <v>940</v>
      </c>
    </row>
    <row r="95" spans="1:13" x14ac:dyDescent="0.25">
      <c r="A95" s="11" t="s">
        <v>941</v>
      </c>
    </row>
    <row r="96" spans="1:13" x14ac:dyDescent="0.25">
      <c r="A96" s="2" t="s">
        <v>942</v>
      </c>
    </row>
    <row r="98" spans="1:13" ht="30" x14ac:dyDescent="0.25">
      <c r="B98" s="12" t="s">
        <v>299</v>
      </c>
      <c r="C98" s="12" t="s">
        <v>882</v>
      </c>
      <c r="D98" s="12" t="s">
        <v>883</v>
      </c>
      <c r="E98" s="12" t="s">
        <v>884</v>
      </c>
      <c r="F98" s="12" t="s">
        <v>885</v>
      </c>
      <c r="G98" s="12" t="s">
        <v>886</v>
      </c>
      <c r="H98" s="12" t="s">
        <v>887</v>
      </c>
      <c r="I98" s="12" t="s">
        <v>888</v>
      </c>
      <c r="J98" s="12" t="s">
        <v>889</v>
      </c>
      <c r="K98" s="12" t="s">
        <v>890</v>
      </c>
      <c r="L98" s="12" t="s">
        <v>891</v>
      </c>
    </row>
    <row r="99" spans="1:13" x14ac:dyDescent="0.25">
      <c r="A99" s="3" t="s">
        <v>943</v>
      </c>
      <c r="B99" s="35" t="str">
        <f t="shared" ref="B99:L99" si="1">IF(B68="","",IF(B68&gt;0,B90/B68,0))</f>
        <v/>
      </c>
      <c r="C99" s="35">
        <f t="shared" si="1"/>
        <v>2.3931031871627189E-2</v>
      </c>
      <c r="D99" s="35">
        <f t="shared" si="1"/>
        <v>2.3931031871627189E-2</v>
      </c>
      <c r="E99" s="35">
        <f t="shared" si="1"/>
        <v>2.3931031871627189E-2</v>
      </c>
      <c r="F99" s="35">
        <f t="shared" si="1"/>
        <v>2.3931031871627189E-2</v>
      </c>
      <c r="G99" s="35">
        <f t="shared" si="1"/>
        <v>2.3931031871627189E-2</v>
      </c>
      <c r="H99" s="35">
        <f t="shared" si="1"/>
        <v>2.3931031871627189E-2</v>
      </c>
      <c r="I99" s="35">
        <f t="shared" si="1"/>
        <v>2.3931031871627189E-2</v>
      </c>
      <c r="J99" s="35">
        <f t="shared" si="1"/>
        <v>2.3931031871627189E-2</v>
      </c>
      <c r="K99" s="35">
        <f t="shared" si="1"/>
        <v>2.3931031871627189E-2</v>
      </c>
      <c r="L99" s="35">
        <f t="shared" si="1"/>
        <v>2.3931031871627189E-2</v>
      </c>
      <c r="M99" s="10"/>
    </row>
    <row r="101" spans="1:13" ht="21" customHeight="1" x14ac:dyDescent="0.3">
      <c r="A101" s="1" t="s">
        <v>944</v>
      </c>
    </row>
    <row r="102" spans="1:13" x14ac:dyDescent="0.25">
      <c r="A102" s="2" t="s">
        <v>356</v>
      </c>
    </row>
    <row r="103" spans="1:13" x14ac:dyDescent="0.25">
      <c r="A103" s="11" t="s">
        <v>945</v>
      </c>
    </row>
    <row r="104" spans="1:13" x14ac:dyDescent="0.25">
      <c r="A104" s="11" t="s">
        <v>941</v>
      </c>
    </row>
    <row r="105" spans="1:13" x14ac:dyDescent="0.25">
      <c r="A105" s="2" t="s">
        <v>946</v>
      </c>
    </row>
    <row r="107" spans="1:13" ht="30" x14ac:dyDescent="0.25">
      <c r="B107" s="12" t="s">
        <v>299</v>
      </c>
      <c r="C107" s="12" t="s">
        <v>882</v>
      </c>
      <c r="D107" s="12" t="s">
        <v>883</v>
      </c>
      <c r="E107" s="12" t="s">
        <v>884</v>
      </c>
      <c r="F107" s="12" t="s">
        <v>885</v>
      </c>
      <c r="G107" s="12" t="s">
        <v>886</v>
      </c>
      <c r="H107" s="12" t="s">
        <v>887</v>
      </c>
      <c r="I107" s="12" t="s">
        <v>888</v>
      </c>
      <c r="J107" s="12" t="s">
        <v>889</v>
      </c>
    </row>
    <row r="108" spans="1:13" ht="30" x14ac:dyDescent="0.25">
      <c r="A108" s="3" t="s">
        <v>947</v>
      </c>
      <c r="B108" s="33">
        <f>IF(AMD!B213&gt;0,$B90/AMD!B213,0)</f>
        <v>2.5921006273331666</v>
      </c>
      <c r="C108" s="33">
        <f>IF(AMD!C213&gt;0,$C90/AMD!C213,0)</f>
        <v>2.7499642719335124</v>
      </c>
      <c r="D108" s="33">
        <f>IF(AMD!D213&gt;0,$D90/AMD!D213,0)</f>
        <v>1.5038683064270968</v>
      </c>
      <c r="E108" s="33">
        <f>IF(AMD!E213&gt;0,$E90/AMD!E213,0)</f>
        <v>1.8385438165473891</v>
      </c>
      <c r="F108" s="33">
        <f>IF(AMD!F213&gt;0,$F90/AMD!F213,0)</f>
        <v>3.0026829525528074</v>
      </c>
      <c r="G108" s="33">
        <f>IF(AMD!G213&gt;0,$G90/AMD!G213,0)</f>
        <v>3.1118061348052981</v>
      </c>
      <c r="H108" s="33">
        <f>IF(AMD!H213&gt;0,$H90/AMD!H213,0)</f>
        <v>7.0557763278852352</v>
      </c>
      <c r="I108" s="33">
        <f>IF(AMD!I213&gt;0,$I90/AMD!I213,0)</f>
        <v>3.0516815411538318</v>
      </c>
      <c r="J108" s="33">
        <f>IF(AMD!J213&gt;0,$J90/AMD!J213,0)</f>
        <v>6.2508304590989567</v>
      </c>
      <c r="K108" s="10"/>
    </row>
    <row r="110" spans="1:13" ht="21" customHeight="1" x14ac:dyDescent="0.3">
      <c r="A110" s="1" t="s">
        <v>948</v>
      </c>
    </row>
    <row r="111" spans="1:13" x14ac:dyDescent="0.25">
      <c r="A111" s="2" t="s">
        <v>356</v>
      </c>
    </row>
    <row r="112" spans="1:13" x14ac:dyDescent="0.25">
      <c r="A112" s="11" t="s">
        <v>485</v>
      </c>
    </row>
    <row r="113" spans="1:5" x14ac:dyDescent="0.25">
      <c r="A113" s="11" t="s">
        <v>949</v>
      </c>
    </row>
    <row r="114" spans="1:5" x14ac:dyDescent="0.25">
      <c r="A114" s="11" t="s">
        <v>950</v>
      </c>
    </row>
    <row r="115" spans="1:5" x14ac:dyDescent="0.25">
      <c r="A115" s="11" t="s">
        <v>951</v>
      </c>
    </row>
    <row r="116" spans="1:5" x14ac:dyDescent="0.25">
      <c r="A116" s="29" t="s">
        <v>359</v>
      </c>
      <c r="B116" s="29" t="s">
        <v>489</v>
      </c>
      <c r="C116" s="29"/>
      <c r="D116" s="29" t="s">
        <v>490</v>
      </c>
    </row>
    <row r="117" spans="1:5" x14ac:dyDescent="0.25">
      <c r="A117" s="29" t="s">
        <v>362</v>
      </c>
      <c r="B117" s="29" t="s">
        <v>952</v>
      </c>
      <c r="C117" s="29"/>
      <c r="D117" s="29" t="s">
        <v>543</v>
      </c>
    </row>
    <row r="119" spans="1:5" ht="30" x14ac:dyDescent="0.25">
      <c r="B119" s="27" t="s">
        <v>953</v>
      </c>
      <c r="C119" s="27"/>
    </row>
    <row r="120" spans="1:5" ht="75" x14ac:dyDescent="0.25">
      <c r="B120" s="12" t="s">
        <v>890</v>
      </c>
      <c r="C120" s="12" t="s">
        <v>891</v>
      </c>
      <c r="D120" s="12" t="s">
        <v>954</v>
      </c>
    </row>
    <row r="121" spans="1:5" x14ac:dyDescent="0.25">
      <c r="A121" s="3" t="s">
        <v>171</v>
      </c>
      <c r="B121" s="33">
        <f>100/Input!$F$58*$K$99*SM!$B66</f>
        <v>1.725053976857601</v>
      </c>
      <c r="C121" s="33">
        <f>100/Input!$F$58*$L$99*SM!$C66</f>
        <v>0</v>
      </c>
      <c r="D121" s="33">
        <f t="shared" ref="D121:D147" si="2">SUM($B121:$C121)</f>
        <v>1.725053976857601</v>
      </c>
      <c r="E121" s="10"/>
    </row>
    <row r="122" spans="1:5" x14ac:dyDescent="0.25">
      <c r="A122" s="3" t="s">
        <v>172</v>
      </c>
      <c r="B122" s="33">
        <f>100/Input!$F$58*$K$99*SM!$B67</f>
        <v>1.725053976857601</v>
      </c>
      <c r="C122" s="33">
        <f>100/Input!$F$58*$L$99*SM!$C67</f>
        <v>0</v>
      </c>
      <c r="D122" s="33">
        <f t="shared" si="2"/>
        <v>1.725053976857601</v>
      </c>
      <c r="E122" s="10"/>
    </row>
    <row r="123" spans="1:5" x14ac:dyDescent="0.25">
      <c r="A123" s="3" t="s">
        <v>211</v>
      </c>
      <c r="B123" s="33">
        <f>100/Input!$F$58*$K$99*SM!$B68</f>
        <v>0</v>
      </c>
      <c r="C123" s="33">
        <f>100/Input!$F$58*$L$99*SM!$C68</f>
        <v>0</v>
      </c>
      <c r="D123" s="33">
        <f t="shared" si="2"/>
        <v>0</v>
      </c>
      <c r="E123" s="10"/>
    </row>
    <row r="124" spans="1:5" x14ac:dyDescent="0.25">
      <c r="A124" s="3" t="s">
        <v>173</v>
      </c>
      <c r="B124" s="33">
        <f>100/Input!$F$58*$K$99*SM!$B69</f>
        <v>3.8810265098995917</v>
      </c>
      <c r="C124" s="33">
        <f>100/Input!$F$58*$L$99*SM!$C69</f>
        <v>0</v>
      </c>
      <c r="D124" s="33">
        <f t="shared" si="2"/>
        <v>3.8810265098995917</v>
      </c>
      <c r="E124" s="10"/>
    </row>
    <row r="125" spans="1:5" x14ac:dyDescent="0.25">
      <c r="A125" s="3" t="s">
        <v>174</v>
      </c>
      <c r="B125" s="33">
        <f>100/Input!$F$58*$K$99*SM!$B70</f>
        <v>3.8810265098995917</v>
      </c>
      <c r="C125" s="33">
        <f>100/Input!$F$58*$L$99*SM!$C70</f>
        <v>0</v>
      </c>
      <c r="D125" s="33">
        <f t="shared" si="2"/>
        <v>3.8810265098995917</v>
      </c>
      <c r="E125" s="10"/>
    </row>
    <row r="126" spans="1:5" x14ac:dyDescent="0.25">
      <c r="A126" s="3" t="s">
        <v>212</v>
      </c>
      <c r="B126" s="33">
        <f>100/Input!$F$58*$K$99*SM!$B71</f>
        <v>0</v>
      </c>
      <c r="C126" s="33">
        <f>100/Input!$F$58*$L$99*SM!$C71</f>
        <v>0</v>
      </c>
      <c r="D126" s="33">
        <f t="shared" si="2"/>
        <v>0</v>
      </c>
      <c r="E126" s="10"/>
    </row>
    <row r="127" spans="1:5" x14ac:dyDescent="0.25">
      <c r="A127" s="3" t="s">
        <v>175</v>
      </c>
      <c r="B127" s="33">
        <f>100/Input!$F$58*$K$99*SM!$B72</f>
        <v>4.7251221255470179</v>
      </c>
      <c r="C127" s="33">
        <f>100/Input!$F$58*$L$99*SM!$C72</f>
        <v>0</v>
      </c>
      <c r="D127" s="33">
        <f t="shared" si="2"/>
        <v>4.7251221255470179</v>
      </c>
      <c r="E127" s="10"/>
    </row>
    <row r="128" spans="1:5" x14ac:dyDescent="0.25">
      <c r="A128" s="3" t="s">
        <v>176</v>
      </c>
      <c r="B128" s="33">
        <f>100/Input!$F$58*$K$99*SM!$B73</f>
        <v>3.5042449168482803</v>
      </c>
      <c r="C128" s="33">
        <f>100/Input!$F$58*$L$99*SM!$C73</f>
        <v>0</v>
      </c>
      <c r="D128" s="33">
        <f t="shared" si="2"/>
        <v>3.5042449168482803</v>
      </c>
      <c r="E128" s="10"/>
    </row>
    <row r="129" spans="1:5" x14ac:dyDescent="0.25">
      <c r="A129" s="3" t="s">
        <v>192</v>
      </c>
      <c r="B129" s="33">
        <f>100/Input!$F$58*$K$99*SM!$B74</f>
        <v>0</v>
      </c>
      <c r="C129" s="33">
        <f>100/Input!$F$58*$L$99*SM!$C74</f>
        <v>60.870906704991079</v>
      </c>
      <c r="D129" s="33">
        <f t="shared" si="2"/>
        <v>60.870906704991079</v>
      </c>
      <c r="E129" s="10"/>
    </row>
    <row r="130" spans="1:5" x14ac:dyDescent="0.25">
      <c r="A130" s="3" t="s">
        <v>177</v>
      </c>
      <c r="B130" s="33">
        <f>100/Input!$F$58*$K$99*SM!$B75</f>
        <v>1.725053976857601</v>
      </c>
      <c r="C130" s="33">
        <f>100/Input!$F$58*$L$99*SM!$C75</f>
        <v>0</v>
      </c>
      <c r="D130" s="33">
        <f t="shared" si="2"/>
        <v>1.725053976857601</v>
      </c>
      <c r="E130" s="10"/>
    </row>
    <row r="131" spans="1:5" x14ac:dyDescent="0.25">
      <c r="A131" s="3" t="s">
        <v>178</v>
      </c>
      <c r="B131" s="33">
        <f>100/Input!$F$58*$K$99*SM!$B76</f>
        <v>3.8810265098995917</v>
      </c>
      <c r="C131" s="33">
        <f>100/Input!$F$58*$L$99*SM!$C76</f>
        <v>0</v>
      </c>
      <c r="D131" s="33">
        <f t="shared" si="2"/>
        <v>3.8810265098995917</v>
      </c>
      <c r="E131" s="10"/>
    </row>
    <row r="132" spans="1:5" x14ac:dyDescent="0.25">
      <c r="A132" s="3" t="s">
        <v>179</v>
      </c>
      <c r="B132" s="33">
        <f>100/Input!$F$58*$K$99*SM!$B77</f>
        <v>7.9659285407285259</v>
      </c>
      <c r="C132" s="33">
        <f>100/Input!$F$58*$L$99*SM!$C77</f>
        <v>0</v>
      </c>
      <c r="D132" s="33">
        <f t="shared" si="2"/>
        <v>7.9659285407285259</v>
      </c>
      <c r="E132" s="10"/>
    </row>
    <row r="133" spans="1:5" x14ac:dyDescent="0.25">
      <c r="A133" s="3" t="s">
        <v>180</v>
      </c>
      <c r="B133" s="33">
        <f>100/Input!$F$58*$K$99*SM!$B78</f>
        <v>6.1354624318082642</v>
      </c>
      <c r="C133" s="33">
        <f>100/Input!$F$58*$L$99*SM!$C78</f>
        <v>0</v>
      </c>
      <c r="D133" s="33">
        <f t="shared" si="2"/>
        <v>6.1354624318082642</v>
      </c>
      <c r="E133" s="10"/>
    </row>
    <row r="134" spans="1:5" x14ac:dyDescent="0.25">
      <c r="A134" s="3" t="s">
        <v>193</v>
      </c>
      <c r="B134" s="33">
        <f>100/Input!$F$58*$K$99*SM!$B79</f>
        <v>0</v>
      </c>
      <c r="C134" s="33">
        <f>100/Input!$F$58*$L$99*SM!$C79</f>
        <v>60.870906704991079</v>
      </c>
      <c r="D134" s="33">
        <f t="shared" si="2"/>
        <v>60.870906704991079</v>
      </c>
      <c r="E134" s="10"/>
    </row>
    <row r="135" spans="1:5" x14ac:dyDescent="0.25">
      <c r="A135" s="3" t="s">
        <v>213</v>
      </c>
      <c r="B135" s="33">
        <f>100/Input!$F$58*$K$99*SM!$B80</f>
        <v>0</v>
      </c>
      <c r="C135" s="33">
        <f>100/Input!$F$58*$L$99*SM!$C80</f>
        <v>0</v>
      </c>
      <c r="D135" s="33">
        <f t="shared" si="2"/>
        <v>0</v>
      </c>
      <c r="E135" s="10"/>
    </row>
    <row r="136" spans="1:5" x14ac:dyDescent="0.25">
      <c r="A136" s="3" t="s">
        <v>214</v>
      </c>
      <c r="B136" s="33">
        <f>100/Input!$F$58*$K$99*SM!$B81</f>
        <v>0</v>
      </c>
      <c r="C136" s="33">
        <f>100/Input!$F$58*$L$99*SM!$C81</f>
        <v>0</v>
      </c>
      <c r="D136" s="33">
        <f t="shared" si="2"/>
        <v>0</v>
      </c>
      <c r="E136" s="10"/>
    </row>
    <row r="137" spans="1:5" x14ac:dyDescent="0.25">
      <c r="A137" s="3" t="s">
        <v>215</v>
      </c>
      <c r="B137" s="33">
        <f>100/Input!$F$58*$K$99*SM!$B82</f>
        <v>0</v>
      </c>
      <c r="C137" s="33">
        <f>100/Input!$F$58*$L$99*SM!$C82</f>
        <v>0</v>
      </c>
      <c r="D137" s="33">
        <f t="shared" si="2"/>
        <v>0</v>
      </c>
      <c r="E137" s="10"/>
    </row>
    <row r="138" spans="1:5" x14ac:dyDescent="0.25">
      <c r="A138" s="3" t="s">
        <v>216</v>
      </c>
      <c r="B138" s="33">
        <f>100/Input!$F$58*$K$99*SM!$B83</f>
        <v>0</v>
      </c>
      <c r="C138" s="33">
        <f>100/Input!$F$58*$L$99*SM!$C83</f>
        <v>0</v>
      </c>
      <c r="D138" s="33">
        <f t="shared" si="2"/>
        <v>0</v>
      </c>
      <c r="E138" s="10"/>
    </row>
    <row r="139" spans="1:5" x14ac:dyDescent="0.25">
      <c r="A139" s="3" t="s">
        <v>217</v>
      </c>
      <c r="B139" s="33">
        <f>100/Input!$F$58*$K$99*SM!$B84</f>
        <v>0</v>
      </c>
      <c r="C139" s="33">
        <f>100/Input!$F$58*$L$99*SM!$C84</f>
        <v>0</v>
      </c>
      <c r="D139" s="33">
        <f t="shared" si="2"/>
        <v>0</v>
      </c>
      <c r="E139" s="10"/>
    </row>
    <row r="140" spans="1:5" x14ac:dyDescent="0.25">
      <c r="A140" s="3" t="s">
        <v>181</v>
      </c>
      <c r="B140" s="33">
        <f>100/Input!$F$58*$K$99*SM!$B85</f>
        <v>0</v>
      </c>
      <c r="C140" s="33">
        <f>100/Input!$F$58*$L$99*SM!$C85</f>
        <v>0</v>
      </c>
      <c r="D140" s="33">
        <f t="shared" si="2"/>
        <v>0</v>
      </c>
      <c r="E140" s="10"/>
    </row>
    <row r="141" spans="1:5" x14ac:dyDescent="0.25">
      <c r="A141" s="3" t="s">
        <v>182</v>
      </c>
      <c r="B141" s="33">
        <f>100/Input!$F$58*$K$99*SM!$B86</f>
        <v>0</v>
      </c>
      <c r="C141" s="33">
        <f>100/Input!$F$58*$L$99*SM!$C86</f>
        <v>0</v>
      </c>
      <c r="D141" s="33">
        <f t="shared" si="2"/>
        <v>0</v>
      </c>
      <c r="E141" s="10"/>
    </row>
    <row r="142" spans="1:5" x14ac:dyDescent="0.25">
      <c r="A142" s="3" t="s">
        <v>183</v>
      </c>
      <c r="B142" s="33">
        <f>100/Input!$F$58*$K$99*SM!$B87</f>
        <v>0</v>
      </c>
      <c r="C142" s="33">
        <f>100/Input!$F$58*$L$99*SM!$C87</f>
        <v>0</v>
      </c>
      <c r="D142" s="33">
        <f t="shared" si="2"/>
        <v>0</v>
      </c>
      <c r="E142" s="10"/>
    </row>
    <row r="143" spans="1:5" x14ac:dyDescent="0.25">
      <c r="A143" s="3" t="s">
        <v>184</v>
      </c>
      <c r="B143" s="33">
        <f>100/Input!$F$58*$K$99*SM!$B88</f>
        <v>0</v>
      </c>
      <c r="C143" s="33">
        <f>100/Input!$F$58*$L$99*SM!$C88</f>
        <v>0</v>
      </c>
      <c r="D143" s="33">
        <f t="shared" si="2"/>
        <v>0</v>
      </c>
      <c r="E143" s="10"/>
    </row>
    <row r="144" spans="1:5" x14ac:dyDescent="0.25">
      <c r="A144" s="3" t="s">
        <v>185</v>
      </c>
      <c r="B144" s="33">
        <f>100/Input!$F$58*$K$99*SM!$B89</f>
        <v>0</v>
      </c>
      <c r="C144" s="33">
        <f>100/Input!$F$58*$L$99*SM!$C89</f>
        <v>0</v>
      </c>
      <c r="D144" s="33">
        <f t="shared" si="2"/>
        <v>0</v>
      </c>
      <c r="E144" s="10"/>
    </row>
    <row r="145" spans="1:5" x14ac:dyDescent="0.25">
      <c r="A145" s="3" t="s">
        <v>186</v>
      </c>
      <c r="B145" s="33">
        <f>100/Input!$F$58*$K$99*SM!$B90</f>
        <v>0</v>
      </c>
      <c r="C145" s="33">
        <f>100/Input!$F$58*$L$99*SM!$C90</f>
        <v>0</v>
      </c>
      <c r="D145" s="33">
        <f t="shared" si="2"/>
        <v>0</v>
      </c>
      <c r="E145" s="10"/>
    </row>
    <row r="146" spans="1:5" x14ac:dyDescent="0.25">
      <c r="A146" s="3" t="s">
        <v>194</v>
      </c>
      <c r="B146" s="33">
        <f>100/Input!$F$58*$K$99*SM!$B91</f>
        <v>0</v>
      </c>
      <c r="C146" s="33">
        <f>100/Input!$F$58*$L$99*SM!$C91</f>
        <v>29.347920410185225</v>
      </c>
      <c r="D146" s="33">
        <f t="shared" si="2"/>
        <v>29.347920410185225</v>
      </c>
      <c r="E146" s="10"/>
    </row>
    <row r="147" spans="1:5" x14ac:dyDescent="0.25">
      <c r="A147" s="3" t="s">
        <v>195</v>
      </c>
      <c r="B147" s="33">
        <f>100/Input!$F$58*$K$99*SM!$B92</f>
        <v>0</v>
      </c>
      <c r="C147" s="33">
        <f>100/Input!$F$58*$L$99*SM!$C92</f>
        <v>29.347920410185225</v>
      </c>
      <c r="D147" s="33">
        <f t="shared" si="2"/>
        <v>29.347920410185225</v>
      </c>
      <c r="E147" s="10"/>
    </row>
    <row r="149" spans="1:5" ht="21" customHeight="1" x14ac:dyDescent="0.3">
      <c r="A149" s="1" t="s">
        <v>955</v>
      </c>
    </row>
    <row r="150" spans="1:5" x14ac:dyDescent="0.25">
      <c r="A150" s="2" t="s">
        <v>356</v>
      </c>
    </row>
    <row r="151" spans="1:5" x14ac:dyDescent="0.25">
      <c r="A151" s="11" t="s">
        <v>956</v>
      </c>
    </row>
    <row r="152" spans="1:5" x14ac:dyDescent="0.25">
      <c r="A152" s="11" t="s">
        <v>474</v>
      </c>
    </row>
    <row r="153" spans="1:5" x14ac:dyDescent="0.25">
      <c r="A153" s="2" t="s">
        <v>957</v>
      </c>
    </row>
    <row r="155" spans="1:5" ht="30" x14ac:dyDescent="0.25">
      <c r="B155" s="12" t="s">
        <v>890</v>
      </c>
    </row>
    <row r="156" spans="1:5" x14ac:dyDescent="0.25">
      <c r="A156" s="3" t="s">
        <v>213</v>
      </c>
      <c r="B156" s="33">
        <f>0.1*$K$99*SM!$B$35</f>
        <v>0.57156617717465663</v>
      </c>
      <c r="C156" s="10"/>
    </row>
    <row r="157" spans="1:5" x14ac:dyDescent="0.25">
      <c r="A157" s="3" t="s">
        <v>214</v>
      </c>
      <c r="B157" s="33">
        <f>0.1*$K$99*SM!$B$35</f>
        <v>0.57156617717465663</v>
      </c>
      <c r="C157" s="10"/>
    </row>
    <row r="158" spans="1:5" x14ac:dyDescent="0.25">
      <c r="A158" s="3" t="s">
        <v>215</v>
      </c>
      <c r="B158" s="33">
        <f>0.1*$K$99*SM!$B$35</f>
        <v>0.57156617717465663</v>
      </c>
      <c r="C158" s="10"/>
    </row>
    <row r="159" spans="1:5" x14ac:dyDescent="0.25">
      <c r="A159" s="3" t="s">
        <v>216</v>
      </c>
      <c r="B159" s="33">
        <f>0.1*$K$99*SM!$B$35</f>
        <v>0.57156617717465663</v>
      </c>
      <c r="C159" s="10"/>
    </row>
    <row r="160" spans="1:5" x14ac:dyDescent="0.25">
      <c r="A160" s="3" t="s">
        <v>217</v>
      </c>
      <c r="B160" s="33">
        <f>0.1*$K$99*SM!$B$35</f>
        <v>0.57156617717465663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2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2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East Midlands in April 17 (Final)</v>
      </c>
    </row>
    <row r="2" spans="1:6" x14ac:dyDescent="0.25">
      <c r="A2" s="2" t="s">
        <v>958</v>
      </c>
    </row>
    <row r="4" spans="1:6" ht="21" customHeight="1" x14ac:dyDescent="0.3">
      <c r="A4" s="1" t="s">
        <v>959</v>
      </c>
    </row>
    <row r="6" spans="1:6" x14ac:dyDescent="0.25">
      <c r="B6" s="12" t="s">
        <v>319</v>
      </c>
      <c r="C6" s="12" t="s">
        <v>320</v>
      </c>
      <c r="D6" s="12" t="s">
        <v>321</v>
      </c>
      <c r="E6" s="12" t="s">
        <v>322</v>
      </c>
    </row>
    <row r="7" spans="1:6" x14ac:dyDescent="0.25">
      <c r="A7" s="3" t="s">
        <v>171</v>
      </c>
      <c r="B7" s="36">
        <v>1</v>
      </c>
      <c r="C7" s="36">
        <v>0</v>
      </c>
      <c r="D7" s="36">
        <v>0</v>
      </c>
      <c r="E7" s="36">
        <v>0</v>
      </c>
      <c r="F7" s="10"/>
    </row>
    <row r="8" spans="1:6" x14ac:dyDescent="0.25">
      <c r="A8" s="3" t="s">
        <v>172</v>
      </c>
      <c r="B8" s="36">
        <v>1</v>
      </c>
      <c r="C8" s="36">
        <v>0</v>
      </c>
      <c r="D8" s="36">
        <v>0</v>
      </c>
      <c r="E8" s="36">
        <v>0</v>
      </c>
      <c r="F8" s="10"/>
    </row>
    <row r="9" spans="1:6" x14ac:dyDescent="0.25">
      <c r="A9" s="3" t="s">
        <v>211</v>
      </c>
      <c r="B9" s="36">
        <v>1</v>
      </c>
      <c r="C9" s="36">
        <v>0</v>
      </c>
      <c r="D9" s="36">
        <v>0</v>
      </c>
      <c r="E9" s="36">
        <v>0</v>
      </c>
      <c r="F9" s="10"/>
    </row>
    <row r="10" spans="1:6" x14ac:dyDescent="0.25">
      <c r="A10" s="3" t="s">
        <v>173</v>
      </c>
      <c r="B10" s="36">
        <v>1</v>
      </c>
      <c r="C10" s="36">
        <v>0</v>
      </c>
      <c r="D10" s="36">
        <v>0</v>
      </c>
      <c r="E10" s="36">
        <v>0</v>
      </c>
      <c r="F10" s="10"/>
    </row>
    <row r="11" spans="1:6" x14ac:dyDescent="0.25">
      <c r="A11" s="3" t="s">
        <v>174</v>
      </c>
      <c r="B11" s="36">
        <v>1</v>
      </c>
      <c r="C11" s="36">
        <v>0</v>
      </c>
      <c r="D11" s="36">
        <v>0</v>
      </c>
      <c r="E11" s="36">
        <v>0</v>
      </c>
      <c r="F11" s="10"/>
    </row>
    <row r="12" spans="1:6" x14ac:dyDescent="0.25">
      <c r="A12" s="3" t="s">
        <v>212</v>
      </c>
      <c r="B12" s="36">
        <v>1</v>
      </c>
      <c r="C12" s="36">
        <v>0</v>
      </c>
      <c r="D12" s="36">
        <v>0</v>
      </c>
      <c r="E12" s="36">
        <v>0</v>
      </c>
      <c r="F12" s="10"/>
    </row>
    <row r="13" spans="1:6" x14ac:dyDescent="0.25">
      <c r="A13" s="3" t="s">
        <v>175</v>
      </c>
      <c r="B13" s="36">
        <v>1</v>
      </c>
      <c r="C13" s="36">
        <v>0</v>
      </c>
      <c r="D13" s="36">
        <v>0</v>
      </c>
      <c r="E13" s="36">
        <v>0</v>
      </c>
      <c r="F13" s="10"/>
    </row>
    <row r="14" spans="1:6" x14ac:dyDescent="0.25">
      <c r="A14" s="3" t="s">
        <v>176</v>
      </c>
      <c r="B14" s="36">
        <v>0</v>
      </c>
      <c r="C14" s="36">
        <v>1</v>
      </c>
      <c r="D14" s="36">
        <v>0</v>
      </c>
      <c r="E14" s="36">
        <v>0</v>
      </c>
      <c r="F14" s="10"/>
    </row>
    <row r="15" spans="1:6" x14ac:dyDescent="0.25">
      <c r="A15" s="3" t="s">
        <v>192</v>
      </c>
      <c r="B15" s="36">
        <v>0</v>
      </c>
      <c r="C15" s="36">
        <v>0</v>
      </c>
      <c r="D15" s="36">
        <v>1</v>
      </c>
      <c r="E15" s="36">
        <v>0</v>
      </c>
      <c r="F15" s="10"/>
    </row>
    <row r="16" spans="1:6" x14ac:dyDescent="0.25">
      <c r="A16" s="3" t="s">
        <v>177</v>
      </c>
      <c r="B16" s="36">
        <v>1</v>
      </c>
      <c r="C16" s="36">
        <v>0</v>
      </c>
      <c r="D16" s="36">
        <v>0</v>
      </c>
      <c r="E16" s="36">
        <v>0</v>
      </c>
      <c r="F16" s="10"/>
    </row>
    <row r="17" spans="1:6" x14ac:dyDescent="0.25">
      <c r="A17" s="3" t="s">
        <v>178</v>
      </c>
      <c r="B17" s="36">
        <v>1</v>
      </c>
      <c r="C17" s="36">
        <v>0</v>
      </c>
      <c r="D17" s="36">
        <v>0</v>
      </c>
      <c r="E17" s="36">
        <v>0</v>
      </c>
      <c r="F17" s="10"/>
    </row>
    <row r="18" spans="1:6" x14ac:dyDescent="0.25">
      <c r="A18" s="3" t="s">
        <v>179</v>
      </c>
      <c r="B18" s="36">
        <v>1</v>
      </c>
      <c r="C18" s="36">
        <v>0</v>
      </c>
      <c r="D18" s="36">
        <v>0</v>
      </c>
      <c r="E18" s="36">
        <v>0</v>
      </c>
      <c r="F18" s="10"/>
    </row>
    <row r="19" spans="1:6" x14ac:dyDescent="0.25">
      <c r="A19" s="3" t="s">
        <v>180</v>
      </c>
      <c r="B19" s="36">
        <v>0</v>
      </c>
      <c r="C19" s="36">
        <v>1</v>
      </c>
      <c r="D19" s="36">
        <v>0</v>
      </c>
      <c r="E19" s="36">
        <v>0</v>
      </c>
      <c r="F19" s="10"/>
    </row>
    <row r="20" spans="1:6" x14ac:dyDescent="0.25">
      <c r="A20" s="3" t="s">
        <v>193</v>
      </c>
      <c r="B20" s="36">
        <v>0</v>
      </c>
      <c r="C20" s="36">
        <v>0</v>
      </c>
      <c r="D20" s="36">
        <v>1</v>
      </c>
      <c r="E20" s="36">
        <v>0</v>
      </c>
      <c r="F20" s="10"/>
    </row>
    <row r="21" spans="1:6" x14ac:dyDescent="0.25">
      <c r="A21" s="3" t="s">
        <v>213</v>
      </c>
      <c r="B21" s="36">
        <v>1</v>
      </c>
      <c r="C21" s="36">
        <v>0</v>
      </c>
      <c r="D21" s="36">
        <v>0</v>
      </c>
      <c r="E21" s="36">
        <v>0</v>
      </c>
      <c r="F21" s="10"/>
    </row>
    <row r="22" spans="1:6" x14ac:dyDescent="0.25">
      <c r="A22" s="3" t="s">
        <v>214</v>
      </c>
      <c r="B22" s="36">
        <v>1</v>
      </c>
      <c r="C22" s="36">
        <v>0</v>
      </c>
      <c r="D22" s="36">
        <v>0</v>
      </c>
      <c r="E22" s="36">
        <v>0</v>
      </c>
      <c r="F22" s="10"/>
    </row>
    <row r="23" spans="1:6" x14ac:dyDescent="0.25">
      <c r="A23" s="3" t="s">
        <v>215</v>
      </c>
      <c r="B23" s="36">
        <v>1</v>
      </c>
      <c r="C23" s="36">
        <v>0</v>
      </c>
      <c r="D23" s="36">
        <v>0</v>
      </c>
      <c r="E23" s="36">
        <v>0</v>
      </c>
      <c r="F23" s="10"/>
    </row>
    <row r="24" spans="1:6" x14ac:dyDescent="0.25">
      <c r="A24" s="3" t="s">
        <v>216</v>
      </c>
      <c r="B24" s="36">
        <v>1</v>
      </c>
      <c r="C24" s="36">
        <v>0</v>
      </c>
      <c r="D24" s="36">
        <v>0</v>
      </c>
      <c r="E24" s="36">
        <v>0</v>
      </c>
      <c r="F24" s="10"/>
    </row>
    <row r="25" spans="1:6" x14ac:dyDescent="0.25">
      <c r="A25" s="3" t="s">
        <v>217</v>
      </c>
      <c r="B25" s="36">
        <v>1</v>
      </c>
      <c r="C25" s="36">
        <v>0</v>
      </c>
      <c r="D25" s="36">
        <v>0</v>
      </c>
      <c r="E25" s="36">
        <v>0</v>
      </c>
      <c r="F25" s="10"/>
    </row>
    <row r="26" spans="1:6" x14ac:dyDescent="0.25">
      <c r="A26" s="3" t="s">
        <v>181</v>
      </c>
      <c r="B26" s="36">
        <v>1</v>
      </c>
      <c r="C26" s="36">
        <v>0</v>
      </c>
      <c r="D26" s="36">
        <v>0</v>
      </c>
      <c r="E26" s="36">
        <v>0</v>
      </c>
      <c r="F26" s="10"/>
    </row>
    <row r="27" spans="1:6" x14ac:dyDescent="0.25">
      <c r="A27" s="3" t="s">
        <v>182</v>
      </c>
      <c r="B27" s="36">
        <v>0</v>
      </c>
      <c r="C27" s="36">
        <v>1</v>
      </c>
      <c r="D27" s="36">
        <v>0</v>
      </c>
      <c r="E27" s="36">
        <v>0</v>
      </c>
      <c r="F27" s="10"/>
    </row>
    <row r="28" spans="1:6" x14ac:dyDescent="0.25">
      <c r="A28" s="3" t="s">
        <v>183</v>
      </c>
      <c r="B28" s="36">
        <v>1</v>
      </c>
      <c r="C28" s="36">
        <v>0</v>
      </c>
      <c r="D28" s="36">
        <v>0</v>
      </c>
      <c r="E28" s="36">
        <v>0</v>
      </c>
      <c r="F28" s="10"/>
    </row>
    <row r="29" spans="1:6" x14ac:dyDescent="0.25">
      <c r="A29" s="3" t="s">
        <v>184</v>
      </c>
      <c r="B29" s="36">
        <v>1</v>
      </c>
      <c r="C29" s="36">
        <v>0</v>
      </c>
      <c r="D29" s="36">
        <v>0</v>
      </c>
      <c r="E29" s="36">
        <v>0</v>
      </c>
      <c r="F29" s="10"/>
    </row>
    <row r="30" spans="1:6" x14ac:dyDescent="0.25">
      <c r="A30" s="3" t="s">
        <v>185</v>
      </c>
      <c r="B30" s="36">
        <v>0</v>
      </c>
      <c r="C30" s="36">
        <v>1</v>
      </c>
      <c r="D30" s="36">
        <v>0</v>
      </c>
      <c r="E30" s="36">
        <v>0</v>
      </c>
      <c r="F30" s="10"/>
    </row>
    <row r="31" spans="1:6" x14ac:dyDescent="0.25">
      <c r="A31" s="3" t="s">
        <v>186</v>
      </c>
      <c r="B31" s="36">
        <v>0</v>
      </c>
      <c r="C31" s="36">
        <v>1</v>
      </c>
      <c r="D31" s="36">
        <v>0</v>
      </c>
      <c r="E31" s="36">
        <v>0</v>
      </c>
      <c r="F31" s="10"/>
    </row>
    <row r="32" spans="1:6" x14ac:dyDescent="0.25">
      <c r="A32" s="3" t="s">
        <v>194</v>
      </c>
      <c r="B32" s="36">
        <v>0</v>
      </c>
      <c r="C32" s="36">
        <v>0</v>
      </c>
      <c r="D32" s="36">
        <v>1</v>
      </c>
      <c r="E32" s="36">
        <v>0</v>
      </c>
      <c r="F32" s="10"/>
    </row>
    <row r="33" spans="1:6" x14ac:dyDescent="0.25">
      <c r="A33" s="3" t="s">
        <v>195</v>
      </c>
      <c r="B33" s="36">
        <v>0</v>
      </c>
      <c r="C33" s="36">
        <v>0</v>
      </c>
      <c r="D33" s="36">
        <v>1</v>
      </c>
      <c r="E33" s="36">
        <v>0</v>
      </c>
      <c r="F33" s="10"/>
    </row>
    <row r="35" spans="1:6" ht="21" customHeight="1" x14ac:dyDescent="0.3">
      <c r="A35" s="1" t="s">
        <v>960</v>
      </c>
    </row>
    <row r="36" spans="1:6" x14ac:dyDescent="0.25">
      <c r="A36" s="2" t="s">
        <v>356</v>
      </c>
    </row>
    <row r="37" spans="1:6" x14ac:dyDescent="0.25">
      <c r="A37" s="11" t="s">
        <v>961</v>
      </c>
    </row>
    <row r="38" spans="1:6" x14ac:dyDescent="0.25">
      <c r="A38" s="11" t="s">
        <v>962</v>
      </c>
    </row>
    <row r="39" spans="1:6" x14ac:dyDescent="0.25">
      <c r="A39" s="2" t="s">
        <v>963</v>
      </c>
    </row>
    <row r="41" spans="1:6" x14ac:dyDescent="0.25">
      <c r="B41" s="12" t="s">
        <v>319</v>
      </c>
      <c r="C41" s="12" t="s">
        <v>320</v>
      </c>
      <c r="D41" s="12" t="s">
        <v>321</v>
      </c>
      <c r="E41" s="12" t="s">
        <v>322</v>
      </c>
    </row>
    <row r="42" spans="1:6" x14ac:dyDescent="0.25">
      <c r="A42" s="3" t="s">
        <v>456</v>
      </c>
      <c r="B42" s="35">
        <f>Input!$B$301*(1-Input!$D$58)</f>
        <v>0</v>
      </c>
      <c r="C42" s="35">
        <f>Input!$B$302*(1-Input!$D$58)</f>
        <v>0</v>
      </c>
      <c r="D42" s="35">
        <f>Input!$B$303*(1-Input!$D$58)</f>
        <v>0</v>
      </c>
      <c r="E42" s="35">
        <f>Input!$B$304*(1-Input!$D$58)</f>
        <v>0</v>
      </c>
      <c r="F42" s="10"/>
    </row>
    <row r="43" spans="1:6" x14ac:dyDescent="0.25">
      <c r="A43" s="3" t="s">
        <v>457</v>
      </c>
      <c r="B43" s="35">
        <f>Input!$C$301*(1-Input!$D$58)</f>
        <v>0</v>
      </c>
      <c r="C43" s="35">
        <f>Input!$C$302*(1-Input!$D$58)</f>
        <v>0</v>
      </c>
      <c r="D43" s="35">
        <f>Input!$C$303*(1-Input!$D$58)</f>
        <v>0</v>
      </c>
      <c r="E43" s="35">
        <f>Input!$C$304*(1-Input!$D$58)</f>
        <v>0</v>
      </c>
      <c r="F43" s="10"/>
    </row>
    <row r="44" spans="1:6" x14ac:dyDescent="0.25">
      <c r="A44" s="3" t="s">
        <v>458</v>
      </c>
      <c r="B44" s="35">
        <f>Input!$D$301*(1-Input!$D$58)</f>
        <v>0</v>
      </c>
      <c r="C44" s="35">
        <f>Input!$D$302*(1-Input!$D$58)</f>
        <v>0</v>
      </c>
      <c r="D44" s="35">
        <f>Input!$D$303*(1-Input!$D$58)</f>
        <v>6.5420049562801799E-2</v>
      </c>
      <c r="E44" s="35">
        <f>Input!$D$304*(1-Input!$D$58)</f>
        <v>6.5420049562801799E-2</v>
      </c>
      <c r="F44" s="10"/>
    </row>
    <row r="45" spans="1:6" x14ac:dyDescent="0.25">
      <c r="A45" s="3" t="s">
        <v>459</v>
      </c>
      <c r="B45" s="35">
        <f>Input!$E$301*(1-Input!$D$58)</f>
        <v>0</v>
      </c>
      <c r="C45" s="35">
        <f>Input!$E$302*(1-Input!$D$58)</f>
        <v>0</v>
      </c>
      <c r="D45" s="35">
        <f>Input!$E$303*(1-Input!$D$58)</f>
        <v>0.35162962287700078</v>
      </c>
      <c r="E45" s="35">
        <f>Input!$E$304*(1-Input!$D$58)</f>
        <v>0.35162962287700078</v>
      </c>
      <c r="F45" s="10"/>
    </row>
    <row r="46" spans="1:6" x14ac:dyDescent="0.25">
      <c r="A46" s="3" t="s">
        <v>460</v>
      </c>
      <c r="B46" s="35">
        <f>Input!$F$301*(1-Input!$D$58)</f>
        <v>0</v>
      </c>
      <c r="C46" s="35">
        <f>Input!$F$302*(1-Input!$D$58)</f>
        <v>0</v>
      </c>
      <c r="D46" s="35">
        <f>Input!$F$303*(1-Input!$D$58)</f>
        <v>0.35162962287700078</v>
      </c>
      <c r="E46" s="35">
        <f>Input!$F$304*(1-Input!$D$58)</f>
        <v>0</v>
      </c>
      <c r="F46" s="10"/>
    </row>
    <row r="47" spans="1:6" x14ac:dyDescent="0.25">
      <c r="A47" s="3" t="s">
        <v>461</v>
      </c>
      <c r="B47" s="35">
        <f>Input!$G$301*(1-Input!$D$58)</f>
        <v>0.47913351897273304</v>
      </c>
      <c r="C47" s="35">
        <f>Input!$G$302*(1-Input!$D$58)</f>
        <v>0.47913351897273304</v>
      </c>
      <c r="D47" s="35">
        <f>Input!$G$303*(1-Input!$D$58)</f>
        <v>0.63783919619119978</v>
      </c>
      <c r="E47" s="35">
        <f>Input!$G$304*(1-Input!$D$58)</f>
        <v>0</v>
      </c>
      <c r="F47" s="10"/>
    </row>
    <row r="48" spans="1:6" x14ac:dyDescent="0.25">
      <c r="A48" s="3" t="s">
        <v>462</v>
      </c>
      <c r="B48" s="35">
        <f>Input!$H$301*(1-Input!$D$58)</f>
        <v>0.70892384564689981</v>
      </c>
      <c r="C48" s="35">
        <f>Input!$H$302*(1-Input!$D$58)</f>
        <v>0.70892384564689981</v>
      </c>
      <c r="D48" s="35">
        <f>Input!$H$303*(1-Input!$D$58)</f>
        <v>0</v>
      </c>
      <c r="E48" s="35">
        <f>Input!$H$304*(1-Input!$D$58)</f>
        <v>0</v>
      </c>
      <c r="F48" s="10"/>
    </row>
    <row r="49" spans="1:10" x14ac:dyDescent="0.25">
      <c r="A49" s="3" t="s">
        <v>463</v>
      </c>
      <c r="B49" s="35">
        <f>Input!$I$301*(1-Input!$D$58)</f>
        <v>0.93871417232106646</v>
      </c>
      <c r="C49" s="35">
        <f>Input!$I$302*(1-Input!$D$58)</f>
        <v>0</v>
      </c>
      <c r="D49" s="35">
        <f>Input!$I$303*(1-Input!$D$58)</f>
        <v>0</v>
      </c>
      <c r="E49" s="35">
        <f>Input!$I$304*(1-Input!$D$58)</f>
        <v>0</v>
      </c>
      <c r="F49" s="10"/>
    </row>
    <row r="51" spans="1:10" ht="21" customHeight="1" x14ac:dyDescent="0.3">
      <c r="A51" s="1" t="s">
        <v>964</v>
      </c>
    </row>
    <row r="52" spans="1:10" x14ac:dyDescent="0.25">
      <c r="A52" s="2" t="s">
        <v>356</v>
      </c>
    </row>
    <row r="53" spans="1:10" x14ac:dyDescent="0.25">
      <c r="A53" s="11" t="s">
        <v>965</v>
      </c>
    </row>
    <row r="54" spans="1:10" x14ac:dyDescent="0.25">
      <c r="A54" s="11" t="s">
        <v>966</v>
      </c>
    </row>
    <row r="55" spans="1:10" x14ac:dyDescent="0.25">
      <c r="A55" s="2" t="s">
        <v>369</v>
      </c>
    </row>
    <row r="57" spans="1:10" ht="30" x14ac:dyDescent="0.25">
      <c r="B57" s="12" t="s">
        <v>311</v>
      </c>
      <c r="C57" s="12" t="s">
        <v>312</v>
      </c>
      <c r="D57" s="12" t="s">
        <v>313</v>
      </c>
      <c r="E57" s="12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10" x14ac:dyDescent="0.25">
      <c r="A58" s="3" t="s">
        <v>171</v>
      </c>
      <c r="B58" s="35">
        <f t="shared" ref="B58:B84" si="0">SUMPRODUCT($B7:$E7,$B$42:$E$42)</f>
        <v>0</v>
      </c>
      <c r="C58" s="35">
        <f t="shared" ref="C58:C84" si="1">SUMPRODUCT($B7:$E7,$B$43:$E$43)</f>
        <v>0</v>
      </c>
      <c r="D58" s="35">
        <f t="shared" ref="D58:D84" si="2">SUMPRODUCT($B7:$E7,$B$44:$E$44)</f>
        <v>0</v>
      </c>
      <c r="E58" s="35">
        <f t="shared" ref="E58:E84" si="3">SUMPRODUCT($B7:$E7,$B$45:$E$45)</f>
        <v>0</v>
      </c>
      <c r="F58" s="35">
        <f t="shared" ref="F58:F84" si="4">SUMPRODUCT($B7:$E7,$B$46:$E$46)</f>
        <v>0</v>
      </c>
      <c r="G58" s="35">
        <f t="shared" ref="G58:G84" si="5">SUMPRODUCT($B7:$E7,$B$47:$E$47)</f>
        <v>0.47913351897273304</v>
      </c>
      <c r="H58" s="35">
        <f t="shared" ref="H58:H84" si="6">SUMPRODUCT($B7:$E7,$B$48:$E$48)</f>
        <v>0.70892384564689981</v>
      </c>
      <c r="I58" s="35">
        <f t="shared" ref="I58:I84" si="7">SUMPRODUCT($B7:$E7,$B$49:$E$49)</f>
        <v>0.93871417232106646</v>
      </c>
      <c r="J58" s="10"/>
    </row>
    <row r="59" spans="1:10" x14ac:dyDescent="0.25">
      <c r="A59" s="3" t="s">
        <v>172</v>
      </c>
      <c r="B59" s="35">
        <f t="shared" si="0"/>
        <v>0</v>
      </c>
      <c r="C59" s="35">
        <f t="shared" si="1"/>
        <v>0</v>
      </c>
      <c r="D59" s="35">
        <f t="shared" si="2"/>
        <v>0</v>
      </c>
      <c r="E59" s="35">
        <f t="shared" si="3"/>
        <v>0</v>
      </c>
      <c r="F59" s="35">
        <f t="shared" si="4"/>
        <v>0</v>
      </c>
      <c r="G59" s="35">
        <f t="shared" si="5"/>
        <v>0.47913351897273304</v>
      </c>
      <c r="H59" s="35">
        <f t="shared" si="6"/>
        <v>0.70892384564689981</v>
      </c>
      <c r="I59" s="35">
        <f t="shared" si="7"/>
        <v>0.93871417232106646</v>
      </c>
      <c r="J59" s="10"/>
    </row>
    <row r="60" spans="1:10" x14ac:dyDescent="0.25">
      <c r="A60" s="3" t="s">
        <v>211</v>
      </c>
      <c r="B60" s="35">
        <f t="shared" si="0"/>
        <v>0</v>
      </c>
      <c r="C60" s="35">
        <f t="shared" si="1"/>
        <v>0</v>
      </c>
      <c r="D60" s="35">
        <f t="shared" si="2"/>
        <v>0</v>
      </c>
      <c r="E60" s="35">
        <f t="shared" si="3"/>
        <v>0</v>
      </c>
      <c r="F60" s="35">
        <f t="shared" si="4"/>
        <v>0</v>
      </c>
      <c r="G60" s="35">
        <f t="shared" si="5"/>
        <v>0.47913351897273304</v>
      </c>
      <c r="H60" s="35">
        <f t="shared" si="6"/>
        <v>0.70892384564689981</v>
      </c>
      <c r="I60" s="35">
        <f t="shared" si="7"/>
        <v>0.93871417232106646</v>
      </c>
      <c r="J60" s="10"/>
    </row>
    <row r="61" spans="1:10" x14ac:dyDescent="0.25">
      <c r="A61" s="3" t="s">
        <v>173</v>
      </c>
      <c r="B61" s="35">
        <f t="shared" si="0"/>
        <v>0</v>
      </c>
      <c r="C61" s="35">
        <f t="shared" si="1"/>
        <v>0</v>
      </c>
      <c r="D61" s="35">
        <f t="shared" si="2"/>
        <v>0</v>
      </c>
      <c r="E61" s="35">
        <f t="shared" si="3"/>
        <v>0</v>
      </c>
      <c r="F61" s="35">
        <f t="shared" si="4"/>
        <v>0</v>
      </c>
      <c r="G61" s="35">
        <f t="shared" si="5"/>
        <v>0.47913351897273304</v>
      </c>
      <c r="H61" s="35">
        <f t="shared" si="6"/>
        <v>0.70892384564689981</v>
      </c>
      <c r="I61" s="35">
        <f t="shared" si="7"/>
        <v>0.93871417232106646</v>
      </c>
      <c r="J61" s="10"/>
    </row>
    <row r="62" spans="1:10" x14ac:dyDescent="0.25">
      <c r="A62" s="3" t="s">
        <v>174</v>
      </c>
      <c r="B62" s="35">
        <f t="shared" si="0"/>
        <v>0</v>
      </c>
      <c r="C62" s="35">
        <f t="shared" si="1"/>
        <v>0</v>
      </c>
      <c r="D62" s="35">
        <f t="shared" si="2"/>
        <v>0</v>
      </c>
      <c r="E62" s="35">
        <f t="shared" si="3"/>
        <v>0</v>
      </c>
      <c r="F62" s="35">
        <f t="shared" si="4"/>
        <v>0</v>
      </c>
      <c r="G62" s="35">
        <f t="shared" si="5"/>
        <v>0.47913351897273304</v>
      </c>
      <c r="H62" s="35">
        <f t="shared" si="6"/>
        <v>0.70892384564689981</v>
      </c>
      <c r="I62" s="35">
        <f t="shared" si="7"/>
        <v>0.93871417232106646</v>
      </c>
      <c r="J62" s="10"/>
    </row>
    <row r="63" spans="1:10" x14ac:dyDescent="0.25">
      <c r="A63" s="3" t="s">
        <v>212</v>
      </c>
      <c r="B63" s="35">
        <f t="shared" si="0"/>
        <v>0</v>
      </c>
      <c r="C63" s="35">
        <f t="shared" si="1"/>
        <v>0</v>
      </c>
      <c r="D63" s="35">
        <f t="shared" si="2"/>
        <v>0</v>
      </c>
      <c r="E63" s="35">
        <f t="shared" si="3"/>
        <v>0</v>
      </c>
      <c r="F63" s="35">
        <f t="shared" si="4"/>
        <v>0</v>
      </c>
      <c r="G63" s="35">
        <f t="shared" si="5"/>
        <v>0.47913351897273304</v>
      </c>
      <c r="H63" s="35">
        <f t="shared" si="6"/>
        <v>0.70892384564689981</v>
      </c>
      <c r="I63" s="35">
        <f t="shared" si="7"/>
        <v>0.93871417232106646</v>
      </c>
      <c r="J63" s="10"/>
    </row>
    <row r="64" spans="1:10" x14ac:dyDescent="0.25">
      <c r="A64" s="3" t="s">
        <v>175</v>
      </c>
      <c r="B64" s="35">
        <f t="shared" si="0"/>
        <v>0</v>
      </c>
      <c r="C64" s="35">
        <f t="shared" si="1"/>
        <v>0</v>
      </c>
      <c r="D64" s="35">
        <f t="shared" si="2"/>
        <v>0</v>
      </c>
      <c r="E64" s="35">
        <f t="shared" si="3"/>
        <v>0</v>
      </c>
      <c r="F64" s="35">
        <f t="shared" si="4"/>
        <v>0</v>
      </c>
      <c r="G64" s="35">
        <f t="shared" si="5"/>
        <v>0.47913351897273304</v>
      </c>
      <c r="H64" s="35">
        <f t="shared" si="6"/>
        <v>0.70892384564689981</v>
      </c>
      <c r="I64" s="35">
        <f t="shared" si="7"/>
        <v>0.93871417232106646</v>
      </c>
      <c r="J64" s="10"/>
    </row>
    <row r="65" spans="1:10" x14ac:dyDescent="0.25">
      <c r="A65" s="3" t="s">
        <v>176</v>
      </c>
      <c r="B65" s="35">
        <f t="shared" si="0"/>
        <v>0</v>
      </c>
      <c r="C65" s="35">
        <f t="shared" si="1"/>
        <v>0</v>
      </c>
      <c r="D65" s="35">
        <f t="shared" si="2"/>
        <v>0</v>
      </c>
      <c r="E65" s="35">
        <f t="shared" si="3"/>
        <v>0</v>
      </c>
      <c r="F65" s="35">
        <f t="shared" si="4"/>
        <v>0</v>
      </c>
      <c r="G65" s="35">
        <f t="shared" si="5"/>
        <v>0.47913351897273304</v>
      </c>
      <c r="H65" s="35">
        <f t="shared" si="6"/>
        <v>0.70892384564689981</v>
      </c>
      <c r="I65" s="35">
        <f t="shared" si="7"/>
        <v>0</v>
      </c>
      <c r="J65" s="10"/>
    </row>
    <row r="66" spans="1:10" x14ac:dyDescent="0.25">
      <c r="A66" s="3" t="s">
        <v>192</v>
      </c>
      <c r="B66" s="35">
        <f t="shared" si="0"/>
        <v>0</v>
      </c>
      <c r="C66" s="35">
        <f t="shared" si="1"/>
        <v>0</v>
      </c>
      <c r="D66" s="35">
        <f t="shared" si="2"/>
        <v>6.5420049562801799E-2</v>
      </c>
      <c r="E66" s="35">
        <f t="shared" si="3"/>
        <v>0.35162962287700078</v>
      </c>
      <c r="F66" s="35">
        <f t="shared" si="4"/>
        <v>0.35162962287700078</v>
      </c>
      <c r="G66" s="35">
        <f t="shared" si="5"/>
        <v>0.63783919619119978</v>
      </c>
      <c r="H66" s="35">
        <f t="shared" si="6"/>
        <v>0</v>
      </c>
      <c r="I66" s="35">
        <f t="shared" si="7"/>
        <v>0</v>
      </c>
      <c r="J66" s="10"/>
    </row>
    <row r="67" spans="1:10" x14ac:dyDescent="0.25">
      <c r="A67" s="3" t="s">
        <v>177</v>
      </c>
      <c r="B67" s="35">
        <f t="shared" si="0"/>
        <v>0</v>
      </c>
      <c r="C67" s="35">
        <f t="shared" si="1"/>
        <v>0</v>
      </c>
      <c r="D67" s="35">
        <f t="shared" si="2"/>
        <v>0</v>
      </c>
      <c r="E67" s="35">
        <f t="shared" si="3"/>
        <v>0</v>
      </c>
      <c r="F67" s="35">
        <f t="shared" si="4"/>
        <v>0</v>
      </c>
      <c r="G67" s="35">
        <f t="shared" si="5"/>
        <v>0.47913351897273304</v>
      </c>
      <c r="H67" s="35">
        <f t="shared" si="6"/>
        <v>0.70892384564689981</v>
      </c>
      <c r="I67" s="35">
        <f t="shared" si="7"/>
        <v>0.93871417232106646</v>
      </c>
      <c r="J67" s="10"/>
    </row>
    <row r="68" spans="1:10" x14ac:dyDescent="0.25">
      <c r="A68" s="3" t="s">
        <v>178</v>
      </c>
      <c r="B68" s="35">
        <f t="shared" si="0"/>
        <v>0</v>
      </c>
      <c r="C68" s="35">
        <f t="shared" si="1"/>
        <v>0</v>
      </c>
      <c r="D68" s="35">
        <f t="shared" si="2"/>
        <v>0</v>
      </c>
      <c r="E68" s="35">
        <f t="shared" si="3"/>
        <v>0</v>
      </c>
      <c r="F68" s="35">
        <f t="shared" si="4"/>
        <v>0</v>
      </c>
      <c r="G68" s="35">
        <f t="shared" si="5"/>
        <v>0.47913351897273304</v>
      </c>
      <c r="H68" s="35">
        <f t="shared" si="6"/>
        <v>0.70892384564689981</v>
      </c>
      <c r="I68" s="35">
        <f t="shared" si="7"/>
        <v>0.93871417232106646</v>
      </c>
      <c r="J68" s="10"/>
    </row>
    <row r="69" spans="1:10" x14ac:dyDescent="0.25">
      <c r="A69" s="3" t="s">
        <v>179</v>
      </c>
      <c r="B69" s="35">
        <f t="shared" si="0"/>
        <v>0</v>
      </c>
      <c r="C69" s="35">
        <f t="shared" si="1"/>
        <v>0</v>
      </c>
      <c r="D69" s="35">
        <f t="shared" si="2"/>
        <v>0</v>
      </c>
      <c r="E69" s="35">
        <f t="shared" si="3"/>
        <v>0</v>
      </c>
      <c r="F69" s="35">
        <f t="shared" si="4"/>
        <v>0</v>
      </c>
      <c r="G69" s="35">
        <f t="shared" si="5"/>
        <v>0.47913351897273304</v>
      </c>
      <c r="H69" s="35">
        <f t="shared" si="6"/>
        <v>0.70892384564689981</v>
      </c>
      <c r="I69" s="35">
        <f t="shared" si="7"/>
        <v>0.93871417232106646</v>
      </c>
      <c r="J69" s="10"/>
    </row>
    <row r="70" spans="1:10" x14ac:dyDescent="0.25">
      <c r="A70" s="3" t="s">
        <v>180</v>
      </c>
      <c r="B70" s="35">
        <f t="shared" si="0"/>
        <v>0</v>
      </c>
      <c r="C70" s="35">
        <f t="shared" si="1"/>
        <v>0</v>
      </c>
      <c r="D70" s="35">
        <f t="shared" si="2"/>
        <v>0</v>
      </c>
      <c r="E70" s="35">
        <f t="shared" si="3"/>
        <v>0</v>
      </c>
      <c r="F70" s="35">
        <f t="shared" si="4"/>
        <v>0</v>
      </c>
      <c r="G70" s="35">
        <f t="shared" si="5"/>
        <v>0.47913351897273304</v>
      </c>
      <c r="H70" s="35">
        <f t="shared" si="6"/>
        <v>0.70892384564689981</v>
      </c>
      <c r="I70" s="35">
        <f t="shared" si="7"/>
        <v>0</v>
      </c>
      <c r="J70" s="10"/>
    </row>
    <row r="71" spans="1:10" x14ac:dyDescent="0.25">
      <c r="A71" s="3" t="s">
        <v>193</v>
      </c>
      <c r="B71" s="35">
        <f t="shared" si="0"/>
        <v>0</v>
      </c>
      <c r="C71" s="35">
        <f t="shared" si="1"/>
        <v>0</v>
      </c>
      <c r="D71" s="35">
        <f t="shared" si="2"/>
        <v>6.5420049562801799E-2</v>
      </c>
      <c r="E71" s="35">
        <f t="shared" si="3"/>
        <v>0.35162962287700078</v>
      </c>
      <c r="F71" s="35">
        <f t="shared" si="4"/>
        <v>0.35162962287700078</v>
      </c>
      <c r="G71" s="35">
        <f t="shared" si="5"/>
        <v>0.63783919619119978</v>
      </c>
      <c r="H71" s="35">
        <f t="shared" si="6"/>
        <v>0</v>
      </c>
      <c r="I71" s="35">
        <f t="shared" si="7"/>
        <v>0</v>
      </c>
      <c r="J71" s="10"/>
    </row>
    <row r="72" spans="1:10" x14ac:dyDescent="0.25">
      <c r="A72" s="3" t="s">
        <v>213</v>
      </c>
      <c r="B72" s="35">
        <f t="shared" si="0"/>
        <v>0</v>
      </c>
      <c r="C72" s="35">
        <f t="shared" si="1"/>
        <v>0</v>
      </c>
      <c r="D72" s="35">
        <f t="shared" si="2"/>
        <v>0</v>
      </c>
      <c r="E72" s="35">
        <f t="shared" si="3"/>
        <v>0</v>
      </c>
      <c r="F72" s="35">
        <f t="shared" si="4"/>
        <v>0</v>
      </c>
      <c r="G72" s="35">
        <f t="shared" si="5"/>
        <v>0.47913351897273304</v>
      </c>
      <c r="H72" s="35">
        <f t="shared" si="6"/>
        <v>0.70892384564689981</v>
      </c>
      <c r="I72" s="35">
        <f t="shared" si="7"/>
        <v>0.93871417232106646</v>
      </c>
      <c r="J72" s="10"/>
    </row>
    <row r="73" spans="1:10" x14ac:dyDescent="0.25">
      <c r="A73" s="3" t="s">
        <v>214</v>
      </c>
      <c r="B73" s="35">
        <f t="shared" si="0"/>
        <v>0</v>
      </c>
      <c r="C73" s="35">
        <f t="shared" si="1"/>
        <v>0</v>
      </c>
      <c r="D73" s="35">
        <f t="shared" si="2"/>
        <v>0</v>
      </c>
      <c r="E73" s="35">
        <f t="shared" si="3"/>
        <v>0</v>
      </c>
      <c r="F73" s="35">
        <f t="shared" si="4"/>
        <v>0</v>
      </c>
      <c r="G73" s="35">
        <f t="shared" si="5"/>
        <v>0.47913351897273304</v>
      </c>
      <c r="H73" s="35">
        <f t="shared" si="6"/>
        <v>0.70892384564689981</v>
      </c>
      <c r="I73" s="35">
        <f t="shared" si="7"/>
        <v>0.93871417232106646</v>
      </c>
      <c r="J73" s="10"/>
    </row>
    <row r="74" spans="1:10" x14ac:dyDescent="0.25">
      <c r="A74" s="3" t="s">
        <v>215</v>
      </c>
      <c r="B74" s="35">
        <f t="shared" si="0"/>
        <v>0</v>
      </c>
      <c r="C74" s="35">
        <f t="shared" si="1"/>
        <v>0</v>
      </c>
      <c r="D74" s="35">
        <f t="shared" si="2"/>
        <v>0</v>
      </c>
      <c r="E74" s="35">
        <f t="shared" si="3"/>
        <v>0</v>
      </c>
      <c r="F74" s="35">
        <f t="shared" si="4"/>
        <v>0</v>
      </c>
      <c r="G74" s="35">
        <f t="shared" si="5"/>
        <v>0.47913351897273304</v>
      </c>
      <c r="H74" s="35">
        <f t="shared" si="6"/>
        <v>0.70892384564689981</v>
      </c>
      <c r="I74" s="35">
        <f t="shared" si="7"/>
        <v>0.93871417232106646</v>
      </c>
      <c r="J74" s="10"/>
    </row>
    <row r="75" spans="1:10" x14ac:dyDescent="0.25">
      <c r="A75" s="3" t="s">
        <v>216</v>
      </c>
      <c r="B75" s="35">
        <f t="shared" si="0"/>
        <v>0</v>
      </c>
      <c r="C75" s="35">
        <f t="shared" si="1"/>
        <v>0</v>
      </c>
      <c r="D75" s="35">
        <f t="shared" si="2"/>
        <v>0</v>
      </c>
      <c r="E75" s="35">
        <f t="shared" si="3"/>
        <v>0</v>
      </c>
      <c r="F75" s="35">
        <f t="shared" si="4"/>
        <v>0</v>
      </c>
      <c r="G75" s="35">
        <f t="shared" si="5"/>
        <v>0.47913351897273304</v>
      </c>
      <c r="H75" s="35">
        <f t="shared" si="6"/>
        <v>0.70892384564689981</v>
      </c>
      <c r="I75" s="35">
        <f t="shared" si="7"/>
        <v>0.93871417232106646</v>
      </c>
      <c r="J75" s="10"/>
    </row>
    <row r="76" spans="1:10" x14ac:dyDescent="0.25">
      <c r="A76" s="3" t="s">
        <v>217</v>
      </c>
      <c r="B76" s="35">
        <f t="shared" si="0"/>
        <v>0</v>
      </c>
      <c r="C76" s="35">
        <f t="shared" si="1"/>
        <v>0</v>
      </c>
      <c r="D76" s="35">
        <f t="shared" si="2"/>
        <v>0</v>
      </c>
      <c r="E76" s="35">
        <f t="shared" si="3"/>
        <v>0</v>
      </c>
      <c r="F76" s="35">
        <f t="shared" si="4"/>
        <v>0</v>
      </c>
      <c r="G76" s="35">
        <f t="shared" si="5"/>
        <v>0.47913351897273304</v>
      </c>
      <c r="H76" s="35">
        <f t="shared" si="6"/>
        <v>0.70892384564689981</v>
      </c>
      <c r="I76" s="35">
        <f t="shared" si="7"/>
        <v>0.93871417232106646</v>
      </c>
      <c r="J76" s="10"/>
    </row>
    <row r="77" spans="1:10" x14ac:dyDescent="0.25">
      <c r="A77" s="3" t="s">
        <v>181</v>
      </c>
      <c r="B77" s="35">
        <f t="shared" si="0"/>
        <v>0</v>
      </c>
      <c r="C77" s="35">
        <f t="shared" si="1"/>
        <v>0</v>
      </c>
      <c r="D77" s="35">
        <f t="shared" si="2"/>
        <v>0</v>
      </c>
      <c r="E77" s="35">
        <f t="shared" si="3"/>
        <v>0</v>
      </c>
      <c r="F77" s="35">
        <f t="shared" si="4"/>
        <v>0</v>
      </c>
      <c r="G77" s="35">
        <f t="shared" si="5"/>
        <v>0.47913351897273304</v>
      </c>
      <c r="H77" s="35">
        <f t="shared" si="6"/>
        <v>0.70892384564689981</v>
      </c>
      <c r="I77" s="35">
        <f t="shared" si="7"/>
        <v>0.93871417232106646</v>
      </c>
      <c r="J77" s="10"/>
    </row>
    <row r="78" spans="1:10" x14ac:dyDescent="0.25">
      <c r="A78" s="3" t="s">
        <v>182</v>
      </c>
      <c r="B78" s="35">
        <f t="shared" si="0"/>
        <v>0</v>
      </c>
      <c r="C78" s="35">
        <f t="shared" si="1"/>
        <v>0</v>
      </c>
      <c r="D78" s="35">
        <f t="shared" si="2"/>
        <v>0</v>
      </c>
      <c r="E78" s="35">
        <f t="shared" si="3"/>
        <v>0</v>
      </c>
      <c r="F78" s="35">
        <f t="shared" si="4"/>
        <v>0</v>
      </c>
      <c r="G78" s="35">
        <f t="shared" si="5"/>
        <v>0.47913351897273304</v>
      </c>
      <c r="H78" s="35">
        <f t="shared" si="6"/>
        <v>0.70892384564689981</v>
      </c>
      <c r="I78" s="35">
        <f t="shared" si="7"/>
        <v>0</v>
      </c>
      <c r="J78" s="10"/>
    </row>
    <row r="79" spans="1:10" x14ac:dyDescent="0.25">
      <c r="A79" s="3" t="s">
        <v>183</v>
      </c>
      <c r="B79" s="35">
        <f t="shared" si="0"/>
        <v>0</v>
      </c>
      <c r="C79" s="35">
        <f t="shared" si="1"/>
        <v>0</v>
      </c>
      <c r="D79" s="35">
        <f t="shared" si="2"/>
        <v>0</v>
      </c>
      <c r="E79" s="35">
        <f t="shared" si="3"/>
        <v>0</v>
      </c>
      <c r="F79" s="35">
        <f t="shared" si="4"/>
        <v>0</v>
      </c>
      <c r="G79" s="35">
        <f t="shared" si="5"/>
        <v>0.47913351897273304</v>
      </c>
      <c r="H79" s="35">
        <f t="shared" si="6"/>
        <v>0.70892384564689981</v>
      </c>
      <c r="I79" s="35">
        <f t="shared" si="7"/>
        <v>0.93871417232106646</v>
      </c>
      <c r="J79" s="10"/>
    </row>
    <row r="80" spans="1:10" x14ac:dyDescent="0.25">
      <c r="A80" s="3" t="s">
        <v>184</v>
      </c>
      <c r="B80" s="35">
        <f t="shared" si="0"/>
        <v>0</v>
      </c>
      <c r="C80" s="35">
        <f t="shared" si="1"/>
        <v>0</v>
      </c>
      <c r="D80" s="35">
        <f t="shared" si="2"/>
        <v>0</v>
      </c>
      <c r="E80" s="35">
        <f t="shared" si="3"/>
        <v>0</v>
      </c>
      <c r="F80" s="35">
        <f t="shared" si="4"/>
        <v>0</v>
      </c>
      <c r="G80" s="35">
        <f t="shared" si="5"/>
        <v>0.47913351897273304</v>
      </c>
      <c r="H80" s="35">
        <f t="shared" si="6"/>
        <v>0.70892384564689981</v>
      </c>
      <c r="I80" s="35">
        <f t="shared" si="7"/>
        <v>0.93871417232106646</v>
      </c>
      <c r="J80" s="10"/>
    </row>
    <row r="81" spans="1:20" x14ac:dyDescent="0.25">
      <c r="A81" s="3" t="s">
        <v>185</v>
      </c>
      <c r="B81" s="35">
        <f t="shared" si="0"/>
        <v>0</v>
      </c>
      <c r="C81" s="35">
        <f t="shared" si="1"/>
        <v>0</v>
      </c>
      <c r="D81" s="35">
        <f t="shared" si="2"/>
        <v>0</v>
      </c>
      <c r="E81" s="35">
        <f t="shared" si="3"/>
        <v>0</v>
      </c>
      <c r="F81" s="35">
        <f t="shared" si="4"/>
        <v>0</v>
      </c>
      <c r="G81" s="35">
        <f t="shared" si="5"/>
        <v>0.47913351897273304</v>
      </c>
      <c r="H81" s="35">
        <f t="shared" si="6"/>
        <v>0.70892384564689981</v>
      </c>
      <c r="I81" s="35">
        <f t="shared" si="7"/>
        <v>0</v>
      </c>
      <c r="J81" s="10"/>
    </row>
    <row r="82" spans="1:20" x14ac:dyDescent="0.25">
      <c r="A82" s="3" t="s">
        <v>186</v>
      </c>
      <c r="B82" s="35">
        <f t="shared" si="0"/>
        <v>0</v>
      </c>
      <c r="C82" s="35">
        <f t="shared" si="1"/>
        <v>0</v>
      </c>
      <c r="D82" s="35">
        <f t="shared" si="2"/>
        <v>0</v>
      </c>
      <c r="E82" s="35">
        <f t="shared" si="3"/>
        <v>0</v>
      </c>
      <c r="F82" s="35">
        <f t="shared" si="4"/>
        <v>0</v>
      </c>
      <c r="G82" s="35">
        <f t="shared" si="5"/>
        <v>0.47913351897273304</v>
      </c>
      <c r="H82" s="35">
        <f t="shared" si="6"/>
        <v>0.70892384564689981</v>
      </c>
      <c r="I82" s="35">
        <f t="shared" si="7"/>
        <v>0</v>
      </c>
      <c r="J82" s="10"/>
    </row>
    <row r="83" spans="1:20" x14ac:dyDescent="0.25">
      <c r="A83" s="3" t="s">
        <v>194</v>
      </c>
      <c r="B83" s="35">
        <f t="shared" si="0"/>
        <v>0</v>
      </c>
      <c r="C83" s="35">
        <f t="shared" si="1"/>
        <v>0</v>
      </c>
      <c r="D83" s="35">
        <f t="shared" si="2"/>
        <v>6.5420049562801799E-2</v>
      </c>
      <c r="E83" s="35">
        <f t="shared" si="3"/>
        <v>0.35162962287700078</v>
      </c>
      <c r="F83" s="35">
        <f t="shared" si="4"/>
        <v>0.35162962287700078</v>
      </c>
      <c r="G83" s="35">
        <f t="shared" si="5"/>
        <v>0.63783919619119978</v>
      </c>
      <c r="H83" s="35">
        <f t="shared" si="6"/>
        <v>0</v>
      </c>
      <c r="I83" s="35">
        <f t="shared" si="7"/>
        <v>0</v>
      </c>
      <c r="J83" s="10"/>
    </row>
    <row r="84" spans="1:20" x14ac:dyDescent="0.25">
      <c r="A84" s="3" t="s">
        <v>195</v>
      </c>
      <c r="B84" s="35">
        <f t="shared" si="0"/>
        <v>0</v>
      </c>
      <c r="C84" s="35">
        <f t="shared" si="1"/>
        <v>0</v>
      </c>
      <c r="D84" s="35">
        <f t="shared" si="2"/>
        <v>6.5420049562801799E-2</v>
      </c>
      <c r="E84" s="35">
        <f t="shared" si="3"/>
        <v>0.35162962287700078</v>
      </c>
      <c r="F84" s="35">
        <f t="shared" si="4"/>
        <v>0.35162962287700078</v>
      </c>
      <c r="G84" s="35">
        <f t="shared" si="5"/>
        <v>0.63783919619119978</v>
      </c>
      <c r="H84" s="35">
        <f t="shared" si="6"/>
        <v>0</v>
      </c>
      <c r="I84" s="35">
        <f t="shared" si="7"/>
        <v>0</v>
      </c>
      <c r="J84" s="10"/>
    </row>
    <row r="86" spans="1:20" ht="21" customHeight="1" x14ac:dyDescent="0.3">
      <c r="A86" s="1" t="s">
        <v>967</v>
      </c>
    </row>
    <row r="87" spans="1:20" x14ac:dyDescent="0.25">
      <c r="A87" s="2" t="s">
        <v>356</v>
      </c>
    </row>
    <row r="88" spans="1:20" x14ac:dyDescent="0.25">
      <c r="A88" s="2" t="s">
        <v>968</v>
      </c>
    </row>
    <row r="89" spans="1:20" x14ac:dyDescent="0.25">
      <c r="A89" s="2" t="s">
        <v>969</v>
      </c>
    </row>
    <row r="90" spans="1:20" x14ac:dyDescent="0.25">
      <c r="A90" s="11" t="s">
        <v>970</v>
      </c>
    </row>
    <row r="91" spans="1:20" x14ac:dyDescent="0.25">
      <c r="A91" s="2" t="s">
        <v>399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171</v>
      </c>
      <c r="B94" s="36">
        <v>0</v>
      </c>
      <c r="C94" s="37">
        <f t="shared" ref="C94:C120" si="8">$B58</f>
        <v>0</v>
      </c>
      <c r="D94" s="37">
        <f t="shared" ref="D94:D120" si="9">$C58</f>
        <v>0</v>
      </c>
      <c r="E94" s="37">
        <f t="shared" ref="E94:E120" si="10">$D58</f>
        <v>0</v>
      </c>
      <c r="F94" s="37">
        <f t="shared" ref="F94:F120" si="11">$E58</f>
        <v>0</v>
      </c>
      <c r="G94" s="37">
        <f t="shared" ref="G94:G120" si="12">$F58</f>
        <v>0</v>
      </c>
      <c r="H94" s="37">
        <f t="shared" ref="H94:H120" si="13">$G58</f>
        <v>0.47913351897273304</v>
      </c>
      <c r="I94" s="37">
        <f t="shared" ref="I94:I120" si="14">$H58</f>
        <v>0.70892384564689981</v>
      </c>
      <c r="J94" s="37">
        <f t="shared" ref="J94:J120" si="15">$I58</f>
        <v>0.93871417232106646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10"/>
    </row>
    <row r="95" spans="1:20" x14ac:dyDescent="0.25">
      <c r="A95" s="3" t="s">
        <v>172</v>
      </c>
      <c r="B95" s="36">
        <v>0</v>
      </c>
      <c r="C95" s="37">
        <f t="shared" si="8"/>
        <v>0</v>
      </c>
      <c r="D95" s="37">
        <f t="shared" si="9"/>
        <v>0</v>
      </c>
      <c r="E95" s="37">
        <f t="shared" si="10"/>
        <v>0</v>
      </c>
      <c r="F95" s="37">
        <f t="shared" si="11"/>
        <v>0</v>
      </c>
      <c r="G95" s="37">
        <f t="shared" si="12"/>
        <v>0</v>
      </c>
      <c r="H95" s="37">
        <f t="shared" si="13"/>
        <v>0.47913351897273304</v>
      </c>
      <c r="I95" s="37">
        <f t="shared" si="14"/>
        <v>0.70892384564689981</v>
      </c>
      <c r="J95" s="37">
        <f t="shared" si="15"/>
        <v>0.93871417232106646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10"/>
    </row>
    <row r="96" spans="1:20" x14ac:dyDescent="0.25">
      <c r="A96" s="3" t="s">
        <v>211</v>
      </c>
      <c r="B96" s="36">
        <v>0</v>
      </c>
      <c r="C96" s="37">
        <f t="shared" si="8"/>
        <v>0</v>
      </c>
      <c r="D96" s="37">
        <f t="shared" si="9"/>
        <v>0</v>
      </c>
      <c r="E96" s="37">
        <f t="shared" si="10"/>
        <v>0</v>
      </c>
      <c r="F96" s="37">
        <f t="shared" si="11"/>
        <v>0</v>
      </c>
      <c r="G96" s="37">
        <f t="shared" si="12"/>
        <v>0</v>
      </c>
      <c r="H96" s="37">
        <f t="shared" si="13"/>
        <v>0.47913351897273304</v>
      </c>
      <c r="I96" s="37">
        <f t="shared" si="14"/>
        <v>0.70892384564689981</v>
      </c>
      <c r="J96" s="37">
        <f t="shared" si="15"/>
        <v>0.93871417232106646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10"/>
    </row>
    <row r="97" spans="1:20" x14ac:dyDescent="0.25">
      <c r="A97" s="3" t="s">
        <v>173</v>
      </c>
      <c r="B97" s="36">
        <v>0</v>
      </c>
      <c r="C97" s="37">
        <f t="shared" si="8"/>
        <v>0</v>
      </c>
      <c r="D97" s="37">
        <f t="shared" si="9"/>
        <v>0</v>
      </c>
      <c r="E97" s="37">
        <f t="shared" si="10"/>
        <v>0</v>
      </c>
      <c r="F97" s="37">
        <f t="shared" si="11"/>
        <v>0</v>
      </c>
      <c r="G97" s="37">
        <f t="shared" si="12"/>
        <v>0</v>
      </c>
      <c r="H97" s="37">
        <f t="shared" si="13"/>
        <v>0.47913351897273304</v>
      </c>
      <c r="I97" s="37">
        <f t="shared" si="14"/>
        <v>0.70892384564689981</v>
      </c>
      <c r="J97" s="37">
        <f t="shared" si="15"/>
        <v>0.93871417232106646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10"/>
    </row>
    <row r="98" spans="1:20" x14ac:dyDescent="0.25">
      <c r="A98" s="3" t="s">
        <v>174</v>
      </c>
      <c r="B98" s="36">
        <v>0</v>
      </c>
      <c r="C98" s="37">
        <f t="shared" si="8"/>
        <v>0</v>
      </c>
      <c r="D98" s="37">
        <f t="shared" si="9"/>
        <v>0</v>
      </c>
      <c r="E98" s="37">
        <f t="shared" si="10"/>
        <v>0</v>
      </c>
      <c r="F98" s="37">
        <f t="shared" si="11"/>
        <v>0</v>
      </c>
      <c r="G98" s="37">
        <f t="shared" si="12"/>
        <v>0</v>
      </c>
      <c r="H98" s="37">
        <f t="shared" si="13"/>
        <v>0.47913351897273304</v>
      </c>
      <c r="I98" s="37">
        <f t="shared" si="14"/>
        <v>0.70892384564689981</v>
      </c>
      <c r="J98" s="37">
        <f t="shared" si="15"/>
        <v>0.93871417232106646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10"/>
    </row>
    <row r="99" spans="1:20" x14ac:dyDescent="0.25">
      <c r="A99" s="3" t="s">
        <v>212</v>
      </c>
      <c r="B99" s="36">
        <v>0</v>
      </c>
      <c r="C99" s="37">
        <f t="shared" si="8"/>
        <v>0</v>
      </c>
      <c r="D99" s="37">
        <f t="shared" si="9"/>
        <v>0</v>
      </c>
      <c r="E99" s="37">
        <f t="shared" si="10"/>
        <v>0</v>
      </c>
      <c r="F99" s="37">
        <f t="shared" si="11"/>
        <v>0</v>
      </c>
      <c r="G99" s="37">
        <f t="shared" si="12"/>
        <v>0</v>
      </c>
      <c r="H99" s="37">
        <f t="shared" si="13"/>
        <v>0.47913351897273304</v>
      </c>
      <c r="I99" s="37">
        <f t="shared" si="14"/>
        <v>0.70892384564689981</v>
      </c>
      <c r="J99" s="37">
        <f t="shared" si="15"/>
        <v>0.93871417232106646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10"/>
    </row>
    <row r="100" spans="1:20" x14ac:dyDescent="0.25">
      <c r="A100" s="3" t="s">
        <v>175</v>
      </c>
      <c r="B100" s="36">
        <v>0</v>
      </c>
      <c r="C100" s="37">
        <f t="shared" si="8"/>
        <v>0</v>
      </c>
      <c r="D100" s="37">
        <f t="shared" si="9"/>
        <v>0</v>
      </c>
      <c r="E100" s="37">
        <f t="shared" si="10"/>
        <v>0</v>
      </c>
      <c r="F100" s="37">
        <f t="shared" si="11"/>
        <v>0</v>
      </c>
      <c r="G100" s="37">
        <f t="shared" si="12"/>
        <v>0</v>
      </c>
      <c r="H100" s="37">
        <f t="shared" si="13"/>
        <v>0.47913351897273304</v>
      </c>
      <c r="I100" s="37">
        <f t="shared" si="14"/>
        <v>0.70892384564689981</v>
      </c>
      <c r="J100" s="37">
        <f t="shared" si="15"/>
        <v>0.93871417232106646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10"/>
    </row>
    <row r="101" spans="1:20" x14ac:dyDescent="0.25">
      <c r="A101" s="3" t="s">
        <v>176</v>
      </c>
      <c r="B101" s="36">
        <v>0</v>
      </c>
      <c r="C101" s="37">
        <f t="shared" si="8"/>
        <v>0</v>
      </c>
      <c r="D101" s="37">
        <f t="shared" si="9"/>
        <v>0</v>
      </c>
      <c r="E101" s="37">
        <f t="shared" si="10"/>
        <v>0</v>
      </c>
      <c r="F101" s="37">
        <f t="shared" si="11"/>
        <v>0</v>
      </c>
      <c r="G101" s="37">
        <f t="shared" si="12"/>
        <v>0</v>
      </c>
      <c r="H101" s="37">
        <f t="shared" si="13"/>
        <v>0.47913351897273304</v>
      </c>
      <c r="I101" s="37">
        <f t="shared" si="14"/>
        <v>0.70892384564689981</v>
      </c>
      <c r="J101" s="37">
        <f t="shared" si="15"/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10"/>
    </row>
    <row r="102" spans="1:20" x14ac:dyDescent="0.25">
      <c r="A102" s="3" t="s">
        <v>192</v>
      </c>
      <c r="B102" s="36">
        <v>0</v>
      </c>
      <c r="C102" s="37">
        <f t="shared" si="8"/>
        <v>0</v>
      </c>
      <c r="D102" s="37">
        <f t="shared" si="9"/>
        <v>0</v>
      </c>
      <c r="E102" s="37">
        <f t="shared" si="10"/>
        <v>6.5420049562801799E-2</v>
      </c>
      <c r="F102" s="37">
        <f t="shared" si="11"/>
        <v>0.35162962287700078</v>
      </c>
      <c r="G102" s="37">
        <f t="shared" si="12"/>
        <v>0.35162962287700078</v>
      </c>
      <c r="H102" s="37">
        <f t="shared" si="13"/>
        <v>0.63783919619119978</v>
      </c>
      <c r="I102" s="37">
        <f t="shared" si="14"/>
        <v>0</v>
      </c>
      <c r="J102" s="37">
        <f t="shared" si="15"/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10"/>
    </row>
    <row r="103" spans="1:20" x14ac:dyDescent="0.25">
      <c r="A103" s="3" t="s">
        <v>177</v>
      </c>
      <c r="B103" s="36">
        <v>0</v>
      </c>
      <c r="C103" s="37">
        <f t="shared" si="8"/>
        <v>0</v>
      </c>
      <c r="D103" s="37">
        <f t="shared" si="9"/>
        <v>0</v>
      </c>
      <c r="E103" s="37">
        <f t="shared" si="10"/>
        <v>0</v>
      </c>
      <c r="F103" s="37">
        <f t="shared" si="11"/>
        <v>0</v>
      </c>
      <c r="G103" s="37">
        <f t="shared" si="12"/>
        <v>0</v>
      </c>
      <c r="H103" s="37">
        <f t="shared" si="13"/>
        <v>0.47913351897273304</v>
      </c>
      <c r="I103" s="37">
        <f t="shared" si="14"/>
        <v>0.70892384564689981</v>
      </c>
      <c r="J103" s="37">
        <f t="shared" si="15"/>
        <v>0.93871417232106646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10"/>
    </row>
    <row r="104" spans="1:20" x14ac:dyDescent="0.25">
      <c r="A104" s="3" t="s">
        <v>178</v>
      </c>
      <c r="B104" s="36">
        <v>0</v>
      </c>
      <c r="C104" s="37">
        <f t="shared" si="8"/>
        <v>0</v>
      </c>
      <c r="D104" s="37">
        <f t="shared" si="9"/>
        <v>0</v>
      </c>
      <c r="E104" s="37">
        <f t="shared" si="10"/>
        <v>0</v>
      </c>
      <c r="F104" s="37">
        <f t="shared" si="11"/>
        <v>0</v>
      </c>
      <c r="G104" s="37">
        <f t="shared" si="12"/>
        <v>0</v>
      </c>
      <c r="H104" s="37">
        <f t="shared" si="13"/>
        <v>0.47913351897273304</v>
      </c>
      <c r="I104" s="37">
        <f t="shared" si="14"/>
        <v>0.70892384564689981</v>
      </c>
      <c r="J104" s="37">
        <f t="shared" si="15"/>
        <v>0.93871417232106646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10"/>
    </row>
    <row r="105" spans="1:20" x14ac:dyDescent="0.25">
      <c r="A105" s="3" t="s">
        <v>179</v>
      </c>
      <c r="B105" s="36">
        <v>0</v>
      </c>
      <c r="C105" s="37">
        <f t="shared" si="8"/>
        <v>0</v>
      </c>
      <c r="D105" s="37">
        <f t="shared" si="9"/>
        <v>0</v>
      </c>
      <c r="E105" s="37">
        <f t="shared" si="10"/>
        <v>0</v>
      </c>
      <c r="F105" s="37">
        <f t="shared" si="11"/>
        <v>0</v>
      </c>
      <c r="G105" s="37">
        <f t="shared" si="12"/>
        <v>0</v>
      </c>
      <c r="H105" s="37">
        <f t="shared" si="13"/>
        <v>0.47913351897273304</v>
      </c>
      <c r="I105" s="37">
        <f t="shared" si="14"/>
        <v>0.70892384564689981</v>
      </c>
      <c r="J105" s="37">
        <f t="shared" si="15"/>
        <v>0.93871417232106646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10"/>
    </row>
    <row r="106" spans="1:20" x14ac:dyDescent="0.25">
      <c r="A106" s="3" t="s">
        <v>180</v>
      </c>
      <c r="B106" s="36">
        <v>0</v>
      </c>
      <c r="C106" s="37">
        <f t="shared" si="8"/>
        <v>0</v>
      </c>
      <c r="D106" s="37">
        <f t="shared" si="9"/>
        <v>0</v>
      </c>
      <c r="E106" s="37">
        <f t="shared" si="10"/>
        <v>0</v>
      </c>
      <c r="F106" s="37">
        <f t="shared" si="11"/>
        <v>0</v>
      </c>
      <c r="G106" s="37">
        <f t="shared" si="12"/>
        <v>0</v>
      </c>
      <c r="H106" s="37">
        <f t="shared" si="13"/>
        <v>0.47913351897273304</v>
      </c>
      <c r="I106" s="37">
        <f t="shared" si="14"/>
        <v>0.70892384564689981</v>
      </c>
      <c r="J106" s="37">
        <f t="shared" si="15"/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10"/>
    </row>
    <row r="107" spans="1:20" x14ac:dyDescent="0.25">
      <c r="A107" s="3" t="s">
        <v>193</v>
      </c>
      <c r="B107" s="36">
        <v>0</v>
      </c>
      <c r="C107" s="37">
        <f t="shared" si="8"/>
        <v>0</v>
      </c>
      <c r="D107" s="37">
        <f t="shared" si="9"/>
        <v>0</v>
      </c>
      <c r="E107" s="37">
        <f t="shared" si="10"/>
        <v>6.5420049562801799E-2</v>
      </c>
      <c r="F107" s="37">
        <f t="shared" si="11"/>
        <v>0.35162962287700078</v>
      </c>
      <c r="G107" s="37">
        <f t="shared" si="12"/>
        <v>0.35162962287700078</v>
      </c>
      <c r="H107" s="37">
        <f t="shared" si="13"/>
        <v>0.63783919619119978</v>
      </c>
      <c r="I107" s="37">
        <f t="shared" si="14"/>
        <v>0</v>
      </c>
      <c r="J107" s="37">
        <f t="shared" si="15"/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10"/>
    </row>
    <row r="108" spans="1:20" x14ac:dyDescent="0.25">
      <c r="A108" s="3" t="s">
        <v>213</v>
      </c>
      <c r="B108" s="36">
        <v>0</v>
      </c>
      <c r="C108" s="37">
        <f t="shared" si="8"/>
        <v>0</v>
      </c>
      <c r="D108" s="37">
        <f t="shared" si="9"/>
        <v>0</v>
      </c>
      <c r="E108" s="37">
        <f t="shared" si="10"/>
        <v>0</v>
      </c>
      <c r="F108" s="37">
        <f t="shared" si="11"/>
        <v>0</v>
      </c>
      <c r="G108" s="37">
        <f t="shared" si="12"/>
        <v>0</v>
      </c>
      <c r="H108" s="37">
        <f t="shared" si="13"/>
        <v>0.47913351897273304</v>
      </c>
      <c r="I108" s="37">
        <f t="shared" si="14"/>
        <v>0.70892384564689981</v>
      </c>
      <c r="J108" s="37">
        <f t="shared" si="15"/>
        <v>0.93871417232106646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10"/>
    </row>
    <row r="109" spans="1:20" x14ac:dyDescent="0.25">
      <c r="A109" s="3" t="s">
        <v>214</v>
      </c>
      <c r="B109" s="36">
        <v>0</v>
      </c>
      <c r="C109" s="37">
        <f t="shared" si="8"/>
        <v>0</v>
      </c>
      <c r="D109" s="37">
        <f t="shared" si="9"/>
        <v>0</v>
      </c>
      <c r="E109" s="37">
        <f t="shared" si="10"/>
        <v>0</v>
      </c>
      <c r="F109" s="37">
        <f t="shared" si="11"/>
        <v>0</v>
      </c>
      <c r="G109" s="37">
        <f t="shared" si="12"/>
        <v>0</v>
      </c>
      <c r="H109" s="37">
        <f t="shared" si="13"/>
        <v>0.47913351897273304</v>
      </c>
      <c r="I109" s="37">
        <f t="shared" si="14"/>
        <v>0.70892384564689981</v>
      </c>
      <c r="J109" s="37">
        <f t="shared" si="15"/>
        <v>0.93871417232106646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10"/>
    </row>
    <row r="110" spans="1:20" x14ac:dyDescent="0.25">
      <c r="A110" s="3" t="s">
        <v>215</v>
      </c>
      <c r="B110" s="36">
        <v>0</v>
      </c>
      <c r="C110" s="37">
        <f t="shared" si="8"/>
        <v>0</v>
      </c>
      <c r="D110" s="37">
        <f t="shared" si="9"/>
        <v>0</v>
      </c>
      <c r="E110" s="37">
        <f t="shared" si="10"/>
        <v>0</v>
      </c>
      <c r="F110" s="37">
        <f t="shared" si="11"/>
        <v>0</v>
      </c>
      <c r="G110" s="37">
        <f t="shared" si="12"/>
        <v>0</v>
      </c>
      <c r="H110" s="37">
        <f t="shared" si="13"/>
        <v>0.47913351897273304</v>
      </c>
      <c r="I110" s="37">
        <f t="shared" si="14"/>
        <v>0.70892384564689981</v>
      </c>
      <c r="J110" s="37">
        <f t="shared" si="15"/>
        <v>0.93871417232106646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10"/>
    </row>
    <row r="111" spans="1:20" x14ac:dyDescent="0.25">
      <c r="A111" s="3" t="s">
        <v>216</v>
      </c>
      <c r="B111" s="36">
        <v>0</v>
      </c>
      <c r="C111" s="37">
        <f t="shared" si="8"/>
        <v>0</v>
      </c>
      <c r="D111" s="37">
        <f t="shared" si="9"/>
        <v>0</v>
      </c>
      <c r="E111" s="37">
        <f t="shared" si="10"/>
        <v>0</v>
      </c>
      <c r="F111" s="37">
        <f t="shared" si="11"/>
        <v>0</v>
      </c>
      <c r="G111" s="37">
        <f t="shared" si="12"/>
        <v>0</v>
      </c>
      <c r="H111" s="37">
        <f t="shared" si="13"/>
        <v>0.47913351897273304</v>
      </c>
      <c r="I111" s="37">
        <f t="shared" si="14"/>
        <v>0.70892384564689981</v>
      </c>
      <c r="J111" s="37">
        <f t="shared" si="15"/>
        <v>0.93871417232106646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10"/>
    </row>
    <row r="112" spans="1:20" x14ac:dyDescent="0.25">
      <c r="A112" s="3" t="s">
        <v>217</v>
      </c>
      <c r="B112" s="36">
        <v>0</v>
      </c>
      <c r="C112" s="37">
        <f t="shared" si="8"/>
        <v>0</v>
      </c>
      <c r="D112" s="37">
        <f t="shared" si="9"/>
        <v>0</v>
      </c>
      <c r="E112" s="37">
        <f t="shared" si="10"/>
        <v>0</v>
      </c>
      <c r="F112" s="37">
        <f t="shared" si="11"/>
        <v>0</v>
      </c>
      <c r="G112" s="37">
        <f t="shared" si="12"/>
        <v>0</v>
      </c>
      <c r="H112" s="37">
        <f t="shared" si="13"/>
        <v>0.47913351897273304</v>
      </c>
      <c r="I112" s="37">
        <f t="shared" si="14"/>
        <v>0.70892384564689981</v>
      </c>
      <c r="J112" s="37">
        <f t="shared" si="15"/>
        <v>0.93871417232106646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10"/>
    </row>
    <row r="113" spans="1:20" x14ac:dyDescent="0.25">
      <c r="A113" s="3" t="s">
        <v>181</v>
      </c>
      <c r="B113" s="36">
        <v>0</v>
      </c>
      <c r="C113" s="37">
        <f t="shared" si="8"/>
        <v>0</v>
      </c>
      <c r="D113" s="37">
        <f t="shared" si="9"/>
        <v>0</v>
      </c>
      <c r="E113" s="37">
        <f t="shared" si="10"/>
        <v>0</v>
      </c>
      <c r="F113" s="37">
        <f t="shared" si="11"/>
        <v>0</v>
      </c>
      <c r="G113" s="37">
        <f t="shared" si="12"/>
        <v>0</v>
      </c>
      <c r="H113" s="37">
        <f t="shared" si="13"/>
        <v>0.47913351897273304</v>
      </c>
      <c r="I113" s="37">
        <f t="shared" si="14"/>
        <v>0.70892384564689981</v>
      </c>
      <c r="J113" s="37">
        <f t="shared" si="15"/>
        <v>0.93871417232106646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10"/>
    </row>
    <row r="114" spans="1:20" x14ac:dyDescent="0.25">
      <c r="A114" s="3" t="s">
        <v>182</v>
      </c>
      <c r="B114" s="36">
        <v>0</v>
      </c>
      <c r="C114" s="37">
        <f t="shared" si="8"/>
        <v>0</v>
      </c>
      <c r="D114" s="37">
        <f t="shared" si="9"/>
        <v>0</v>
      </c>
      <c r="E114" s="37">
        <f t="shared" si="10"/>
        <v>0</v>
      </c>
      <c r="F114" s="37">
        <f t="shared" si="11"/>
        <v>0</v>
      </c>
      <c r="G114" s="37">
        <f t="shared" si="12"/>
        <v>0</v>
      </c>
      <c r="H114" s="37">
        <f t="shared" si="13"/>
        <v>0.47913351897273304</v>
      </c>
      <c r="I114" s="37">
        <f t="shared" si="14"/>
        <v>0.70892384564689981</v>
      </c>
      <c r="J114" s="37">
        <f t="shared" si="15"/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10"/>
    </row>
    <row r="115" spans="1:20" x14ac:dyDescent="0.25">
      <c r="A115" s="3" t="s">
        <v>183</v>
      </c>
      <c r="B115" s="36">
        <v>0</v>
      </c>
      <c r="C115" s="37">
        <f t="shared" si="8"/>
        <v>0</v>
      </c>
      <c r="D115" s="37">
        <f t="shared" si="9"/>
        <v>0</v>
      </c>
      <c r="E115" s="37">
        <f t="shared" si="10"/>
        <v>0</v>
      </c>
      <c r="F115" s="37">
        <f t="shared" si="11"/>
        <v>0</v>
      </c>
      <c r="G115" s="37">
        <f t="shared" si="12"/>
        <v>0</v>
      </c>
      <c r="H115" s="37">
        <f t="shared" si="13"/>
        <v>0.47913351897273304</v>
      </c>
      <c r="I115" s="37">
        <f t="shared" si="14"/>
        <v>0.70892384564689981</v>
      </c>
      <c r="J115" s="37">
        <f t="shared" si="15"/>
        <v>0.93871417232106646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10"/>
    </row>
    <row r="116" spans="1:20" x14ac:dyDescent="0.25">
      <c r="A116" s="3" t="s">
        <v>184</v>
      </c>
      <c r="B116" s="36">
        <v>0</v>
      </c>
      <c r="C116" s="37">
        <f t="shared" si="8"/>
        <v>0</v>
      </c>
      <c r="D116" s="37">
        <f t="shared" si="9"/>
        <v>0</v>
      </c>
      <c r="E116" s="37">
        <f t="shared" si="10"/>
        <v>0</v>
      </c>
      <c r="F116" s="37">
        <f t="shared" si="11"/>
        <v>0</v>
      </c>
      <c r="G116" s="37">
        <f t="shared" si="12"/>
        <v>0</v>
      </c>
      <c r="H116" s="37">
        <f t="shared" si="13"/>
        <v>0.47913351897273304</v>
      </c>
      <c r="I116" s="37">
        <f t="shared" si="14"/>
        <v>0.70892384564689981</v>
      </c>
      <c r="J116" s="37">
        <f t="shared" si="15"/>
        <v>0.93871417232106646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10"/>
    </row>
    <row r="117" spans="1:20" x14ac:dyDescent="0.25">
      <c r="A117" s="3" t="s">
        <v>185</v>
      </c>
      <c r="B117" s="36">
        <v>0</v>
      </c>
      <c r="C117" s="37">
        <f t="shared" si="8"/>
        <v>0</v>
      </c>
      <c r="D117" s="37">
        <f t="shared" si="9"/>
        <v>0</v>
      </c>
      <c r="E117" s="37">
        <f t="shared" si="10"/>
        <v>0</v>
      </c>
      <c r="F117" s="37">
        <f t="shared" si="11"/>
        <v>0</v>
      </c>
      <c r="G117" s="37">
        <f t="shared" si="12"/>
        <v>0</v>
      </c>
      <c r="H117" s="37">
        <f t="shared" si="13"/>
        <v>0.47913351897273304</v>
      </c>
      <c r="I117" s="37">
        <f t="shared" si="14"/>
        <v>0.70892384564689981</v>
      </c>
      <c r="J117" s="37">
        <f t="shared" si="15"/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10"/>
    </row>
    <row r="118" spans="1:20" x14ac:dyDescent="0.25">
      <c r="A118" s="3" t="s">
        <v>186</v>
      </c>
      <c r="B118" s="36">
        <v>0</v>
      </c>
      <c r="C118" s="37">
        <f t="shared" si="8"/>
        <v>0</v>
      </c>
      <c r="D118" s="37">
        <f t="shared" si="9"/>
        <v>0</v>
      </c>
      <c r="E118" s="37">
        <f t="shared" si="10"/>
        <v>0</v>
      </c>
      <c r="F118" s="37">
        <f t="shared" si="11"/>
        <v>0</v>
      </c>
      <c r="G118" s="37">
        <f t="shared" si="12"/>
        <v>0</v>
      </c>
      <c r="H118" s="37">
        <f t="shared" si="13"/>
        <v>0.47913351897273304</v>
      </c>
      <c r="I118" s="37">
        <f t="shared" si="14"/>
        <v>0.70892384564689981</v>
      </c>
      <c r="J118" s="37">
        <f t="shared" si="15"/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10"/>
    </row>
    <row r="119" spans="1:20" x14ac:dyDescent="0.25">
      <c r="A119" s="3" t="s">
        <v>194</v>
      </c>
      <c r="B119" s="36">
        <v>0</v>
      </c>
      <c r="C119" s="37">
        <f t="shared" si="8"/>
        <v>0</v>
      </c>
      <c r="D119" s="37">
        <f t="shared" si="9"/>
        <v>0</v>
      </c>
      <c r="E119" s="37">
        <f t="shared" si="10"/>
        <v>6.5420049562801799E-2</v>
      </c>
      <c r="F119" s="37">
        <f t="shared" si="11"/>
        <v>0.35162962287700078</v>
      </c>
      <c r="G119" s="37">
        <f t="shared" si="12"/>
        <v>0.35162962287700078</v>
      </c>
      <c r="H119" s="37">
        <f t="shared" si="13"/>
        <v>0.63783919619119978</v>
      </c>
      <c r="I119" s="37">
        <f t="shared" si="14"/>
        <v>0</v>
      </c>
      <c r="J119" s="37">
        <f t="shared" si="15"/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10"/>
    </row>
    <row r="120" spans="1:20" x14ac:dyDescent="0.25">
      <c r="A120" s="3" t="s">
        <v>195</v>
      </c>
      <c r="B120" s="36">
        <v>0</v>
      </c>
      <c r="C120" s="37">
        <f t="shared" si="8"/>
        <v>0</v>
      </c>
      <c r="D120" s="37">
        <f t="shared" si="9"/>
        <v>0</v>
      </c>
      <c r="E120" s="37">
        <f t="shared" si="10"/>
        <v>6.5420049562801799E-2</v>
      </c>
      <c r="F120" s="37">
        <f t="shared" si="11"/>
        <v>0.35162962287700078</v>
      </c>
      <c r="G120" s="37">
        <f t="shared" si="12"/>
        <v>0.35162962287700078</v>
      </c>
      <c r="H120" s="37">
        <f t="shared" si="13"/>
        <v>0.63783919619119978</v>
      </c>
      <c r="I120" s="37">
        <f t="shared" si="14"/>
        <v>0</v>
      </c>
      <c r="J120" s="37">
        <f t="shared" si="15"/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East Midlands in April 17 (Final)</v>
      </c>
    </row>
    <row r="2" spans="1:20" x14ac:dyDescent="0.25">
      <c r="A2" s="2" t="s">
        <v>971</v>
      </c>
    </row>
    <row r="4" spans="1:20" ht="21" customHeight="1" x14ac:dyDescent="0.3">
      <c r="A4" s="1" t="s">
        <v>972</v>
      </c>
    </row>
    <row r="5" spans="1:20" x14ac:dyDescent="0.25">
      <c r="A5" s="2" t="s">
        <v>356</v>
      </c>
    </row>
    <row r="6" spans="1:20" x14ac:dyDescent="0.25">
      <c r="A6" s="11" t="s">
        <v>973</v>
      </c>
    </row>
    <row r="7" spans="1:20" x14ac:dyDescent="0.25">
      <c r="A7" s="11" t="s">
        <v>974</v>
      </c>
    </row>
    <row r="8" spans="1:20" x14ac:dyDescent="0.25">
      <c r="A8" s="2" t="s">
        <v>374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ht="30" x14ac:dyDescent="0.25">
      <c r="A11" s="3" t="s">
        <v>975</v>
      </c>
      <c r="B11" s="9"/>
      <c r="C11" s="34">
        <f>DRM!$B$130</f>
        <v>6.0762794142745591</v>
      </c>
      <c r="D11" s="34">
        <f>DRM!$B$131</f>
        <v>3.3229246377437467</v>
      </c>
      <c r="E11" s="34">
        <f>DRM!$B$132</f>
        <v>4.0624185771235286</v>
      </c>
      <c r="F11" s="34">
        <f>DRM!$B$133</f>
        <v>6.6346827842099687</v>
      </c>
      <c r="G11" s="34">
        <f>DRM!$B$134</f>
        <v>6.8757997153309462</v>
      </c>
      <c r="H11" s="34">
        <f>DRM!$B$135</f>
        <v>15.590336532885457</v>
      </c>
      <c r="I11" s="34">
        <f>DRM!$B$136</f>
        <v>6.7429493236277978</v>
      </c>
      <c r="J11" s="34">
        <f>DRM!$B$137</f>
        <v>13.811740330007344</v>
      </c>
      <c r="K11" s="34">
        <f>Otex!$B108</f>
        <v>2.5921006273331666</v>
      </c>
      <c r="L11" s="34">
        <f>Otex!$C108</f>
        <v>2.7499642719335124</v>
      </c>
      <c r="M11" s="34">
        <f>Otex!$D108</f>
        <v>1.5038683064270968</v>
      </c>
      <c r="N11" s="34">
        <f>Otex!$E108</f>
        <v>1.8385438165473891</v>
      </c>
      <c r="O11" s="34">
        <f>Otex!$F108</f>
        <v>3.0026829525528074</v>
      </c>
      <c r="P11" s="34">
        <f>Otex!$G108</f>
        <v>3.1118061348052981</v>
      </c>
      <c r="Q11" s="34">
        <f>Otex!$H108</f>
        <v>7.0557763278852352</v>
      </c>
      <c r="R11" s="34">
        <f>Otex!$I108</f>
        <v>3.0516815411538318</v>
      </c>
      <c r="S11" s="34">
        <f>Otex!$J108</f>
        <v>6.2508304590989567</v>
      </c>
      <c r="T11" s="10"/>
    </row>
    <row r="13" spans="1:20" ht="21" customHeight="1" x14ac:dyDescent="0.3">
      <c r="A13" s="1" t="s">
        <v>976</v>
      </c>
    </row>
    <row r="14" spans="1:20" x14ac:dyDescent="0.25">
      <c r="A14" s="2" t="s">
        <v>356</v>
      </c>
    </row>
    <row r="15" spans="1:20" x14ac:dyDescent="0.25">
      <c r="A15" s="11" t="s">
        <v>977</v>
      </c>
    </row>
    <row r="16" spans="1:20" x14ac:dyDescent="0.25">
      <c r="A16" s="11" t="s">
        <v>816</v>
      </c>
    </row>
    <row r="17" spans="1:20" x14ac:dyDescent="0.25">
      <c r="A17" s="11" t="s">
        <v>803</v>
      </c>
    </row>
    <row r="18" spans="1:20" x14ac:dyDescent="0.25">
      <c r="A18" s="11" t="s">
        <v>978</v>
      </c>
    </row>
    <row r="19" spans="1:20" x14ac:dyDescent="0.25">
      <c r="A19" s="11" t="s">
        <v>746</v>
      </c>
    </row>
    <row r="20" spans="1:20" x14ac:dyDescent="0.25">
      <c r="A20" s="2" t="s">
        <v>979</v>
      </c>
    </row>
    <row r="22" spans="1:20" ht="30" x14ac:dyDescent="0.25">
      <c r="B22" s="12" t="s">
        <v>139</v>
      </c>
      <c r="C22" s="12" t="s">
        <v>311</v>
      </c>
      <c r="D22" s="12" t="s">
        <v>312</v>
      </c>
      <c r="E22" s="12" t="s">
        <v>313</v>
      </c>
      <c r="F22" s="12" t="s">
        <v>314</v>
      </c>
      <c r="G22" s="12" t="s">
        <v>315</v>
      </c>
      <c r="H22" s="12" t="s">
        <v>316</v>
      </c>
      <c r="I22" s="12" t="s">
        <v>317</v>
      </c>
      <c r="J22" s="12" t="s">
        <v>318</v>
      </c>
      <c r="K22" s="12" t="s">
        <v>299</v>
      </c>
      <c r="L22" s="12" t="s">
        <v>882</v>
      </c>
      <c r="M22" s="12" t="s">
        <v>883</v>
      </c>
      <c r="N22" s="12" t="s">
        <v>884</v>
      </c>
      <c r="O22" s="12" t="s">
        <v>885</v>
      </c>
      <c r="P22" s="12" t="s">
        <v>886</v>
      </c>
      <c r="Q22" s="12" t="s">
        <v>887</v>
      </c>
      <c r="R22" s="12" t="s">
        <v>888</v>
      </c>
      <c r="S22" s="12" t="s">
        <v>889</v>
      </c>
    </row>
    <row r="23" spans="1:20" x14ac:dyDescent="0.25">
      <c r="A23" s="3" t="s">
        <v>171</v>
      </c>
      <c r="B23" s="33">
        <f>B$11*Loads!$B46*LAFs!B237*(1-Contrib!B94)/(24*Input!$F$58)*100</f>
        <v>0</v>
      </c>
      <c r="C23" s="33">
        <f>C$11*Loads!$B46*LAFs!C237*(1-Contrib!C94)/(24*Input!$F$58)*100</f>
        <v>0.15372386857919598</v>
      </c>
      <c r="D23" s="33">
        <f>D$11*Loads!$B46*LAFs!D237*(1-Contrib!D94)/(24*Input!$F$58)*100</f>
        <v>7.7371893372981115E-2</v>
      </c>
      <c r="E23" s="33">
        <f>E$11*Loads!$B46*LAFs!E237*(1-Contrib!E94)/(24*Input!$F$58)*100</f>
        <v>9.4309512326607559E-2</v>
      </c>
      <c r="F23" s="33">
        <f>F$11*Loads!$B46*LAFs!F237*(1-Contrib!F94)/(24*Input!$F$58)*100</f>
        <v>0.15281450841465841</v>
      </c>
      <c r="G23" s="33">
        <f>G$11*Loads!$B46*LAFs!G237*(1-Contrib!G94)/(24*Input!$F$58)*100</f>
        <v>1.2848862693751188E-2</v>
      </c>
      <c r="H23" s="33">
        <f>H$11*Loads!$B46*LAFs!H237*(1-Contrib!H94)/(24*Input!$F$58)*100</f>
        <v>0.1990823011679046</v>
      </c>
      <c r="I23" s="33">
        <f>I$11*Loads!$B46*LAFs!I237*(1-Contrib!I94)/(24*Input!$F$58)*100</f>
        <v>4.7249742214459899E-2</v>
      </c>
      <c r="J23" s="33">
        <f>J$11*Loads!$B46*LAFs!J237*(1-Contrib!J94)/(24*Input!$F$58)*100</f>
        <v>1.963177594550539E-2</v>
      </c>
      <c r="K23" s="33">
        <f>K$11*Loads!$B46*LAFs!B237*(1-Contrib!K94)/(24*Input!$F$58)*100</f>
        <v>6.570874122651639E-2</v>
      </c>
      <c r="L23" s="33">
        <f>L$11*Loads!$B46*LAFs!C237*(1-Contrib!L94)/(24*Input!$F$58)*100</f>
        <v>6.9571380365275978E-2</v>
      </c>
      <c r="M23" s="33">
        <f>M$11*Loads!$B46*LAFs!D237*(1-Contrib!M94)/(24*Input!$F$58)*100</f>
        <v>3.5016484253127422E-2</v>
      </c>
      <c r="N23" s="33">
        <f>N$11*Loads!$B46*LAFs!E237*(1-Contrib!N94)/(24*Input!$F$58)*100</f>
        <v>4.2682005174478503E-2</v>
      </c>
      <c r="O23" s="33">
        <f>O$11*Loads!$B46*LAFs!F237*(1-Contrib!O94)/(24*Input!$F$58)*100</f>
        <v>6.9159827868706586E-2</v>
      </c>
      <c r="P23" s="33">
        <f>P$11*Loads!$B46*LAFs!G237*(1-Contrib!P94)/(24*Input!$F$58)*100</f>
        <v>5.8150573622055236E-3</v>
      </c>
      <c r="Q23" s="33">
        <f>Q$11*Loads!$B46*LAFs!H237*(1-Contrib!Q94)/(24*Input!$F$58)*100</f>
        <v>0.1729798660950094</v>
      </c>
      <c r="R23" s="33">
        <f>R$11*Loads!$B46*LAFs!I237*(1-Contrib!R94)/(24*Input!$F$58)*100</f>
        <v>7.3465278609377571E-2</v>
      </c>
      <c r="S23" s="33">
        <f>S$11*Loads!$B46*LAFs!J237*(1-Contrib!S94)/(24*Input!$F$58)*100</f>
        <v>0.14497357485035628</v>
      </c>
      <c r="T23" s="10"/>
    </row>
    <row r="24" spans="1:20" x14ac:dyDescent="0.25">
      <c r="A24" s="3" t="s">
        <v>172</v>
      </c>
      <c r="B24" s="33">
        <f>B$11*Loads!$B47*LAFs!B238*(1-Contrib!B95)/(24*Input!$F$58)*100</f>
        <v>0</v>
      </c>
      <c r="C24" s="33">
        <f>C$11*Loads!$B47*LAFs!C238*(1-Contrib!C95)/(24*Input!$F$58)*100</f>
        <v>0.12725351632215115</v>
      </c>
      <c r="D24" s="33">
        <f>D$11*Loads!$B47*LAFs!D238*(1-Contrib!D95)/(24*Input!$F$58)*100</f>
        <v>6.4048905269008222E-2</v>
      </c>
      <c r="E24" s="33">
        <f>E$11*Loads!$B47*LAFs!E238*(1-Contrib!E95)/(24*Input!$F$58)*100</f>
        <v>7.8069965172683914E-2</v>
      </c>
      <c r="F24" s="33">
        <f>F$11*Loads!$B47*LAFs!F238*(1-Contrib!F95)/(24*Input!$F$58)*100</f>
        <v>0.12650074266630812</v>
      </c>
      <c r="G24" s="33">
        <f>G$11*Loads!$B47*LAFs!G238*(1-Contrib!G95)/(24*Input!$F$58)*100</f>
        <v>1.0636363589028391E-2</v>
      </c>
      <c r="H24" s="33">
        <f>H$11*Loads!$B47*LAFs!H238*(1-Contrib!H95)/(24*Input!$F$58)*100</f>
        <v>0.16480149176098668</v>
      </c>
      <c r="I24" s="33">
        <f>I$11*Loads!$B47*LAFs!I238*(1-Contrib!I95)/(24*Input!$F$58)*100</f>
        <v>3.9113612594309441E-2</v>
      </c>
      <c r="J24" s="33">
        <f>J$11*Loads!$B47*LAFs!J238*(1-Contrib!J95)/(24*Input!$F$58)*100</f>
        <v>1.6251298798319973E-2</v>
      </c>
      <c r="K24" s="33">
        <f>K$11*Loads!$B47*LAFs!B238*(1-Contrib!K95)/(24*Input!$F$58)*100</f>
        <v>5.4394079796845067E-2</v>
      </c>
      <c r="L24" s="33">
        <f>L$11*Loads!$B47*LAFs!C238*(1-Contrib!L95)/(24*Input!$F$58)*100</f>
        <v>5.7591595037866289E-2</v>
      </c>
      <c r="M24" s="33">
        <f>M$11*Loads!$B47*LAFs!D238*(1-Contrib!M95)/(24*Input!$F$58)*100</f>
        <v>2.8986850198569246E-2</v>
      </c>
      <c r="N24" s="33">
        <f>N$11*Loads!$B47*LAFs!E238*(1-Contrib!N95)/(24*Input!$F$58)*100</f>
        <v>3.5332413192128695E-2</v>
      </c>
      <c r="O24" s="33">
        <f>O$11*Loads!$B47*LAFs!F238*(1-Contrib!O95)/(24*Input!$F$58)*100</f>
        <v>5.7250909477298079E-2</v>
      </c>
      <c r="P24" s="33">
        <f>P$11*Loads!$B47*LAFs!G238*(1-Contrib!P95)/(24*Input!$F$58)*100</f>
        <v>4.8137384506065639E-3</v>
      </c>
      <c r="Q24" s="33">
        <f>Q$11*Loads!$B47*LAFs!H238*(1-Contrib!Q95)/(24*Input!$F$58)*100</f>
        <v>0.14319374354142297</v>
      </c>
      <c r="R24" s="33">
        <f>R$11*Loads!$B47*LAFs!I238*(1-Contrib!R95)/(24*Input!$F$58)*100</f>
        <v>6.0814986748876344E-2</v>
      </c>
      <c r="S24" s="33">
        <f>S$11*Loads!$B47*LAFs!J238*(1-Contrib!S95)/(24*Input!$F$58)*100</f>
        <v>0.12000997206231583</v>
      </c>
      <c r="T24" s="10"/>
    </row>
    <row r="25" spans="1:20" x14ac:dyDescent="0.25">
      <c r="A25" s="3" t="s">
        <v>211</v>
      </c>
      <c r="B25" s="33">
        <f>B$11*Loads!$B48*LAFs!B239*(1-Contrib!B96)/(24*Input!$F$58)*100</f>
        <v>0</v>
      </c>
      <c r="C25" s="33">
        <f>C$11*Loads!$B48*LAFs!C239*(1-Contrib!C96)/(24*Input!$F$58)*100</f>
        <v>0</v>
      </c>
      <c r="D25" s="33">
        <f>D$11*Loads!$B48*LAFs!D239*(1-Contrib!D96)/(24*Input!$F$58)*100</f>
        <v>0</v>
      </c>
      <c r="E25" s="33">
        <f>E$11*Loads!$B48*LAFs!E239*(1-Contrib!E96)/(24*Input!$F$58)*100</f>
        <v>0</v>
      </c>
      <c r="F25" s="33">
        <f>F$11*Loads!$B48*LAFs!F239*(1-Contrib!F96)/(24*Input!$F$58)*100</f>
        <v>0</v>
      </c>
      <c r="G25" s="33">
        <f>G$11*Loads!$B48*LAFs!G239*(1-Contrib!G96)/(24*Input!$F$58)*100</f>
        <v>0</v>
      </c>
      <c r="H25" s="33">
        <f>H$11*Loads!$B48*LAFs!H239*(1-Contrib!H96)/(24*Input!$F$58)*100</f>
        <v>0</v>
      </c>
      <c r="I25" s="33">
        <f>I$11*Loads!$B48*LAFs!I239*(1-Contrib!I96)/(24*Input!$F$58)*100</f>
        <v>0</v>
      </c>
      <c r="J25" s="33">
        <f>J$11*Loads!$B48*LAFs!J239*(1-Contrib!J96)/(24*Input!$F$58)*100</f>
        <v>0</v>
      </c>
      <c r="K25" s="33">
        <f>K$11*Loads!$B48*LAFs!B239*(1-Contrib!K96)/(24*Input!$F$58)*100</f>
        <v>0</v>
      </c>
      <c r="L25" s="33">
        <f>L$11*Loads!$B48*LAFs!C239*(1-Contrib!L96)/(24*Input!$F$58)*100</f>
        <v>0</v>
      </c>
      <c r="M25" s="33">
        <f>M$11*Loads!$B48*LAFs!D239*(1-Contrib!M96)/(24*Input!$F$58)*100</f>
        <v>0</v>
      </c>
      <c r="N25" s="33">
        <f>N$11*Loads!$B48*LAFs!E239*(1-Contrib!N96)/(24*Input!$F$58)*100</f>
        <v>0</v>
      </c>
      <c r="O25" s="33">
        <f>O$11*Loads!$B48*LAFs!F239*(1-Contrib!O96)/(24*Input!$F$58)*100</f>
        <v>0</v>
      </c>
      <c r="P25" s="33">
        <f>P$11*Loads!$B48*LAFs!G239*(1-Contrib!P96)/(24*Input!$F$58)*100</f>
        <v>0</v>
      </c>
      <c r="Q25" s="33">
        <f>Q$11*Loads!$B48*LAFs!H239*(1-Contrib!Q96)/(24*Input!$F$58)*100</f>
        <v>0</v>
      </c>
      <c r="R25" s="33">
        <f>R$11*Loads!$B48*LAFs!I239*(1-Contrib!R96)/(24*Input!$F$58)*100</f>
        <v>0</v>
      </c>
      <c r="S25" s="33">
        <f>S$11*Loads!$B48*LAFs!J239*(1-Contrib!S96)/(24*Input!$F$58)*100</f>
        <v>0</v>
      </c>
      <c r="T25" s="10"/>
    </row>
    <row r="26" spans="1:20" x14ac:dyDescent="0.25">
      <c r="A26" s="3" t="s">
        <v>173</v>
      </c>
      <c r="B26" s="33">
        <f>B$11*Loads!$B49*LAFs!B240*(1-Contrib!B97)/(24*Input!$F$58)*100</f>
        <v>0</v>
      </c>
      <c r="C26" s="33">
        <f>C$11*Loads!$B49*LAFs!C240*(1-Contrib!C97)/(24*Input!$F$58)*100</f>
        <v>0.13563834131290939</v>
      </c>
      <c r="D26" s="33">
        <f>D$11*Loads!$B49*LAFs!D240*(1-Contrib!D97)/(24*Input!$F$58)*100</f>
        <v>6.8269133338547269E-2</v>
      </c>
      <c r="E26" s="33">
        <f>E$11*Loads!$B49*LAFs!E240*(1-Contrib!E97)/(24*Input!$F$58)*100</f>
        <v>8.3214050883843135E-2</v>
      </c>
      <c r="F26" s="33">
        <f>F$11*Loads!$B49*LAFs!F240*(1-Contrib!F97)/(24*Input!$F$58)*100</f>
        <v>0.13483596686374982</v>
      </c>
      <c r="G26" s="33">
        <f>G$11*Loads!$B49*LAFs!G240*(1-Contrib!G97)/(24*Input!$F$58)*100</f>
        <v>1.1337201175365104E-2</v>
      </c>
      <c r="H26" s="33">
        <f>H$11*Loads!$B49*LAFs!H240*(1-Contrib!H97)/(24*Input!$F$58)*100</f>
        <v>0.17566037964533834</v>
      </c>
      <c r="I26" s="33">
        <f>I$11*Loads!$B49*LAFs!I240*(1-Contrib!I97)/(24*Input!$F$58)*100</f>
        <v>4.1690836437219568E-2</v>
      </c>
      <c r="J26" s="33">
        <f>J$11*Loads!$B49*LAFs!J240*(1-Contrib!J97)/(24*Input!$F$58)*100</f>
        <v>1.7322108472069733E-2</v>
      </c>
      <c r="K26" s="33">
        <f>K$11*Loads!$B49*LAFs!B240*(1-Contrib!K97)/(24*Input!$F$58)*100</f>
        <v>5.7978144526932937E-2</v>
      </c>
      <c r="L26" s="33">
        <f>L$11*Loads!$B49*LAFs!C240*(1-Contrib!L97)/(24*Input!$F$58)*100</f>
        <v>6.1386346328735499E-2</v>
      </c>
      <c r="M26" s="33">
        <f>M$11*Loads!$B49*LAFs!D240*(1-Contrib!M97)/(24*Input!$F$58)*100</f>
        <v>3.0896814441388521E-2</v>
      </c>
      <c r="N26" s="33">
        <f>N$11*Loads!$B49*LAFs!E240*(1-Contrib!N97)/(24*Input!$F$58)*100</f>
        <v>3.7660491108397531E-2</v>
      </c>
      <c r="O26" s="33">
        <f>O$11*Loads!$B49*LAFs!F240*(1-Contrib!O97)/(24*Input!$F$58)*100</f>
        <v>6.1023212753489174E-2</v>
      </c>
      <c r="P26" s="33">
        <f>P$11*Loads!$B49*LAFs!G240*(1-Contrib!P97)/(24*Input!$F$58)*100</f>
        <v>5.1309191119050671E-3</v>
      </c>
      <c r="Q26" s="33">
        <f>Q$11*Loads!$B49*LAFs!H240*(1-Contrib!Q97)/(24*Input!$F$58)*100</f>
        <v>0.15262888147762593</v>
      </c>
      <c r="R26" s="33">
        <f>R$11*Loads!$B49*LAFs!I240*(1-Contrib!R97)/(24*Input!$F$58)*100</f>
        <v>6.4822129619598295E-2</v>
      </c>
      <c r="S26" s="33">
        <f>S$11*Loads!$B49*LAFs!J240*(1-Contrib!S97)/(24*Input!$F$58)*100</f>
        <v>0.12791751475324528</v>
      </c>
      <c r="T26" s="10"/>
    </row>
    <row r="27" spans="1:20" x14ac:dyDescent="0.25">
      <c r="A27" s="3" t="s">
        <v>174</v>
      </c>
      <c r="B27" s="33">
        <f>B$11*Loads!$B50*LAFs!B241*(1-Contrib!B98)/(24*Input!$F$58)*100</f>
        <v>0</v>
      </c>
      <c r="C27" s="33">
        <f>C$11*Loads!$B50*LAFs!C241*(1-Contrib!C98)/(24*Input!$F$58)*100</f>
        <v>0.11360282855224128</v>
      </c>
      <c r="D27" s="33">
        <f>D$11*Loads!$B50*LAFs!D241*(1-Contrib!D98)/(24*Input!$F$58)*100</f>
        <v>5.7178276990113477E-2</v>
      </c>
      <c r="E27" s="33">
        <f>E$11*Loads!$B50*LAFs!E241*(1-Contrib!E98)/(24*Input!$F$58)*100</f>
        <v>6.9695275422798103E-2</v>
      </c>
      <c r="F27" s="33">
        <f>F$11*Loads!$B50*LAFs!F241*(1-Contrib!F98)/(24*Input!$F$58)*100</f>
        <v>0.11293080612775372</v>
      </c>
      <c r="G27" s="33">
        <f>G$11*Loads!$B50*LAFs!G241*(1-Contrib!G98)/(24*Input!$F$58)*100</f>
        <v>9.4953838930843006E-3</v>
      </c>
      <c r="H27" s="33">
        <f>H$11*Loads!$B50*LAFs!H241*(1-Contrib!H98)/(24*Input!$F$58)*100</f>
        <v>0.14712297274584646</v>
      </c>
      <c r="I27" s="33">
        <f>I$11*Loads!$B50*LAFs!I241*(1-Contrib!I98)/(24*Input!$F$58)*100</f>
        <v>3.4917832952932326E-2</v>
      </c>
      <c r="J27" s="33">
        <f>J$11*Loads!$B50*LAFs!J241*(1-Contrib!J98)/(24*Input!$F$58)*100</f>
        <v>1.4507996042034871E-2</v>
      </c>
      <c r="K27" s="33">
        <f>K$11*Loads!$B50*LAFs!B241*(1-Contrib!K98)/(24*Input!$F$58)*100</f>
        <v>4.8559140053737598E-2</v>
      </c>
      <c r="L27" s="33">
        <f>L$11*Loads!$B50*LAFs!C241*(1-Contrib!L98)/(24*Input!$F$58)*100</f>
        <v>5.1413652732187509E-2</v>
      </c>
      <c r="M27" s="33">
        <f>M$11*Loads!$B50*LAFs!D241*(1-Contrib!M98)/(24*Input!$F$58)*100</f>
        <v>2.587738451989911E-2</v>
      </c>
      <c r="N27" s="33">
        <f>N$11*Loads!$B50*LAFs!E241*(1-Contrib!N98)/(24*Input!$F$58)*100</f>
        <v>3.1542248844746837E-2</v>
      </c>
      <c r="O27" s="33">
        <f>O$11*Loads!$B50*LAFs!F241*(1-Contrib!O98)/(24*Input!$F$58)*100</f>
        <v>5.1109513055375158E-2</v>
      </c>
      <c r="P27" s="33">
        <f>P$11*Loads!$B50*LAFs!G241*(1-Contrib!P98)/(24*Input!$F$58)*100</f>
        <v>4.2973610451375608E-3</v>
      </c>
      <c r="Q27" s="33">
        <f>Q$11*Loads!$B50*LAFs!H241*(1-Contrib!Q98)/(24*Input!$F$58)*100</f>
        <v>0.12783312215992756</v>
      </c>
      <c r="R27" s="33">
        <f>R$11*Loads!$B50*LAFs!I241*(1-Contrib!R98)/(24*Input!$F$58)*100</f>
        <v>5.4291266070396277E-2</v>
      </c>
      <c r="S27" s="33">
        <f>S$11*Loads!$B50*LAFs!J241*(1-Contrib!S98)/(24*Input!$F$58)*100</f>
        <v>0.10713631084456984</v>
      </c>
      <c r="T27" s="10"/>
    </row>
    <row r="28" spans="1:20" x14ac:dyDescent="0.25">
      <c r="A28" s="3" t="s">
        <v>212</v>
      </c>
      <c r="B28" s="33">
        <f>B$11*Loads!$B51*LAFs!B242*(1-Contrib!B99)/(24*Input!$F$58)*100</f>
        <v>0</v>
      </c>
      <c r="C28" s="33">
        <f>C$11*Loads!$B51*LAFs!C242*(1-Contrib!C99)/(24*Input!$F$58)*100</f>
        <v>0</v>
      </c>
      <c r="D28" s="33">
        <f>D$11*Loads!$B51*LAFs!D242*(1-Contrib!D99)/(24*Input!$F$58)*100</f>
        <v>0</v>
      </c>
      <c r="E28" s="33">
        <f>E$11*Loads!$B51*LAFs!E242*(1-Contrib!E99)/(24*Input!$F$58)*100</f>
        <v>0</v>
      </c>
      <c r="F28" s="33">
        <f>F$11*Loads!$B51*LAFs!F242*(1-Contrib!F99)/(24*Input!$F$58)*100</f>
        <v>0</v>
      </c>
      <c r="G28" s="33">
        <f>G$11*Loads!$B51*LAFs!G242*(1-Contrib!G99)/(24*Input!$F$58)*100</f>
        <v>0</v>
      </c>
      <c r="H28" s="33">
        <f>H$11*Loads!$B51*LAFs!H242*(1-Contrib!H99)/(24*Input!$F$58)*100</f>
        <v>0</v>
      </c>
      <c r="I28" s="33">
        <f>I$11*Loads!$B51*LAFs!I242*(1-Contrib!I99)/(24*Input!$F$58)*100</f>
        <v>0</v>
      </c>
      <c r="J28" s="33">
        <f>J$11*Loads!$B51*LAFs!J242*(1-Contrib!J99)/(24*Input!$F$58)*100</f>
        <v>0</v>
      </c>
      <c r="K28" s="33">
        <f>K$11*Loads!$B51*LAFs!B242*(1-Contrib!K99)/(24*Input!$F$58)*100</f>
        <v>0</v>
      </c>
      <c r="L28" s="33">
        <f>L$11*Loads!$B51*LAFs!C242*(1-Contrib!L99)/(24*Input!$F$58)*100</f>
        <v>0</v>
      </c>
      <c r="M28" s="33">
        <f>M$11*Loads!$B51*LAFs!D242*(1-Contrib!M99)/(24*Input!$F$58)*100</f>
        <v>0</v>
      </c>
      <c r="N28" s="33">
        <f>N$11*Loads!$B51*LAFs!E242*(1-Contrib!N99)/(24*Input!$F$58)*100</f>
        <v>0</v>
      </c>
      <c r="O28" s="33">
        <f>O$11*Loads!$B51*LAFs!F242*(1-Contrib!O99)/(24*Input!$F$58)*100</f>
        <v>0</v>
      </c>
      <c r="P28" s="33">
        <f>P$11*Loads!$B51*LAFs!G242*(1-Contrib!P99)/(24*Input!$F$58)*100</f>
        <v>0</v>
      </c>
      <c r="Q28" s="33">
        <f>Q$11*Loads!$B51*LAFs!H242*(1-Contrib!Q99)/(24*Input!$F$58)*100</f>
        <v>0</v>
      </c>
      <c r="R28" s="33">
        <f>R$11*Loads!$B51*LAFs!I242*(1-Contrib!R99)/(24*Input!$F$58)*100</f>
        <v>0</v>
      </c>
      <c r="S28" s="33">
        <f>S$11*Loads!$B51*LAFs!J242*(1-Contrib!S99)/(24*Input!$F$58)*100</f>
        <v>0</v>
      </c>
      <c r="T28" s="10"/>
    </row>
    <row r="29" spans="1:20" x14ac:dyDescent="0.25">
      <c r="A29" s="3" t="s">
        <v>175</v>
      </c>
      <c r="B29" s="33">
        <f>B$11*Loads!$B52*LAFs!B243*(1-Contrib!B100)/(24*Input!$F$58)*100</f>
        <v>0</v>
      </c>
      <c r="C29" s="33">
        <f>C$11*Loads!$B52*LAFs!C243*(1-Contrib!C100)/(24*Input!$F$58)*100</f>
        <v>0.11837920949026122</v>
      </c>
      <c r="D29" s="33">
        <f>D$11*Loads!$B52*LAFs!D243*(1-Contrib!D100)/(24*Input!$F$58)*100</f>
        <v>5.9582312486103003E-2</v>
      </c>
      <c r="E29" s="33">
        <f>E$11*Loads!$B52*LAFs!E243*(1-Contrib!E100)/(24*Input!$F$58)*100</f>
        <v>7.2625582610056374E-2</v>
      </c>
      <c r="F29" s="33">
        <f>F$11*Loads!$B52*LAFs!F243*(1-Contrib!F100)/(24*Input!$F$58)*100</f>
        <v>0.11767893217864495</v>
      </c>
      <c r="G29" s="33">
        <f>G$11*Loads!$B52*LAFs!G243*(1-Contrib!G100)/(24*Input!$F$58)*100</f>
        <v>9.8946131306314328E-3</v>
      </c>
      <c r="H29" s="33">
        <f>H$11*Loads!$B52*LAFs!H243*(1-Contrib!H100)/(24*Input!$F$58)*100</f>
        <v>0.15330869339667458</v>
      </c>
      <c r="I29" s="33">
        <f>I$11*Loads!$B52*LAFs!I243*(1-Contrib!I100)/(24*Input!$F$58)*100</f>
        <v>3.6385937874603827E-2</v>
      </c>
      <c r="J29" s="33">
        <f>J$11*Loads!$B52*LAFs!J243*(1-Contrib!J100)/(24*Input!$F$58)*100</f>
        <v>1.5117978351693448E-2</v>
      </c>
      <c r="K29" s="33">
        <f>K$11*Loads!$B52*LAFs!B243*(1-Contrib!K100)/(24*Input!$F$58)*100</f>
        <v>5.0600787729901342E-2</v>
      </c>
      <c r="L29" s="33">
        <f>L$11*Loads!$B52*LAFs!C243*(1-Contrib!L100)/(24*Input!$F$58)*100</f>
        <v>5.3575317137850319E-2</v>
      </c>
      <c r="M29" s="33">
        <f>M$11*Loads!$B52*LAFs!D243*(1-Contrib!M100)/(24*Input!$F$58)*100</f>
        <v>2.6965387765256851E-2</v>
      </c>
      <c r="N29" s="33">
        <f>N$11*Loads!$B52*LAFs!E243*(1-Contrib!N100)/(24*Input!$F$58)*100</f>
        <v>3.2868428817942198E-2</v>
      </c>
      <c r="O29" s="33">
        <f>O$11*Loads!$B52*LAFs!F243*(1-Contrib!O100)/(24*Input!$F$58)*100</f>
        <v>5.3258390042156468E-2</v>
      </c>
      <c r="P29" s="33">
        <f>P$11*Loads!$B52*LAFs!G243*(1-Contrib!P100)/(24*Input!$F$58)*100</f>
        <v>4.4780416993199122E-3</v>
      </c>
      <c r="Q29" s="33">
        <f>Q$11*Loads!$B52*LAFs!H243*(1-Contrib!Q100)/(24*Input!$F$58)*100</f>
        <v>0.13320780953095082</v>
      </c>
      <c r="R29" s="33">
        <f>R$11*Loads!$B52*LAFs!I243*(1-Contrib!R100)/(24*Input!$F$58)*100</f>
        <v>5.6573918462632787E-2</v>
      </c>
      <c r="S29" s="33">
        <f>S$11*Loads!$B52*LAFs!J243*(1-Contrib!S100)/(24*Input!$F$58)*100</f>
        <v>0.1116408098910215</v>
      </c>
      <c r="T29" s="10"/>
    </row>
    <row r="30" spans="1:20" x14ac:dyDescent="0.25">
      <c r="A30" s="3" t="s">
        <v>176</v>
      </c>
      <c r="B30" s="33">
        <f>B$11*Loads!$B53*LAFs!B244*(1-Contrib!B101)/(24*Input!$F$58)*100</f>
        <v>0</v>
      </c>
      <c r="C30" s="33">
        <f>C$11*Loads!$B53*LAFs!C244*(1-Contrib!C101)/(24*Input!$F$58)*100</f>
        <v>0.11404694198833033</v>
      </c>
      <c r="D30" s="33">
        <f>D$11*Loads!$B53*LAFs!D244*(1-Contrib!D101)/(24*Input!$F$58)*100</f>
        <v>5.740180699713307E-2</v>
      </c>
      <c r="E30" s="33">
        <f>E$11*Loads!$B53*LAFs!E244*(1-Contrib!E101)/(24*Input!$F$58)*100</f>
        <v>6.9967738781692004E-2</v>
      </c>
      <c r="F30" s="33">
        <f>F$11*Loads!$B53*LAFs!F244*(1-Contrib!F101)/(24*Input!$F$58)*100</f>
        <v>0.11337229239168629</v>
      </c>
      <c r="G30" s="33">
        <f>G$11*Loads!$B53*LAFs!G244*(1-Contrib!G101)/(24*Input!$F$58)*100</f>
        <v>9.5325046903521494E-3</v>
      </c>
      <c r="H30" s="33">
        <f>H$11*Loads!$B53*LAFs!H244*(1-Contrib!H101)/(24*Input!$F$58)*100</f>
        <v>0.14769812822204786</v>
      </c>
      <c r="I30" s="33">
        <f>I$11*Loads!$B53*LAFs!I244*(1-Contrib!I101)/(24*Input!$F$58)*100</f>
        <v>3.5054339050281637E-2</v>
      </c>
      <c r="J30" s="33">
        <f>J$11*Loads!$B53*LAFs!J244*(1-Contrib!J101)/(24*Input!$F$58)*100</f>
        <v>0</v>
      </c>
      <c r="K30" s="33">
        <f>K$11*Loads!$B53*LAFs!B244*(1-Contrib!K101)/(24*Input!$F$58)*100</f>
        <v>4.8748974821213278E-2</v>
      </c>
      <c r="L30" s="33">
        <f>L$11*Loads!$B53*LAFs!C244*(1-Contrib!L101)/(24*Input!$F$58)*100</f>
        <v>5.1614646794287636E-2</v>
      </c>
      <c r="M30" s="33">
        <f>M$11*Loads!$B53*LAFs!D244*(1-Contrib!M101)/(24*Input!$F$58)*100</f>
        <v>2.5978548322795478E-2</v>
      </c>
      <c r="N30" s="33">
        <f>N$11*Loads!$B53*LAFs!E244*(1-Contrib!N101)/(24*Input!$F$58)*100</f>
        <v>3.1665558595876608E-2</v>
      </c>
      <c r="O30" s="33">
        <f>O$11*Loads!$B53*LAFs!F244*(1-Contrib!O101)/(24*Input!$F$58)*100</f>
        <v>5.1309318128445344E-2</v>
      </c>
      <c r="P30" s="33">
        <f>P$11*Loads!$B53*LAFs!G244*(1-Contrib!P101)/(24*Input!$F$58)*100</f>
        <v>4.3141609417967682E-3</v>
      </c>
      <c r="Q30" s="33">
        <f>Q$11*Loads!$B53*LAFs!H244*(1-Contrib!Q101)/(24*Input!$F$58)*100</f>
        <v>0.12833286682167536</v>
      </c>
      <c r="R30" s="33">
        <f>R$11*Loads!$B53*LAFs!I244*(1-Contrib!R101)/(24*Input!$F$58)*100</f>
        <v>5.450350973572949E-2</v>
      </c>
      <c r="S30" s="33">
        <f>S$11*Loads!$B53*LAFs!J244*(1-Contrib!S101)/(24*Input!$F$58)*100</f>
        <v>0</v>
      </c>
      <c r="T30" s="10"/>
    </row>
    <row r="31" spans="1:20" x14ac:dyDescent="0.25">
      <c r="A31" s="3" t="s">
        <v>192</v>
      </c>
      <c r="B31" s="33">
        <f>B$11*Loads!$B54*LAFs!B245*(1-Contrib!B102)/(24*Input!$F$58)*100</f>
        <v>0</v>
      </c>
      <c r="C31" s="33">
        <f>C$11*Loads!$B54*LAFs!C245*(1-Contrib!C102)/(24*Input!$F$58)*100</f>
        <v>0.11278919639691018</v>
      </c>
      <c r="D31" s="33">
        <f>D$11*Loads!$B54*LAFs!D245*(1-Contrib!D102)/(24*Input!$F$58)*100</f>
        <v>5.6768761792838338E-2</v>
      </c>
      <c r="E31" s="33">
        <f>E$11*Loads!$B54*LAFs!E245*(1-Contrib!E102)/(24*Input!$F$58)*100</f>
        <v>6.4669299413564016E-2</v>
      </c>
      <c r="F31" s="33">
        <f>F$11*Loads!$B54*LAFs!F245*(1-Contrib!F102)/(24*Input!$F$58)*100</f>
        <v>7.2696575026400215E-2</v>
      </c>
      <c r="G31" s="33">
        <f>G$11*Loads!$B54*LAFs!G245*(1-Contrib!G102)/(24*Input!$F$58)*100</f>
        <v>6.1124321277507667E-3</v>
      </c>
      <c r="H31" s="33">
        <f>H$11*Loads!$B54*LAFs!H245*(1-Contrib!H102)/(24*Input!$F$58)*100</f>
        <v>0.10156261726455007</v>
      </c>
      <c r="I31" s="33">
        <f>I$11*Loads!$B54*LAFs!I245*(1-Contrib!I102)/(24*Input!$F$58)*100</f>
        <v>0</v>
      </c>
      <c r="J31" s="33">
        <f>J$11*Loads!$B54*LAFs!J245*(1-Contrib!J102)/(24*Input!$F$58)*100</f>
        <v>0</v>
      </c>
      <c r="K31" s="33">
        <f>K$11*Loads!$B54*LAFs!B245*(1-Contrib!K102)/(24*Input!$F$58)*100</f>
        <v>4.8211355775067292E-2</v>
      </c>
      <c r="L31" s="33">
        <f>L$11*Loads!$B54*LAFs!C245*(1-Contrib!L102)/(24*Input!$F$58)*100</f>
        <v>5.1045424215177493E-2</v>
      </c>
      <c r="M31" s="33">
        <f>M$11*Loads!$B54*LAFs!D245*(1-Contrib!M102)/(24*Input!$F$58)*100</f>
        <v>2.5692048710838911E-2</v>
      </c>
      <c r="N31" s="33">
        <f>N$11*Loads!$B54*LAFs!E245*(1-Contrib!N102)/(24*Input!$F$58)*100</f>
        <v>3.1316340843699664E-2</v>
      </c>
      <c r="O31" s="33">
        <f>O$11*Loads!$B54*LAFs!F245*(1-Contrib!O102)/(24*Input!$F$58)*100</f>
        <v>5.0743462810014892E-2</v>
      </c>
      <c r="P31" s="33">
        <f>P$11*Loads!$B54*LAFs!G245*(1-Contrib!P102)/(24*Input!$F$58)*100</f>
        <v>4.2665830163336107E-3</v>
      </c>
      <c r="Q31" s="33">
        <f>Q$11*Loads!$B54*LAFs!H245*(1-Contrib!Q102)/(24*Input!$F$58)*100</f>
        <v>0.12691757155233105</v>
      </c>
      <c r="R31" s="33">
        <f>R$11*Loads!$B54*LAFs!I245*(1-Contrib!R102)/(24*Input!$F$58)*100</f>
        <v>0</v>
      </c>
      <c r="S31" s="33">
        <f>S$11*Loads!$B54*LAFs!J245*(1-Contrib!S102)/(24*Input!$F$58)*100</f>
        <v>0</v>
      </c>
      <c r="T31" s="10"/>
    </row>
    <row r="32" spans="1:20" x14ac:dyDescent="0.25">
      <c r="A32" s="3" t="s">
        <v>177</v>
      </c>
      <c r="B32" s="33">
        <f>B$11*Loads!$B55*LAFs!B246*(1-Contrib!B103)/(24*Input!$F$58)*100</f>
        <v>0</v>
      </c>
      <c r="C32" s="33">
        <f>C$11*Loads!$B55*LAFs!C246*(1-Contrib!C103)/(24*Input!$F$58)*100</f>
        <v>0.14406839367399693</v>
      </c>
      <c r="D32" s="33">
        <f>D$11*Loads!$B55*LAFs!D246*(1-Contrib!D103)/(24*Input!$F$58)*100</f>
        <v>7.2512125129211735E-2</v>
      </c>
      <c r="E32" s="33">
        <f>E$11*Loads!$B55*LAFs!E246*(1-Contrib!E103)/(24*Input!$F$58)*100</f>
        <v>8.8385883562854498E-2</v>
      </c>
      <c r="F32" s="33">
        <f>F$11*Loads!$B55*LAFs!F246*(1-Contrib!F103)/(24*Input!$F$58)*100</f>
        <v>0.14321615088706399</v>
      </c>
      <c r="G32" s="33">
        <f>G$11*Loads!$B55*LAFs!G246*(1-Contrib!G103)/(24*Input!$F$58)*100</f>
        <v>1.2041819048242431E-2</v>
      </c>
      <c r="H32" s="33">
        <f>H$11*Loads!$B55*LAFs!H246*(1-Contrib!H103)/(24*Input!$F$58)*100</f>
        <v>0.18657783988442031</v>
      </c>
      <c r="I32" s="33">
        <f>I$11*Loads!$B55*LAFs!I246*(1-Contrib!I103)/(24*Input!$F$58)*100</f>
        <v>4.428196171006929E-2</v>
      </c>
      <c r="J32" s="33">
        <f>J$11*Loads!$B55*LAFs!J246*(1-Contrib!J103)/(24*Input!$F$58)*100</f>
        <v>1.8398694045223506E-2</v>
      </c>
      <c r="K32" s="33">
        <f>K$11*Loads!$B55*LAFs!B246*(1-Contrib!K103)/(24*Input!$F$58)*100</f>
        <v>6.1581541541595695E-2</v>
      </c>
      <c r="L32" s="33">
        <f>L$11*Loads!$B55*LAFs!C246*(1-Contrib!L103)/(24*Input!$F$58)*100</f>
        <v>6.5201566338048911E-2</v>
      </c>
      <c r="M32" s="33">
        <f>M$11*Loads!$B55*LAFs!D246*(1-Contrib!M103)/(24*Input!$F$58)*100</f>
        <v>3.2817080945760184E-2</v>
      </c>
      <c r="N32" s="33">
        <f>N$11*Loads!$B55*LAFs!E246*(1-Contrib!N103)/(24*Input!$F$58)*100</f>
        <v>4.0001126572640315E-2</v>
      </c>
      <c r="O32" s="33">
        <f>O$11*Loads!$B55*LAFs!F246*(1-Contrib!O103)/(24*Input!$F$58)*100</f>
        <v>6.4815863664539036E-2</v>
      </c>
      <c r="P32" s="33">
        <f>P$11*Loads!$B55*LAFs!G246*(1-Contrib!P103)/(24*Input!$F$58)*100</f>
        <v>5.4498106314797594E-3</v>
      </c>
      <c r="Q32" s="33">
        <f>Q$11*Loads!$B55*LAFs!H246*(1-Contrib!Q103)/(24*Input!$F$58)*100</f>
        <v>0.16211491212512807</v>
      </c>
      <c r="R32" s="33">
        <f>R$11*Loads!$B55*LAFs!I246*(1-Contrib!R103)/(24*Input!$F$58)*100</f>
        <v>6.8850886839430261E-2</v>
      </c>
      <c r="S32" s="33">
        <f>S$11*Loads!$B55*LAFs!J246*(1-Contrib!S103)/(24*Input!$F$58)*100</f>
        <v>0.13586771037516282</v>
      </c>
      <c r="T32" s="10"/>
    </row>
    <row r="33" spans="1:20" x14ac:dyDescent="0.25">
      <c r="A33" s="3" t="s">
        <v>178</v>
      </c>
      <c r="B33" s="33">
        <f>B$11*Loads!$B56*LAFs!B247*(1-Contrib!B104)/(24*Input!$F$58)*100</f>
        <v>0</v>
      </c>
      <c r="C33" s="33">
        <f>C$11*Loads!$B56*LAFs!C247*(1-Contrib!C104)/(24*Input!$F$58)*100</f>
        <v>0.12373629867651384</v>
      </c>
      <c r="D33" s="33">
        <f>D$11*Loads!$B56*LAFs!D247*(1-Contrib!D104)/(24*Input!$F$58)*100</f>
        <v>6.2278628530834539E-2</v>
      </c>
      <c r="E33" s="33">
        <f>E$11*Loads!$B56*LAFs!E247*(1-Contrib!E104)/(24*Input!$F$58)*100</f>
        <v>7.5912154001442772E-2</v>
      </c>
      <c r="F33" s="33">
        <f>F$11*Loads!$B56*LAFs!F247*(1-Contrib!F104)/(24*Input!$F$58)*100</f>
        <v>0.12300433127311887</v>
      </c>
      <c r="G33" s="33">
        <f>G$11*Loads!$B56*LAFs!G247*(1-Contrib!G104)/(24*Input!$F$58)*100</f>
        <v>1.0342380312322402E-2</v>
      </c>
      <c r="H33" s="33">
        <f>H$11*Loads!$B56*LAFs!H247*(1-Contrib!H104)/(24*Input!$F$58)*100</f>
        <v>0.16024646859461938</v>
      </c>
      <c r="I33" s="33">
        <f>I$11*Loads!$B56*LAFs!I247*(1-Contrib!I104)/(24*Input!$F$58)*100</f>
        <v>3.8032533718240842E-2</v>
      </c>
      <c r="J33" s="33">
        <f>J$11*Loads!$B56*LAFs!J247*(1-Contrib!J104)/(24*Input!$F$58)*100</f>
        <v>1.5802121781055688E-2</v>
      </c>
      <c r="K33" s="33">
        <f>K$11*Loads!$B56*LAFs!B247*(1-Contrib!K104)/(24*Input!$F$58)*100</f>
        <v>5.2890657158249067E-2</v>
      </c>
      <c r="L33" s="33">
        <f>L$11*Loads!$B56*LAFs!C247*(1-Contrib!L104)/(24*Input!$F$58)*100</f>
        <v>5.5999794825487219E-2</v>
      </c>
      <c r="M33" s="33">
        <f>M$11*Loads!$B56*LAFs!D247*(1-Contrib!M104)/(24*Input!$F$58)*100</f>
        <v>2.8185669500727057E-2</v>
      </c>
      <c r="N33" s="33">
        <f>N$11*Loads!$B56*LAFs!E247*(1-Contrib!N104)/(24*Input!$F$58)*100</f>
        <v>3.4355844601067519E-2</v>
      </c>
      <c r="O33" s="33">
        <f>O$11*Loads!$B56*LAFs!F247*(1-Contrib!O104)/(24*Input!$F$58)*100</f>
        <v>5.566852562762456E-2</v>
      </c>
      <c r="P33" s="33">
        <f>P$11*Loads!$B56*LAFs!G247*(1-Contrib!P104)/(24*Input!$F$58)*100</f>
        <v>4.6806893505951007E-3</v>
      </c>
      <c r="Q33" s="33">
        <f>Q$11*Loads!$B56*LAFs!H247*(1-Contrib!Q104)/(24*Input!$F$58)*100</f>
        <v>0.1392359467269621</v>
      </c>
      <c r="R33" s="33">
        <f>R$11*Loads!$B56*LAFs!I247*(1-Contrib!R104)/(24*Input!$F$58)*100</f>
        <v>5.9134093751225518E-2</v>
      </c>
      <c r="S33" s="33">
        <f>S$11*Loads!$B56*LAFs!J247*(1-Contrib!S104)/(24*Input!$F$58)*100</f>
        <v>0.11669296202134029</v>
      </c>
      <c r="T33" s="10"/>
    </row>
    <row r="34" spans="1:20" x14ac:dyDescent="0.25">
      <c r="A34" s="3" t="s">
        <v>179</v>
      </c>
      <c r="B34" s="33">
        <f>B$11*Loads!$B57*LAFs!B248*(1-Contrib!B105)/(24*Input!$F$58)*100</f>
        <v>0</v>
      </c>
      <c r="C34" s="33">
        <f>C$11*Loads!$B57*LAFs!C248*(1-Contrib!C105)/(24*Input!$F$58)*100</f>
        <v>0.11175022065921109</v>
      </c>
      <c r="D34" s="33">
        <f>D$11*Loads!$B57*LAFs!D248*(1-Contrib!D105)/(24*Input!$F$58)*100</f>
        <v>5.6245827256143716E-2</v>
      </c>
      <c r="E34" s="33">
        <f>E$11*Loads!$B57*LAFs!E248*(1-Contrib!E105)/(24*Input!$F$58)*100</f>
        <v>6.8558701457161225E-2</v>
      </c>
      <c r="F34" s="33">
        <f>F$11*Loads!$B57*LAFs!F248*(1-Contrib!F105)/(24*Input!$F$58)*100</f>
        <v>0.11108915741649536</v>
      </c>
      <c r="G34" s="33">
        <f>G$11*Loads!$B57*LAFs!G248*(1-Contrib!G105)/(24*Input!$F$58)*100</f>
        <v>9.3405354322505067E-3</v>
      </c>
      <c r="H34" s="33">
        <f>H$11*Loads!$B57*LAFs!H248*(1-Contrib!H105)/(24*Input!$F$58)*100</f>
        <v>0.14472372631837144</v>
      </c>
      <c r="I34" s="33">
        <f>I$11*Loads!$B57*LAFs!I248*(1-Contrib!I105)/(24*Input!$F$58)*100</f>
        <v>3.434840124281989E-2</v>
      </c>
      <c r="J34" s="33">
        <f>J$11*Loads!$B57*LAFs!J248*(1-Contrib!J105)/(24*Input!$F$58)*100</f>
        <v>1.4271403095168542E-2</v>
      </c>
      <c r="K34" s="33">
        <f>K$11*Loads!$B57*LAFs!B248*(1-Contrib!K105)/(24*Input!$F$58)*100</f>
        <v>4.7767249153759316E-2</v>
      </c>
      <c r="L34" s="33">
        <f>L$11*Loads!$B57*LAFs!C248*(1-Contrib!L105)/(24*Input!$F$58)*100</f>
        <v>5.0575211118760927E-2</v>
      </c>
      <c r="M34" s="33">
        <f>M$11*Loads!$B57*LAFs!D248*(1-Contrib!M105)/(24*Input!$F$58)*100</f>
        <v>2.5455382291402692E-2</v>
      </c>
      <c r="N34" s="33">
        <f>N$11*Loads!$B57*LAFs!E248*(1-Contrib!N105)/(24*Input!$F$58)*100</f>
        <v>3.1027865356955165E-2</v>
      </c>
      <c r="O34" s="33">
        <f>O$11*Loads!$B57*LAFs!F248*(1-Contrib!O105)/(24*Input!$F$58)*100</f>
        <v>5.0276031279419431E-2</v>
      </c>
      <c r="P34" s="33">
        <f>P$11*Loads!$B57*LAFs!G248*(1-Contrib!P105)/(24*Input!$F$58)*100</f>
        <v>4.2272807038918215E-3</v>
      </c>
      <c r="Q34" s="33">
        <f>Q$11*Loads!$B57*LAFs!H248*(1-Contrib!Q105)/(24*Input!$F$58)*100</f>
        <v>0.12574845002524326</v>
      </c>
      <c r="R34" s="33">
        <f>R$11*Loads!$B57*LAFs!I248*(1-Contrib!R105)/(24*Input!$F$58)*100</f>
        <v>5.3405897023459513E-2</v>
      </c>
      <c r="S34" s="33">
        <f>S$11*Loads!$B57*LAFs!J248*(1-Contrib!S105)/(24*Input!$F$58)*100</f>
        <v>0.10538915738342595</v>
      </c>
      <c r="T34" s="10"/>
    </row>
    <row r="35" spans="1:20" x14ac:dyDescent="0.25">
      <c r="A35" s="3" t="s">
        <v>180</v>
      </c>
      <c r="B35" s="33">
        <f>B$11*Loads!$B58*LAFs!B249*(1-Contrib!B106)/(24*Input!$F$58)*100</f>
        <v>0</v>
      </c>
      <c r="C35" s="33">
        <f>C$11*Loads!$B58*LAFs!C249*(1-Contrib!C106)/(24*Input!$F$58)*100</f>
        <v>0.10594366955203766</v>
      </c>
      <c r="D35" s="33">
        <f>D$11*Loads!$B58*LAFs!D249*(1-Contrib!D106)/(24*Input!$F$58)*100</f>
        <v>5.3323289219068898E-2</v>
      </c>
      <c r="E35" s="33">
        <f>E$11*Loads!$B58*LAFs!E249*(1-Contrib!E106)/(24*Input!$F$58)*100</f>
        <v>6.499638541425648E-2</v>
      </c>
      <c r="F35" s="33">
        <f>F$11*Loads!$B58*LAFs!F249*(1-Contrib!F106)/(24*Input!$F$58)*100</f>
        <v>0.10531695521244944</v>
      </c>
      <c r="G35" s="33">
        <f>G$11*Loads!$B58*LAFs!G249*(1-Contrib!G106)/(24*Input!$F$58)*100</f>
        <v>8.8552004052967481E-3</v>
      </c>
      <c r="H35" s="33">
        <f>H$11*Loads!$B58*LAFs!H249*(1-Contrib!H106)/(24*Input!$F$58)*100</f>
        <v>0.13720386901221998</v>
      </c>
      <c r="I35" s="33">
        <f>I$11*Loads!$B58*LAFs!I249*(1-Contrib!I106)/(24*Input!$F$58)*100</f>
        <v>3.2563655350690029E-2</v>
      </c>
      <c r="J35" s="33">
        <f>J$11*Loads!$B58*LAFs!J249*(1-Contrib!J106)/(24*Input!$F$58)*100</f>
        <v>0</v>
      </c>
      <c r="K35" s="33">
        <f>K$11*Loads!$B58*LAFs!B249*(1-Contrib!K106)/(24*Input!$F$58)*100</f>
        <v>4.5285258766409431E-2</v>
      </c>
      <c r="L35" s="33">
        <f>L$11*Loads!$B58*LAFs!C249*(1-Contrib!L106)/(24*Input!$F$58)*100</f>
        <v>4.7947318785440812E-2</v>
      </c>
      <c r="M35" s="33">
        <f>M$11*Loads!$B58*LAFs!D249*(1-Contrib!M106)/(24*Input!$F$58)*100</f>
        <v>2.4132718431271117E-2</v>
      </c>
      <c r="N35" s="33">
        <f>N$11*Loads!$B58*LAFs!E249*(1-Contrib!N106)/(24*Input!$F$58)*100</f>
        <v>2.9415654795948046E-2</v>
      </c>
      <c r="O35" s="33">
        <f>O$11*Loads!$B58*LAFs!F249*(1-Contrib!O106)/(24*Input!$F$58)*100</f>
        <v>4.7663684356364491E-2</v>
      </c>
      <c r="P35" s="33">
        <f>P$11*Loads!$B58*LAFs!G249*(1-Contrib!P106)/(24*Input!$F$58)*100</f>
        <v>4.0076308337911601E-3</v>
      </c>
      <c r="Q35" s="33">
        <f>Q$11*Loads!$B58*LAFs!H249*(1-Contrib!Q106)/(24*Input!$F$58)*100</f>
        <v>0.11921454971245458</v>
      </c>
      <c r="R35" s="33">
        <f>R$11*Loads!$B58*LAFs!I249*(1-Contrib!R106)/(24*Input!$F$58)*100</f>
        <v>5.0630922006301926E-2</v>
      </c>
      <c r="S35" s="33">
        <f>S$11*Loads!$B58*LAFs!J249*(1-Contrib!S106)/(24*Input!$F$58)*100</f>
        <v>0</v>
      </c>
      <c r="T35" s="10"/>
    </row>
    <row r="36" spans="1:20" x14ac:dyDescent="0.25">
      <c r="A36" s="3" t="s">
        <v>193</v>
      </c>
      <c r="B36" s="33">
        <f>B$11*Loads!$B59*LAFs!B250*(1-Contrib!B107)/(24*Input!$F$58)*100</f>
        <v>0</v>
      </c>
      <c r="C36" s="33">
        <f>C$11*Loads!$B59*LAFs!C250*(1-Contrib!C107)/(24*Input!$F$58)*100</f>
        <v>8.6076208773974677E-2</v>
      </c>
      <c r="D36" s="33">
        <f>D$11*Loads!$B59*LAFs!D250*(1-Contrib!D107)/(24*Input!$F$58)*100</f>
        <v>4.3323651094425673E-2</v>
      </c>
      <c r="E36" s="33">
        <f>E$11*Loads!$B59*LAFs!E250*(1-Contrib!E107)/(24*Input!$F$58)*100</f>
        <v>4.9353025780943562E-2</v>
      </c>
      <c r="F36" s="33">
        <f>F$11*Loads!$B59*LAFs!F250*(1-Contrib!F107)/(24*Input!$F$58)*100</f>
        <v>5.5479121839871186E-2</v>
      </c>
      <c r="G36" s="33">
        <f>G$11*Loads!$B59*LAFs!G250*(1-Contrib!G107)/(24*Input!$F$58)*100</f>
        <v>4.6647640088996909E-3</v>
      </c>
      <c r="H36" s="33">
        <f>H$11*Loads!$B59*LAFs!H250*(1-Contrib!H107)/(24*Input!$F$58)*100</f>
        <v>7.7508532080774573E-2</v>
      </c>
      <c r="I36" s="33">
        <f>I$11*Loads!$B59*LAFs!I250*(1-Contrib!I107)/(24*Input!$F$58)*100</f>
        <v>0</v>
      </c>
      <c r="J36" s="33">
        <f>J$11*Loads!$B59*LAFs!J250*(1-Contrib!J107)/(24*Input!$F$58)*100</f>
        <v>0</v>
      </c>
      <c r="K36" s="33">
        <f>K$11*Loads!$B59*LAFs!B250*(1-Contrib!K107)/(24*Input!$F$58)*100</f>
        <v>3.6792980689103895E-2</v>
      </c>
      <c r="L36" s="33">
        <f>L$11*Loads!$B59*LAFs!C250*(1-Contrib!L107)/(24*Input!$F$58)*100</f>
        <v>3.8955828501869592E-2</v>
      </c>
      <c r="M36" s="33">
        <f>M$11*Loads!$B59*LAFs!D250*(1-Contrib!M107)/(24*Input!$F$58)*100</f>
        <v>1.9607145181556408E-2</v>
      </c>
      <c r="N36" s="33">
        <f>N$11*Loads!$B59*LAFs!E250*(1-Contrib!N107)/(24*Input!$F$58)*100</f>
        <v>2.3899380247495827E-2</v>
      </c>
      <c r="O36" s="33">
        <f>O$11*Loads!$B59*LAFs!F250*(1-Contrib!O107)/(24*Input!$F$58)*100</f>
        <v>3.8725383620774843E-2</v>
      </c>
      <c r="P36" s="33">
        <f>P$11*Loads!$B59*LAFs!G250*(1-Contrib!P107)/(24*Input!$F$58)*100</f>
        <v>3.2560857085376588E-3</v>
      </c>
      <c r="Q36" s="33">
        <f>Q$11*Loads!$B59*LAFs!H250*(1-Contrib!Q107)/(24*Input!$F$58)*100</f>
        <v>9.6858420265538772E-2</v>
      </c>
      <c r="R36" s="33">
        <f>R$11*Loads!$B59*LAFs!I250*(1-Contrib!R107)/(24*Input!$F$58)*100</f>
        <v>0</v>
      </c>
      <c r="S36" s="33">
        <f>S$11*Loads!$B59*LAFs!J250*(1-Contrib!S107)/(24*Input!$F$58)*100</f>
        <v>0</v>
      </c>
      <c r="T36" s="10"/>
    </row>
    <row r="37" spans="1:20" x14ac:dyDescent="0.25">
      <c r="A37" s="3" t="s">
        <v>213</v>
      </c>
      <c r="B37" s="33">
        <f>B$11*Loads!$B60*LAFs!B251*(1-Contrib!B108)/(24*Input!$F$58)*100</f>
        <v>0</v>
      </c>
      <c r="C37" s="33">
        <f>C$11*Loads!$B60*LAFs!C251*(1-Contrib!C108)/(24*Input!$F$58)*100</f>
        <v>7.5663437961999452E-2</v>
      </c>
      <c r="D37" s="33">
        <f>D$11*Loads!$B60*LAFs!D251*(1-Contrib!D108)/(24*Input!$F$58)*100</f>
        <v>3.8082722665888372E-2</v>
      </c>
      <c r="E37" s="33">
        <f>E$11*Loads!$B60*LAFs!E251*(1-Contrib!E108)/(24*Input!$F$58)*100</f>
        <v>4.6419479298196654E-2</v>
      </c>
      <c r="F37" s="33">
        <f>F$11*Loads!$B60*LAFs!F251*(1-Contrib!F108)/(24*Input!$F$58)*100</f>
        <v>7.5215847636368544E-2</v>
      </c>
      <c r="G37" s="33">
        <f>G$11*Loads!$B60*LAFs!G251*(1-Contrib!G108)/(24*Input!$F$58)*100</f>
        <v>6.3242561763272066E-3</v>
      </c>
      <c r="H37" s="33">
        <f>H$11*Loads!$B60*LAFs!H251*(1-Contrib!H108)/(24*Input!$F$58)*100</f>
        <v>9.7989020722500902E-2</v>
      </c>
      <c r="I37" s="33">
        <f>I$11*Loads!$B60*LAFs!I251*(1-Contrib!I108)/(24*Input!$F$58)*100</f>
        <v>2.3256492123228292E-2</v>
      </c>
      <c r="J37" s="33">
        <f>J$11*Loads!$B60*LAFs!J251*(1-Contrib!J108)/(24*Input!$F$58)*100</f>
        <v>9.6628303403082962E-3</v>
      </c>
      <c r="K37" s="33">
        <f>K$11*Loads!$B60*LAFs!B251*(1-Contrib!K108)/(24*Input!$F$58)*100</f>
        <v>3.2342077462045107E-2</v>
      </c>
      <c r="L37" s="33">
        <f>L$11*Loads!$B60*LAFs!C251*(1-Contrib!L108)/(24*Input!$F$58)*100</f>
        <v>3.424328226222588E-2</v>
      </c>
      <c r="M37" s="33">
        <f>M$11*Loads!$B60*LAFs!D251*(1-Contrib!M108)/(24*Input!$F$58)*100</f>
        <v>1.7235238798123761E-2</v>
      </c>
      <c r="N37" s="33">
        <f>N$11*Loads!$B60*LAFs!E251*(1-Contrib!N108)/(24*Input!$F$58)*100</f>
        <v>2.1008235614036256E-2</v>
      </c>
      <c r="O37" s="33">
        <f>O$11*Loads!$B60*LAFs!F251*(1-Contrib!O108)/(24*Input!$F$58)*100</f>
        <v>3.404071465135261E-2</v>
      </c>
      <c r="P37" s="33">
        <f>P$11*Loads!$B60*LAFs!G251*(1-Contrib!P108)/(24*Input!$F$58)*100</f>
        <v>2.8621920332692623E-3</v>
      </c>
      <c r="Q37" s="33">
        <f>Q$11*Loads!$B60*LAFs!H251*(1-Contrib!Q108)/(24*Input!$F$58)*100</f>
        <v>8.5141308815110034E-2</v>
      </c>
      <c r="R37" s="33">
        <f>R$11*Loads!$B60*LAFs!I251*(1-Contrib!R108)/(24*Input!$F$58)*100</f>
        <v>3.6159872905865156E-2</v>
      </c>
      <c r="S37" s="33">
        <f>S$11*Loads!$B60*LAFs!J251*(1-Contrib!S108)/(24*Input!$F$58)*100</f>
        <v>7.1356512090170743E-2</v>
      </c>
      <c r="T37" s="10"/>
    </row>
    <row r="38" spans="1:20" x14ac:dyDescent="0.25">
      <c r="A38" s="3" t="s">
        <v>214</v>
      </c>
      <c r="B38" s="33">
        <f>B$11*Loads!$B61*LAFs!B252*(1-Contrib!B109)/(24*Input!$F$58)*100</f>
        <v>0</v>
      </c>
      <c r="C38" s="33">
        <f>C$11*Loads!$B61*LAFs!C252*(1-Contrib!C109)/(24*Input!$F$58)*100</f>
        <v>0.16018474437987246</v>
      </c>
      <c r="D38" s="33">
        <f>D$11*Loads!$B61*LAFs!D252*(1-Contrib!D109)/(24*Input!$F$58)*100</f>
        <v>8.0623764394484071E-2</v>
      </c>
      <c r="E38" s="33">
        <f>E$11*Loads!$B61*LAFs!E252*(1-Contrib!E109)/(24*Input!$F$58)*100</f>
        <v>9.8273256224001501E-2</v>
      </c>
      <c r="F38" s="33">
        <f>F$11*Loads!$B61*LAFs!F252*(1-Contrib!F109)/(24*Input!$F$58)*100</f>
        <v>0.15923716462630513</v>
      </c>
      <c r="G38" s="33">
        <f>G$11*Loads!$B61*LAFs!G252*(1-Contrib!G109)/(24*Input!$F$58)*100</f>
        <v>1.3388888825096585E-2</v>
      </c>
      <c r="H38" s="33">
        <f>H$11*Loads!$B61*LAFs!H252*(1-Contrib!H109)/(24*Input!$F$58)*100</f>
        <v>0.20744955105464585</v>
      </c>
      <c r="I38" s="33">
        <f>I$11*Loads!$B61*LAFs!I252*(1-Contrib!I109)/(24*Input!$F$58)*100</f>
        <v>4.9235606341372196E-2</v>
      </c>
      <c r="J38" s="33">
        <f>J$11*Loads!$B61*LAFs!J252*(1-Contrib!J109)/(24*Input!$F$58)*100</f>
        <v>2.0456881814248692E-2</v>
      </c>
      <c r="K38" s="33">
        <f>K$11*Loads!$B61*LAFs!B252*(1-Contrib!K109)/(24*Input!$F$58)*100</f>
        <v>6.8470420463495774E-2</v>
      </c>
      <c r="L38" s="33">
        <f>L$11*Loads!$B61*LAFs!C252*(1-Contrib!L109)/(24*Input!$F$58)*100</f>
        <v>7.2495402847770937E-2</v>
      </c>
      <c r="M38" s="33">
        <f>M$11*Loads!$B61*LAFs!D252*(1-Contrib!M109)/(24*Input!$F$58)*100</f>
        <v>3.6488195561376509E-2</v>
      </c>
      <c r="N38" s="33">
        <f>N$11*Loads!$B61*LAFs!E252*(1-Contrib!N109)/(24*Input!$F$58)*100</f>
        <v>4.4475891425877837E-2</v>
      </c>
      <c r="O38" s="33">
        <f>O$11*Loads!$B61*LAFs!F252*(1-Contrib!O109)/(24*Input!$F$58)*100</f>
        <v>7.2066553170286388E-2</v>
      </c>
      <c r="P38" s="33">
        <f>P$11*Loads!$B61*LAFs!G252*(1-Contrib!P109)/(24*Input!$F$58)*100</f>
        <v>6.0594589879144397E-3</v>
      </c>
      <c r="Q38" s="33">
        <f>Q$11*Loads!$B61*LAFs!H252*(1-Contrib!Q109)/(24*Input!$F$58)*100</f>
        <v>0.18025005413533793</v>
      </c>
      <c r="R38" s="33">
        <f>R$11*Loads!$B61*LAFs!I252*(1-Contrib!R109)/(24*Input!$F$58)*100</f>
        <v>7.655295812944346E-2</v>
      </c>
      <c r="S38" s="33">
        <f>S$11*Loads!$B61*LAFs!J252*(1-Contrib!S109)/(24*Input!$F$58)*100</f>
        <v>0.15106668368339141</v>
      </c>
      <c r="T38" s="10"/>
    </row>
    <row r="39" spans="1:20" x14ac:dyDescent="0.25">
      <c r="A39" s="3" t="s">
        <v>215</v>
      </c>
      <c r="B39" s="33">
        <f>B$11*Loads!$B62*LAFs!B253*(1-Contrib!B110)/(24*Input!$F$58)*100</f>
        <v>0</v>
      </c>
      <c r="C39" s="33">
        <f>C$11*Loads!$B62*LAFs!C253*(1-Contrib!C110)/(24*Input!$F$58)*100</f>
        <v>0.31427306798300497</v>
      </c>
      <c r="D39" s="33">
        <f>D$11*Loads!$B62*LAFs!D253*(1-Contrib!D110)/(24*Input!$F$58)*100</f>
        <v>0.15817909431191265</v>
      </c>
      <c r="E39" s="33">
        <f>E$11*Loads!$B62*LAFs!E253*(1-Contrib!E110)/(24*Input!$F$58)*100</f>
        <v>0.19280636151564509</v>
      </c>
      <c r="F39" s="33">
        <f>F$11*Loads!$B62*LAFs!F253*(1-Contrib!F110)/(24*Input!$F$58)*100</f>
        <v>0.31241397211551108</v>
      </c>
      <c r="G39" s="33">
        <f>G$11*Loads!$B62*LAFs!G253*(1-Contrib!G110)/(24*Input!$F$58)*100</f>
        <v>2.626821414383821E-2</v>
      </c>
      <c r="H39" s="33">
        <f>H$11*Loads!$B62*LAFs!H253*(1-Contrib!H110)/(24*Input!$F$58)*100</f>
        <v>0.40700384492939612</v>
      </c>
      <c r="I39" s="33">
        <f>I$11*Loads!$B62*LAFs!I253*(1-Contrib!I110)/(24*Input!$F$58)*100</f>
        <v>9.6597370235281921E-2</v>
      </c>
      <c r="J39" s="33">
        <f>J$11*Loads!$B62*LAFs!J253*(1-Contrib!J110)/(24*Input!$F$58)*100</f>
        <v>4.0135201601242496E-2</v>
      </c>
      <c r="K39" s="33">
        <f>K$11*Loads!$B62*LAFs!B253*(1-Contrib!K110)/(24*Input!$F$58)*100</f>
        <v>0.13433494674198806</v>
      </c>
      <c r="L39" s="33">
        <f>L$11*Loads!$B62*LAFs!C253*(1-Contrib!L110)/(24*Input!$F$58)*100</f>
        <v>0.14223172597262404</v>
      </c>
      <c r="M39" s="33">
        <f>M$11*Loads!$B62*LAFs!D253*(1-Contrib!M110)/(24*Input!$F$58)*100</f>
        <v>7.1587698370598044E-2</v>
      </c>
      <c r="N39" s="33">
        <f>N$11*Loads!$B62*LAFs!E253*(1-Contrib!N110)/(24*Input!$F$58)*100</f>
        <v>8.7259088896395332E-2</v>
      </c>
      <c r="O39" s="33">
        <f>O$11*Loads!$B62*LAFs!F253*(1-Contrib!O110)/(24*Input!$F$58)*100</f>
        <v>0.1413903480725727</v>
      </c>
      <c r="P39" s="33">
        <f>P$11*Loads!$B62*LAFs!G253*(1-Contrib!P110)/(24*Input!$F$58)*100</f>
        <v>1.188830293309971E-2</v>
      </c>
      <c r="Q39" s="33">
        <f>Q$11*Loads!$B62*LAFs!H253*(1-Contrib!Q110)/(24*Input!$F$58)*100</f>
        <v>0.35364002818443979</v>
      </c>
      <c r="R39" s="33">
        <f>R$11*Loads!$B62*LAFs!I253*(1-Contrib!R110)/(24*Input!$F$58)*100</f>
        <v>0.15019241131640323</v>
      </c>
      <c r="S39" s="33">
        <f>S$11*Loads!$B62*LAFs!J253*(1-Contrib!S110)/(24*Input!$F$58)*100</f>
        <v>0.29638396799266642</v>
      </c>
      <c r="T39" s="10"/>
    </row>
    <row r="40" spans="1:20" x14ac:dyDescent="0.25">
      <c r="A40" s="3" t="s">
        <v>216</v>
      </c>
      <c r="B40" s="33">
        <f>B$11*Loads!$B63*LAFs!B254*(1-Contrib!B111)/(24*Input!$F$58)*100</f>
        <v>0</v>
      </c>
      <c r="C40" s="33">
        <f>C$11*Loads!$B63*LAFs!C254*(1-Contrib!C111)/(24*Input!$F$58)*100</f>
        <v>7.4775913449249035E-4</v>
      </c>
      <c r="D40" s="33">
        <f>D$11*Loads!$B63*LAFs!D254*(1-Contrib!D111)/(24*Input!$F$58)*100</f>
        <v>3.7636016161549693E-4</v>
      </c>
      <c r="E40" s="33">
        <f>E$11*Loads!$B63*LAFs!E254*(1-Contrib!E111)/(24*Input!$F$58)*100</f>
        <v>4.5874983477547443E-4</v>
      </c>
      <c r="F40" s="33">
        <f>F$11*Loads!$B63*LAFs!F254*(1-Contrib!F111)/(24*Input!$F$58)*100</f>
        <v>7.433357331309363E-4</v>
      </c>
      <c r="G40" s="33">
        <f>G$11*Loads!$B63*LAFs!G254*(1-Contrib!G111)/(24*Input!$F$58)*100</f>
        <v>6.2500732878332594E-5</v>
      </c>
      <c r="H40" s="33">
        <f>H$11*Loads!$B63*LAFs!H254*(1-Contrib!H111)/(24*Input!$F$58)*100</f>
        <v>9.6839619370750181E-4</v>
      </c>
      <c r="I40" s="33">
        <f>I$11*Loads!$B63*LAFs!I254*(1-Contrib!I111)/(24*Input!$F$58)*100</f>
        <v>2.298369581108717E-4</v>
      </c>
      <c r="J40" s="33">
        <f>J$11*Loads!$B63*LAFs!J254*(1-Contrib!J111)/(24*Input!$F$58)*100</f>
        <v>9.5494863128550475E-5</v>
      </c>
      <c r="K40" s="33">
        <f>K$11*Loads!$B63*LAFs!B254*(1-Contrib!K111)/(24*Input!$F$58)*100</f>
        <v>3.1962708148226002E-4</v>
      </c>
      <c r="L40" s="33">
        <f>L$11*Loads!$B63*LAFs!C254*(1-Contrib!L111)/(24*Input!$F$58)*100</f>
        <v>3.3841612007432268E-4</v>
      </c>
      <c r="M40" s="33">
        <f>M$11*Loads!$B63*LAFs!D254*(1-Contrib!M111)/(24*Input!$F$58)*100</f>
        <v>1.7033071181525049E-4</v>
      </c>
      <c r="N40" s="33">
        <f>N$11*Loads!$B63*LAFs!E254*(1-Contrib!N111)/(24*Input!$F$58)*100</f>
        <v>2.0761811124490095E-4</v>
      </c>
      <c r="O40" s="33">
        <f>O$11*Loads!$B63*LAFs!F254*(1-Contrib!O111)/(24*Input!$F$58)*100</f>
        <v>3.3641420494248745E-4</v>
      </c>
      <c r="P40" s="33">
        <f>P$11*Loads!$B63*LAFs!G254*(1-Contrib!P111)/(24*Input!$F$58)*100</f>
        <v>2.8286188087615253E-5</v>
      </c>
      <c r="Q40" s="33">
        <f>Q$11*Loads!$B63*LAFs!H254*(1-Contrib!Q111)/(24*Input!$F$58)*100</f>
        <v>8.4142609831077417E-4</v>
      </c>
      <c r="R40" s="33">
        <f>R$11*Loads!$B63*LAFs!I254*(1-Contrib!R111)/(24*Input!$F$58)*100</f>
        <v>3.5735721235701645E-4</v>
      </c>
      <c r="S40" s="33">
        <f>S$11*Loads!$B63*LAFs!J254*(1-Contrib!S111)/(24*Input!$F$58)*100</f>
        <v>7.0519507384460636E-4</v>
      </c>
      <c r="T40" s="10"/>
    </row>
    <row r="41" spans="1:20" x14ac:dyDescent="0.25">
      <c r="A41" s="3" t="s">
        <v>217</v>
      </c>
      <c r="B41" s="33">
        <f>B$11*Loads!$B64*LAFs!B255*(1-Contrib!B112)/(24*Input!$F$58)*100</f>
        <v>0</v>
      </c>
      <c r="C41" s="33">
        <f>C$11*Loads!$B64*LAFs!C255*(1-Contrib!C112)/(24*Input!$F$58)*100</f>
        <v>0.16094591099499744</v>
      </c>
      <c r="D41" s="33">
        <f>D$11*Loads!$B64*LAFs!D255*(1-Contrib!D112)/(24*Input!$F$58)*100</f>
        <v>8.1006872774001495E-2</v>
      </c>
      <c r="E41" s="33">
        <f>E$11*Loads!$B64*LAFs!E255*(1-Contrib!E112)/(24*Input!$F$58)*100</f>
        <v>9.8740231541076293E-2</v>
      </c>
      <c r="F41" s="33">
        <f>F$11*Loads!$B64*LAFs!F255*(1-Contrib!F112)/(24*Input!$F$58)*100</f>
        <v>0.15999382852753952</v>
      </c>
      <c r="G41" s="33">
        <f>G$11*Loads!$B64*LAFs!G255*(1-Contrib!G112)/(24*Input!$F$58)*100</f>
        <v>1.345251020943463E-2</v>
      </c>
      <c r="H41" s="33">
        <f>H$11*Loads!$B64*LAFs!H255*(1-Contrib!H112)/(24*Input!$F$58)*100</f>
        <v>0.20843531079847635</v>
      </c>
      <c r="I41" s="33">
        <f>I$11*Loads!$B64*LAFs!I255*(1-Contrib!I112)/(24*Input!$F$58)*100</f>
        <v>4.9469564325121368E-2</v>
      </c>
      <c r="J41" s="33">
        <f>J$11*Loads!$B64*LAFs!J255*(1-Contrib!J112)/(24*Input!$F$58)*100</f>
        <v>2.0554088920623548E-2</v>
      </c>
      <c r="K41" s="33">
        <f>K$11*Loads!$B64*LAFs!B255*(1-Contrib!K112)/(24*Input!$F$58)*100</f>
        <v>6.8795778526663062E-2</v>
      </c>
      <c r="L41" s="33">
        <f>L$11*Loads!$B64*LAFs!C255*(1-Contrib!L112)/(24*Input!$F$58)*100</f>
        <v>7.2839886840996293E-2</v>
      </c>
      <c r="M41" s="33">
        <f>M$11*Loads!$B64*LAFs!D255*(1-Contrib!M112)/(24*Input!$F$58)*100</f>
        <v>3.6661580339152899E-2</v>
      </c>
      <c r="N41" s="33">
        <f>N$11*Loads!$B64*LAFs!E255*(1-Contrib!N112)/(24*Input!$F$58)*100</f>
        <v>4.4687232174101775E-2</v>
      </c>
      <c r="O41" s="33">
        <f>O$11*Loads!$B64*LAFs!F255*(1-Contrib!O112)/(24*Input!$F$58)*100</f>
        <v>7.2408999353614958E-2</v>
      </c>
      <c r="P41" s="33">
        <f>P$11*Loads!$B64*LAFs!G255*(1-Contrib!P112)/(24*Input!$F$58)*100</f>
        <v>6.0882523533823899E-3</v>
      </c>
      <c r="Q41" s="33">
        <f>Q$11*Loads!$B64*LAFs!H255*(1-Contrib!Q112)/(24*Input!$F$58)*100</f>
        <v>0.18110656718290333</v>
      </c>
      <c r="R41" s="33">
        <f>R$11*Loads!$B64*LAFs!I255*(1-Contrib!R112)/(24*Input!$F$58)*100</f>
        <v>7.6916722832772552E-2</v>
      </c>
      <c r="S41" s="33">
        <f>S$11*Loads!$B64*LAFs!J255*(1-Contrib!S112)/(24*Input!$F$58)*100</f>
        <v>0.15178452305519047</v>
      </c>
      <c r="T41" s="10"/>
    </row>
    <row r="42" spans="1:20" x14ac:dyDescent="0.25">
      <c r="A42" s="3" t="s">
        <v>181</v>
      </c>
      <c r="B42" s="33">
        <f>B$11*Loads!$B65*LAFs!B256*(1-Contrib!B113)/(24*Input!$F$58)*100</f>
        <v>0</v>
      </c>
      <c r="C42" s="33">
        <f>C$11*Loads!$B65*LAFs!C256*(1-Contrib!C113)/(24*Input!$F$58)*100</f>
        <v>-7.5663437961999452E-2</v>
      </c>
      <c r="D42" s="33">
        <f>D$11*Loads!$B65*LAFs!D256*(1-Contrib!D113)/(24*Input!$F$58)*100</f>
        <v>-3.8082722665888372E-2</v>
      </c>
      <c r="E42" s="33">
        <f>E$11*Loads!$B65*LAFs!E256*(1-Contrib!E113)/(24*Input!$F$58)*100</f>
        <v>-4.6419479298196654E-2</v>
      </c>
      <c r="F42" s="33">
        <f>F$11*Loads!$B65*LAFs!F256*(1-Contrib!F113)/(24*Input!$F$58)*100</f>
        <v>-7.5215847636368544E-2</v>
      </c>
      <c r="G42" s="33">
        <f>G$11*Loads!$B65*LAFs!G256*(1-Contrib!G113)/(24*Input!$F$58)*100</f>
        <v>-6.3242561763272066E-3</v>
      </c>
      <c r="H42" s="33">
        <f>H$11*Loads!$B65*LAFs!H256*(1-Contrib!H113)/(24*Input!$F$58)*100</f>
        <v>-9.7989020722500902E-2</v>
      </c>
      <c r="I42" s="33">
        <f>I$11*Loads!$B65*LAFs!I256*(1-Contrib!I113)/(24*Input!$F$58)*100</f>
        <v>-2.3256492123228292E-2</v>
      </c>
      <c r="J42" s="33">
        <f>J$11*Loads!$B65*LAFs!J256*(1-Contrib!J113)/(24*Input!$F$58)*100</f>
        <v>0</v>
      </c>
      <c r="K42" s="33">
        <f>K$11*Loads!$B65*LAFs!B256*(1-Contrib!K113)/(24*Input!$F$58)*100</f>
        <v>-3.2342077462045107E-2</v>
      </c>
      <c r="L42" s="33">
        <f>L$11*Loads!$B65*LAFs!C256*(1-Contrib!L113)/(24*Input!$F$58)*100</f>
        <v>-3.424328226222588E-2</v>
      </c>
      <c r="M42" s="33">
        <f>M$11*Loads!$B65*LAFs!D256*(1-Contrib!M113)/(24*Input!$F$58)*100</f>
        <v>-1.7235238798123761E-2</v>
      </c>
      <c r="N42" s="33">
        <f>N$11*Loads!$B65*LAFs!E256*(1-Contrib!N113)/(24*Input!$F$58)*100</f>
        <v>-2.1008235614036256E-2</v>
      </c>
      <c r="O42" s="33">
        <f>O$11*Loads!$B65*LAFs!F256*(1-Contrib!O113)/(24*Input!$F$58)*100</f>
        <v>-3.404071465135261E-2</v>
      </c>
      <c r="P42" s="33">
        <f>P$11*Loads!$B65*LAFs!G256*(1-Contrib!P113)/(24*Input!$F$58)*100</f>
        <v>-2.8621920332692623E-3</v>
      </c>
      <c r="Q42" s="33">
        <f>Q$11*Loads!$B65*LAFs!H256*(1-Contrib!Q113)/(24*Input!$F$58)*100</f>
        <v>-8.5141308815110034E-2</v>
      </c>
      <c r="R42" s="33">
        <f>R$11*Loads!$B65*LAFs!I256*(1-Contrib!R113)/(24*Input!$F$58)*100</f>
        <v>-3.6159872905865156E-2</v>
      </c>
      <c r="S42" s="33">
        <f>S$11*Loads!$B65*LAFs!J256*(1-Contrib!S113)/(24*Input!$F$58)*100</f>
        <v>0</v>
      </c>
      <c r="T42" s="10"/>
    </row>
    <row r="43" spans="1:20" x14ac:dyDescent="0.25">
      <c r="A43" s="3" t="s">
        <v>182</v>
      </c>
      <c r="B43" s="33">
        <f>B$11*Loads!$B66*LAFs!B257*(1-Contrib!B114)/(24*Input!$F$58)*100</f>
        <v>0</v>
      </c>
      <c r="C43" s="33">
        <f>C$11*Loads!$B66*LAFs!C257*(1-Contrib!C114)/(24*Input!$F$58)*100</f>
        <v>-7.2894419189373644E-2</v>
      </c>
      <c r="D43" s="33">
        <f>D$11*Loads!$B66*LAFs!D257*(1-Contrib!D114)/(24*Input!$F$58)*100</f>
        <v>-3.6689027417365468E-2</v>
      </c>
      <c r="E43" s="33">
        <f>E$11*Loads!$B66*LAFs!E257*(1-Contrib!E114)/(24*Input!$F$58)*100</f>
        <v>-4.4720687741080595E-2</v>
      </c>
      <c r="F43" s="33">
        <f>F$11*Loads!$B66*LAFs!F257*(1-Contrib!F114)/(24*Input!$F$58)*100</f>
        <v>-7.2463209113537125E-2</v>
      </c>
      <c r="G43" s="33">
        <f>G$11*Loads!$B66*LAFs!G257*(1-Contrib!G114)/(24*Input!$F$58)*100</f>
        <v>-6.0928103876235562E-3</v>
      </c>
      <c r="H43" s="33">
        <f>H$11*Loads!$B66*LAFs!H257*(1-Contrib!H114)/(24*Input!$F$58)*100</f>
        <v>-9.4402963239518217E-2</v>
      </c>
      <c r="I43" s="33">
        <f>I$11*Loads!$B66*LAFs!I257*(1-Contrib!I114)/(24*Input!$F$58)*100</f>
        <v>0</v>
      </c>
      <c r="J43" s="33">
        <f>J$11*Loads!$B66*LAFs!J257*(1-Contrib!J114)/(24*Input!$F$58)*100</f>
        <v>0</v>
      </c>
      <c r="K43" s="33">
        <f>K$11*Loads!$B66*LAFs!B257*(1-Contrib!K114)/(24*Input!$F$58)*100</f>
        <v>-3.1158469869655526E-2</v>
      </c>
      <c r="L43" s="33">
        <f>L$11*Loads!$B66*LAFs!C257*(1-Contrib!L114)/(24*Input!$F$58)*100</f>
        <v>-3.2990097184010837E-2</v>
      </c>
      <c r="M43" s="33">
        <f>M$11*Loads!$B66*LAFs!D257*(1-Contrib!M114)/(24*Input!$F$58)*100</f>
        <v>-1.6604488979345213E-2</v>
      </c>
      <c r="N43" s="33">
        <f>N$11*Loads!$B66*LAFs!E257*(1-Contrib!N114)/(24*Input!$F$58)*100</f>
        <v>-2.0239407229259085E-2</v>
      </c>
      <c r="O43" s="33">
        <f>O$11*Loads!$B66*LAFs!F257*(1-Contrib!O114)/(24*Input!$F$58)*100</f>
        <v>-3.2794942843434857E-2</v>
      </c>
      <c r="P43" s="33">
        <f>P$11*Loads!$B66*LAFs!G257*(1-Contrib!P114)/(24*Input!$F$58)*100</f>
        <v>-2.7574457557479719E-3</v>
      </c>
      <c r="Q43" s="33">
        <f>Q$11*Loads!$B66*LAFs!H257*(1-Contrib!Q114)/(24*Input!$F$58)*100</f>
        <v>-8.2025432920686953E-2</v>
      </c>
      <c r="R43" s="33">
        <f>R$11*Loads!$B66*LAFs!I257*(1-Contrib!R114)/(24*Input!$F$58)*100</f>
        <v>0</v>
      </c>
      <c r="S43" s="33">
        <f>S$11*Loads!$B66*LAFs!J257*(1-Contrib!S114)/(24*Input!$F$58)*100</f>
        <v>0</v>
      </c>
      <c r="T43" s="10"/>
    </row>
    <row r="44" spans="1:20" x14ac:dyDescent="0.25">
      <c r="A44" s="3" t="s">
        <v>183</v>
      </c>
      <c r="B44" s="33">
        <f>B$11*Loads!$B67*LAFs!B258*(1-Contrib!B115)/(24*Input!$F$58)*100</f>
        <v>0</v>
      </c>
      <c r="C44" s="33">
        <f>C$11*Loads!$B67*LAFs!C258*(1-Contrib!C115)/(24*Input!$F$58)*100</f>
        <v>-7.5663437961999452E-2</v>
      </c>
      <c r="D44" s="33">
        <f>D$11*Loads!$B67*LAFs!D258*(1-Contrib!D115)/(24*Input!$F$58)*100</f>
        <v>-3.8082722665888372E-2</v>
      </c>
      <c r="E44" s="33">
        <f>E$11*Loads!$B67*LAFs!E258*(1-Contrib!E115)/(24*Input!$F$58)*100</f>
        <v>-4.6419479298196654E-2</v>
      </c>
      <c r="F44" s="33">
        <f>F$11*Loads!$B67*LAFs!F258*(1-Contrib!F115)/(24*Input!$F$58)*100</f>
        <v>-7.5215847636368544E-2</v>
      </c>
      <c r="G44" s="33">
        <f>G$11*Loads!$B67*LAFs!G258*(1-Contrib!G115)/(24*Input!$F$58)*100</f>
        <v>-6.3242561763272066E-3</v>
      </c>
      <c r="H44" s="33">
        <f>H$11*Loads!$B67*LAFs!H258*(1-Contrib!H115)/(24*Input!$F$58)*100</f>
        <v>-9.7989020722500902E-2</v>
      </c>
      <c r="I44" s="33">
        <f>I$11*Loads!$B67*LAFs!I258*(1-Contrib!I115)/(24*Input!$F$58)*100</f>
        <v>-2.3256492123228292E-2</v>
      </c>
      <c r="J44" s="33">
        <f>J$11*Loads!$B67*LAFs!J258*(1-Contrib!J115)/(24*Input!$F$58)*100</f>
        <v>0</v>
      </c>
      <c r="K44" s="33">
        <f>K$11*Loads!$B67*LAFs!B258*(1-Contrib!K115)/(24*Input!$F$58)*100</f>
        <v>-3.2342077462045107E-2</v>
      </c>
      <c r="L44" s="33">
        <f>L$11*Loads!$B67*LAFs!C258*(1-Contrib!L115)/(24*Input!$F$58)*100</f>
        <v>-3.424328226222588E-2</v>
      </c>
      <c r="M44" s="33">
        <f>M$11*Loads!$B67*LAFs!D258*(1-Contrib!M115)/(24*Input!$F$58)*100</f>
        <v>-1.7235238798123761E-2</v>
      </c>
      <c r="N44" s="33">
        <f>N$11*Loads!$B67*LAFs!E258*(1-Contrib!N115)/(24*Input!$F$58)*100</f>
        <v>-2.1008235614036256E-2</v>
      </c>
      <c r="O44" s="33">
        <f>O$11*Loads!$B67*LAFs!F258*(1-Contrib!O115)/(24*Input!$F$58)*100</f>
        <v>-3.404071465135261E-2</v>
      </c>
      <c r="P44" s="33">
        <f>P$11*Loads!$B67*LAFs!G258*(1-Contrib!P115)/(24*Input!$F$58)*100</f>
        <v>-2.8621920332692623E-3</v>
      </c>
      <c r="Q44" s="33">
        <f>Q$11*Loads!$B67*LAFs!H258*(1-Contrib!Q115)/(24*Input!$F$58)*100</f>
        <v>-8.5141308815110034E-2</v>
      </c>
      <c r="R44" s="33">
        <f>R$11*Loads!$B67*LAFs!I258*(1-Contrib!R115)/(24*Input!$F$58)*100</f>
        <v>-3.6159872905865156E-2</v>
      </c>
      <c r="S44" s="33">
        <f>S$11*Loads!$B67*LAFs!J258*(1-Contrib!S115)/(24*Input!$F$58)*100</f>
        <v>0</v>
      </c>
      <c r="T44" s="10"/>
    </row>
    <row r="45" spans="1:20" x14ac:dyDescent="0.25">
      <c r="A45" s="3" t="s">
        <v>184</v>
      </c>
      <c r="B45" s="33">
        <f>B$11*Loads!$B68*LAFs!B259*(1-Contrib!B116)/(24*Input!$F$58)*100</f>
        <v>0</v>
      </c>
      <c r="C45" s="33">
        <f>C$11*Loads!$B68*LAFs!C259*(1-Contrib!C116)/(24*Input!$F$58)*100</f>
        <v>-7.5663437961999452E-2</v>
      </c>
      <c r="D45" s="33">
        <f>D$11*Loads!$B68*LAFs!D259*(1-Contrib!D116)/(24*Input!$F$58)*100</f>
        <v>-3.8082722665888372E-2</v>
      </c>
      <c r="E45" s="33">
        <f>E$11*Loads!$B68*LAFs!E259*(1-Contrib!E116)/(24*Input!$F$58)*100</f>
        <v>-4.6419479298196654E-2</v>
      </c>
      <c r="F45" s="33">
        <f>F$11*Loads!$B68*LAFs!F259*(1-Contrib!F116)/(24*Input!$F$58)*100</f>
        <v>-7.5215847636368544E-2</v>
      </c>
      <c r="G45" s="33">
        <f>G$11*Loads!$B68*LAFs!G259*(1-Contrib!G116)/(24*Input!$F$58)*100</f>
        <v>-6.3242561763272066E-3</v>
      </c>
      <c r="H45" s="33">
        <f>H$11*Loads!$B68*LAFs!H259*(1-Contrib!H116)/(24*Input!$F$58)*100</f>
        <v>-9.7989020722500902E-2</v>
      </c>
      <c r="I45" s="33">
        <f>I$11*Loads!$B68*LAFs!I259*(1-Contrib!I116)/(24*Input!$F$58)*100</f>
        <v>-2.3256492123228292E-2</v>
      </c>
      <c r="J45" s="33">
        <f>J$11*Loads!$B68*LAFs!J259*(1-Contrib!J116)/(24*Input!$F$58)*100</f>
        <v>0</v>
      </c>
      <c r="K45" s="33">
        <f>K$11*Loads!$B68*LAFs!B259*(1-Contrib!K116)/(24*Input!$F$58)*100</f>
        <v>-3.2342077462045107E-2</v>
      </c>
      <c r="L45" s="33">
        <f>L$11*Loads!$B68*LAFs!C259*(1-Contrib!L116)/(24*Input!$F$58)*100</f>
        <v>-3.424328226222588E-2</v>
      </c>
      <c r="M45" s="33">
        <f>M$11*Loads!$B68*LAFs!D259*(1-Contrib!M116)/(24*Input!$F$58)*100</f>
        <v>-1.7235238798123761E-2</v>
      </c>
      <c r="N45" s="33">
        <f>N$11*Loads!$B68*LAFs!E259*(1-Contrib!N116)/(24*Input!$F$58)*100</f>
        <v>-2.1008235614036256E-2</v>
      </c>
      <c r="O45" s="33">
        <f>O$11*Loads!$B68*LAFs!F259*(1-Contrib!O116)/(24*Input!$F$58)*100</f>
        <v>-3.404071465135261E-2</v>
      </c>
      <c r="P45" s="33">
        <f>P$11*Loads!$B68*LAFs!G259*(1-Contrib!P116)/(24*Input!$F$58)*100</f>
        <v>-2.8621920332692623E-3</v>
      </c>
      <c r="Q45" s="33">
        <f>Q$11*Loads!$B68*LAFs!H259*(1-Contrib!Q116)/(24*Input!$F$58)*100</f>
        <v>-8.5141308815110034E-2</v>
      </c>
      <c r="R45" s="33">
        <f>R$11*Loads!$B68*LAFs!I259*(1-Contrib!R116)/(24*Input!$F$58)*100</f>
        <v>-3.6159872905865156E-2</v>
      </c>
      <c r="S45" s="33">
        <f>S$11*Loads!$B68*LAFs!J259*(1-Contrib!S116)/(24*Input!$F$58)*100</f>
        <v>0</v>
      </c>
      <c r="T45" s="10"/>
    </row>
    <row r="46" spans="1:20" x14ac:dyDescent="0.25">
      <c r="A46" s="3" t="s">
        <v>185</v>
      </c>
      <c r="B46" s="33">
        <f>B$11*Loads!$B69*LAFs!B260*(1-Contrib!B117)/(24*Input!$F$58)*100</f>
        <v>0</v>
      </c>
      <c r="C46" s="33">
        <f>C$11*Loads!$B69*LAFs!C260*(1-Contrib!C117)/(24*Input!$F$58)*100</f>
        <v>-7.2894419189373644E-2</v>
      </c>
      <c r="D46" s="33">
        <f>D$11*Loads!$B69*LAFs!D260*(1-Contrib!D117)/(24*Input!$F$58)*100</f>
        <v>-3.6689027417365468E-2</v>
      </c>
      <c r="E46" s="33">
        <f>E$11*Loads!$B69*LAFs!E260*(1-Contrib!E117)/(24*Input!$F$58)*100</f>
        <v>-4.4720687741080595E-2</v>
      </c>
      <c r="F46" s="33">
        <f>F$11*Loads!$B69*LAFs!F260*(1-Contrib!F117)/(24*Input!$F$58)*100</f>
        <v>-7.2463209113537125E-2</v>
      </c>
      <c r="G46" s="33">
        <f>G$11*Loads!$B69*LAFs!G260*(1-Contrib!G117)/(24*Input!$F$58)*100</f>
        <v>-6.0928103876235562E-3</v>
      </c>
      <c r="H46" s="33">
        <f>H$11*Loads!$B69*LAFs!H260*(1-Contrib!H117)/(24*Input!$F$58)*100</f>
        <v>-9.4402963239518217E-2</v>
      </c>
      <c r="I46" s="33">
        <f>I$11*Loads!$B69*LAFs!I260*(1-Contrib!I117)/(24*Input!$F$58)*100</f>
        <v>0</v>
      </c>
      <c r="J46" s="33">
        <f>J$11*Loads!$B69*LAFs!J260*(1-Contrib!J117)/(24*Input!$F$58)*100</f>
        <v>0</v>
      </c>
      <c r="K46" s="33">
        <f>K$11*Loads!$B69*LAFs!B260*(1-Contrib!K117)/(24*Input!$F$58)*100</f>
        <v>-3.1158469869655526E-2</v>
      </c>
      <c r="L46" s="33">
        <f>L$11*Loads!$B69*LAFs!C260*(1-Contrib!L117)/(24*Input!$F$58)*100</f>
        <v>-3.2990097184010837E-2</v>
      </c>
      <c r="M46" s="33">
        <f>M$11*Loads!$B69*LAFs!D260*(1-Contrib!M117)/(24*Input!$F$58)*100</f>
        <v>-1.6604488979345213E-2</v>
      </c>
      <c r="N46" s="33">
        <f>N$11*Loads!$B69*LAFs!E260*(1-Contrib!N117)/(24*Input!$F$58)*100</f>
        <v>-2.0239407229259085E-2</v>
      </c>
      <c r="O46" s="33">
        <f>O$11*Loads!$B69*LAFs!F260*(1-Contrib!O117)/(24*Input!$F$58)*100</f>
        <v>-3.2794942843434857E-2</v>
      </c>
      <c r="P46" s="33">
        <f>P$11*Loads!$B69*LAFs!G260*(1-Contrib!P117)/(24*Input!$F$58)*100</f>
        <v>-2.7574457557479719E-3</v>
      </c>
      <c r="Q46" s="33">
        <f>Q$11*Loads!$B69*LAFs!H260*(1-Contrib!Q117)/(24*Input!$F$58)*100</f>
        <v>-8.2025432920686953E-2</v>
      </c>
      <c r="R46" s="33">
        <f>R$11*Loads!$B69*LAFs!I260*(1-Contrib!R117)/(24*Input!$F$58)*100</f>
        <v>0</v>
      </c>
      <c r="S46" s="33">
        <f>S$11*Loads!$B69*LAFs!J260*(1-Contrib!S117)/(24*Input!$F$58)*100</f>
        <v>0</v>
      </c>
      <c r="T46" s="10"/>
    </row>
    <row r="47" spans="1:20" x14ac:dyDescent="0.25">
      <c r="A47" s="3" t="s">
        <v>186</v>
      </c>
      <c r="B47" s="33">
        <f>B$11*Loads!$B70*LAFs!B261*(1-Contrib!B118)/(24*Input!$F$58)*100</f>
        <v>0</v>
      </c>
      <c r="C47" s="33">
        <f>C$11*Loads!$B70*LAFs!C261*(1-Contrib!C118)/(24*Input!$F$58)*100</f>
        <v>-7.2894419189373644E-2</v>
      </c>
      <c r="D47" s="33">
        <f>D$11*Loads!$B70*LAFs!D261*(1-Contrib!D118)/(24*Input!$F$58)*100</f>
        <v>-3.6689027417365468E-2</v>
      </c>
      <c r="E47" s="33">
        <f>E$11*Loads!$B70*LAFs!E261*(1-Contrib!E118)/(24*Input!$F$58)*100</f>
        <v>-4.4720687741080595E-2</v>
      </c>
      <c r="F47" s="33">
        <f>F$11*Loads!$B70*LAFs!F261*(1-Contrib!F118)/(24*Input!$F$58)*100</f>
        <v>-7.2463209113537125E-2</v>
      </c>
      <c r="G47" s="33">
        <f>G$11*Loads!$B70*LAFs!G261*(1-Contrib!G118)/(24*Input!$F$58)*100</f>
        <v>-6.0928103876235562E-3</v>
      </c>
      <c r="H47" s="33">
        <f>H$11*Loads!$B70*LAFs!H261*(1-Contrib!H118)/(24*Input!$F$58)*100</f>
        <v>-9.4402963239518217E-2</v>
      </c>
      <c r="I47" s="33">
        <f>I$11*Loads!$B70*LAFs!I261*(1-Contrib!I118)/(24*Input!$F$58)*100</f>
        <v>0</v>
      </c>
      <c r="J47" s="33">
        <f>J$11*Loads!$B70*LAFs!J261*(1-Contrib!J118)/(24*Input!$F$58)*100</f>
        <v>0</v>
      </c>
      <c r="K47" s="33">
        <f>K$11*Loads!$B70*LAFs!B261*(1-Contrib!K118)/(24*Input!$F$58)*100</f>
        <v>-3.1158469869655526E-2</v>
      </c>
      <c r="L47" s="33">
        <f>L$11*Loads!$B70*LAFs!C261*(1-Contrib!L118)/(24*Input!$F$58)*100</f>
        <v>-3.2990097184010837E-2</v>
      </c>
      <c r="M47" s="33">
        <f>M$11*Loads!$B70*LAFs!D261*(1-Contrib!M118)/(24*Input!$F$58)*100</f>
        <v>-1.6604488979345213E-2</v>
      </c>
      <c r="N47" s="33">
        <f>N$11*Loads!$B70*LAFs!E261*(1-Contrib!N118)/(24*Input!$F$58)*100</f>
        <v>-2.0239407229259085E-2</v>
      </c>
      <c r="O47" s="33">
        <f>O$11*Loads!$B70*LAFs!F261*(1-Contrib!O118)/(24*Input!$F$58)*100</f>
        <v>-3.2794942843434857E-2</v>
      </c>
      <c r="P47" s="33">
        <f>P$11*Loads!$B70*LAFs!G261*(1-Contrib!P118)/(24*Input!$F$58)*100</f>
        <v>-2.7574457557479719E-3</v>
      </c>
      <c r="Q47" s="33">
        <f>Q$11*Loads!$B70*LAFs!H261*(1-Contrib!Q118)/(24*Input!$F$58)*100</f>
        <v>-8.2025432920686953E-2</v>
      </c>
      <c r="R47" s="33">
        <f>R$11*Loads!$B70*LAFs!I261*(1-Contrib!R118)/(24*Input!$F$58)*100</f>
        <v>0</v>
      </c>
      <c r="S47" s="33">
        <f>S$11*Loads!$B70*LAFs!J261*(1-Contrib!S118)/(24*Input!$F$58)*100</f>
        <v>0</v>
      </c>
      <c r="T47" s="10"/>
    </row>
    <row r="48" spans="1:20" x14ac:dyDescent="0.25">
      <c r="A48" s="3" t="s">
        <v>194</v>
      </c>
      <c r="B48" s="33">
        <f>B$11*Loads!$B71*LAFs!B262*(1-Contrib!B119)/(24*Input!$F$58)*100</f>
        <v>0</v>
      </c>
      <c r="C48" s="33">
        <f>C$11*Loads!$B71*LAFs!C262*(1-Contrib!C119)/(24*Input!$F$58)*100</f>
        <v>-7.1579135272376401E-2</v>
      </c>
      <c r="D48" s="33">
        <f>D$11*Loads!$B71*LAFs!D262*(1-Contrib!D119)/(24*Input!$F$58)*100</f>
        <v>-3.6027022174317094E-2</v>
      </c>
      <c r="E48" s="33">
        <f>E$11*Loads!$B71*LAFs!E262*(1-Contrib!E119)/(24*Input!$F$58)*100</f>
        <v>-4.1040921281181503E-2</v>
      </c>
      <c r="F48" s="33">
        <f>F$11*Loads!$B71*LAFs!F262*(1-Contrib!F119)/(24*Input!$F$58)*100</f>
        <v>-4.6135251813849358E-2</v>
      </c>
      <c r="G48" s="33">
        <f>G$11*Loads!$B71*LAFs!G262*(1-Contrib!G119)/(24*Input!$F$58)*100</f>
        <v>-3.8791180369423888E-3</v>
      </c>
      <c r="H48" s="33">
        <f>H$11*Loads!$B71*LAFs!H262*(1-Contrib!H119)/(24*Input!$F$58)*100</f>
        <v>0</v>
      </c>
      <c r="I48" s="33">
        <f>I$11*Loads!$B71*LAFs!I262*(1-Contrib!I119)/(24*Input!$F$58)*100</f>
        <v>0</v>
      </c>
      <c r="J48" s="33">
        <f>J$11*Loads!$B71*LAFs!J262*(1-Contrib!J119)/(24*Input!$F$58)*100</f>
        <v>0</v>
      </c>
      <c r="K48" s="33">
        <f>K$11*Loads!$B71*LAFs!B262*(1-Contrib!K119)/(24*Input!$F$58)*100</f>
        <v>-3.0596256263270481E-2</v>
      </c>
      <c r="L48" s="33">
        <f>L$11*Loads!$B71*LAFs!C262*(1-Contrib!L119)/(24*Input!$F$58)*100</f>
        <v>-3.23948342718587E-2</v>
      </c>
      <c r="M48" s="33">
        <f>M$11*Loads!$B71*LAFs!D262*(1-Contrib!M119)/(24*Input!$F$58)*100</f>
        <v>-1.6304882815425407E-2</v>
      </c>
      <c r="N48" s="33">
        <f>N$11*Loads!$B71*LAFs!E262*(1-Contrib!N119)/(24*Input!$F$58)*100</f>
        <v>-1.9874213746489927E-2</v>
      </c>
      <c r="O48" s="33">
        <f>O$11*Loads!$B71*LAFs!F262*(1-Contrib!O119)/(24*Input!$F$58)*100</f>
        <v>-3.2203201234673927E-2</v>
      </c>
      <c r="P48" s="33">
        <f>P$11*Loads!$B71*LAFs!G262*(1-Contrib!P119)/(24*Input!$F$58)*100</f>
        <v>-2.7076912739253589E-3</v>
      </c>
      <c r="Q48" s="33">
        <f>Q$11*Loads!$B71*LAFs!H262*(1-Contrib!Q119)/(24*Input!$F$58)*100</f>
        <v>0</v>
      </c>
      <c r="R48" s="33">
        <f>R$11*Loads!$B71*LAFs!I262*(1-Contrib!R119)/(24*Input!$F$58)*100</f>
        <v>0</v>
      </c>
      <c r="S48" s="33">
        <f>S$11*Loads!$B71*LAFs!J262*(1-Contrib!S119)/(24*Input!$F$58)*100</f>
        <v>0</v>
      </c>
      <c r="T48" s="10"/>
    </row>
    <row r="49" spans="1:20" x14ac:dyDescent="0.25">
      <c r="A49" s="3" t="s">
        <v>195</v>
      </c>
      <c r="B49" s="33">
        <f>B$11*Loads!$B72*LAFs!B263*(1-Contrib!B120)/(24*Input!$F$58)*100</f>
        <v>0</v>
      </c>
      <c r="C49" s="33">
        <f>C$11*Loads!$B72*LAFs!C263*(1-Contrib!C120)/(24*Input!$F$58)*100</f>
        <v>-7.1579135272376401E-2</v>
      </c>
      <c r="D49" s="33">
        <f>D$11*Loads!$B72*LAFs!D263*(1-Contrib!D120)/(24*Input!$F$58)*100</f>
        <v>-3.6027022174317094E-2</v>
      </c>
      <c r="E49" s="33">
        <f>E$11*Loads!$B72*LAFs!E263*(1-Contrib!E120)/(24*Input!$F$58)*100</f>
        <v>-4.1040921281181503E-2</v>
      </c>
      <c r="F49" s="33">
        <f>F$11*Loads!$B72*LAFs!F263*(1-Contrib!F120)/(24*Input!$F$58)*100</f>
        <v>-4.6135251813849358E-2</v>
      </c>
      <c r="G49" s="33">
        <f>G$11*Loads!$B72*LAFs!G263*(1-Contrib!G120)/(24*Input!$F$58)*100</f>
        <v>-3.8791180369423888E-3</v>
      </c>
      <c r="H49" s="33">
        <f>H$11*Loads!$B72*LAFs!H263*(1-Contrib!H120)/(24*Input!$F$58)*100</f>
        <v>0</v>
      </c>
      <c r="I49" s="33">
        <f>I$11*Loads!$B72*LAFs!I263*(1-Contrib!I120)/(24*Input!$F$58)*100</f>
        <v>0</v>
      </c>
      <c r="J49" s="33">
        <f>J$11*Loads!$B72*LAFs!J263*(1-Contrib!J120)/(24*Input!$F$58)*100</f>
        <v>0</v>
      </c>
      <c r="K49" s="33">
        <f>K$11*Loads!$B72*LAFs!B263*(1-Contrib!K120)/(24*Input!$F$58)*100</f>
        <v>-3.0596256263270481E-2</v>
      </c>
      <c r="L49" s="33">
        <f>L$11*Loads!$B72*LAFs!C263*(1-Contrib!L120)/(24*Input!$F$58)*100</f>
        <v>-3.23948342718587E-2</v>
      </c>
      <c r="M49" s="33">
        <f>M$11*Loads!$B72*LAFs!D263*(1-Contrib!M120)/(24*Input!$F$58)*100</f>
        <v>-1.6304882815425407E-2</v>
      </c>
      <c r="N49" s="33">
        <f>N$11*Loads!$B72*LAFs!E263*(1-Contrib!N120)/(24*Input!$F$58)*100</f>
        <v>-1.9874213746489927E-2</v>
      </c>
      <c r="O49" s="33">
        <f>O$11*Loads!$B72*LAFs!F263*(1-Contrib!O120)/(24*Input!$F$58)*100</f>
        <v>-3.2203201234673927E-2</v>
      </c>
      <c r="P49" s="33">
        <f>P$11*Loads!$B72*LAFs!G263*(1-Contrib!P120)/(24*Input!$F$58)*100</f>
        <v>-2.7076912739253589E-3</v>
      </c>
      <c r="Q49" s="33">
        <f>Q$11*Loads!$B72*LAFs!H263*(1-Contrib!Q120)/(24*Input!$F$58)*100</f>
        <v>0</v>
      </c>
      <c r="R49" s="33">
        <f>R$11*Loads!$B72*LAFs!I263*(1-Contrib!R120)/(24*Input!$F$58)*100</f>
        <v>0</v>
      </c>
      <c r="S49" s="33">
        <f>S$11*Loads!$B72*LAFs!J263*(1-Contrib!S120)/(24*Input!$F$58)*100</f>
        <v>0</v>
      </c>
      <c r="T49" s="10"/>
    </row>
    <row r="51" spans="1:20" ht="21" customHeight="1" x14ac:dyDescent="0.3">
      <c r="A51" s="1" t="s">
        <v>980</v>
      </c>
    </row>
    <row r="52" spans="1:20" x14ac:dyDescent="0.25">
      <c r="A52" s="2" t="s">
        <v>356</v>
      </c>
    </row>
    <row r="53" spans="1:20" x14ac:dyDescent="0.25">
      <c r="A53" s="11" t="s">
        <v>981</v>
      </c>
    </row>
    <row r="54" spans="1:20" x14ac:dyDescent="0.25">
      <c r="A54" s="11" t="s">
        <v>982</v>
      </c>
    </row>
    <row r="55" spans="1:20" x14ac:dyDescent="0.25">
      <c r="A55" s="11" t="s">
        <v>803</v>
      </c>
    </row>
    <row r="56" spans="1:20" x14ac:dyDescent="0.25">
      <c r="A56" s="11" t="s">
        <v>978</v>
      </c>
    </row>
    <row r="57" spans="1:20" x14ac:dyDescent="0.25">
      <c r="A57" s="11" t="s">
        <v>746</v>
      </c>
    </row>
    <row r="58" spans="1:20" x14ac:dyDescent="0.25">
      <c r="A58" s="2" t="s">
        <v>983</v>
      </c>
    </row>
    <row r="60" spans="1:20" ht="30" x14ac:dyDescent="0.25">
      <c r="B60" s="12" t="s">
        <v>139</v>
      </c>
      <c r="C60" s="12" t="s">
        <v>311</v>
      </c>
      <c r="D60" s="12" t="s">
        <v>312</v>
      </c>
      <c r="E60" s="12" t="s">
        <v>313</v>
      </c>
      <c r="F60" s="12" t="s">
        <v>314</v>
      </c>
      <c r="G60" s="12" t="s">
        <v>315</v>
      </c>
      <c r="H60" s="12" t="s">
        <v>316</v>
      </c>
      <c r="I60" s="12" t="s">
        <v>317</v>
      </c>
      <c r="J60" s="12" t="s">
        <v>318</v>
      </c>
      <c r="K60" s="12" t="s">
        <v>299</v>
      </c>
      <c r="L60" s="12" t="s">
        <v>882</v>
      </c>
      <c r="M60" s="12" t="s">
        <v>883</v>
      </c>
      <c r="N60" s="12" t="s">
        <v>884</v>
      </c>
      <c r="O60" s="12" t="s">
        <v>885</v>
      </c>
      <c r="P60" s="12" t="s">
        <v>886</v>
      </c>
      <c r="Q60" s="12" t="s">
        <v>887</v>
      </c>
      <c r="R60" s="12" t="s">
        <v>888</v>
      </c>
      <c r="S60" s="12" t="s">
        <v>889</v>
      </c>
    </row>
    <row r="61" spans="1:20" x14ac:dyDescent="0.25">
      <c r="A61" s="3" t="s">
        <v>171</v>
      </c>
      <c r="B61" s="33">
        <f>Multi!B852*B$11*LAFs!B$237*(1-Contrib!B$94)*100/(24*Input!$F$58)</f>
        <v>0</v>
      </c>
      <c r="C61" s="33">
        <f>Multi!C852*C$11*LAFs!C$237*(1-Contrib!C$94)*100/(24*Input!$F$58)</f>
        <v>0.14852313018664284</v>
      </c>
      <c r="D61" s="33">
        <f>Multi!D852*D$11*LAFs!D$237*(1-Contrib!D$94)*100/(24*Input!$F$58)</f>
        <v>7.4754271398667582E-2</v>
      </c>
      <c r="E61" s="33">
        <f>Multi!E852*E$11*LAFs!E$237*(1-Contrib!E$94)*100/(24*Input!$F$58)</f>
        <v>8.62399448715995E-2</v>
      </c>
      <c r="F61" s="33">
        <f>Multi!F852*F$11*LAFs!F$237*(1-Contrib!F$94)*100/(24*Input!$F$58)</f>
        <v>0.13973897707816488</v>
      </c>
      <c r="G61" s="33">
        <f>Multi!G852*G$11*LAFs!G$237*(1-Contrib!G$94)*100/(24*Input!$F$58)</f>
        <v>1.2414163943780492E-2</v>
      </c>
      <c r="H61" s="33">
        <f>Multi!H852*H$11*LAFs!H$237*(1-Contrib!H$94)*100/(24*Input!$F$58)</f>
        <v>0.18204787888387178</v>
      </c>
      <c r="I61" s="33">
        <f>Multi!I852*I$11*LAFs!I$237*(1-Contrib!I$94)*100/(24*Input!$F$58)</f>
        <v>4.3206831031642211E-2</v>
      </c>
      <c r="J61" s="33">
        <f>Multi!J852*J$11*LAFs!J$237*(1-Contrib!J$94)*100/(24*Input!$F$58)</f>
        <v>1.7951988442149115E-2</v>
      </c>
      <c r="K61" s="33">
        <f>Multi!B852*K$11*LAFs!B$237*(1-Contrib!K$94)*100/(24*Input!$F$58)</f>
        <v>6.5046388581286266E-2</v>
      </c>
      <c r="L61" s="33">
        <f>Multi!C852*L$11*LAFs!C$237*(1-Contrib!L$94)*100/(24*Input!$F$58)</f>
        <v>6.7217662935232222E-2</v>
      </c>
      <c r="M61" s="33">
        <f>Multi!D852*M$11*LAFs!D$237*(1-Contrib!M$94)*100/(24*Input!$F$58)</f>
        <v>3.3831817384470962E-2</v>
      </c>
      <c r="N61" s="33">
        <f>Multi!E852*N$11*LAFs!E$237*(1-Contrib!N$94)*100/(24*Input!$F$58)</f>
        <v>3.9029931153804306E-2</v>
      </c>
      <c r="O61" s="33">
        <f>Multi!F852*O$11*LAFs!F$237*(1-Contrib!O$94)*100/(24*Input!$F$58)</f>
        <v>6.3242186239614848E-2</v>
      </c>
      <c r="P61" s="33">
        <f>Multi!G852*P$11*LAFs!G$237*(1-Contrib!P$94)*100/(24*Input!$F$58)</f>
        <v>5.6183241394598283E-3</v>
      </c>
      <c r="Q61" s="33">
        <f>Multi!H852*Q$11*LAFs!H$237*(1-Contrib!Q$94)*100/(24*Input!$F$58)</f>
        <v>0.15817889148093411</v>
      </c>
      <c r="R61" s="33">
        <f>Multi!I852*R$11*LAFs!I$237*(1-Contrib!R$94)*100/(24*Input!$F$58)</f>
        <v>6.7179242273124815E-2</v>
      </c>
      <c r="S61" s="33">
        <f>Multi!J852*S$11*LAFs!J$237*(1-Contrib!S$94)*100/(24*Input!$F$58)</f>
        <v>0.13256895083536654</v>
      </c>
      <c r="T61" s="10"/>
    </row>
    <row r="62" spans="1:20" x14ac:dyDescent="0.25">
      <c r="A62" s="3" t="s">
        <v>172</v>
      </c>
      <c r="B62" s="33">
        <f>Multi!B853*B$11*LAFs!B$238*(1-Contrib!B$95)*100/(24*Input!$F$58)</f>
        <v>0</v>
      </c>
      <c r="C62" s="33">
        <f>Multi!C853*C$11*LAFs!C$238*(1-Contrib!C$95)*100/(24*Input!$F$58)</f>
        <v>0.17991228142212476</v>
      </c>
      <c r="D62" s="33">
        <f>Multi!D853*D$11*LAFs!D$238*(1-Contrib!D$95)*100/(24*Input!$F$58)</f>
        <v>9.0552976472296987E-2</v>
      </c>
      <c r="E62" s="33">
        <f>Multi!E853*E$11*LAFs!E$238*(1-Contrib!E$95)*100/(24*Input!$F$58)</f>
        <v>0.10456734005644332</v>
      </c>
      <c r="F62" s="33">
        <f>Multi!F853*F$11*LAFs!F$238*(1-Contrib!F$95)*100/(24*Input!$F$58)</f>
        <v>0.16943578937843298</v>
      </c>
      <c r="G62" s="33">
        <f>Multi!G853*G$11*LAFs!G$238*(1-Contrib!G$95)*100/(24*Input!$F$58)</f>
        <v>1.5037796161898371E-2</v>
      </c>
      <c r="H62" s="33">
        <f>Multi!H853*H$11*LAFs!H$238*(1-Contrib!H$95)*100/(24*Input!$F$58)</f>
        <v>0.22073602303603793</v>
      </c>
      <c r="I62" s="33">
        <f>Multi!I853*I$11*LAFs!I$238*(1-Contrib!I$95)*100/(24*Input!$F$58)</f>
        <v>5.2388987492672803E-2</v>
      </c>
      <c r="J62" s="33">
        <f>Multi!J853*J$11*LAFs!J$238*(1-Contrib!J$95)*100/(24*Input!$F$58)</f>
        <v>2.1767078850925176E-2</v>
      </c>
      <c r="K62" s="33">
        <f>Multi!B853*K$11*LAFs!B$238*(1-Contrib!K$95)*100/(24*Input!$F$58)</f>
        <v>7.8763349034288277E-2</v>
      </c>
      <c r="L62" s="33">
        <f>Multi!C853*L$11*LAFs!C$238*(1-Contrib!L$95)*100/(24*Input!$F$58)</f>
        <v>8.1423567328158905E-2</v>
      </c>
      <c r="M62" s="33">
        <f>Multi!D853*M$11*LAFs!D$238*(1-Contrib!M$95)*100/(24*Input!$F$58)</f>
        <v>4.0981895834324898E-2</v>
      </c>
      <c r="N62" s="33">
        <f>Multi!E853*N$11*LAFs!E$238*(1-Contrib!N$95)*100/(24*Input!$F$58)</f>
        <v>4.7324428249761838E-2</v>
      </c>
      <c r="O62" s="33">
        <f>Multi!F853*O$11*LAFs!F$238*(1-Contrib!O$95)*100/(24*Input!$F$58)</f>
        <v>7.6682182534749496E-2</v>
      </c>
      <c r="P62" s="33">
        <f>Multi!G853*P$11*LAFs!G$238*(1-Contrib!P$95)*100/(24*Input!$F$58)</f>
        <v>6.8057110864077281E-3</v>
      </c>
      <c r="Q62" s="33">
        <f>Multi!H853*Q$11*LAFs!H$238*(1-Contrib!Q$95)*100/(24*Input!$F$58)</f>
        <v>0.19179448641652763</v>
      </c>
      <c r="R62" s="33">
        <f>Multi!I853*R$11*LAFs!I$238*(1-Contrib!R$95)*100/(24*Input!$F$58)</f>
        <v>8.1455927203652759E-2</v>
      </c>
      <c r="S62" s="33">
        <f>Multi!J853*S$11*LAFs!J$238*(1-Contrib!S$95)*100/(24*Input!$F$58)</f>
        <v>0.16074201558879758</v>
      </c>
      <c r="T62" s="10"/>
    </row>
    <row r="63" spans="1:20" x14ac:dyDescent="0.25">
      <c r="A63" s="3" t="s">
        <v>211</v>
      </c>
      <c r="B63" s="33">
        <f>Multi!B854*B$11*LAFs!B$239*(1-Contrib!B$96)*100/(24*Input!$F$58)</f>
        <v>0</v>
      </c>
      <c r="C63" s="33">
        <f>Multi!C854*C$11*LAFs!C$239*(1-Contrib!C$96)*100/(24*Input!$F$58)</f>
        <v>4.3865530937929442E-2</v>
      </c>
      <c r="D63" s="33">
        <f>Multi!D854*D$11*LAFs!D$239*(1-Contrib!D$96)*100/(24*Input!$F$58)</f>
        <v>2.2078283703419618E-2</v>
      </c>
      <c r="E63" s="33">
        <f>Multi!E854*E$11*LAFs!E$239*(1-Contrib!E$96)*100/(24*Input!$F$58)</f>
        <v>3.1440106138130808E-2</v>
      </c>
      <c r="F63" s="33">
        <f>Multi!F854*F$11*LAFs!F$239*(1-Contrib!F$96)*100/(24*Input!$F$58)</f>
        <v>5.0944006023108751E-2</v>
      </c>
      <c r="G63" s="33">
        <f>Multi!G854*G$11*LAFs!G$239*(1-Contrib!G$96)*100/(24*Input!$F$58)</f>
        <v>3.666458496128604E-3</v>
      </c>
      <c r="H63" s="33">
        <f>Multi!H854*H$11*LAFs!H$239*(1-Contrib!H$96)*100/(24*Input!$F$58)</f>
        <v>6.6368370745740188E-2</v>
      </c>
      <c r="I63" s="33">
        <f>Multi!I854*I$11*LAFs!I$239*(1-Contrib!I$96)*100/(24*Input!$F$58)</f>
        <v>1.5751718713986233E-2</v>
      </c>
      <c r="J63" s="33">
        <f>Multi!J854*J$11*LAFs!J$239*(1-Contrib!J$96)*100/(24*Input!$F$58)</f>
        <v>6.5446751253378605E-3</v>
      </c>
      <c r="K63" s="33">
        <f>Multi!B854*K$11*LAFs!B$239*(1-Contrib!K$96)*100/(24*Input!$F$58)</f>
        <v>1.66826178479994E-2</v>
      </c>
      <c r="L63" s="33">
        <f>Multi!C854*L$11*LAFs!C$239*(1-Contrib!L$96)*100/(24*Input!$F$58)</f>
        <v>1.9852385748640206E-2</v>
      </c>
      <c r="M63" s="33">
        <f>Multi!D854*M$11*LAFs!D$239*(1-Contrib!M$96)*100/(24*Input!$F$58)</f>
        <v>9.9920506004683961E-3</v>
      </c>
      <c r="N63" s="33">
        <f>Multi!E854*N$11*LAFs!E$239*(1-Contrib!N$96)*100/(24*Input!$F$58)</f>
        <v>1.4228965241878947E-2</v>
      </c>
      <c r="O63" s="33">
        <f>Multi!F854*O$11*LAFs!F$239*(1-Contrib!O$96)*100/(24*Input!$F$58)</f>
        <v>2.3055917425983025E-2</v>
      </c>
      <c r="P63" s="33">
        <f>Multi!G854*P$11*LAFs!G$239*(1-Contrib!P$96)*100/(24*Input!$F$58)</f>
        <v>1.6593426966499188E-3</v>
      </c>
      <c r="Q63" s="33">
        <f>Multi!H854*Q$11*LAFs!H$239*(1-Contrib!Q$96)*100/(24*Input!$F$58)</f>
        <v>5.7666562106189423E-2</v>
      </c>
      <c r="R63" s="33">
        <f>Multi!I854*R$11*LAFs!I$239*(1-Contrib!R$96)*100/(24*Input!$F$58)</f>
        <v>2.4491232113969166E-2</v>
      </c>
      <c r="S63" s="33">
        <f>Multi!J854*S$11*LAFs!J$239*(1-Contrib!S$96)*100/(24*Input!$F$58)</f>
        <v>4.8330062027407056E-2</v>
      </c>
      <c r="T63" s="10"/>
    </row>
    <row r="64" spans="1:20" x14ac:dyDescent="0.25">
      <c r="A64" s="3" t="s">
        <v>173</v>
      </c>
      <c r="B64" s="33">
        <f>Multi!B855*B$11*LAFs!B$240*(1-Contrib!B$97)*100/(24*Input!$F$58)</f>
        <v>0</v>
      </c>
      <c r="C64" s="33">
        <f>Multi!C855*C$11*LAFs!C$240*(1-Contrib!C$97)*100/(24*Input!$F$58)</f>
        <v>0.13971239054989121</v>
      </c>
      <c r="D64" s="33">
        <f>Multi!D855*D$11*LAFs!D$240*(1-Contrib!D$97)*100/(24*Input!$F$58)</f>
        <v>7.0319673089292864E-2</v>
      </c>
      <c r="E64" s="33">
        <f>Multi!E855*E$11*LAFs!E$240*(1-Contrib!E$97)*100/(24*Input!$F$58)</f>
        <v>8.7299173302801791E-2</v>
      </c>
      <c r="F64" s="33">
        <f>Multi!F855*F$11*LAFs!F$240*(1-Contrib!F$97)*100/(24*Input!$F$58)</f>
        <v>0.1414552988787956</v>
      </c>
      <c r="G64" s="33">
        <f>Multi!G855*G$11*LAFs!G$240*(1-Contrib!G$97)*100/(24*Input!$F$58)</f>
        <v>1.16777266886597E-2</v>
      </c>
      <c r="H64" s="33">
        <f>Multi!H855*H$11*LAFs!H$240*(1-Contrib!H$97)*100/(24*Input!$F$58)</f>
        <v>0.18428385305385728</v>
      </c>
      <c r="I64" s="33">
        <f>Multi!I855*I$11*LAFs!I$240*(1-Contrib!I$97)*100/(24*Input!$F$58)</f>
        <v>4.3737512074156888E-2</v>
      </c>
      <c r="J64" s="33">
        <f>Multi!J855*J$11*LAFs!J$240*(1-Contrib!J$97)*100/(24*Input!$F$58)</f>
        <v>1.8172480890084355E-2</v>
      </c>
      <c r="K64" s="33">
        <f>Multi!B855*K$11*LAFs!B$240*(1-Contrib!K$97)*100/(24*Input!$F$58)</f>
        <v>5.7353117223506861E-2</v>
      </c>
      <c r="L64" s="33">
        <f>Multi!C855*L$11*LAFs!C$240*(1-Contrib!L$97)*100/(24*Input!$F$58)</f>
        <v>6.3230153876077458E-2</v>
      </c>
      <c r="M64" s="33">
        <f>Multi!D855*M$11*LAFs!D$240*(1-Contrib!M$97)*100/(24*Input!$F$58)</f>
        <v>3.182483480850376E-2</v>
      </c>
      <c r="N64" s="33">
        <f>Multi!E855*N$11*LAFs!E$240*(1-Contrib!N$97)*100/(24*Input!$F$58)</f>
        <v>3.9509310086705184E-2</v>
      </c>
      <c r="O64" s="33">
        <f>Multi!F855*O$11*LAFs!F$240*(1-Contrib!O$97)*100/(24*Input!$F$58)</f>
        <v>6.401894835160514E-2</v>
      </c>
      <c r="P64" s="33">
        <f>Multi!G855*P$11*LAFs!G$240*(1-Contrib!P$97)*100/(24*Input!$F$58)</f>
        <v>5.2850320042519949E-3</v>
      </c>
      <c r="Q64" s="33">
        <f>Multi!H855*Q$11*LAFs!H$240*(1-Contrib!Q$97)*100/(24*Input!$F$58)</f>
        <v>0.16012169860264699</v>
      </c>
      <c r="R64" s="33">
        <f>Multi!I855*R$11*LAFs!I$240*(1-Contrib!R$97)*100/(24*Input!$F$58)</f>
        <v>6.8004360650789214E-2</v>
      </c>
      <c r="S64" s="33">
        <f>Multi!J855*S$11*LAFs!J$240*(1-Contrib!S$97)*100/(24*Input!$F$58)</f>
        <v>0.13419720792700254</v>
      </c>
      <c r="T64" s="10"/>
    </row>
    <row r="65" spans="1:20" x14ac:dyDescent="0.25">
      <c r="A65" s="3" t="s">
        <v>174</v>
      </c>
      <c r="B65" s="33">
        <f>Multi!B856*B$11*LAFs!B$241*(1-Contrib!B$98)*100/(24*Input!$F$58)</f>
        <v>0</v>
      </c>
      <c r="C65" s="33">
        <f>Multi!C856*C$11*LAFs!C$241*(1-Contrib!C$98)*100/(24*Input!$F$58)</f>
        <v>0.15219693563171241</v>
      </c>
      <c r="D65" s="33">
        <f>Multi!D856*D$11*LAFs!D$241*(1-Contrib!D$98)*100/(24*Input!$F$58)</f>
        <v>7.6603361496361558E-2</v>
      </c>
      <c r="E65" s="33">
        <f>Multi!E856*E$11*LAFs!E$241*(1-Contrib!E$98)*100/(24*Input!$F$58)</f>
        <v>9.4061665440270448E-2</v>
      </c>
      <c r="F65" s="33">
        <f>Multi!F856*F$11*LAFs!F$241*(1-Contrib!F$98)*100/(24*Input!$F$58)</f>
        <v>0.15241290947555516</v>
      </c>
      <c r="G65" s="33">
        <f>Multi!G856*G$11*LAFs!G$241*(1-Contrib!G$98)*100/(24*Input!$F$58)</f>
        <v>1.2721235462104503E-2</v>
      </c>
      <c r="H65" s="33">
        <f>Multi!H856*H$11*LAFs!H$241*(1-Contrib!H$98)*100/(24*Input!$F$58)</f>
        <v>0.19855910973946828</v>
      </c>
      <c r="I65" s="33">
        <f>Multi!I856*I$11*LAFs!I$241*(1-Contrib!I$98)*100/(24*Input!$F$58)</f>
        <v>4.7125569146450302E-2</v>
      </c>
      <c r="J65" s="33">
        <f>Multi!J856*J$11*LAFs!J$241*(1-Contrib!J$98)*100/(24*Input!$F$58)</f>
        <v>1.9580183328585576E-2</v>
      </c>
      <c r="K65" s="33">
        <f>Multi!B856*K$11*LAFs!B$241*(1-Contrib!K$98)*100/(24*Input!$F$58)</f>
        <v>6.332863732135241E-2</v>
      </c>
      <c r="L65" s="33">
        <f>Multi!C856*L$11*LAFs!C$241*(1-Contrib!L$98)*100/(24*Input!$F$58)</f>
        <v>6.8880330667766429E-2</v>
      </c>
      <c r="M65" s="33">
        <f>Multi!D856*M$11*LAFs!D$241*(1-Contrib!M$98)*100/(24*Input!$F$58)</f>
        <v>3.4668666936237602E-2</v>
      </c>
      <c r="N65" s="33">
        <f>Multi!E856*N$11*LAFs!E$241*(1-Contrib!N$98)*100/(24*Input!$F$58)</f>
        <v>4.2569836191476217E-2</v>
      </c>
      <c r="O65" s="33">
        <f>Multi!F856*O$11*LAFs!F$241*(1-Contrib!O$98)*100/(24*Input!$F$58)</f>
        <v>6.8978074749917184E-2</v>
      </c>
      <c r="P65" s="33">
        <f>Multi!G856*P$11*LAFs!G$241*(1-Contrib!P$98)*100/(24*Input!$F$58)</f>
        <v>5.7572966334395546E-3</v>
      </c>
      <c r="Q65" s="33">
        <f>Multi!H856*Q$11*LAFs!H$241*(1-Contrib!Q$98)*100/(24*Input!$F$58)</f>
        <v>0.17252527227776876</v>
      </c>
      <c r="R65" s="33">
        <f>Multi!I856*R$11*LAFs!I$241*(1-Contrib!R$98)*100/(24*Input!$F$58)</f>
        <v>7.3272210698113599E-2</v>
      </c>
      <c r="S65" s="33">
        <f>Multi!J856*S$11*LAFs!J$241*(1-Contrib!S$98)*100/(24*Input!$F$58)</f>
        <v>0.14459258200836828</v>
      </c>
      <c r="T65" s="10"/>
    </row>
    <row r="66" spans="1:20" x14ac:dyDescent="0.25">
      <c r="A66" s="3" t="s">
        <v>212</v>
      </c>
      <c r="B66" s="33">
        <f>Multi!B857*B$11*LAFs!B$242*(1-Contrib!B$99)*100/(24*Input!$F$58)</f>
        <v>0</v>
      </c>
      <c r="C66" s="33">
        <f>Multi!C857*C$11*LAFs!C$242*(1-Contrib!C$99)*100/(24*Input!$F$58)</f>
        <v>1.9343188680648545E-2</v>
      </c>
      <c r="D66" s="33">
        <f>Multi!D857*D$11*LAFs!D$242*(1-Contrib!D$99)*100/(24*Input!$F$58)</f>
        <v>9.7357628709529992E-3</v>
      </c>
      <c r="E66" s="33">
        <f>Multi!E857*E$11*LAFs!E$242*(1-Contrib!E$99)*100/(24*Input!$F$58)</f>
        <v>1.6551333310514577E-2</v>
      </c>
      <c r="F66" s="33">
        <f>Multi!F857*F$11*LAFs!F$242*(1-Contrib!F$99)*100/(24*Input!$F$58)</f>
        <v>2.6818968745105674E-2</v>
      </c>
      <c r="G66" s="33">
        <f>Multi!G857*G$11*LAFs!G$242*(1-Contrib!G$99)*100/(24*Input!$F$58)</f>
        <v>1.616781946187704E-3</v>
      </c>
      <c r="H66" s="33">
        <f>Multi!H857*H$11*LAFs!H$242*(1-Contrib!H$99)*100/(24*Input!$F$58)</f>
        <v>3.4938973191197327E-2</v>
      </c>
      <c r="I66" s="33">
        <f>Multi!I857*I$11*LAFs!I$242*(1-Contrib!I$99)*100/(24*Input!$F$58)</f>
        <v>8.2923367212320784E-3</v>
      </c>
      <c r="J66" s="33">
        <f>Multi!J857*J$11*LAFs!J$242*(1-Contrib!J$99)*100/(24*Input!$F$58)</f>
        <v>3.4453795713216637E-3</v>
      </c>
      <c r="K66" s="33">
        <f>Multi!B857*K$11*LAFs!B$242*(1-Contrib!K$99)*100/(24*Input!$F$58)</f>
        <v>6.7807840477061669E-3</v>
      </c>
      <c r="L66" s="33">
        <f>Multi!C857*L$11*LAFs!C$242*(1-Contrib!L$99)*100/(24*Input!$F$58)</f>
        <v>8.7542185193277364E-3</v>
      </c>
      <c r="M66" s="33">
        <f>Multi!D857*M$11*LAFs!D$242*(1-Contrib!M$99)*100/(24*Input!$F$58)</f>
        <v>4.4061502491543987E-3</v>
      </c>
      <c r="N66" s="33">
        <f>Multi!E857*N$11*LAFs!E$242*(1-Contrib!N$99)*100/(24*Input!$F$58)</f>
        <v>7.4906981976259543E-3</v>
      </c>
      <c r="O66" s="33">
        <f>Multi!F857*O$11*LAFs!F$242*(1-Contrib!O$99)*100/(24*Input!$F$58)</f>
        <v>1.2137559982163398E-2</v>
      </c>
      <c r="P66" s="33">
        <f>Multi!G857*P$11*LAFs!G$242*(1-Contrib!P$99)*100/(24*Input!$F$58)</f>
        <v>7.3171299151886205E-4</v>
      </c>
      <c r="Q66" s="33">
        <f>Multi!H857*Q$11*LAFs!H$242*(1-Contrib!Q$99)*100/(24*Input!$F$58)</f>
        <v>3.0357991989519911E-2</v>
      </c>
      <c r="R66" s="33">
        <f>Multi!I857*R$11*LAFs!I$242*(1-Contrib!R$99)*100/(24*Input!$F$58)</f>
        <v>1.289316722159075E-2</v>
      </c>
      <c r="S66" s="33">
        <f>Multi!J857*S$11*LAFs!J$242*(1-Contrib!S$99)*100/(24*Input!$F$58)</f>
        <v>2.5442883749151868E-2</v>
      </c>
      <c r="T66" s="10"/>
    </row>
    <row r="67" spans="1:20" x14ac:dyDescent="0.25">
      <c r="A67" s="3" t="s">
        <v>175</v>
      </c>
      <c r="B67" s="33">
        <f>Multi!B858*B$11*LAFs!B$243*(1-Contrib!B$100)*100/(24*Input!$F$58)</f>
        <v>0</v>
      </c>
      <c r="C67" s="33">
        <f>Multi!C858*C$11*LAFs!C$243*(1-Contrib!C$100)*100/(24*Input!$F$58)</f>
        <v>0.11593612936548527</v>
      </c>
      <c r="D67" s="33">
        <f>Multi!D858*D$11*LAFs!D$243*(1-Contrib!D$100)*100/(24*Input!$F$58)</f>
        <v>5.8352667820880236E-2</v>
      </c>
      <c r="E67" s="33">
        <f>Multi!E858*E$11*LAFs!E$243*(1-Contrib!E$100)*100/(24*Input!$F$58)</f>
        <v>7.0909749478431025E-2</v>
      </c>
      <c r="F67" s="33">
        <f>Multi!F858*F$11*LAFs!F$243*(1-Contrib!F$100)*100/(24*Input!$F$58)</f>
        <v>0.11489868032427357</v>
      </c>
      <c r="G67" s="33">
        <f>Multi!G858*G$11*LAFs!G$243*(1-Contrib!G$100)*100/(24*Input!$F$58)</f>
        <v>9.6904106124199793E-3</v>
      </c>
      <c r="H67" s="33">
        <f>Multi!H858*H$11*LAFs!H$243*(1-Contrib!H$100)*100/(24*Input!$F$58)</f>
        <v>0.14968666206773373</v>
      </c>
      <c r="I67" s="33">
        <f>Multi!I858*I$11*LAFs!I$243*(1-Contrib!I$100)*100/(24*Input!$F$58)</f>
        <v>3.5526293166956935E-2</v>
      </c>
      <c r="J67" s="33">
        <f>Multi!J858*J$11*LAFs!J$243*(1-Contrib!J$100)*100/(24*Input!$F$58)</f>
        <v>1.476080492592821E-2</v>
      </c>
      <c r="K67" s="33">
        <f>Multi!B858*K$11*LAFs!B$243*(1-Contrib!K$100)*100/(24*Input!$F$58)</f>
        <v>4.8582025379594426E-2</v>
      </c>
      <c r="L67" s="33">
        <f>Multi!C858*L$11*LAFs!C$243*(1-Contrib!L$100)*100/(24*Input!$F$58)</f>
        <v>5.2469643320280042E-2</v>
      </c>
      <c r="M67" s="33">
        <f>Multi!D858*M$11*LAFs!D$243*(1-Contrib!M$100)*100/(24*Input!$F$58)</f>
        <v>2.6408882926359484E-2</v>
      </c>
      <c r="N67" s="33">
        <f>Multi!E858*N$11*LAFs!E$243*(1-Contrib!N$100)*100/(24*Input!$F$58)</f>
        <v>3.2091887864692963E-2</v>
      </c>
      <c r="O67" s="33">
        <f>Multi!F858*O$11*LAFs!F$243*(1-Contrib!O$100)*100/(24*Input!$F$58)</f>
        <v>5.2000121166545364E-2</v>
      </c>
      <c r="P67" s="33">
        <f>Multi!G858*P$11*LAFs!G$243*(1-Contrib!P$100)*100/(24*Input!$F$58)</f>
        <v>4.3856250095934404E-3</v>
      </c>
      <c r="Q67" s="33">
        <f>Multi!H858*Q$11*LAFs!H$243*(1-Contrib!Q$100)*100/(24*Input!$F$58)</f>
        <v>0.1300606764578621</v>
      </c>
      <c r="R67" s="33">
        <f>Multi!I858*R$11*LAFs!I$243*(1-Contrib!R$100)*100/(24*Input!$F$58)</f>
        <v>5.5237317774618287E-2</v>
      </c>
      <c r="S67" s="33">
        <f>Multi!J858*S$11*LAFs!J$243*(1-Contrib!S$100)*100/(24*Input!$F$58)</f>
        <v>0.1090032131438668</v>
      </c>
      <c r="T67" s="10"/>
    </row>
    <row r="68" spans="1:20" x14ac:dyDescent="0.25">
      <c r="A68" s="3" t="s">
        <v>176</v>
      </c>
      <c r="B68" s="33">
        <f>Multi!B859*B$11*LAFs!B$244*(1-Contrib!B$101)*100/(24*Input!$F$58)</f>
        <v>0</v>
      </c>
      <c r="C68" s="33">
        <f>Multi!C859*C$11*LAFs!C$244*(1-Contrib!C$101)*100/(24*Input!$F$58)</f>
        <v>0.11073904393608351</v>
      </c>
      <c r="D68" s="33">
        <f>Multi!D859*D$11*LAFs!D$244*(1-Contrib!D$101)*100/(24*Input!$F$58)</f>
        <v>5.5736884446375923E-2</v>
      </c>
      <c r="E68" s="33">
        <f>Multi!E859*E$11*LAFs!E$244*(1-Contrib!E$101)*100/(24*Input!$F$58)</f>
        <v>6.7891203075617287E-2</v>
      </c>
      <c r="F68" s="33">
        <f>Multi!F859*F$11*LAFs!F$244*(1-Contrib!F$101)*100/(24*Input!$F$58)</f>
        <v>0.11000757577614115</v>
      </c>
      <c r="G68" s="33">
        <f>Multi!G859*G$11*LAFs!G$244*(1-Contrib!G$101)*100/(24*Input!$F$58)</f>
        <v>9.2560171918844077E-3</v>
      </c>
      <c r="H68" s="33">
        <f>Multi!H859*H$11*LAFs!H$244*(1-Contrib!H$101)*100/(24*Input!$F$58)</f>
        <v>0.14331467318528546</v>
      </c>
      <c r="I68" s="33">
        <f>Multi!I859*I$11*LAFs!I$244*(1-Contrib!I$101)*100/(24*Input!$F$58)</f>
        <v>3.4013979765299199E-2</v>
      </c>
      <c r="J68" s="33">
        <f>Multi!J859*J$11*LAFs!J$244*(1-Contrib!J$101)*100/(24*Input!$F$58)</f>
        <v>0</v>
      </c>
      <c r="K68" s="33">
        <f>Multi!B859*K$11*LAFs!B$244*(1-Contrib!K$101)*100/(24*Input!$F$58)</f>
        <v>4.6317224033925117E-2</v>
      </c>
      <c r="L68" s="33">
        <f>Multi!C859*L$11*LAFs!C$244*(1-Contrib!L$101)*100/(24*Input!$F$58)</f>
        <v>5.0117579125294798E-2</v>
      </c>
      <c r="M68" s="33">
        <f>Multi!D859*M$11*LAFs!D$244*(1-Contrib!M$101)*100/(24*Input!$F$58)</f>
        <v>2.5225048159626114E-2</v>
      </c>
      <c r="N68" s="33">
        <f>Multi!E859*N$11*LAFs!E$244*(1-Contrib!N$101)*100/(24*Input!$F$58)</f>
        <v>3.0725773143008089E-2</v>
      </c>
      <c r="O68" s="33">
        <f>Multi!F859*O$11*LAFs!F$244*(1-Contrib!O$101)*100/(24*Input!$F$58)</f>
        <v>4.9786535871889935E-2</v>
      </c>
      <c r="P68" s="33">
        <f>Multi!G859*P$11*LAFs!G$244*(1-Contrib!P$101)*100/(24*Input!$F$58)</f>
        <v>4.1890299709206793E-3</v>
      </c>
      <c r="Q68" s="33">
        <f>Multi!H859*Q$11*LAFs!H$244*(1-Contrib!Q$101)*100/(24*Input!$F$58)</f>
        <v>0.12452414318906496</v>
      </c>
      <c r="R68" s="33">
        <f>Multi!I859*R$11*LAFs!I$244*(1-Contrib!R$101)*100/(24*Input!$F$58)</f>
        <v>5.2885928747071792E-2</v>
      </c>
      <c r="S68" s="33">
        <f>Multi!J859*S$11*LAFs!J$244*(1-Contrib!S$101)*100/(24*Input!$F$58)</f>
        <v>0</v>
      </c>
      <c r="T68" s="10"/>
    </row>
    <row r="69" spans="1:20" x14ac:dyDescent="0.25">
      <c r="A69" s="3" t="s">
        <v>192</v>
      </c>
      <c r="B69" s="33">
        <f>Multi!B860*B$11*LAFs!B$245*(1-Contrib!B$102)*100/(24*Input!$F$58)</f>
        <v>0</v>
      </c>
      <c r="C69" s="33">
        <f>Multi!C860*C$11*LAFs!C$245*(1-Contrib!C$102)*100/(24*Input!$F$58)</f>
        <v>0.1091228818776513</v>
      </c>
      <c r="D69" s="33">
        <f>Multi!D860*D$11*LAFs!D$245*(1-Contrib!D$102)*100/(24*Input!$F$58)</f>
        <v>5.4923442008228775E-2</v>
      </c>
      <c r="E69" s="33">
        <f>Multi!E860*E$11*LAFs!E$245*(1-Contrib!E$102)*100/(24*Input!$F$58)</f>
        <v>6.2711344523669957E-2</v>
      </c>
      <c r="F69" s="33">
        <f>Multi!F860*F$11*LAFs!F$245*(1-Contrib!F$102)*100/(24*Input!$F$58)</f>
        <v>7.049558296614547E-2</v>
      </c>
      <c r="G69" s="33">
        <f>Multi!G860*G$11*LAFs!G$245*(1-Contrib!G$102)*100/(24*Input!$F$58)</f>
        <v>5.9137420104890476E-3</v>
      </c>
      <c r="H69" s="33">
        <f>Multi!H860*H$11*LAFs!H$245*(1-Contrib!H$102)*100/(24*Input!$F$58)</f>
        <v>9.8487664776942679E-2</v>
      </c>
      <c r="I69" s="33">
        <f>Multi!I860*I$11*LAFs!I$245*(1-Contrib!I$102)*100/(24*Input!$F$58)</f>
        <v>0</v>
      </c>
      <c r="J69" s="33">
        <f>Multi!J860*J$11*LAFs!J$245*(1-Contrib!J$102)*100/(24*Input!$F$58)</f>
        <v>0</v>
      </c>
      <c r="K69" s="33">
        <f>Multi!B860*K$11*LAFs!B$245*(1-Contrib!K$102)*100/(24*Input!$F$58)</f>
        <v>4.5503599669899641E-2</v>
      </c>
      <c r="L69" s="33">
        <f>Multi!C860*L$11*LAFs!C$245*(1-Contrib!L$102)*100/(24*Input!$F$58)</f>
        <v>4.9386146678672568E-2</v>
      </c>
      <c r="M69" s="33">
        <f>Multi!D860*M$11*LAFs!D$245*(1-Contrib!M$102)*100/(24*Input!$F$58)</f>
        <v>2.485690550362446E-2</v>
      </c>
      <c r="N69" s="33">
        <f>Multi!E860*N$11*LAFs!E$245*(1-Contrib!N$102)*100/(24*Input!$F$58)</f>
        <v>3.0368194145891918E-2</v>
      </c>
      <c r="O69" s="33">
        <f>Multi!F860*O$11*LAFs!F$245*(1-Contrib!O$102)*100/(24*Input!$F$58)</f>
        <v>4.9207132402232755E-2</v>
      </c>
      <c r="P69" s="33">
        <f>Multi!G860*P$11*LAFs!G$245*(1-Contrib!P$102)*100/(24*Input!$F$58)</f>
        <v>4.1278938886501375E-3</v>
      </c>
      <c r="Q69" s="33">
        <f>Multi!H860*Q$11*LAFs!H$245*(1-Contrib!Q$102)*100/(24*Input!$F$58)</f>
        <v>0.12307496181188525</v>
      </c>
      <c r="R69" s="33">
        <f>Multi!I860*R$11*LAFs!I$245*(1-Contrib!R$102)*100/(24*Input!$F$58)</f>
        <v>0</v>
      </c>
      <c r="S69" s="33">
        <f>Multi!J860*S$11*LAFs!J$245*(1-Contrib!S$102)*100/(24*Input!$F$58)</f>
        <v>0</v>
      </c>
      <c r="T69" s="10"/>
    </row>
    <row r="70" spans="1:20" x14ac:dyDescent="0.25">
      <c r="A70" s="3" t="s">
        <v>177</v>
      </c>
      <c r="B70" s="33">
        <f>Multi!B861*B$11*LAFs!B$246*(1-Contrib!B$103)*100/(24*Input!$F$58)</f>
        <v>0</v>
      </c>
      <c r="C70" s="33">
        <f>Multi!C861*C$11*LAFs!C$246*(1-Contrib!C$103)*100/(24*Input!$F$58)</f>
        <v>0.93377092976896503</v>
      </c>
      <c r="D70" s="33">
        <f>Multi!D861*D$11*LAFs!D$246*(1-Contrib!D$103)*100/(24*Input!$F$58)</f>
        <v>0.46998312936454006</v>
      </c>
      <c r="E70" s="33">
        <f>Multi!E861*E$11*LAFs!E$246*(1-Contrib!E$103)*100/(24*Input!$F$58)</f>
        <v>0.44811790711782873</v>
      </c>
      <c r="F70" s="33">
        <f>Multi!F861*F$11*LAFs!F$246*(1-Contrib!F$103)*100/(24*Input!$F$58)</f>
        <v>0.72610827899166841</v>
      </c>
      <c r="G70" s="33">
        <f>Multi!G861*G$11*LAFs!G$246*(1-Contrib!G$103)*100/(24*Input!$F$58)</f>
        <v>7.8048351078522982E-2</v>
      </c>
      <c r="H70" s="33">
        <f>Multi!H861*H$11*LAFs!H$246*(1-Contrib!H$103)*100/(24*Input!$F$58)</f>
        <v>0.94595276704016173</v>
      </c>
      <c r="I70" s="33">
        <f>Multi!I861*I$11*LAFs!I$246*(1-Contrib!I$103)*100/(24*Input!$F$58)</f>
        <v>0.22451028608518239</v>
      </c>
      <c r="J70" s="33">
        <f>Multi!J861*J$11*LAFs!J$246*(1-Contrib!J$103)*100/(24*Input!$F$58)</f>
        <v>9.3281686360963303E-2</v>
      </c>
      <c r="K70" s="33">
        <f>Multi!B861*K$11*LAFs!B$246*(1-Contrib!K$103)*100/(24*Input!$F$58)</f>
        <v>0.45747033706892454</v>
      </c>
      <c r="L70" s="33">
        <f>Multi!C861*L$11*LAFs!C$246*(1-Contrib!L$103)*100/(24*Input!$F$58)</f>
        <v>0.42260016697098562</v>
      </c>
      <c r="M70" s="33">
        <f>Multi!D861*M$11*LAFs!D$246*(1-Contrib!M$103)*100/(24*Input!$F$58)</f>
        <v>0.21270200496833042</v>
      </c>
      <c r="N70" s="33">
        <f>Multi!E861*N$11*LAFs!E$246*(1-Contrib!N$103)*100/(24*Input!$F$58)</f>
        <v>0.20280638038018425</v>
      </c>
      <c r="O70" s="33">
        <f>Multi!F861*O$11*LAFs!F$246*(1-Contrib!O$103)*100/(24*Input!$F$58)</f>
        <v>0.32861751223805624</v>
      </c>
      <c r="P70" s="33">
        <f>Multi!G861*P$11*LAFs!G$246*(1-Contrib!P$103)*100/(24*Input!$F$58)</f>
        <v>3.5322631221508118E-2</v>
      </c>
      <c r="Q70" s="33">
        <f>Multi!H861*Q$11*LAFs!H$246*(1-Contrib!Q$103)*100/(24*Input!$F$58)</f>
        <v>0.8219253143794325</v>
      </c>
      <c r="R70" s="33">
        <f>Multi!I861*R$11*LAFs!I$246*(1-Contrib!R$103)*100/(24*Input!$F$58)</f>
        <v>0.34907514718400712</v>
      </c>
      <c r="S70" s="33">
        <f>Multi!J861*S$11*LAFs!J$246*(1-Contrib!S$103)*100/(24*Input!$F$58)</f>
        <v>0.68885156276015325</v>
      </c>
      <c r="T70" s="10"/>
    </row>
    <row r="71" spans="1:20" x14ac:dyDescent="0.25">
      <c r="A71" s="3" t="s">
        <v>178</v>
      </c>
      <c r="B71" s="33">
        <f>Multi!B862*B$11*LAFs!B$247*(1-Contrib!B$104)*100/(24*Input!$F$58)</f>
        <v>0</v>
      </c>
      <c r="C71" s="33">
        <f>Multi!C862*C$11*LAFs!C$247*(1-Contrib!C$104)*100/(24*Input!$F$58)</f>
        <v>0.96169595080774972</v>
      </c>
      <c r="D71" s="33">
        <f>Multi!D862*D$11*LAFs!D$247*(1-Contrib!D$104)*100/(24*Input!$F$58)</f>
        <v>0.48403827753522227</v>
      </c>
      <c r="E71" s="33">
        <f>Multi!E862*E$11*LAFs!E$247*(1-Contrib!E$104)*100/(24*Input!$F$58)</f>
        <v>0.46126715498732113</v>
      </c>
      <c r="F71" s="33">
        <f>Multi!F862*F$11*LAFs!F$247*(1-Contrib!F$104)*100/(24*Input!$F$58)</f>
        <v>0.74741467534159478</v>
      </c>
      <c r="G71" s="33">
        <f>Multi!G862*G$11*LAFs!G$247*(1-Contrib!G$104)*100/(24*Input!$F$58)</f>
        <v>8.0382437283636948E-2</v>
      </c>
      <c r="H71" s="33">
        <f>Multi!H862*H$11*LAFs!H$247*(1-Contrib!H$104)*100/(24*Input!$F$58)</f>
        <v>0.97371012109602784</v>
      </c>
      <c r="I71" s="33">
        <f>Multi!I862*I$11*LAFs!I$247*(1-Contrib!I$104)*100/(24*Input!$F$58)</f>
        <v>0.23109815359525815</v>
      </c>
      <c r="J71" s="33">
        <f>Multi!J862*J$11*LAFs!J$247*(1-Contrib!J$104)*100/(24*Input!$F$58)</f>
        <v>9.6018876721271823E-2</v>
      </c>
      <c r="K71" s="33">
        <f>Multi!B862*K$11*LAFs!B$247*(1-Contrib!K$104)*100/(24*Input!$F$58)</f>
        <v>0.47128298126904355</v>
      </c>
      <c r="L71" s="33">
        <f>Multi!C862*L$11*LAFs!C$247*(1-Contrib!L$104)*100/(24*Input!$F$58)</f>
        <v>0.43523829713485612</v>
      </c>
      <c r="M71" s="33">
        <f>Multi!D862*M$11*LAFs!D$247*(1-Contrib!M$104)*100/(24*Input!$F$58)</f>
        <v>0.21906299541510083</v>
      </c>
      <c r="N71" s="33">
        <f>Multi!E862*N$11*LAFs!E$247*(1-Contrib!N$104)*100/(24*Input!$F$58)</f>
        <v>0.20875738417355061</v>
      </c>
      <c r="O71" s="33">
        <f>Multi!F862*O$11*LAFs!F$247*(1-Contrib!O$104)*100/(24*Input!$F$58)</f>
        <v>0.33826022692104241</v>
      </c>
      <c r="P71" s="33">
        <f>Multi!G862*P$11*LAFs!G$247*(1-Contrib!P$104)*100/(24*Input!$F$58)</f>
        <v>3.6378977257307168E-2</v>
      </c>
      <c r="Q71" s="33">
        <f>Multi!H862*Q$11*LAFs!H$247*(1-Contrib!Q$104)*100/(24*Input!$F$58)</f>
        <v>0.8460432965384086</v>
      </c>
      <c r="R71" s="33">
        <f>Multi!I862*R$11*LAFs!I$247*(1-Contrib!R$104)*100/(24*Input!$F$58)</f>
        <v>0.35931815591562455</v>
      </c>
      <c r="S71" s="33">
        <f>Multi!J862*S$11*LAFs!J$247*(1-Contrib!S$104)*100/(24*Input!$F$58)</f>
        <v>0.7090647249662303</v>
      </c>
      <c r="T71" s="10"/>
    </row>
    <row r="72" spans="1:20" x14ac:dyDescent="0.25">
      <c r="A72" s="3" t="s">
        <v>179</v>
      </c>
      <c r="B72" s="33">
        <f>Multi!B863*B$11*LAFs!B$248*(1-Contrib!B$105)*100/(24*Input!$F$58)</f>
        <v>0</v>
      </c>
      <c r="C72" s="33">
        <f>Multi!C863*C$11*LAFs!C$248*(1-Contrib!C$105)*100/(24*Input!$F$58)</f>
        <v>0.88985804321683715</v>
      </c>
      <c r="D72" s="33">
        <f>Multi!D863*D$11*LAFs!D$248*(1-Contrib!D$105)*100/(24*Input!$F$58)</f>
        <v>0.44788101075788617</v>
      </c>
      <c r="E72" s="33">
        <f>Multi!E863*E$11*LAFs!E$248*(1-Contrib!E$105)*100/(24*Input!$F$58)</f>
        <v>0.42681396705614877</v>
      </c>
      <c r="F72" s="33">
        <f>Multi!F863*F$11*LAFs!F$248*(1-Contrib!F$105)*100/(24*Input!$F$58)</f>
        <v>0.69158841935601967</v>
      </c>
      <c r="G72" s="33">
        <f>Multi!G863*G$11*LAFs!G$248*(1-Contrib!G$105)*100/(24*Input!$F$58)</f>
        <v>7.437793440862317E-2</v>
      </c>
      <c r="H72" s="33">
        <f>Multi!H863*H$11*LAFs!H$248*(1-Contrib!H$105)*100/(24*Input!$F$58)</f>
        <v>0.90098129696475382</v>
      </c>
      <c r="I72" s="33">
        <f>Multi!I863*I$11*LAFs!I$248*(1-Contrib!I$105)*100/(24*Input!$F$58)</f>
        <v>0.21383685928831098</v>
      </c>
      <c r="J72" s="33">
        <f>Multi!J863*J$11*LAFs!J$248*(1-Contrib!J$105)*100/(24*Input!$F$58)</f>
        <v>8.8846988654129974E-2</v>
      </c>
      <c r="K72" s="33">
        <f>Multi!B863*K$11*LAFs!B$248*(1-Contrib!K$105)*100/(24*Input!$F$58)</f>
        <v>0.43582587192933281</v>
      </c>
      <c r="L72" s="33">
        <f>Multi!C863*L$11*LAFs!C$248*(1-Contrib!L$105)*100/(24*Input!$F$58)</f>
        <v>0.40272634931669349</v>
      </c>
      <c r="M72" s="33">
        <f>Multi!D863*M$11*LAFs!D$248*(1-Contrib!M$105)*100/(24*Input!$F$58)</f>
        <v>0.2026991673174566</v>
      </c>
      <c r="N72" s="33">
        <f>Multi!E863*N$11*LAFs!E$248*(1-Contrib!N$105)*100/(24*Input!$F$58)</f>
        <v>0.19316477734866411</v>
      </c>
      <c r="O72" s="33">
        <f>Multi!F863*O$11*LAFs!F$248*(1-Contrib!O$105)*100/(24*Input!$F$58)</f>
        <v>0.31299473155302304</v>
      </c>
      <c r="P72" s="33">
        <f>Multi!G863*P$11*LAFs!G$248*(1-Contrib!P$105)*100/(24*Input!$F$58)</f>
        <v>3.3661497159499433E-2</v>
      </c>
      <c r="Q72" s="33">
        <f>Multi!H863*Q$11*LAFs!H$248*(1-Contrib!Q$105)*100/(24*Input!$F$58)</f>
        <v>0.78285022419761408</v>
      </c>
      <c r="R72" s="33">
        <f>Multi!I863*R$11*LAFs!I$248*(1-Contrib!R$105)*100/(24*Input!$F$58)</f>
        <v>0.3324797915989986</v>
      </c>
      <c r="S72" s="33">
        <f>Multi!J863*S$11*LAFs!J$248*(1-Contrib!S$105)*100/(24*Input!$F$58)</f>
        <v>0.65610292189725172</v>
      </c>
      <c r="T72" s="10"/>
    </row>
    <row r="73" spans="1:20" x14ac:dyDescent="0.25">
      <c r="A73" s="3" t="s">
        <v>180</v>
      </c>
      <c r="B73" s="33">
        <f>Multi!B864*B$11*LAFs!B$249*(1-Contrib!B$106)*100/(24*Input!$F$58)</f>
        <v>0</v>
      </c>
      <c r="C73" s="33">
        <f>Multi!C864*C$11*LAFs!C$249*(1-Contrib!C$106)*100/(24*Input!$F$58)</f>
        <v>0.863179008773996</v>
      </c>
      <c r="D73" s="33">
        <f>Multi!D864*D$11*LAFs!D$249*(1-Contrib!D$106)*100/(24*Input!$F$58)</f>
        <v>0.4344529892848113</v>
      </c>
      <c r="E73" s="33">
        <f>Multi!E864*E$11*LAFs!E$249*(1-Contrib!E$106)*100/(24*Input!$F$58)</f>
        <v>0.41401756136585172</v>
      </c>
      <c r="F73" s="33">
        <f>Multi!F864*F$11*LAFs!F$249*(1-Contrib!F$106)*100/(24*Input!$F$58)</f>
        <v>0.67085375116830626</v>
      </c>
      <c r="G73" s="33">
        <f>Multi!G864*G$11*LAFs!G$249*(1-Contrib!G$106)*100/(24*Input!$F$58)</f>
        <v>7.2147992802766972E-2</v>
      </c>
      <c r="H73" s="33">
        <f>Multi!H864*H$11*LAFs!H$249*(1-Contrib!H$106)*100/(24*Input!$F$58)</f>
        <v>0.87396877374567583</v>
      </c>
      <c r="I73" s="33">
        <f>Multi!I864*I$11*LAFs!I$249*(1-Contrib!I$106)*100/(24*Input!$F$58)</f>
        <v>0.20742576824116116</v>
      </c>
      <c r="J73" s="33">
        <f>Multi!J864*J$11*LAFs!J$249*(1-Contrib!J$106)*100/(24*Input!$F$58)</f>
        <v>0</v>
      </c>
      <c r="K73" s="33">
        <f>Multi!B864*K$11*LAFs!B$249*(1-Contrib!K$106)*100/(24*Input!$F$58)</f>
        <v>0.42275927828901377</v>
      </c>
      <c r="L73" s="33">
        <f>Multi!C864*L$11*LAFs!C$249*(1-Contrib!L$106)*100/(24*Input!$F$58)</f>
        <v>0.39065211991981252</v>
      </c>
      <c r="M73" s="33">
        <f>Multi!D864*M$11*LAFs!D$249*(1-Contrib!M$106)*100/(24*Input!$F$58)</f>
        <v>0.19662199792215804</v>
      </c>
      <c r="N73" s="33">
        <f>Multi!E864*N$11*LAFs!E$249*(1-Contrib!N$106)*100/(24*Input!$F$58)</f>
        <v>0.1873734606467338</v>
      </c>
      <c r="O73" s="33">
        <f>Multi!F864*O$11*LAFs!F$249*(1-Contrib!O$106)*100/(24*Input!$F$58)</f>
        <v>0.30361076600123216</v>
      </c>
      <c r="P73" s="33">
        <f>Multi!G864*P$11*LAFs!G$249*(1-Contrib!P$106)*100/(24*Input!$F$58)</f>
        <v>3.2652284230581696E-2</v>
      </c>
      <c r="Q73" s="33">
        <f>Multi!H864*Q$11*LAFs!H$249*(1-Contrib!Q$106)*100/(24*Input!$F$58)</f>
        <v>0.75937941528133779</v>
      </c>
      <c r="R73" s="33">
        <f>Multi!I864*R$11*LAFs!I$249*(1-Contrib!R$106)*100/(24*Input!$F$58)</f>
        <v>0.32251164007277056</v>
      </c>
      <c r="S73" s="33">
        <f>Multi!J864*S$11*LAFs!J$249*(1-Contrib!S$106)*100/(24*Input!$F$58)</f>
        <v>0</v>
      </c>
      <c r="T73" s="10"/>
    </row>
    <row r="74" spans="1:20" x14ac:dyDescent="0.25">
      <c r="A74" s="3" t="s">
        <v>193</v>
      </c>
      <c r="B74" s="33">
        <f>Multi!B865*B$11*LAFs!B$250*(1-Contrib!B$107)*100/(24*Input!$F$58)</f>
        <v>0</v>
      </c>
      <c r="C74" s="33">
        <f>Multi!C865*C$11*LAFs!C$250*(1-Contrib!C$107)*100/(24*Input!$F$58)</f>
        <v>0.7518423593673601</v>
      </c>
      <c r="D74" s="33">
        <f>Multi!D865*D$11*LAFs!D$250*(1-Contrib!D$107)*100/(24*Input!$F$58)</f>
        <v>0.37841531962418035</v>
      </c>
      <c r="E74" s="33">
        <f>Multi!E865*E$11*LAFs!E$250*(1-Contrib!E$107)*100/(24*Input!$F$58)</f>
        <v>0.33702424383239887</v>
      </c>
      <c r="F74" s="33">
        <f>Multi!F865*F$11*LAFs!F$250*(1-Contrib!F$107)*100/(24*Input!$F$58)</f>
        <v>0.37885841426540867</v>
      </c>
      <c r="G74" s="33">
        <f>Multi!G865*G$11*LAFs!G$250*(1-Contrib!G$107)*100/(24*Input!$F$58)</f>
        <v>4.074490766144765E-2</v>
      </c>
      <c r="H74" s="33">
        <f>Multi!H865*H$11*LAFs!H$250*(1-Contrib!H$107)*100/(24*Input!$F$58)</f>
        <v>0.52929387817126983</v>
      </c>
      <c r="I74" s="33">
        <f>Multi!I865*I$11*LAFs!I$250*(1-Contrib!I$107)*100/(24*Input!$F$58)</f>
        <v>0</v>
      </c>
      <c r="J74" s="33">
        <f>Multi!J865*J$11*LAFs!J$250*(1-Contrib!J$107)*100/(24*Input!$F$58)</f>
        <v>0</v>
      </c>
      <c r="K74" s="33">
        <f>Multi!B865*K$11*LAFs!B$250*(1-Contrib!K$107)*100/(24*Input!$F$58)</f>
        <v>0.3682299152347388</v>
      </c>
      <c r="L74" s="33">
        <f>Multi!C865*L$11*LAFs!C$250*(1-Contrib!L$107)*100/(24*Input!$F$58)</f>
        <v>0.34026408027407645</v>
      </c>
      <c r="M74" s="33">
        <f>Multi!D865*M$11*LAFs!D$250*(1-Contrib!M$107)*100/(24*Input!$F$58)</f>
        <v>0.1712608222844598</v>
      </c>
      <c r="N74" s="33">
        <f>Multi!E865*N$11*LAFs!E$250*(1-Contrib!N$107)*100/(24*Input!$F$58)</f>
        <v>0.16320520228539584</v>
      </c>
      <c r="O74" s="33">
        <f>Multi!F865*O$11*LAFs!F$250*(1-Contrib!O$107)*100/(24*Input!$F$58)</f>
        <v>0.26444970547177021</v>
      </c>
      <c r="P74" s="33">
        <f>Multi!G865*P$11*LAFs!G$250*(1-Contrib!P$107)*100/(24*Input!$F$58)</f>
        <v>2.8440648075446755E-2</v>
      </c>
      <c r="Q74" s="33">
        <f>Multi!H865*Q$11*LAFs!H$250*(1-Contrib!Q$107)*100/(24*Input!$F$58)</f>
        <v>0.66143129691145353</v>
      </c>
      <c r="R74" s="33">
        <f>Multi!I865*R$11*LAFs!I$250*(1-Contrib!R$107)*100/(24*Input!$F$58)</f>
        <v>0</v>
      </c>
      <c r="S74" s="33">
        <f>Multi!J865*S$11*LAFs!J$250*(1-Contrib!S$107)*100/(24*Input!$F$58)</f>
        <v>0</v>
      </c>
      <c r="T74" s="10"/>
    </row>
    <row r="75" spans="1:20" x14ac:dyDescent="0.25">
      <c r="A75" s="3" t="s">
        <v>213</v>
      </c>
      <c r="B75" s="33">
        <f>Multi!B866*B$11*LAFs!B$251*(1-Contrib!B$108)*100/(24*Input!$F$58)</f>
        <v>0</v>
      </c>
      <c r="C75" s="33">
        <f>Multi!C866*C$11*LAFs!C$251*(1-Contrib!C$108)*100/(24*Input!$F$58)</f>
        <v>8.7327567060378752E-2</v>
      </c>
      <c r="D75" s="33">
        <f>Multi!D866*D$11*LAFs!D$251*(1-Contrib!D$108)*100/(24*Input!$F$58)</f>
        <v>4.395348145715279E-2</v>
      </c>
      <c r="E75" s="33">
        <f>Multi!E866*E$11*LAFs!E$251*(1-Contrib!E$108)*100/(24*Input!$F$58)</f>
        <v>5.3638828597786042E-2</v>
      </c>
      <c r="F75" s="33">
        <f>Multi!F866*F$11*LAFs!F$251*(1-Contrib!F$108)*100/(24*Input!$F$58)</f>
        <v>8.6913727172314451E-2</v>
      </c>
      <c r="G75" s="33">
        <f>Multi!G866*G$11*LAFs!G$251*(1-Contrib!G$108)*100/(24*Input!$F$58)</f>
        <v>7.2991912635875979E-3</v>
      </c>
      <c r="H75" s="33">
        <f>Multi!H866*H$11*LAFs!H$251*(1-Contrib!H$108)*100/(24*Input!$F$58)</f>
        <v>0.11322867827178149</v>
      </c>
      <c r="I75" s="33">
        <f>Multi!I866*I$11*LAFs!I$251*(1-Contrib!I$108)*100/(24*Input!$F$58)</f>
        <v>2.687343791105528E-2</v>
      </c>
      <c r="J75" s="33">
        <f>Multi!J866*J$11*LAFs!J$251*(1-Contrib!J$108)*100/(24*Input!$F$58)</f>
        <v>1.1165633657019903E-2</v>
      </c>
      <c r="K75" s="33">
        <f>Multi!B866*K$11*LAFs!B$251*(1-Contrib!K$108)*100/(24*Input!$F$58)</f>
        <v>3.7293785971893846E-2</v>
      </c>
      <c r="L75" s="33">
        <f>Multi!C866*L$11*LAFs!C$251*(1-Contrib!L$108)*100/(24*Input!$F$58)</f>
        <v>3.9522160354699624E-2</v>
      </c>
      <c r="M75" s="33">
        <f>Multi!D866*M$11*LAFs!D$251*(1-Contrib!M$108)*100/(24*Input!$F$58)</f>
        <v>1.9892189840761781E-2</v>
      </c>
      <c r="N75" s="33">
        <f>Multi!E866*N$11*LAFs!E$251*(1-Contrib!N$108)*100/(24*Input!$F$58)</f>
        <v>2.4275523256181212E-2</v>
      </c>
      <c r="O75" s="33">
        <f>Multi!F866*O$11*LAFs!F$251*(1-Contrib!O$108)*100/(24*Input!$F$58)</f>
        <v>3.933486730431681E-2</v>
      </c>
      <c r="P75" s="33">
        <f>Multi!G866*P$11*LAFs!G$251*(1-Contrib!P$108)*100/(24*Input!$F$58)</f>
        <v>3.3034220154063731E-3</v>
      </c>
      <c r="Q75" s="33">
        <f>Multi!H866*Q$11*LAFs!H$251*(1-Contrib!Q$108)*100/(24*Input!$F$58)</f>
        <v>9.8382837101369108E-2</v>
      </c>
      <c r="R75" s="33">
        <f>Multi!I866*R$11*LAFs!I$251*(1-Contrib!R$108)*100/(24*Input!$F$58)</f>
        <v>4.1783605810304277E-2</v>
      </c>
      <c r="S75" s="33">
        <f>Multi!J866*S$11*LAFs!J$251*(1-Contrib!S$108)*100/(24*Input!$F$58)</f>
        <v>8.2454171809057952E-2</v>
      </c>
      <c r="T75" s="10"/>
    </row>
    <row r="76" spans="1:20" x14ac:dyDescent="0.25">
      <c r="A76" s="3" t="s">
        <v>214</v>
      </c>
      <c r="B76" s="33">
        <f>Multi!B867*B$11*LAFs!B$252*(1-Contrib!B$109)*100/(24*Input!$F$58)</f>
        <v>0</v>
      </c>
      <c r="C76" s="33">
        <f>Multi!C867*C$11*LAFs!C$252*(1-Contrib!C$109)*100/(24*Input!$F$58)</f>
        <v>0.13010750724123898</v>
      </c>
      <c r="D76" s="33">
        <f>Multi!D867*D$11*LAFs!D$252*(1-Contrib!D$109)*100/(24*Input!$F$58)</f>
        <v>6.5485368474885411E-2</v>
      </c>
      <c r="E76" s="33">
        <f>Multi!E867*E$11*LAFs!E$252*(1-Contrib!E$109)*100/(24*Input!$F$58)</f>
        <v>6.7050419693824317E-2</v>
      </c>
      <c r="F76" s="33">
        <f>Multi!F867*F$11*LAFs!F$252*(1-Contrib!F$109)*100/(24*Input!$F$58)</f>
        <v>0.10864521162005319</v>
      </c>
      <c r="G76" s="33">
        <f>Multi!G867*G$11*LAFs!G$252*(1-Contrib!G$109)*100/(24*Input!$F$58)</f>
        <v>1.0874911693415184E-2</v>
      </c>
      <c r="H76" s="33">
        <f>Multi!H867*H$11*LAFs!H$252*(1-Contrib!H$109)*100/(24*Input!$F$58)</f>
        <v>0.14153982474951582</v>
      </c>
      <c r="I76" s="33">
        <f>Multi!I867*I$11*LAFs!I$252*(1-Contrib!I$109)*100/(24*Input!$F$58)</f>
        <v>3.3592741259576259E-2</v>
      </c>
      <c r="J76" s="33">
        <f>Multi!J867*J$11*LAFs!J$252*(1-Contrib!J$109)*100/(24*Input!$F$58)</f>
        <v>1.3957434239747291E-2</v>
      </c>
      <c r="K76" s="33">
        <f>Multi!B867*K$11*LAFs!B$252*(1-Contrib!K$109)*100/(24*Input!$F$58)</f>
        <v>6.2730152491812935E-2</v>
      </c>
      <c r="L76" s="33">
        <f>Multi!C867*L$11*LAFs!C$252*(1-Contrib!L$109)*100/(24*Input!$F$58)</f>
        <v>5.8883236275014877E-2</v>
      </c>
      <c r="M76" s="33">
        <f>Multi!D867*M$11*LAFs!D$252*(1-Contrib!M$109)*100/(24*Input!$F$58)</f>
        <v>2.9636955670155916E-2</v>
      </c>
      <c r="N76" s="33">
        <f>Multi!E867*N$11*LAFs!E$252*(1-Contrib!N$109)*100/(24*Input!$F$58)</f>
        <v>3.0345256694910856E-2</v>
      </c>
      <c r="O76" s="33">
        <f>Multi!F867*O$11*LAFs!F$252*(1-Contrib!O$109)*100/(24*Input!$F$58)</f>
        <v>4.9169965681617994E-2</v>
      </c>
      <c r="P76" s="33">
        <f>Multi!G867*P$11*LAFs!G$252*(1-Contrib!P$109)*100/(24*Input!$F$58)</f>
        <v>4.9216990494328891E-3</v>
      </c>
      <c r="Q76" s="33">
        <f>Multi!H867*Q$11*LAFs!H$252*(1-Contrib!Q$109)*100/(24*Input!$F$58)</f>
        <v>0.12298200185878452</v>
      </c>
      <c r="R76" s="33">
        <f>Multi!I867*R$11*LAFs!I$252*(1-Contrib!R$109)*100/(24*Input!$F$58)</f>
        <v>5.223097482068903E-2</v>
      </c>
      <c r="S76" s="33">
        <f>Multi!J867*S$11*LAFs!J$252*(1-Contrib!S$109)*100/(24*Input!$F$58)</f>
        <v>0.10307061078384971</v>
      </c>
      <c r="T76" s="10"/>
    </row>
    <row r="77" spans="1:20" x14ac:dyDescent="0.25">
      <c r="A77" s="3" t="s">
        <v>215</v>
      </c>
      <c r="B77" s="33">
        <f>Multi!B868*B$11*LAFs!B$253*(1-Contrib!B$110)*100/(24*Input!$F$58)</f>
        <v>0</v>
      </c>
      <c r="C77" s="33">
        <f>Multi!C868*C$11*LAFs!C$253*(1-Contrib!C$110)*100/(24*Input!$F$58)</f>
        <v>0.23521502486975984</v>
      </c>
      <c r="D77" s="33">
        <f>Multi!D868*D$11*LAFs!D$253*(1-Contrib!D$110)*100/(24*Input!$F$58)</f>
        <v>0.11838780790616341</v>
      </c>
      <c r="E77" s="33">
        <f>Multi!E868*E$11*LAFs!E$253*(1-Contrib!E$110)*100/(24*Input!$F$58)</f>
        <v>0.1184972189773822</v>
      </c>
      <c r="F77" s="33">
        <f>Multi!F868*F$11*LAFs!F$253*(1-Contrib!F$110)*100/(24*Input!$F$58)</f>
        <v>0.19200708199849273</v>
      </c>
      <c r="G77" s="33">
        <f>Multi!G868*G$11*LAFs!G$253*(1-Contrib!G$110)*100/(24*Input!$F$58)</f>
        <v>1.9660223139009829E-2</v>
      </c>
      <c r="H77" s="33">
        <f>Multi!H868*H$11*LAFs!H$253*(1-Contrib!H$110)*100/(24*Input!$F$58)</f>
        <v>0.25014124719801678</v>
      </c>
      <c r="I77" s="33">
        <f>Multi!I868*I$11*LAFs!I$253*(1-Contrib!I$110)*100/(24*Input!$F$58)</f>
        <v>5.9367956759459148E-2</v>
      </c>
      <c r="J77" s="33">
        <f>Multi!J868*J$11*LAFs!J$253*(1-Contrib!J$110)*100/(24*Input!$F$58)</f>
        <v>2.466676791915862E-2</v>
      </c>
      <c r="K77" s="33">
        <f>Multi!B868*K$11*LAFs!B$253*(1-Contrib!K$110)*100/(24*Input!$F$58)</f>
        <v>0.11321690668879686</v>
      </c>
      <c r="L77" s="33">
        <f>Multi!C868*L$11*LAFs!C$253*(1-Contrib!L$110)*100/(24*Input!$F$58)</f>
        <v>0.10645213468857849</v>
      </c>
      <c r="M77" s="33">
        <f>Multi!D868*M$11*LAFs!D$253*(1-Contrib!M$110)*100/(24*Input!$F$58)</f>
        <v>5.3579208554770802E-2</v>
      </c>
      <c r="N77" s="33">
        <f>Multi!E868*N$11*LAFs!E$253*(1-Contrib!N$110)*100/(24*Input!$F$58)</f>
        <v>5.3628725128366632E-2</v>
      </c>
      <c r="O77" s="33">
        <f>Multi!F868*O$11*LAFs!F$253*(1-Contrib!O$110)*100/(24*Input!$F$58)</f>
        <v>8.6897356005986456E-2</v>
      </c>
      <c r="P77" s="33">
        <f>Multi!G868*P$11*LAFs!G$253*(1-Contrib!P$110)*100/(24*Input!$F$58)</f>
        <v>8.8976999779678996E-3</v>
      </c>
      <c r="Q77" s="33">
        <f>Multi!H868*Q$11*LAFs!H$253*(1-Contrib!Q$110)*100/(24*Input!$F$58)</f>
        <v>0.21734428018620541</v>
      </c>
      <c r="R77" s="33">
        <f>Multi!I868*R$11*LAFs!I$253*(1-Contrib!R$110)*100/(24*Input!$F$58)</f>
        <v>9.2307032364472782E-2</v>
      </c>
      <c r="S77" s="33">
        <f>Multi!J868*S$11*LAFs!J$253*(1-Contrib!S$110)*100/(24*Input!$F$58)</f>
        <v>0.1821551720624249</v>
      </c>
      <c r="T77" s="10"/>
    </row>
    <row r="78" spans="1:20" x14ac:dyDescent="0.25">
      <c r="A78" s="3" t="s">
        <v>216</v>
      </c>
      <c r="B78" s="33">
        <f>Multi!B869*B$11*LAFs!B$254*(1-Contrib!B$111)*100/(24*Input!$F$58)</f>
        <v>0</v>
      </c>
      <c r="C78" s="33">
        <f>Multi!C869*C$11*LAFs!C$254*(1-Contrib!C$111)*100/(24*Input!$F$58)</f>
        <v>4.4924836489167251E-2</v>
      </c>
      <c r="D78" s="33">
        <f>Multi!D869*D$11*LAFs!D$254*(1-Contrib!D$111)*100/(24*Input!$F$58)</f>
        <v>2.2611450588414798E-2</v>
      </c>
      <c r="E78" s="33">
        <f>Multi!E869*E$11*LAFs!E$254*(1-Contrib!E$111)*100/(24*Input!$F$58)</f>
        <v>3.9900592221258156E-2</v>
      </c>
      <c r="F78" s="33">
        <f>Multi!F869*F$11*LAFs!F$254*(1-Contrib!F$111)*100/(24*Input!$F$58)</f>
        <v>6.465296273221266E-2</v>
      </c>
      <c r="G78" s="33">
        <f>Multi!G869*G$11*LAFs!G$254*(1-Contrib!G$111)*100/(24*Input!$F$58)</f>
        <v>3.7549995386120024E-3</v>
      </c>
      <c r="H78" s="33">
        <f>Multi!H869*H$11*LAFs!H$254*(1-Contrib!H$111)*100/(24*Input!$F$58)</f>
        <v>8.4228001199505381E-2</v>
      </c>
      <c r="I78" s="33">
        <f>Multi!I869*I$11*LAFs!I$254*(1-Contrib!I$111)*100/(24*Input!$F$58)</f>
        <v>1.9990482933786035E-2</v>
      </c>
      <c r="J78" s="33">
        <f>Multi!J869*J$11*LAFs!J$254*(1-Contrib!J$111)*100/(24*Input!$F$58)</f>
        <v>8.3058375264200932E-3</v>
      </c>
      <c r="K78" s="33">
        <f>Multi!B869*K$11*LAFs!B$254*(1-Contrib!K$111)*100/(24*Input!$F$58)</f>
        <v>1.2370569658954847E-2</v>
      </c>
      <c r="L78" s="33">
        <f>Multi!C869*L$11*LAFs!C$254*(1-Contrib!L$111)*100/(24*Input!$F$58)</f>
        <v>2.0331799584041091E-2</v>
      </c>
      <c r="M78" s="33">
        <f>Multi!D869*M$11*LAFs!D$254*(1-Contrib!M$111)*100/(24*Input!$F$58)</f>
        <v>1.0233347911660246E-2</v>
      </c>
      <c r="N78" s="33">
        <f>Multi!E869*N$11*LAFs!E$254*(1-Contrib!N$111)*100/(24*Input!$F$58)</f>
        <v>1.8057958753456727E-2</v>
      </c>
      <c r="O78" s="33">
        <f>Multi!F869*O$11*LAFs!F$254*(1-Contrib!O$111)*100/(24*Input!$F$58)</f>
        <v>2.9260230721213507E-2</v>
      </c>
      <c r="P78" s="33">
        <f>Multi!G869*P$11*LAFs!G$254*(1-Contrib!P$111)*100/(24*Input!$F$58)</f>
        <v>1.6994140440697056E-3</v>
      </c>
      <c r="Q78" s="33">
        <f>Multi!H869*Q$11*LAFs!H$254*(1-Contrib!Q$111)*100/(24*Input!$F$58)</f>
        <v>7.318454871913857E-2</v>
      </c>
      <c r="R78" s="33">
        <f>Multi!I869*R$11*LAFs!I$254*(1-Contrib!R$111)*100/(24*Input!$F$58)</f>
        <v>3.1081786469877474E-2</v>
      </c>
      <c r="S78" s="33">
        <f>Multi!J869*S$11*LAFs!J$254*(1-Contrib!S$111)*100/(24*Input!$F$58)</f>
        <v>6.133561027152213E-2</v>
      </c>
      <c r="T78" s="10"/>
    </row>
    <row r="79" spans="1:20" x14ac:dyDescent="0.25">
      <c r="A79" s="3" t="s">
        <v>217</v>
      </c>
      <c r="B79" s="33">
        <f>Multi!B870*B$11*LAFs!B$255*(1-Contrib!B$112)*100/(24*Input!$F$58)</f>
        <v>0</v>
      </c>
      <c r="C79" s="33">
        <f>Multi!C870*C$11*LAFs!C$255*(1-Contrib!C$112)*100/(24*Input!$F$58)</f>
        <v>2.5477790888535994</v>
      </c>
      <c r="D79" s="33">
        <f>Multi!D870*D$11*LAFs!D$255*(1-Contrib!D$112)*100/(24*Input!$F$58)</f>
        <v>1.2823414725549624</v>
      </c>
      <c r="E79" s="33">
        <f>Multi!E870*E$11*LAFs!E$255*(1-Contrib!E$112)*100/(24*Input!$F$58)</f>
        <v>1.2119240928152448</v>
      </c>
      <c r="F79" s="33">
        <f>Multi!F870*F$11*LAFs!F$255*(1-Contrib!F$112)*100/(24*Input!$F$58)</f>
        <v>1.9637423618316403</v>
      </c>
      <c r="G79" s="33">
        <f>Multi!G870*G$11*LAFs!G$255*(1-Contrib!G$112)*100/(24*Input!$F$58)</f>
        <v>0.21295368109881599</v>
      </c>
      <c r="H79" s="33">
        <f>Multi!H870*H$11*LAFs!H$255*(1-Contrib!H$112)*100/(24*Input!$F$58)</f>
        <v>2.5583064877159147</v>
      </c>
      <c r="I79" s="33">
        <f>Multi!I870*I$11*LAFs!I$255*(1-Contrib!I$112)*100/(24*Input!$F$58)</f>
        <v>0.60718266436054791</v>
      </c>
      <c r="J79" s="33">
        <f>Multi!J870*J$11*LAFs!J$255*(1-Contrib!J$112)*100/(24*Input!$F$58)</f>
        <v>0.25227807530923124</v>
      </c>
      <c r="K79" s="33">
        <f>Multi!B870*K$11*LAFs!B$255*(1-Contrib!K$112)*100/(24*Input!$F$58)</f>
        <v>1.2490182758222481</v>
      </c>
      <c r="L79" s="33">
        <f>Multi!C870*L$11*LAFs!C$255*(1-Contrib!L$112)*100/(24*Input!$F$58)</f>
        <v>1.153057815390669</v>
      </c>
      <c r="M79" s="33">
        <f>Multi!D870*M$11*LAFs!D$255*(1-Contrib!M$112)*100/(24*Input!$F$58)</f>
        <v>0.58035402810154801</v>
      </c>
      <c r="N79" s="33">
        <f>Multi!E870*N$11*LAFs!E$255*(1-Contrib!N$112)*100/(24*Input!$F$58)</f>
        <v>0.54848497383250305</v>
      </c>
      <c r="O79" s="33">
        <f>Multi!F870*O$11*LAFs!F$255*(1-Contrib!O$112)*100/(24*Input!$F$58)</f>
        <v>0.88873815144724866</v>
      </c>
      <c r="P79" s="33">
        <f>Multi!G870*P$11*LAFs!G$255*(1-Contrib!P$112)*100/(24*Input!$F$58)</f>
        <v>9.6377235915571027E-2</v>
      </c>
      <c r="Q79" s="33">
        <f>Multi!H870*Q$11*LAFs!H$255*(1-Contrib!Q$112)*100/(24*Input!$F$58)</f>
        <v>2.2228772275535507</v>
      </c>
      <c r="R79" s="33">
        <f>Multi!I870*R$11*LAFs!I$255*(1-Contrib!R$112)*100/(24*Input!$F$58)</f>
        <v>0.94406533270737591</v>
      </c>
      <c r="S79" s="33">
        <f>Multi!J870*S$11*LAFs!J$255*(1-Contrib!S$112)*100/(24*Input!$F$58)</f>
        <v>1.8629824696180901</v>
      </c>
      <c r="T79" s="10"/>
    </row>
    <row r="80" spans="1:20" x14ac:dyDescent="0.25">
      <c r="A80" s="3" t="s">
        <v>184</v>
      </c>
      <c r="B80" s="33">
        <f>Multi!B871*B$11*LAFs!B$259*(1-Contrib!B$116)*100/(24*Input!$F$58)</f>
        <v>0</v>
      </c>
      <c r="C80" s="33">
        <f>Multi!C871*C$11*LAFs!C$259*(1-Contrib!C$116)*100/(24*Input!$F$58)</f>
        <v>-0.72872366215227724</v>
      </c>
      <c r="D80" s="33">
        <f>Multi!D871*D$11*LAFs!D$259*(1-Contrib!D$116)*100/(24*Input!$F$58)</f>
        <v>-0.36677927772398516</v>
      </c>
      <c r="E80" s="33">
        <f>Multi!E871*E$11*LAFs!E$259*(1-Contrib!E$116)*100/(24*Input!$F$58)</f>
        <v>-0.34952702793641849</v>
      </c>
      <c r="F80" s="33">
        <f>Multi!F871*F$11*LAFs!F$259*(1-Contrib!F$116)*100/(24*Input!$F$58)</f>
        <v>-0.5663564537028255</v>
      </c>
      <c r="G80" s="33">
        <f>Multi!G871*G$11*LAFs!G$259*(1-Contrib!G$116)*100/(24*Input!$F$58)</f>
        <v>-6.0909671108480702E-2</v>
      </c>
      <c r="H80" s="33">
        <f>Multi!H871*H$11*LAFs!H$259*(1-Contrib!H$116)*100/(24*Input!$F$58)</f>
        <v>-0.73783273102907088</v>
      </c>
      <c r="I80" s="33">
        <f>Multi!I871*I$11*LAFs!I$259*(1-Contrib!I$116)*100/(24*Input!$F$58)</f>
        <v>-0.17511554836364798</v>
      </c>
      <c r="J80" s="33">
        <f>Multi!J871*J$11*LAFs!J$259*(1-Contrib!J$116)*100/(24*Input!$F$58)</f>
        <v>0</v>
      </c>
      <c r="K80" s="33">
        <f>Multi!B871*K$11*LAFs!B$259*(1-Contrib!K$116)*100/(24*Input!$F$58)</f>
        <v>-0.35690706835097069</v>
      </c>
      <c r="L80" s="33">
        <f>Multi!C871*L$11*LAFs!C$259*(1-Contrib!L$116)*100/(24*Input!$F$58)</f>
        <v>-0.32980116587850516</v>
      </c>
      <c r="M80" s="33">
        <f>Multi!D871*M$11*LAFs!D$259*(1-Contrib!M$116)*100/(24*Input!$F$58)</f>
        <v>-0.165994655719261</v>
      </c>
      <c r="N80" s="33">
        <f>Multi!E871*N$11*LAFs!E$259*(1-Contrib!N$116)*100/(24*Input!$F$58)</f>
        <v>-0.15818674115647344</v>
      </c>
      <c r="O80" s="33">
        <f>Multi!F871*O$11*LAFs!F$259*(1-Contrib!O$116)*100/(24*Input!$F$58)</f>
        <v>-0.25631803718619484</v>
      </c>
      <c r="P80" s="33">
        <f>Multi!G871*P$11*LAFs!G$259*(1-Contrib!P$116)*100/(24*Input!$F$58)</f>
        <v>-2.7566115371529601E-2</v>
      </c>
      <c r="Q80" s="33">
        <f>Multi!H871*Q$11*LAFs!H$259*(1-Contrib!Q$116)*100/(24*Input!$F$58)</f>
        <v>-0.64109268511157791</v>
      </c>
      <c r="R80" s="33">
        <f>Multi!I871*R$11*LAFs!I$259*(1-Contrib!R$116)*100/(24*Input!$F$58)</f>
        <v>-0.27227476693898794</v>
      </c>
      <c r="S80" s="33">
        <f>Multi!J871*S$11*LAFs!J$259*(1-Contrib!S$116)*100/(24*Input!$F$58)</f>
        <v>0</v>
      </c>
      <c r="T80" s="10"/>
    </row>
    <row r="81" spans="1:20" x14ac:dyDescent="0.25">
      <c r="A81" s="3" t="s">
        <v>186</v>
      </c>
      <c r="B81" s="33">
        <f>Multi!B872*B$11*LAFs!B$261*(1-Contrib!B$118)*100/(24*Input!$F$58)</f>
        <v>0</v>
      </c>
      <c r="C81" s="33">
        <f>Multi!C872*C$11*LAFs!C$261*(1-Contrib!C$118)*100/(24*Input!$F$58)</f>
        <v>-0.70205490964899153</v>
      </c>
      <c r="D81" s="33">
        <f>Multi!D872*D$11*LAFs!D$261*(1-Contrib!D$118)*100/(24*Input!$F$58)</f>
        <v>-0.35335643132969469</v>
      </c>
      <c r="E81" s="33">
        <f>Multi!E872*E$11*LAFs!E$261*(1-Contrib!E$118)*100/(24*Input!$F$58)</f>
        <v>-0.33673555390397869</v>
      </c>
      <c r="F81" s="33">
        <f>Multi!F872*F$11*LAFs!F$261*(1-Contrib!F$118)*100/(24*Input!$F$58)</f>
        <v>-0.54562977653163336</v>
      </c>
      <c r="G81" s="33">
        <f>Multi!G872*G$11*LAFs!G$261*(1-Contrib!G$118)*100/(24*Input!$F$58)</f>
        <v>-5.8680588908719286E-2</v>
      </c>
      <c r="H81" s="33">
        <f>Multi!H872*H$11*LAFs!H$261*(1-Contrib!H$118)*100/(24*Input!$F$58)</f>
        <v>-0.71083061827411842</v>
      </c>
      <c r="I81" s="33">
        <f>Multi!I872*I$11*LAFs!I$261*(1-Contrib!I$118)*100/(24*Input!$F$58)</f>
        <v>0</v>
      </c>
      <c r="J81" s="33">
        <f>Multi!J872*J$11*LAFs!J$261*(1-Contrib!J$118)*100/(24*Input!$F$58)</f>
        <v>0</v>
      </c>
      <c r="K81" s="33">
        <f>Multi!B872*K$11*LAFs!B$261*(1-Contrib!K$118)*100/(24*Input!$F$58)</f>
        <v>-0.34384551049732126</v>
      </c>
      <c r="L81" s="33">
        <f>Multi!C872*L$11*LAFs!C$261*(1-Contrib!L$118)*100/(24*Input!$F$58)</f>
        <v>-0.31773158981707766</v>
      </c>
      <c r="M81" s="33">
        <f>Multi!D872*M$11*LAFs!D$261*(1-Contrib!M$118)*100/(24*Input!$F$58)</f>
        <v>-0.15991982842852864</v>
      </c>
      <c r="N81" s="33">
        <f>Multi!E872*N$11*LAFs!E$261*(1-Contrib!N$118)*100/(24*Input!$F$58)</f>
        <v>-0.15239765639319902</v>
      </c>
      <c r="O81" s="33">
        <f>Multi!F872*O$11*LAFs!F$261*(1-Contrib!O$118)*100/(24*Input!$F$58)</f>
        <v>-0.24693768815833775</v>
      </c>
      <c r="P81" s="33">
        <f>Multi!G872*P$11*LAFs!G$261*(1-Contrib!P$118)*100/(24*Input!$F$58)</f>
        <v>-2.6557291387210132E-2</v>
      </c>
      <c r="Q81" s="33">
        <f>Multi!H872*Q$11*LAFs!H$261*(1-Contrib!Q$118)*100/(24*Input!$F$58)</f>
        <v>-0.61763092170401768</v>
      </c>
      <c r="R81" s="33">
        <f>Multi!I872*R$11*LAFs!I$261*(1-Contrib!R$118)*100/(24*Input!$F$58)</f>
        <v>0</v>
      </c>
      <c r="S81" s="33">
        <f>Multi!J872*S$11*LAFs!J$261*(1-Contrib!S$118)*100/(24*Input!$F$58)</f>
        <v>0</v>
      </c>
      <c r="T81" s="10"/>
    </row>
    <row r="82" spans="1:20" x14ac:dyDescent="0.25">
      <c r="A82" s="3" t="s">
        <v>195</v>
      </c>
      <c r="B82" s="33">
        <f>Multi!B873*B$11*LAFs!B$263*(1-Contrib!B$120)*100/(24*Input!$F$58)</f>
        <v>0</v>
      </c>
      <c r="C82" s="33">
        <f>Multi!C873*C$11*LAFs!C$263*(1-Contrib!C$120)*100/(24*Input!$F$58)</f>
        <v>-0.68938725220993102</v>
      </c>
      <c r="D82" s="33">
        <f>Multi!D873*D$11*LAFs!D$263*(1-Contrib!D$120)*100/(24*Input!$F$58)</f>
        <v>-0.34698057929240683</v>
      </c>
      <c r="E82" s="33">
        <f>Multi!E873*E$11*LAFs!E$263*(1-Contrib!E$120)*100/(24*Input!$F$58)</f>
        <v>-0.30902783607357615</v>
      </c>
      <c r="F82" s="33">
        <f>Multi!F873*F$11*LAFs!F$263*(1-Contrib!F$120)*100/(24*Input!$F$58)</f>
        <v>-0.3473868663197065</v>
      </c>
      <c r="G82" s="33">
        <f>Multi!G873*G$11*LAFs!G$263*(1-Contrib!G$120)*100/(24*Input!$F$58)</f>
        <v>-3.7360251898959709E-2</v>
      </c>
      <c r="H82" s="33">
        <f>Multi!H873*H$11*LAFs!H$263*(1-Contrib!H$120)*100/(24*Input!$F$58)</f>
        <v>0</v>
      </c>
      <c r="I82" s="33">
        <f>Multi!I873*I$11*LAFs!I$263*(1-Contrib!I$120)*100/(24*Input!$F$58)</f>
        <v>0</v>
      </c>
      <c r="J82" s="33">
        <f>Multi!J873*J$11*LAFs!J$263*(1-Contrib!J$120)*100/(24*Input!$F$58)</f>
        <v>0</v>
      </c>
      <c r="K82" s="33">
        <f>Multi!B873*K$11*LAFs!B$263*(1-Contrib!K$120)*100/(24*Input!$F$58)</f>
        <v>-0.33764127051683784</v>
      </c>
      <c r="L82" s="33">
        <f>Multi!C873*L$11*LAFs!C$263*(1-Contrib!L$120)*100/(24*Input!$F$58)</f>
        <v>-0.31199854118789966</v>
      </c>
      <c r="M82" s="33">
        <f>Multi!D873*M$11*LAFs!D$263*(1-Contrib!M$120)*100/(24*Input!$F$58)</f>
        <v>-0.15703428546543083</v>
      </c>
      <c r="N82" s="33">
        <f>Multi!E873*N$11*LAFs!E$263*(1-Contrib!N$120)*100/(24*Input!$F$58)</f>
        <v>-0.14964784113064372</v>
      </c>
      <c r="O82" s="33">
        <f>Multi!F873*O$11*LAFs!F$263*(1-Contrib!O$120)*100/(24*Input!$F$58)</f>
        <v>-0.24248202237010569</v>
      </c>
      <c r="P82" s="33">
        <f>Multi!G873*P$11*LAFs!G$263*(1-Contrib!P$120)*100/(24*Input!$F$58)</f>
        <v>-2.6078099994658384E-2</v>
      </c>
      <c r="Q82" s="33">
        <f>Multi!H873*Q$11*LAFs!H$263*(1-Contrib!Q$120)*100/(24*Input!$F$58)</f>
        <v>0</v>
      </c>
      <c r="R82" s="33">
        <f>Multi!I873*R$11*LAFs!I$263*(1-Contrib!R$120)*100/(24*Input!$F$58)</f>
        <v>0</v>
      </c>
      <c r="S82" s="33">
        <f>Multi!J873*S$11*LAFs!J$263*(1-Contrib!S$120)*100/(24*Input!$F$58)</f>
        <v>0</v>
      </c>
      <c r="T82" s="10"/>
    </row>
    <row r="84" spans="1:20" ht="21" customHeight="1" x14ac:dyDescent="0.3">
      <c r="A84" s="1" t="s">
        <v>984</v>
      </c>
    </row>
    <row r="85" spans="1:20" x14ac:dyDescent="0.25">
      <c r="A85" s="2" t="s">
        <v>356</v>
      </c>
    </row>
    <row r="86" spans="1:20" x14ac:dyDescent="0.25">
      <c r="A86" s="11" t="s">
        <v>985</v>
      </c>
    </row>
    <row r="87" spans="1:20" x14ac:dyDescent="0.25">
      <c r="A87" s="11" t="s">
        <v>982</v>
      </c>
    </row>
    <row r="88" spans="1:20" x14ac:dyDescent="0.25">
      <c r="A88" s="11" t="s">
        <v>803</v>
      </c>
    </row>
    <row r="89" spans="1:20" x14ac:dyDescent="0.25">
      <c r="A89" s="11" t="s">
        <v>978</v>
      </c>
    </row>
    <row r="90" spans="1:20" x14ac:dyDescent="0.25">
      <c r="A90" s="11" t="s">
        <v>746</v>
      </c>
    </row>
    <row r="91" spans="1:20" x14ac:dyDescent="0.25">
      <c r="A91" s="2" t="s">
        <v>983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172</v>
      </c>
      <c r="B94" s="33">
        <f>Multi!B882*B$11*LAFs!B$238*(1-Contrib!B$95)*100/(24*Input!$F$58)</f>
        <v>0</v>
      </c>
      <c r="C94" s="33">
        <f>Multi!C882*C$11*LAFs!C$238*(1-Contrib!C$95)*100/(24*Input!$F$58)</f>
        <v>1.838487587674956E-3</v>
      </c>
      <c r="D94" s="33">
        <f>Multi!D882*D$11*LAFs!D$238*(1-Contrib!D$95)*100/(24*Input!$F$58)</f>
        <v>9.2534273900251576E-4</v>
      </c>
      <c r="E94" s="33">
        <f>Multi!E882*E$11*LAFs!E$238*(1-Contrib!E$95)*100/(24*Input!$F$58)</f>
        <v>4.854092270510907E-3</v>
      </c>
      <c r="F94" s="33">
        <f>Multi!F882*F$11*LAFs!F$238*(1-Contrib!F$95)*100/(24*Input!$F$58)</f>
        <v>7.8653330487877E-3</v>
      </c>
      <c r="G94" s="33">
        <f>Multi!G882*G$11*LAFs!G$238*(1-Contrib!G$95)*100/(24*Input!$F$58)</f>
        <v>1.5366822860063168E-4</v>
      </c>
      <c r="H94" s="33">
        <f>Multi!H882*H$11*LAFs!H$238*(1-Contrib!H$95)*100/(24*Input!$F$58)</f>
        <v>1.0246727349707755E-2</v>
      </c>
      <c r="I94" s="33">
        <f>Multi!I882*I$11*LAFs!I$238*(1-Contrib!I$95)*100/(24*Input!$F$58)</f>
        <v>2.4319350488480355E-3</v>
      </c>
      <c r="J94" s="33">
        <f>Multi!J882*J$11*LAFs!J$238*(1-Contrib!J$95)*100/(24*Input!$F$58)</f>
        <v>1.0104436925032667E-3</v>
      </c>
      <c r="K94" s="33">
        <f>Multi!B882*K$11*LAFs!B$238*(1-Contrib!K$95)*100/(24*Input!$F$58)</f>
        <v>1.3718400495433404E-3</v>
      </c>
      <c r="L94" s="33">
        <f>Multi!C882*L$11*LAFs!C$238*(1-Contrib!L$95)*100/(24*Input!$F$58)</f>
        <v>8.3205113455154763E-4</v>
      </c>
      <c r="M94" s="33">
        <f>Multi!D882*M$11*LAFs!D$238*(1-Contrib!M$95)*100/(24*Input!$F$58)</f>
        <v>4.1878578947045014E-4</v>
      </c>
      <c r="N94" s="33">
        <f>Multi!E882*N$11*LAFs!E$238*(1-Contrib!N$95)*100/(24*Input!$F$58)</f>
        <v>2.1968345111343587E-3</v>
      </c>
      <c r="O94" s="33">
        <f>Multi!F882*O$11*LAFs!F$238*(1-Contrib!O$95)*100/(24*Input!$F$58)</f>
        <v>3.5596428992734812E-3</v>
      </c>
      <c r="P94" s="33">
        <f>Multi!G882*P$11*LAFs!G$238*(1-Contrib!P$95)*100/(24*Input!$F$58)</f>
        <v>6.9546199174170173E-5</v>
      </c>
      <c r="Q94" s="33">
        <f>Multi!H882*Q$11*LAFs!H$238*(1-Contrib!Q$95)*100/(24*Input!$F$58)</f>
        <v>8.9032400894825045E-3</v>
      </c>
      <c r="R94" s="33">
        <f>Multi!I882*R$11*LAFs!I$238*(1-Contrib!R$95)*100/(24*Input!$F$58)</f>
        <v>3.781243612136677E-3</v>
      </c>
      <c r="S94" s="33">
        <f>Multi!J882*S$11*LAFs!J$238*(1-Contrib!S$95)*100/(24*Input!$F$58)</f>
        <v>7.4617617221090183E-3</v>
      </c>
      <c r="T94" s="10"/>
    </row>
    <row r="95" spans="1:20" x14ac:dyDescent="0.25">
      <c r="A95" s="3" t="s">
        <v>174</v>
      </c>
      <c r="B95" s="33">
        <f>Multi!B883*B$11*LAFs!B$241*(1-Contrib!B$98)*100/(24*Input!$F$58)</f>
        <v>0</v>
      </c>
      <c r="C95" s="33">
        <f>Multi!C883*C$11*LAFs!C$241*(1-Contrib!C$98)*100/(24*Input!$F$58)</f>
        <v>1.7643742470313029E-3</v>
      </c>
      <c r="D95" s="33">
        <f>Multi!D883*D$11*LAFs!D$241*(1-Contrib!D$98)*100/(24*Input!$F$58)</f>
        <v>8.8804020724348723E-4</v>
      </c>
      <c r="E95" s="33">
        <f>Multi!E883*E$11*LAFs!E$241*(1-Contrib!E$98)*100/(24*Input!$F$58)</f>
        <v>4.6583460618654197E-3</v>
      </c>
      <c r="F95" s="33">
        <f>Multi!F883*F$11*LAFs!F$241*(1-Contrib!F$98)*100/(24*Input!$F$58)</f>
        <v>7.5481554925662161E-3</v>
      </c>
      <c r="G95" s="33">
        <f>Multi!G883*G$11*LAFs!G$241*(1-Contrib!G$98)*100/(24*Input!$F$58)</f>
        <v>1.4747353582775946E-4</v>
      </c>
      <c r="H95" s="33">
        <f>Multi!H883*H$11*LAFs!H$241*(1-Contrib!H$98)*100/(24*Input!$F$58)</f>
        <v>9.8335176458225412E-3</v>
      </c>
      <c r="I95" s="33">
        <f>Multi!I883*I$11*LAFs!I$241*(1-Contrib!I$98)*100/(24*Input!$F$58)</f>
        <v>2.3338647941114122E-3</v>
      </c>
      <c r="J95" s="33">
        <f>Multi!J883*J$11*LAFs!J$241*(1-Contrib!J$98)*100/(24*Input!$F$58)</f>
        <v>9.6969652272677564E-4</v>
      </c>
      <c r="K95" s="33">
        <f>Multi!B883*K$11*LAFs!B$241*(1-Contrib!K$98)*100/(24*Input!$F$58)</f>
        <v>1.3165208097886349E-3</v>
      </c>
      <c r="L95" s="33">
        <f>Multi!C883*L$11*LAFs!C$241*(1-Contrib!L$98)*100/(24*Input!$F$58)</f>
        <v>7.9850938557191856E-4</v>
      </c>
      <c r="M95" s="33">
        <f>Multi!D883*M$11*LAFs!D$241*(1-Contrib!M$98)*100/(24*Input!$F$58)</f>
        <v>4.0190364455969956E-4</v>
      </c>
      <c r="N95" s="33">
        <f>Multi!E883*N$11*LAFs!E$241*(1-Contrib!N$98)*100/(24*Input!$F$58)</f>
        <v>2.1082449247376315E-3</v>
      </c>
      <c r="O95" s="33">
        <f>Multi!F883*O$11*LAFs!F$241*(1-Contrib!O$98)*100/(24*Input!$F$58)</f>
        <v>3.4160966783049057E-3</v>
      </c>
      <c r="P95" s="33">
        <f>Multi!G883*P$11*LAFs!G$241*(1-Contrib!P$98)*100/(24*Input!$F$58)</f>
        <v>6.6742644130110841E-5</v>
      </c>
      <c r="Q95" s="33">
        <f>Multi!H883*Q$11*LAFs!H$241*(1-Contrib!Q$98)*100/(24*Input!$F$58)</f>
        <v>8.5442078760315492E-3</v>
      </c>
      <c r="R95" s="33">
        <f>Multi!I883*R$11*LAFs!I$241*(1-Contrib!R$98)*100/(24*Input!$F$58)</f>
        <v>3.6287611169980301E-3</v>
      </c>
      <c r="S95" s="33">
        <f>Multi!J883*S$11*LAFs!J$241*(1-Contrib!S$98)*100/(24*Input!$F$58)</f>
        <v>7.1608585901697655E-3</v>
      </c>
      <c r="T95" s="10"/>
    </row>
    <row r="96" spans="1:20" x14ac:dyDescent="0.25">
      <c r="A96" s="3" t="s">
        <v>175</v>
      </c>
      <c r="B96" s="33">
        <f>Multi!B884*B$11*LAFs!B$243*(1-Contrib!B$100)*100/(24*Input!$F$58)</f>
        <v>0</v>
      </c>
      <c r="C96" s="33">
        <f>Multi!C884*C$11*LAFs!C$243*(1-Contrib!C$100)*100/(24*Input!$F$58)</f>
        <v>1.2582422121076972E-3</v>
      </c>
      <c r="D96" s="33">
        <f>Multi!D884*D$11*LAFs!D$243*(1-Contrib!D$100)*100/(24*Input!$F$58)</f>
        <v>6.3329516211352841E-4</v>
      </c>
      <c r="E96" s="33">
        <f>Multi!E884*E$11*LAFs!E$243*(1-Contrib!E$100)*100/(24*Input!$F$58)</f>
        <v>3.3220913957578194E-3</v>
      </c>
      <c r="F96" s="33">
        <f>Multi!F884*F$11*LAFs!F$243*(1-Contrib!F$100)*100/(24*Input!$F$58)</f>
        <v>5.3829539674978295E-3</v>
      </c>
      <c r="G96" s="33">
        <f>Multi!G884*G$11*LAFs!G$243*(1-Contrib!G$100)*100/(24*Input!$F$58)</f>
        <v>1.0516897322633148E-4</v>
      </c>
      <c r="H96" s="33">
        <f>Multi!H884*H$11*LAFs!H$243*(1-Contrib!H$100)*100/(24*Input!$F$58)</f>
        <v>7.0127560141244692E-3</v>
      </c>
      <c r="I96" s="33">
        <f>Multi!I884*I$11*LAFs!I$243*(1-Contrib!I$100)*100/(24*Input!$F$58)</f>
        <v>1.664391620633446E-3</v>
      </c>
      <c r="J96" s="33">
        <f>Multi!J884*J$11*LAFs!J$243*(1-Contrib!J$100)*100/(24*Input!$F$58)</f>
        <v>6.9153738942204961E-4</v>
      </c>
      <c r="K96" s="33">
        <f>Multi!B884*K$11*LAFs!B$243*(1-Contrib!K$100)*100/(24*Input!$F$58)</f>
        <v>9.3887338166817212E-4</v>
      </c>
      <c r="L96" s="33">
        <f>Multi!C884*L$11*LAFs!C$243*(1-Contrib!L$100)*100/(24*Input!$F$58)</f>
        <v>5.6944733657345427E-4</v>
      </c>
      <c r="M96" s="33">
        <f>Multi!D884*M$11*LAFs!D$243*(1-Contrib!M$100)*100/(24*Input!$F$58)</f>
        <v>2.8661273629209256E-4</v>
      </c>
      <c r="N96" s="33">
        <f>Multi!E884*N$11*LAFs!E$243*(1-Contrib!N$100)*100/(24*Input!$F$58)</f>
        <v>1.5034912030164487E-3</v>
      </c>
      <c r="O96" s="33">
        <f>Multi!F884*O$11*LAFs!F$243*(1-Contrib!O$100)*100/(24*Input!$F$58)</f>
        <v>2.4361834074493574E-3</v>
      </c>
      <c r="P96" s="33">
        <f>Multi!G884*P$11*LAFs!G$243*(1-Contrib!P$100)*100/(24*Input!$F$58)</f>
        <v>4.7596711601003996E-5</v>
      </c>
      <c r="Q96" s="33">
        <f>Multi!H884*Q$11*LAFs!H$243*(1-Contrib!Q$100)*100/(24*Input!$F$58)</f>
        <v>6.0932869931874627E-3</v>
      </c>
      <c r="R96" s="33">
        <f>Multi!I884*R$11*LAFs!I$243*(1-Contrib!R$100)*100/(24*Input!$F$58)</f>
        <v>2.5878446821987009E-3</v>
      </c>
      <c r="S96" s="33">
        <f>Multi!J884*S$11*LAFs!J$243*(1-Contrib!S$100)*100/(24*Input!$F$58)</f>
        <v>5.1067538548467571E-3</v>
      </c>
      <c r="T96" s="10"/>
    </row>
    <row r="97" spans="1:20" x14ac:dyDescent="0.25">
      <c r="A97" s="3" t="s">
        <v>176</v>
      </c>
      <c r="B97" s="33">
        <f>Multi!B885*B$11*LAFs!B$244*(1-Contrib!B$101)*100/(24*Input!$F$58)</f>
        <v>0</v>
      </c>
      <c r="C97" s="33">
        <f>Multi!C885*C$11*LAFs!C$244*(1-Contrib!C$101)*100/(24*Input!$F$58)</f>
        <v>1.2121949216371503E-3</v>
      </c>
      <c r="D97" s="33">
        <f>Multi!D885*D$11*LAFs!D$244*(1-Contrib!D$101)*100/(24*Input!$F$58)</f>
        <v>6.1011876093828492E-4</v>
      </c>
      <c r="E97" s="33">
        <f>Multi!E885*E$11*LAFs!E$244*(1-Contrib!E$101)*100/(24*Input!$F$58)</f>
        <v>3.2005144004876337E-3</v>
      </c>
      <c r="F97" s="33">
        <f>Multi!F885*F$11*LAFs!F$244*(1-Contrib!F$101)*100/(24*Input!$F$58)</f>
        <v>5.1859565670404522E-3</v>
      </c>
      <c r="G97" s="33">
        <f>Multi!G885*G$11*LAFs!G$244*(1-Contrib!G$101)*100/(24*Input!$F$58)</f>
        <v>1.0132015444403205E-4</v>
      </c>
      <c r="H97" s="33">
        <f>Multi!H885*H$11*LAFs!H$244*(1-Contrib!H$101)*100/(24*Input!$F$58)</f>
        <v>6.7561135250439729E-3</v>
      </c>
      <c r="I97" s="33">
        <f>Multi!I885*I$11*LAFs!I$244*(1-Contrib!I$101)*100/(24*Input!$F$58)</f>
        <v>1.6034806738582054E-3</v>
      </c>
      <c r="J97" s="33">
        <f>Multi!J885*J$11*LAFs!J$244*(1-Contrib!J$101)*100/(24*Input!$F$58)</f>
        <v>0</v>
      </c>
      <c r="K97" s="33">
        <f>Multi!B885*K$11*LAFs!B$244*(1-Contrib!K$101)*100/(24*Input!$F$58)</f>
        <v>9.0451388005177052E-4</v>
      </c>
      <c r="L97" s="33">
        <f>Multi!C885*L$11*LAFs!C$244*(1-Contrib!L$101)*100/(24*Input!$F$58)</f>
        <v>5.486075438351759E-4</v>
      </c>
      <c r="M97" s="33">
        <f>Multi!D885*M$11*LAFs!D$244*(1-Contrib!M$101)*100/(24*Input!$F$58)</f>
        <v>2.7612370660162251E-4</v>
      </c>
      <c r="N97" s="33">
        <f>Multi!E885*N$11*LAFs!E$244*(1-Contrib!N$101)*100/(24*Input!$F$58)</f>
        <v>1.4484686521283811E-3</v>
      </c>
      <c r="O97" s="33">
        <f>Multi!F885*O$11*LAFs!F$244*(1-Contrib!O$101)*100/(24*Input!$F$58)</f>
        <v>2.3470275645417868E-3</v>
      </c>
      <c r="P97" s="33">
        <f>Multi!G885*P$11*LAFs!G$244*(1-Contrib!P$101)*100/(24*Input!$F$58)</f>
        <v>4.5854837434453066E-5</v>
      </c>
      <c r="Q97" s="33">
        <f>Multi!H885*Q$11*LAFs!H$244*(1-Contrib!Q$101)*100/(24*Input!$F$58)</f>
        <v>5.8702938735831637E-3</v>
      </c>
      <c r="R97" s="33">
        <f>Multi!I885*R$11*LAFs!I$244*(1-Contrib!R$101)*100/(24*Input!$F$58)</f>
        <v>2.4931385639114659E-3</v>
      </c>
      <c r="S97" s="33">
        <f>Multi!J885*S$11*LAFs!J$244*(1-Contrib!S$101)*100/(24*Input!$F$58)</f>
        <v>0</v>
      </c>
      <c r="T97" s="10"/>
    </row>
    <row r="98" spans="1:20" x14ac:dyDescent="0.25">
      <c r="A98" s="3" t="s">
        <v>192</v>
      </c>
      <c r="B98" s="33">
        <f>Multi!B886*B$11*LAFs!B$245*(1-Contrib!B$102)*100/(24*Input!$F$58)</f>
        <v>0</v>
      </c>
      <c r="C98" s="33">
        <f>Multi!C886*C$11*LAFs!C$245*(1-Contrib!C$102)*100/(24*Input!$F$58)</f>
        <v>1.1903224586636402E-3</v>
      </c>
      <c r="D98" s="33">
        <f>Multi!D886*D$11*LAFs!D$245*(1-Contrib!D$102)*100/(24*Input!$F$58)</f>
        <v>5.9910997038004445E-4</v>
      </c>
      <c r="E98" s="33">
        <f>Multi!E886*E$11*LAFs!E$245*(1-Contrib!E$102)*100/(24*Input!$F$58)</f>
        <v>2.9371654642296637E-3</v>
      </c>
      <c r="F98" s="33">
        <f>Multi!F886*F$11*LAFs!F$245*(1-Contrib!F$102)*100/(24*Input!$F$58)</f>
        <v>3.3017501576727824E-3</v>
      </c>
      <c r="G98" s="33">
        <f>Multi!G886*G$11*LAFs!G$245*(1-Contrib!G$102)*100/(24*Input!$F$58)</f>
        <v>6.4507643206492758E-5</v>
      </c>
      <c r="H98" s="33">
        <f>Multi!H886*H$11*LAFs!H$245*(1-Contrib!H$102)*100/(24*Input!$F$58)</f>
        <v>4.6127948592503817E-3</v>
      </c>
      <c r="I98" s="33">
        <f>Multi!I886*I$11*LAFs!I$245*(1-Contrib!I$102)*100/(24*Input!$F$58)</f>
        <v>0</v>
      </c>
      <c r="J98" s="33">
        <f>Multi!J886*J$11*LAFs!J$245*(1-Contrib!J$102)*100/(24*Input!$F$58)</f>
        <v>0</v>
      </c>
      <c r="K98" s="33">
        <f>Multi!B886*K$11*LAFs!B$245*(1-Contrib!K$102)*100/(24*Input!$F$58)</f>
        <v>8.8819311678398007E-4</v>
      </c>
      <c r="L98" s="33">
        <f>Multi!C886*L$11*LAFs!C$245*(1-Contrib!L$102)*100/(24*Input!$F$58)</f>
        <v>5.3870864228449376E-4</v>
      </c>
      <c r="M98" s="33">
        <f>Multi!D886*M$11*LAFs!D$245*(1-Contrib!M$102)*100/(24*Input!$F$58)</f>
        <v>2.7114141749864934E-4</v>
      </c>
      <c r="N98" s="33">
        <f>Multi!E886*N$11*LAFs!E$245*(1-Contrib!N$102)*100/(24*Input!$F$58)</f>
        <v>1.4223329404565491E-3</v>
      </c>
      <c r="O98" s="33">
        <f>Multi!F886*O$11*LAFs!F$245*(1-Contrib!O$102)*100/(24*Input!$F$58)</f>
        <v>2.3046785391606915E-3</v>
      </c>
      <c r="P98" s="33">
        <f>Multi!G886*P$11*LAFs!G$245*(1-Contrib!P$102)*100/(24*Input!$F$58)</f>
        <v>4.5027447205341383E-5</v>
      </c>
      <c r="Q98" s="33">
        <f>Multi!H886*Q$11*LAFs!H$245*(1-Contrib!Q$102)*100/(24*Input!$F$58)</f>
        <v>5.7643721417711229E-3</v>
      </c>
      <c r="R98" s="33">
        <f>Multi!I886*R$11*LAFs!I$245*(1-Contrib!R$102)*100/(24*Input!$F$58)</f>
        <v>0</v>
      </c>
      <c r="S98" s="33">
        <f>Multi!J886*S$11*LAFs!J$245*(1-Contrib!S$102)*100/(24*Input!$F$58)</f>
        <v>0</v>
      </c>
      <c r="T98" s="10"/>
    </row>
    <row r="99" spans="1:20" x14ac:dyDescent="0.25">
      <c r="A99" s="3" t="s">
        <v>177</v>
      </c>
      <c r="B99" s="33">
        <f>Multi!B887*B$11*LAFs!B$246*(1-Contrib!B$103)*100/(24*Input!$F$58)</f>
        <v>0</v>
      </c>
      <c r="C99" s="33">
        <f>Multi!C887*C$11*LAFs!C$246*(1-Contrib!C$103)*100/(24*Input!$F$58)</f>
        <v>4.1211337442663934E-2</v>
      </c>
      <c r="D99" s="33">
        <f>Multi!D887*D$11*LAFs!D$246*(1-Contrib!D$103)*100/(24*Input!$F$58)</f>
        <v>2.0742382011606903E-2</v>
      </c>
      <c r="E99" s="33">
        <f>Multi!E887*E$11*LAFs!E$246*(1-Contrib!E$103)*100/(24*Input!$F$58)</f>
        <v>5.474040778134593E-2</v>
      </c>
      <c r="F99" s="33">
        <f>Multi!F887*F$11*LAFs!F$246*(1-Contrib!F$103)*100/(24*Input!$F$58)</f>
        <v>8.8698672054995528E-2</v>
      </c>
      <c r="G99" s="33">
        <f>Multi!G887*G$11*LAFs!G$246*(1-Contrib!G$103)*100/(24*Input!$F$58)</f>
        <v>3.4446102685337806E-3</v>
      </c>
      <c r="H99" s="33">
        <f>Multi!H887*H$11*LAFs!H$246*(1-Contrib!H$103)*100/(24*Input!$F$58)</f>
        <v>0.11555405259905276</v>
      </c>
      <c r="I99" s="33">
        <f>Multi!I887*I$11*LAFs!I$246*(1-Contrib!I$103)*100/(24*Input!$F$58)</f>
        <v>2.7425336984308522E-2</v>
      </c>
      <c r="J99" s="33">
        <f>Multi!J887*J$11*LAFs!J$246*(1-Contrib!J$103)*100/(24*Input!$F$58)</f>
        <v>1.1394941975813734E-2</v>
      </c>
      <c r="K99" s="33">
        <f>Multi!B887*K$11*LAFs!B$246*(1-Contrib!K$103)*100/(24*Input!$F$58)</f>
        <v>0</v>
      </c>
      <c r="L99" s="33">
        <f>Multi!C887*L$11*LAFs!C$246*(1-Contrib!L$103)*100/(24*Input!$F$58)</f>
        <v>1.8651167571340516E-2</v>
      </c>
      <c r="M99" s="33">
        <f>Multi!D887*M$11*LAFs!D$246*(1-Contrib!M$103)*100/(24*Input!$F$58)</f>
        <v>9.3874566256307371E-3</v>
      </c>
      <c r="N99" s="33">
        <f>Multi!E887*N$11*LAFs!E$246*(1-Contrib!N$103)*100/(24*Input!$F$58)</f>
        <v>2.4774069025880155E-2</v>
      </c>
      <c r="O99" s="33">
        <f>Multi!F887*O$11*LAFs!F$246*(1-Contrib!O$103)*100/(24*Input!$F$58)</f>
        <v>4.0142686418627491E-2</v>
      </c>
      <c r="P99" s="33">
        <f>Multi!G887*P$11*LAFs!G$246*(1-Contrib!P$103)*100/(24*Input!$F$58)</f>
        <v>1.5589400228946055E-3</v>
      </c>
      <c r="Q99" s="33">
        <f>Multi!H887*Q$11*LAFs!H$246*(1-Contrib!Q$103)*100/(24*Input!$F$58)</f>
        <v>0.10040332278689923</v>
      </c>
      <c r="R99" s="33">
        <f>Multi!I887*R$11*LAFs!I$246*(1-Contrib!R$103)*100/(24*Input!$F$58)</f>
        <v>4.2641714601602571E-2</v>
      </c>
      <c r="S99" s="33">
        <f>Multi!J887*S$11*LAFs!J$246*(1-Contrib!S$103)*100/(24*Input!$F$58)</f>
        <v>8.4147530922912245E-2</v>
      </c>
      <c r="T99" s="10"/>
    </row>
    <row r="100" spans="1:20" x14ac:dyDescent="0.25">
      <c r="A100" s="3" t="s">
        <v>178</v>
      </c>
      <c r="B100" s="33">
        <f>Multi!B888*B$11*LAFs!B$247*(1-Contrib!B$104)*100/(24*Input!$F$58)</f>
        <v>0</v>
      </c>
      <c r="C100" s="33">
        <f>Multi!C888*C$11*LAFs!C$247*(1-Contrib!C$104)*100/(24*Input!$F$58)</f>
        <v>4.2443789030557739E-2</v>
      </c>
      <c r="D100" s="33">
        <f>Multi!D888*D$11*LAFs!D$247*(1-Contrib!D$104)*100/(24*Input!$F$58)</f>
        <v>2.1362696304548043E-2</v>
      </c>
      <c r="E100" s="33">
        <f>Multi!E888*E$11*LAFs!E$247*(1-Contrib!E$104)*100/(24*Input!$F$58)</f>
        <v>5.6346670729023093E-2</v>
      </c>
      <c r="F100" s="33">
        <f>Multi!F888*F$11*LAFs!F$247*(1-Contrib!F$104)*100/(24*Input!$F$58)</f>
        <v>9.1301381757108085E-2</v>
      </c>
      <c r="G100" s="33">
        <f>Multi!G888*G$11*LAFs!G$247*(1-Contrib!G$104)*100/(24*Input!$F$58)</f>
        <v>3.5476235570744926E-3</v>
      </c>
      <c r="H100" s="33">
        <f>Multi!H888*H$11*LAFs!H$247*(1-Contrib!H$104)*100/(24*Input!$F$58)</f>
        <v>0.11894478717094691</v>
      </c>
      <c r="I100" s="33">
        <f>Multi!I888*I$11*LAFs!I$247*(1-Contrib!I$104)*100/(24*Input!$F$58)</f>
        <v>2.8230086243784567E-2</v>
      </c>
      <c r="J100" s="33">
        <f>Multi!J888*J$11*LAFs!J$247*(1-Contrib!J$104)*100/(24*Input!$F$58)</f>
        <v>1.1729306914412495E-2</v>
      </c>
      <c r="K100" s="33">
        <f>Multi!B888*K$11*LAFs!B$247*(1-Contrib!K$104)*100/(24*Input!$F$58)</f>
        <v>0</v>
      </c>
      <c r="L100" s="33">
        <f>Multi!C888*L$11*LAFs!C$247*(1-Contrib!L$104)*100/(24*Input!$F$58)</f>
        <v>1.9208942749623748E-2</v>
      </c>
      <c r="M100" s="33">
        <f>Multi!D888*M$11*LAFs!D$247*(1-Contrib!M$104)*100/(24*Input!$F$58)</f>
        <v>9.668194561899832E-3</v>
      </c>
      <c r="N100" s="33">
        <f>Multi!E888*N$11*LAFs!E$247*(1-Contrib!N$104)*100/(24*Input!$F$58)</f>
        <v>2.5501021395296527E-2</v>
      </c>
      <c r="O100" s="33">
        <f>Multi!F888*O$11*LAFs!F$247*(1-Contrib!O$104)*100/(24*Input!$F$58)</f>
        <v>4.132060438504128E-2</v>
      </c>
      <c r="P100" s="33">
        <f>Multi!G888*P$11*LAFs!G$247*(1-Contrib!P$104)*100/(24*Input!$F$58)</f>
        <v>1.6055611282960187E-3</v>
      </c>
      <c r="Q100" s="33">
        <f>Multi!H888*Q$11*LAFs!H$247*(1-Contrib!Q$104)*100/(24*Input!$F$58)</f>
        <v>0.10334948529742449</v>
      </c>
      <c r="R100" s="33">
        <f>Multi!I888*R$11*LAFs!I$247*(1-Contrib!R$104)*100/(24*Input!$F$58)</f>
        <v>4.3892962244177117E-2</v>
      </c>
      <c r="S100" s="33">
        <f>Multi!J888*S$11*LAFs!J$247*(1-Contrib!S$104)*100/(24*Input!$F$58)</f>
        <v>8.6616695230198451E-2</v>
      </c>
      <c r="T100" s="10"/>
    </row>
    <row r="101" spans="1:20" x14ac:dyDescent="0.25">
      <c r="A101" s="3" t="s">
        <v>179</v>
      </c>
      <c r="B101" s="33">
        <f>Multi!B889*B$11*LAFs!B$248*(1-Contrib!B$105)*100/(24*Input!$F$58)</f>
        <v>0</v>
      </c>
      <c r="C101" s="33">
        <f>Multi!C889*C$11*LAFs!C$248*(1-Contrib!C$105)*100/(24*Input!$F$58)</f>
        <v>3.9273272411844293E-2</v>
      </c>
      <c r="D101" s="33">
        <f>Multi!D889*D$11*LAFs!D$248*(1-Contrib!D$105)*100/(24*Input!$F$58)</f>
        <v>1.976692021572302E-2</v>
      </c>
      <c r="E101" s="33">
        <f>Multi!E889*E$11*LAFs!E$248*(1-Contrib!E$105)*100/(24*Input!$F$58)</f>
        <v>5.2137998130220187E-2</v>
      </c>
      <c r="F101" s="33">
        <f>Multi!F889*F$11*LAFs!F$248*(1-Contrib!F$105)*100/(24*Input!$F$58)</f>
        <v>8.4481855090094898E-2</v>
      </c>
      <c r="G101" s="33">
        <f>Multi!G889*G$11*LAFs!G$248*(1-Contrib!G$105)*100/(24*Input!$F$58)</f>
        <v>3.2826189544800811E-3</v>
      </c>
      <c r="H101" s="33">
        <f>Multi!H889*H$11*LAFs!H$248*(1-Contrib!H$105)*100/(24*Input!$F$58)</f>
        <v>0.11006050598698414</v>
      </c>
      <c r="I101" s="33">
        <f>Multi!I889*I$11*LAFs!I$248*(1-Contrib!I$105)*100/(24*Input!$F$58)</f>
        <v>2.612151108044556E-2</v>
      </c>
      <c r="J101" s="33">
        <f>Multi!J889*J$11*LAFs!J$248*(1-Contrib!J$105)*100/(24*Input!$F$58)</f>
        <v>1.0853215887650012E-2</v>
      </c>
      <c r="K101" s="33">
        <f>Multi!B889*K$11*LAFs!B$248*(1-Contrib!K$105)*100/(24*Input!$F$58)</f>
        <v>0</v>
      </c>
      <c r="L101" s="33">
        <f>Multi!C889*L$11*LAFs!C$248*(1-Contrib!L$105)*100/(24*Input!$F$58)</f>
        <v>1.7774050304659651E-2</v>
      </c>
      <c r="M101" s="33">
        <f>Multi!D889*M$11*LAFs!D$248*(1-Contrib!M$105)*100/(24*Input!$F$58)</f>
        <v>8.9459882690217547E-3</v>
      </c>
      <c r="N101" s="33">
        <f>Multi!E889*N$11*LAFs!E$248*(1-Contrib!N$105)*100/(24*Input!$F$58)</f>
        <v>2.3596286854652405E-2</v>
      </c>
      <c r="O101" s="33">
        <f>Multi!F889*O$11*LAFs!F$248*(1-Contrib!O$105)*100/(24*Input!$F$58)</f>
        <v>3.8234265952064014E-2</v>
      </c>
      <c r="P101" s="33">
        <f>Multi!G889*P$11*LAFs!G$248*(1-Contrib!P$105)*100/(24*Input!$F$58)</f>
        <v>1.4856270141207287E-3</v>
      </c>
      <c r="Q101" s="33">
        <f>Multi!H889*Q$11*LAFs!H$248*(1-Contrib!Q$105)*100/(24*Input!$F$58)</f>
        <v>9.5630055892918203E-2</v>
      </c>
      <c r="R101" s="33">
        <f>Multi!I889*R$11*LAFs!I$248*(1-Contrib!R$105)*100/(24*Input!$F$58)</f>
        <v>4.0614488022235065E-2</v>
      </c>
      <c r="S101" s="33">
        <f>Multi!J889*S$11*LAFs!J$248*(1-Contrib!S$105)*100/(24*Input!$F$58)</f>
        <v>8.0147079419757489E-2</v>
      </c>
      <c r="T101" s="10"/>
    </row>
    <row r="102" spans="1:20" x14ac:dyDescent="0.25">
      <c r="A102" s="3" t="s">
        <v>180</v>
      </c>
      <c r="B102" s="33">
        <f>Multi!B890*B$11*LAFs!B$249*(1-Contrib!B$106)*100/(24*Input!$F$58)</f>
        <v>0</v>
      </c>
      <c r="C102" s="33">
        <f>Multi!C890*C$11*LAFs!C$249*(1-Contrib!C$106)*100/(24*Input!$F$58)</f>
        <v>3.8095811584979176E-2</v>
      </c>
      <c r="D102" s="33">
        <f>Multi!D890*D$11*LAFs!D$249*(1-Contrib!D$106)*100/(24*Input!$F$58)</f>
        <v>1.9174283728044885E-2</v>
      </c>
      <c r="E102" s="33">
        <f>Multi!E890*E$11*LAFs!E$249*(1-Contrib!E$106)*100/(24*Input!$F$58)</f>
        <v>5.0574837063688156E-2</v>
      </c>
      <c r="F102" s="33">
        <f>Multi!F890*F$11*LAFs!F$249*(1-Contrib!F$106)*100/(24*Input!$F$58)</f>
        <v>8.1948985562281279E-2</v>
      </c>
      <c r="G102" s="33">
        <f>Multi!G890*G$11*LAFs!G$249*(1-Contrib!G$106)*100/(24*Input!$F$58)</f>
        <v>3.1842020161640498E-3</v>
      </c>
      <c r="H102" s="33">
        <f>Multi!H890*H$11*LAFs!H$249*(1-Contrib!H$106)*100/(24*Input!$F$58)</f>
        <v>0.10676075716479158</v>
      </c>
      <c r="I102" s="33">
        <f>Multi!I890*I$11*LAFs!I$249*(1-Contrib!I$106)*100/(24*Input!$F$58)</f>
        <v>2.5338356172618936E-2</v>
      </c>
      <c r="J102" s="33">
        <f>Multi!J890*J$11*LAFs!J$249*(1-Contrib!J$106)*100/(24*Input!$F$58)</f>
        <v>0</v>
      </c>
      <c r="K102" s="33">
        <f>Multi!B890*K$11*LAFs!B$249*(1-Contrib!K$106)*100/(24*Input!$F$58)</f>
        <v>0</v>
      </c>
      <c r="L102" s="33">
        <f>Multi!C890*L$11*LAFs!C$249*(1-Contrib!L$106)*100/(24*Input!$F$58)</f>
        <v>1.7241162498698386E-2</v>
      </c>
      <c r="M102" s="33">
        <f>Multi!D890*M$11*LAFs!D$249*(1-Contrib!M$106)*100/(24*Input!$F$58)</f>
        <v>8.6777765795575668E-3</v>
      </c>
      <c r="N102" s="33">
        <f>Multi!E890*N$11*LAFs!E$249*(1-Contrib!N$106)*100/(24*Input!$F$58)</f>
        <v>2.2888841263170541E-2</v>
      </c>
      <c r="O102" s="33">
        <f>Multi!F890*O$11*LAFs!F$249*(1-Contrib!O$106)*100/(24*Input!$F$58)</f>
        <v>3.708795581191586E-2</v>
      </c>
      <c r="P102" s="33">
        <f>Multi!G890*P$11*LAFs!G$249*(1-Contrib!P$106)*100/(24*Input!$F$58)</f>
        <v>1.441086095958478E-3</v>
      </c>
      <c r="Q102" s="33">
        <f>Multi!H890*Q$11*LAFs!H$249*(1-Contrib!Q$106)*100/(24*Input!$F$58)</f>
        <v>9.2762949645594769E-2</v>
      </c>
      <c r="R102" s="33">
        <f>Multi!I890*R$11*LAFs!I$249*(1-Contrib!R$106)*100/(24*Input!$F$58)</f>
        <v>3.9396815908032998E-2</v>
      </c>
      <c r="S102" s="33">
        <f>Multi!J890*S$11*LAFs!J$249*(1-Contrib!S$106)*100/(24*Input!$F$58)</f>
        <v>0</v>
      </c>
      <c r="T102" s="10"/>
    </row>
    <row r="103" spans="1:20" x14ac:dyDescent="0.25">
      <c r="A103" s="3" t="s">
        <v>193</v>
      </c>
      <c r="B103" s="33">
        <f>Multi!B891*B$11*LAFs!B$250*(1-Contrib!B$107)*100/(24*Input!$F$58)</f>
        <v>0</v>
      </c>
      <c r="C103" s="33">
        <f>Multi!C891*C$11*LAFs!C$250*(1-Contrib!C$107)*100/(24*Input!$F$58)</f>
        <v>3.3182045175943822E-2</v>
      </c>
      <c r="D103" s="33">
        <f>Multi!D891*D$11*LAFs!D$250*(1-Contrib!D$107)*100/(24*Input!$F$58)</f>
        <v>1.6701099737988369E-2</v>
      </c>
      <c r="E103" s="33">
        <f>Multi!E891*E$11*LAFs!E$250*(1-Contrib!E$107)*100/(24*Input!$F$58)</f>
        <v>4.1169621312933412E-2</v>
      </c>
      <c r="F103" s="33">
        <f>Multi!F891*F$11*LAFs!F$250*(1-Contrib!F$107)*100/(24*Input!$F$58)</f>
        <v>4.6279927132725489E-2</v>
      </c>
      <c r="G103" s="33">
        <f>Multi!G891*G$11*LAFs!G$250*(1-Contrib!G$107)*100/(24*Input!$F$58)</f>
        <v>1.7982484624163228E-3</v>
      </c>
      <c r="H103" s="33">
        <f>Multi!H891*H$11*LAFs!H$250*(1-Contrib!H$107)*100/(24*Input!$F$58)</f>
        <v>6.4656560844927241E-2</v>
      </c>
      <c r="I103" s="33">
        <f>Multi!I891*I$11*LAFs!I$250*(1-Contrib!I$107)*100/(24*Input!$F$58)</f>
        <v>0</v>
      </c>
      <c r="J103" s="33">
        <f>Multi!J891*J$11*LAFs!J$250*(1-Contrib!J$107)*100/(24*Input!$F$58)</f>
        <v>0</v>
      </c>
      <c r="K103" s="33">
        <f>Multi!B891*K$11*LAFs!B$250*(1-Contrib!K$107)*100/(24*Input!$F$58)</f>
        <v>0</v>
      </c>
      <c r="L103" s="33">
        <f>Multi!C891*L$11*LAFs!C$250*(1-Contrib!L$107)*100/(24*Input!$F$58)</f>
        <v>1.5017321041748615E-2</v>
      </c>
      <c r="M103" s="33">
        <f>Multi!D891*M$11*LAFs!D$250*(1-Contrib!M$107)*100/(24*Input!$F$58)</f>
        <v>7.5584785442177364E-3</v>
      </c>
      <c r="N103" s="33">
        <f>Multi!E891*N$11*LAFs!E$250*(1-Contrib!N$107)*100/(24*Input!$F$58)</f>
        <v>1.9936537199774357E-2</v>
      </c>
      <c r="O103" s="33">
        <f>Multi!F891*O$11*LAFs!F$250*(1-Contrib!O$107)*100/(24*Input!$F$58)</f>
        <v>3.230418710175572E-2</v>
      </c>
      <c r="P103" s="33">
        <f>Multi!G891*P$11*LAFs!G$250*(1-Contrib!P$107)*100/(24*Input!$F$58)</f>
        <v>1.2552084323456966E-3</v>
      </c>
      <c r="Q103" s="33">
        <f>Multi!H891*Q$11*LAFs!H$250*(1-Contrib!Q$107)*100/(24*Input!$F$58)</f>
        <v>8.0797973785852628E-2</v>
      </c>
      <c r="R103" s="33">
        <f>Multi!I891*R$11*LAFs!I$250*(1-Contrib!R$107)*100/(24*Input!$F$58)</f>
        <v>0</v>
      </c>
      <c r="S103" s="33">
        <f>Multi!J891*S$11*LAFs!J$250*(1-Contrib!S$107)*100/(24*Input!$F$58)</f>
        <v>0</v>
      </c>
      <c r="T103" s="10"/>
    </row>
    <row r="104" spans="1:20" x14ac:dyDescent="0.25">
      <c r="A104" s="3" t="s">
        <v>217</v>
      </c>
      <c r="B104" s="33">
        <f>Multi!B892*B$11*LAFs!B$255*(1-Contrib!B$112)*100/(24*Input!$F$58)</f>
        <v>0</v>
      </c>
      <c r="C104" s="33">
        <f>Multi!C892*C$11*LAFs!C$255*(1-Contrib!C$112)*100/(24*Input!$F$58)</f>
        <v>3.1446007594553259E-2</v>
      </c>
      <c r="D104" s="33">
        <f>Multi!D892*D$11*LAFs!D$255*(1-Contrib!D$112)*100/(24*Input!$F$58)</f>
        <v>1.5827321866794346E-2</v>
      </c>
      <c r="E104" s="33">
        <f>Multi!E892*E$11*LAFs!E$255*(1-Contrib!E$112)*100/(24*Input!$F$58)</f>
        <v>4.238427247308018E-2</v>
      </c>
      <c r="F104" s="33">
        <f>Multi!F892*F$11*LAFs!F$255*(1-Contrib!F$112)*100/(24*Input!$F$58)</f>
        <v>6.867739640150114E-2</v>
      </c>
      <c r="G104" s="33">
        <f>Multi!G892*G$11*LAFs!G$255*(1-Contrib!G$112)*100/(24*Input!$F$58)</f>
        <v>2.6283845025726394E-3</v>
      </c>
      <c r="H104" s="33">
        <f>Multi!H892*H$11*LAFs!H$255*(1-Contrib!H$112)*100/(24*Input!$F$58)</f>
        <v>8.9470916444211901E-2</v>
      </c>
      <c r="I104" s="33">
        <f>Multi!I892*I$11*LAFs!I$255*(1-Contrib!I$112)*100/(24*Input!$F$58)</f>
        <v>2.1234824556880468E-2</v>
      </c>
      <c r="J104" s="33">
        <f>Multi!J892*J$11*LAFs!J$255*(1-Contrib!J$112)*100/(24*Input!$F$58)</f>
        <v>8.822848515250007E-3</v>
      </c>
      <c r="K104" s="33">
        <f>Multi!B892*K$11*LAFs!B$255*(1-Contrib!K$112)*100/(24*Input!$F$58)</f>
        <v>0</v>
      </c>
      <c r="L104" s="33">
        <f>Multi!C892*L$11*LAFs!C$255*(1-Contrib!L$112)*100/(24*Input!$F$58)</f>
        <v>1.4231636085862186E-2</v>
      </c>
      <c r="M104" s="33">
        <f>Multi!D892*M$11*LAFs!D$255*(1-Contrib!M$112)*100/(24*Input!$F$58)</f>
        <v>7.1630296578902219E-3</v>
      </c>
      <c r="N104" s="33">
        <f>Multi!E892*N$11*LAFs!E$255*(1-Contrib!N$112)*100/(24*Input!$F$58)</f>
        <v>1.9182007120846164E-2</v>
      </c>
      <c r="O104" s="33">
        <f>Multi!F892*O$11*LAFs!F$255*(1-Contrib!O$112)*100/(24*Input!$F$58)</f>
        <v>3.1081583567382932E-2</v>
      </c>
      <c r="P104" s="33">
        <f>Multi!G892*P$11*LAFs!G$255*(1-Contrib!P$112)*100/(24*Input!$F$58)</f>
        <v>1.189537705918916E-3</v>
      </c>
      <c r="Q104" s="33">
        <f>Multi!H892*Q$11*LAFs!H$255*(1-Contrib!Q$112)*100/(24*Input!$F$58)</f>
        <v>7.7740045474281705E-2</v>
      </c>
      <c r="R104" s="33">
        <f>Multi!I892*R$11*LAFs!I$255*(1-Contrib!R$112)*100/(24*Input!$F$58)</f>
        <v>3.3016525152915234E-2</v>
      </c>
      <c r="S104" s="33">
        <f>Multi!J892*S$11*LAFs!J$255*(1-Contrib!S$112)*100/(24*Input!$F$58)</f>
        <v>6.5153549692573365E-2</v>
      </c>
      <c r="T104" s="10"/>
    </row>
    <row r="105" spans="1:20" x14ac:dyDescent="0.25">
      <c r="A105" s="3" t="s">
        <v>184</v>
      </c>
      <c r="B105" s="33">
        <f>Multi!B893*B$11*LAFs!B$259*(1-Contrib!B$116)*100/(24*Input!$F$58)</f>
        <v>0</v>
      </c>
      <c r="C105" s="33">
        <f>Multi!C893*C$11*LAFs!C$259*(1-Contrib!C$116)*100/(24*Input!$F$58)</f>
        <v>-3.2161717382700912E-2</v>
      </c>
      <c r="D105" s="33">
        <f>Multi!D893*D$11*LAFs!D$259*(1-Contrib!D$116)*100/(24*Input!$F$58)</f>
        <v>-1.6187551035669517E-2</v>
      </c>
      <c r="E105" s="33">
        <f>Multi!E893*E$11*LAFs!E$259*(1-Contrib!E$116)*100/(24*Input!$F$58)</f>
        <v>-4.2696914664493685E-2</v>
      </c>
      <c r="F105" s="33">
        <f>Multi!F893*F$11*LAFs!F$259*(1-Contrib!F$116)*100/(24*Input!$F$58)</f>
        <v>-6.9183986475099241E-2</v>
      </c>
      <c r="G105" s="33">
        <f>Multi!G893*G$11*LAFs!G$259*(1-Contrib!G$116)*100/(24*Input!$F$58)</f>
        <v>-2.6882064214553618E-3</v>
      </c>
      <c r="H105" s="33">
        <f>Multi!H893*H$11*LAFs!H$259*(1-Contrib!H$116)*100/(24*Input!$F$58)</f>
        <v>-9.0130887271897095E-2</v>
      </c>
      <c r="I105" s="33">
        <f>Multi!I893*I$11*LAFs!I$259*(1-Contrib!I$116)*100/(24*Input!$F$58)</f>
        <v>-2.1391460537549031E-2</v>
      </c>
      <c r="J105" s="33">
        <f>Multi!J893*J$11*LAFs!J$259*(1-Contrib!J$116)*100/(24*Input!$F$58)</f>
        <v>0</v>
      </c>
      <c r="K105" s="33">
        <f>Multi!B893*K$11*LAFs!B$259*(1-Contrib!K$116)*100/(24*Input!$F$58)</f>
        <v>0</v>
      </c>
      <c r="L105" s="33">
        <f>Multi!C893*L$11*LAFs!C$259*(1-Contrib!L$116)*100/(24*Input!$F$58)</f>
        <v>-1.4555547514598571E-2</v>
      </c>
      <c r="M105" s="33">
        <f>Multi!D893*M$11*LAFs!D$259*(1-Contrib!M$116)*100/(24*Input!$F$58)</f>
        <v>-7.3260599065960033E-3</v>
      </c>
      <c r="N105" s="33">
        <f>Multi!E893*N$11*LAFs!E$259*(1-Contrib!N$116)*100/(24*Input!$F$58)</f>
        <v>-1.9323500754971416E-2</v>
      </c>
      <c r="O105" s="33">
        <f>Multi!F893*O$11*LAFs!F$259*(1-Contrib!O$116)*100/(24*Input!$F$58)</f>
        <v>-3.13108529126402E-2</v>
      </c>
      <c r="P105" s="33">
        <f>Multi!G893*P$11*LAFs!G$259*(1-Contrib!P$116)*100/(24*Input!$F$58)</f>
        <v>-1.2166115332382336E-3</v>
      </c>
      <c r="Q105" s="33">
        <f>Multi!H893*Q$11*LAFs!H$259*(1-Contrib!Q$116)*100/(24*Input!$F$58)</f>
        <v>-7.8313485025310978E-2</v>
      </c>
      <c r="R105" s="33">
        <f>Multi!I893*R$11*LAFs!I$259*(1-Contrib!R$116)*100/(24*Input!$F$58)</f>
        <v>-3.3260067348507311E-2</v>
      </c>
      <c r="S105" s="33">
        <f>Multi!J893*S$11*LAFs!J$259*(1-Contrib!S$116)*100/(24*Input!$F$58)</f>
        <v>0</v>
      </c>
      <c r="T105" s="10"/>
    </row>
    <row r="106" spans="1:20" x14ac:dyDescent="0.25">
      <c r="A106" s="3" t="s">
        <v>186</v>
      </c>
      <c r="B106" s="33">
        <f>Multi!B894*B$11*LAFs!B$261*(1-Contrib!B$118)*100/(24*Input!$F$58)</f>
        <v>0</v>
      </c>
      <c r="C106" s="33">
        <f>Multi!C894*C$11*LAFs!C$261*(1-Contrib!C$118)*100/(24*Input!$F$58)</f>
        <v>-3.0984710342162908E-2</v>
      </c>
      <c r="D106" s="33">
        <f>Multi!D894*D$11*LAFs!D$261*(1-Contrib!D$118)*100/(24*Input!$F$58)</f>
        <v>-1.559514294653248E-2</v>
      </c>
      <c r="E106" s="33">
        <f>Multi!E894*E$11*LAFs!E$261*(1-Contrib!E$118)*100/(24*Input!$F$58)</f>
        <v>-4.1134356030843415E-2</v>
      </c>
      <c r="F106" s="33">
        <f>Multi!F894*F$11*LAFs!F$261*(1-Contrib!F$118)*100/(24*Input!$F$58)</f>
        <v>-6.6652093099981241E-2</v>
      </c>
      <c r="G106" s="33">
        <f>Multi!G894*G$11*LAFs!G$261*(1-Contrib!G$118)*100/(24*Input!$F$58)</f>
        <v>-2.5898274124359529E-3</v>
      </c>
      <c r="H106" s="33">
        <f>Multi!H894*H$11*LAFs!H$261*(1-Contrib!H$118)*100/(24*Input!$F$58)</f>
        <v>-8.6832410153071943E-2</v>
      </c>
      <c r="I106" s="33">
        <f>Multi!I894*I$11*LAFs!I$261*(1-Contrib!I$118)*100/(24*Input!$F$58)</f>
        <v>0</v>
      </c>
      <c r="J106" s="33">
        <f>Multi!J894*J$11*LAFs!J$261*(1-Contrib!J$118)*100/(24*Input!$F$58)</f>
        <v>0</v>
      </c>
      <c r="K106" s="33">
        <f>Multi!B894*K$11*LAFs!B$261*(1-Contrib!K$118)*100/(24*Input!$F$58)</f>
        <v>0</v>
      </c>
      <c r="L106" s="33">
        <f>Multi!C894*L$11*LAFs!C$261*(1-Contrib!L$118)*100/(24*Input!$F$58)</f>
        <v>-1.4022865080395509E-2</v>
      </c>
      <c r="M106" s="33">
        <f>Multi!D894*M$11*LAFs!D$261*(1-Contrib!M$118)*100/(24*Input!$F$58)</f>
        <v>-7.0579515843052065E-3</v>
      </c>
      <c r="N106" s="33">
        <f>Multi!E894*N$11*LAFs!E$261*(1-Contrib!N$118)*100/(24*Input!$F$58)</f>
        <v>-1.8616327808769349E-2</v>
      </c>
      <c r="O106" s="33">
        <f>Multi!F894*O$11*LAFs!F$261*(1-Contrib!O$118)*100/(24*Input!$F$58)</f>
        <v>-3.0164984553531681E-2</v>
      </c>
      <c r="P106" s="33">
        <f>Multi!G894*P$11*LAFs!G$261*(1-Contrib!P$118)*100/(24*Input!$F$58)</f>
        <v>-1.1720877808781883E-3</v>
      </c>
      <c r="Q106" s="33">
        <f>Multi!H894*Q$11*LAFs!H$261*(1-Contrib!Q$118)*100/(24*Input!$F$58)</f>
        <v>-7.5447483743506349E-2</v>
      </c>
      <c r="R106" s="33">
        <f>Multi!I894*R$11*LAFs!I$261*(1-Contrib!R$118)*100/(24*Input!$F$58)</f>
        <v>0</v>
      </c>
      <c r="S106" s="33">
        <f>Multi!J894*S$11*LAFs!J$261*(1-Contrib!S$118)*100/(24*Input!$F$58)</f>
        <v>0</v>
      </c>
      <c r="T106" s="10"/>
    </row>
    <row r="107" spans="1:20" x14ac:dyDescent="0.25">
      <c r="A107" s="3" t="s">
        <v>195</v>
      </c>
      <c r="B107" s="33">
        <f>Multi!B895*B$11*LAFs!B$263*(1-Contrib!B$120)*100/(24*Input!$F$58)</f>
        <v>0</v>
      </c>
      <c r="C107" s="33">
        <f>Multi!C895*C$11*LAFs!C$263*(1-Contrib!C$120)*100/(24*Input!$F$58)</f>
        <v>-3.0425631997907359E-2</v>
      </c>
      <c r="D107" s="33">
        <f>Multi!D895*D$11*LAFs!D$263*(1-Contrib!D$120)*100/(24*Input!$F$58)</f>
        <v>-1.5313749104192392E-2</v>
      </c>
      <c r="E107" s="33">
        <f>Multi!E895*E$11*LAFs!E$263*(1-Contrib!E$120)*100/(24*Input!$F$58)</f>
        <v>-3.774968483463547E-2</v>
      </c>
      <c r="F107" s="33">
        <f>Multi!F895*F$11*LAFs!F$263*(1-Contrib!F$120)*100/(24*Input!$F$58)</f>
        <v>-4.2435480524603372E-2</v>
      </c>
      <c r="G107" s="33">
        <f>Multi!G895*G$11*LAFs!G$263*(1-Contrib!G$120)*100/(24*Input!$F$58)</f>
        <v>-1.6488690093746016E-3</v>
      </c>
      <c r="H107" s="33">
        <f>Multi!H895*H$11*LAFs!H$263*(1-Contrib!H$120)*100/(24*Input!$F$58)</f>
        <v>0</v>
      </c>
      <c r="I107" s="33">
        <f>Multi!I895*I$11*LAFs!I$263*(1-Contrib!I$120)*100/(24*Input!$F$58)</f>
        <v>0</v>
      </c>
      <c r="J107" s="33">
        <f>Multi!J895*J$11*LAFs!J$263*(1-Contrib!J$120)*100/(24*Input!$F$58)</f>
        <v>0</v>
      </c>
      <c r="K107" s="33">
        <f>Multi!B895*K$11*LAFs!B$263*(1-Contrib!K$120)*100/(24*Input!$F$58)</f>
        <v>0</v>
      </c>
      <c r="L107" s="33">
        <f>Multi!C895*L$11*LAFs!C$263*(1-Contrib!L$120)*100/(24*Input!$F$58)</f>
        <v>-1.376984092414906E-2</v>
      </c>
      <c r="M107" s="33">
        <f>Multi!D895*M$11*LAFs!D$263*(1-Contrib!M$120)*100/(24*Input!$F$58)</f>
        <v>-6.9306001312170792E-3</v>
      </c>
      <c r="N107" s="33">
        <f>Multi!E895*N$11*LAFs!E$263*(1-Contrib!N$120)*100/(24*Input!$F$58)</f>
        <v>-1.8280420659323376E-2</v>
      </c>
      <c r="O107" s="33">
        <f>Multi!F895*O$11*LAFs!F$263*(1-Contrib!O$120)*100/(24*Input!$F$58)</f>
        <v>-2.9620697082955144E-2</v>
      </c>
      <c r="P107" s="33">
        <f>Multi!G895*P$11*LAFs!G$263*(1-Contrib!P$120)*100/(24*Input!$F$58)</f>
        <v>-1.1509389985071669E-3</v>
      </c>
      <c r="Q107" s="33">
        <f>Multi!H895*Q$11*LAFs!H$263*(1-Contrib!Q$120)*100/(24*Input!$F$58)</f>
        <v>0</v>
      </c>
      <c r="R107" s="33">
        <f>Multi!I895*R$11*LAFs!I$263*(1-Contrib!R$120)*100/(24*Input!$F$58)</f>
        <v>0</v>
      </c>
      <c r="S107" s="33">
        <f>Multi!J895*S$11*LAFs!J$263*(1-Contrib!S$120)*100/(24*Input!$F$58)</f>
        <v>0</v>
      </c>
      <c r="T107" s="10"/>
    </row>
    <row r="109" spans="1:20" ht="21" customHeight="1" x14ac:dyDescent="0.3">
      <c r="A109" s="1" t="s">
        <v>986</v>
      </c>
    </row>
    <row r="110" spans="1:20" x14ac:dyDescent="0.25">
      <c r="A110" s="2" t="s">
        <v>356</v>
      </c>
    </row>
    <row r="111" spans="1:20" x14ac:dyDescent="0.25">
      <c r="A111" s="11" t="s">
        <v>987</v>
      </c>
    </row>
    <row r="112" spans="1:20" x14ac:dyDescent="0.25">
      <c r="A112" s="11" t="s">
        <v>982</v>
      </c>
    </row>
    <row r="113" spans="1:20" x14ac:dyDescent="0.25">
      <c r="A113" s="11" t="s">
        <v>803</v>
      </c>
    </row>
    <row r="114" spans="1:20" x14ac:dyDescent="0.25">
      <c r="A114" s="11" t="s">
        <v>978</v>
      </c>
    </row>
    <row r="115" spans="1:20" x14ac:dyDescent="0.25">
      <c r="A115" s="11" t="s">
        <v>746</v>
      </c>
    </row>
    <row r="116" spans="1:20" x14ac:dyDescent="0.25">
      <c r="A116" s="2" t="s">
        <v>983</v>
      </c>
    </row>
    <row r="118" spans="1:20" ht="30" x14ac:dyDescent="0.25">
      <c r="B118" s="12" t="s">
        <v>139</v>
      </c>
      <c r="C118" s="12" t="s">
        <v>311</v>
      </c>
      <c r="D118" s="12" t="s">
        <v>312</v>
      </c>
      <c r="E118" s="12" t="s">
        <v>313</v>
      </c>
      <c r="F118" s="12" t="s">
        <v>314</v>
      </c>
      <c r="G118" s="12" t="s">
        <v>315</v>
      </c>
      <c r="H118" s="12" t="s">
        <v>316</v>
      </c>
      <c r="I118" s="12" t="s">
        <v>317</v>
      </c>
      <c r="J118" s="12" t="s">
        <v>318</v>
      </c>
      <c r="K118" s="12" t="s">
        <v>299</v>
      </c>
      <c r="L118" s="12" t="s">
        <v>882</v>
      </c>
      <c r="M118" s="12" t="s">
        <v>883</v>
      </c>
      <c r="N118" s="12" t="s">
        <v>884</v>
      </c>
      <c r="O118" s="12" t="s">
        <v>885</v>
      </c>
      <c r="P118" s="12" t="s">
        <v>886</v>
      </c>
      <c r="Q118" s="12" t="s">
        <v>887</v>
      </c>
      <c r="R118" s="12" t="s">
        <v>888</v>
      </c>
      <c r="S118" s="12" t="s">
        <v>889</v>
      </c>
    </row>
    <row r="119" spans="1:20" x14ac:dyDescent="0.25">
      <c r="A119" s="3" t="s">
        <v>177</v>
      </c>
      <c r="B119" s="33">
        <f>Multi!B904*B$11*LAFs!B$246*(1-Contrib!B$103)*100/(24*Input!$F$58)</f>
        <v>0</v>
      </c>
      <c r="C119" s="33">
        <f>Multi!C904*C$11*LAFs!C$246*(1-Contrib!C$103)*100/(24*Input!$F$58)</f>
        <v>1.6122846852595408E-3</v>
      </c>
      <c r="D119" s="33">
        <f>Multi!D904*D$11*LAFs!D$246*(1-Contrib!D$103)*100/(24*Input!$F$58)</f>
        <v>8.1149088887601587E-4</v>
      </c>
      <c r="E119" s="33">
        <f>Multi!E904*E$11*LAFs!E$246*(1-Contrib!E$103)*100/(24*Input!$F$58)</f>
        <v>4.2591517237171818E-3</v>
      </c>
      <c r="F119" s="33">
        <f>Multi!F904*F$11*LAFs!F$246*(1-Contrib!F$103)*100/(24*Input!$F$58)</f>
        <v>6.9013205653027099E-3</v>
      </c>
      <c r="G119" s="33">
        <f>Multi!G904*G$11*LAFs!G$246*(1-Contrib!G$103)*100/(24*Input!$F$58)</f>
        <v>1.3476127510715833E-4</v>
      </c>
      <c r="H119" s="33">
        <f>Multi!H904*H$11*LAFs!H$246*(1-Contrib!H$103)*100/(24*Input!$F$58)</f>
        <v>8.9908398979350861E-3</v>
      </c>
      <c r="I119" s="33">
        <f>Multi!I904*I$11*LAFs!I$246*(1-Contrib!I$103)*100/(24*Input!$F$58)</f>
        <v>2.1338655670381668E-3</v>
      </c>
      <c r="J119" s="33">
        <f>Multi!J904*J$11*LAFs!J$246*(1-Contrib!J$103)*100/(24*Input!$F$58)</f>
        <v>8.8659892618635206E-4</v>
      </c>
      <c r="K119" s="33">
        <f>Multi!B904*K$11*LAFs!B$246*(1-Contrib!K$103)*100/(24*Input!$F$58)</f>
        <v>1.2034133265032929E-3</v>
      </c>
      <c r="L119" s="33">
        <f>Multi!C904*L$11*LAFs!C$246*(1-Contrib!L$103)*100/(24*Input!$F$58)</f>
        <v>7.2967764948950143E-4</v>
      </c>
      <c r="M119" s="33">
        <f>Multi!D904*M$11*LAFs!D$246*(1-Contrib!M$103)*100/(24*Input!$F$58)</f>
        <v>3.6725943612239844E-4</v>
      </c>
      <c r="N119" s="33">
        <f>Multi!E904*N$11*LAFs!E$246*(1-Contrib!N$103)*100/(24*Input!$F$58)</f>
        <v>1.9275800651054544E-3</v>
      </c>
      <c r="O119" s="33">
        <f>Multi!F904*O$11*LAFs!F$246*(1-Contrib!O$103)*100/(24*Input!$F$58)</f>
        <v>3.123356200367927E-3</v>
      </c>
      <c r="P119" s="33">
        <f>Multi!G904*P$11*LAFs!G$246*(1-Contrib!P$103)*100/(24*Input!$F$58)</f>
        <v>6.098940922866244E-5</v>
      </c>
      <c r="Q119" s="33">
        <f>Multi!H904*Q$11*LAFs!H$246*(1-Contrib!Q$103)*100/(24*Input!$F$58)</f>
        <v>7.8120168016081225E-3</v>
      </c>
      <c r="R119" s="33">
        <f>Multi!I904*R$11*LAFs!I$246*(1-Contrib!R$103)*100/(24*Input!$F$58)</f>
        <v>3.3177964799444206E-3</v>
      </c>
      <c r="S119" s="33">
        <f>Multi!J904*S$11*LAFs!J$246*(1-Contrib!S$103)*100/(24*Input!$F$58)</f>
        <v>6.5472128524953852E-3</v>
      </c>
      <c r="T119" s="10"/>
    </row>
    <row r="120" spans="1:20" x14ac:dyDescent="0.25">
      <c r="A120" s="3" t="s">
        <v>178</v>
      </c>
      <c r="B120" s="33">
        <f>Multi!B905*B$11*LAFs!B$247*(1-Contrib!B$104)*100/(24*Input!$F$58)</f>
        <v>0</v>
      </c>
      <c r="C120" s="33">
        <f>Multi!C905*C$11*LAFs!C$247*(1-Contrib!C$104)*100/(24*Input!$F$58)</f>
        <v>1.6605010971449722E-3</v>
      </c>
      <c r="D120" s="33">
        <f>Multi!D905*D$11*LAFs!D$247*(1-Contrib!D$104)*100/(24*Input!$F$58)</f>
        <v>8.3575904653889323E-4</v>
      </c>
      <c r="E120" s="33">
        <f>Multi!E905*E$11*LAFs!E$247*(1-Contrib!E$104)*100/(24*Input!$F$58)</f>
        <v>4.384129192457808E-3</v>
      </c>
      <c r="F120" s="33">
        <f>Multi!F905*F$11*LAFs!F$247*(1-Contrib!F$104)*100/(24*Input!$F$58)</f>
        <v>7.1038279261971937E-3</v>
      </c>
      <c r="G120" s="33">
        <f>Multi!G905*G$11*LAFs!G$247*(1-Contrib!G$104)*100/(24*Input!$F$58)</f>
        <v>1.3879139783063178E-4</v>
      </c>
      <c r="H120" s="33">
        <f>Multi!H905*H$11*LAFs!H$247*(1-Contrib!H$104)*100/(24*Input!$F$58)</f>
        <v>9.2546606033678293E-3</v>
      </c>
      <c r="I120" s="33">
        <f>Multi!I905*I$11*LAFs!I$247*(1-Contrib!I$104)*100/(24*Input!$F$58)</f>
        <v>2.1964801754157381E-3</v>
      </c>
      <c r="J120" s="33">
        <f>Multi!J905*J$11*LAFs!J$247*(1-Contrib!J$104)*100/(24*Input!$F$58)</f>
        <v>9.1261464405005413E-4</v>
      </c>
      <c r="K120" s="33">
        <f>Multi!B905*K$11*LAFs!B$247*(1-Contrib!K$104)*100/(24*Input!$F$58)</f>
        <v>1.2397486224946638E-3</v>
      </c>
      <c r="L120" s="33">
        <f>Multi!C905*L$11*LAFs!C$247*(1-Contrib!L$104)*100/(24*Input!$F$58)</f>
        <v>7.5149912953768286E-4</v>
      </c>
      <c r="M120" s="33">
        <f>Multi!D905*M$11*LAFs!D$247*(1-Contrib!M$104)*100/(24*Input!$F$58)</f>
        <v>3.7824256608870352E-4</v>
      </c>
      <c r="N120" s="33">
        <f>Multi!E905*N$11*LAFs!E$247*(1-Contrib!N$104)*100/(24*Input!$F$58)</f>
        <v>1.9841415808622867E-3</v>
      </c>
      <c r="O120" s="33">
        <f>Multi!F905*O$11*LAFs!F$247*(1-Contrib!O$104)*100/(24*Input!$F$58)</f>
        <v>3.2150057064711389E-3</v>
      </c>
      <c r="P120" s="33">
        <f>Multi!G905*P$11*LAFs!G$247*(1-Contrib!P$104)*100/(24*Input!$F$58)</f>
        <v>6.2813336791148067E-5</v>
      </c>
      <c r="Q120" s="33">
        <f>Multi!H905*Q$11*LAFs!H$247*(1-Contrib!Q$104)*100/(24*Input!$F$58)</f>
        <v>8.041246974411673E-3</v>
      </c>
      <c r="R120" s="33">
        <f>Multi!I905*R$11*LAFs!I$247*(1-Contrib!R$104)*100/(24*Input!$F$58)</f>
        <v>3.4151515010278498E-3</v>
      </c>
      <c r="S120" s="33">
        <f>Multi!J905*S$11*LAFs!J$247*(1-Contrib!S$104)*100/(24*Input!$F$58)</f>
        <v>6.7393295326912319E-3</v>
      </c>
      <c r="T120" s="10"/>
    </row>
    <row r="121" spans="1:20" x14ac:dyDescent="0.25">
      <c r="A121" s="3" t="s">
        <v>179</v>
      </c>
      <c r="B121" s="33">
        <f>Multi!B906*B$11*LAFs!B$248*(1-Contrib!B$105)*100/(24*Input!$F$58)</f>
        <v>0</v>
      </c>
      <c r="C121" s="33">
        <f>Multi!C906*C$11*LAFs!C$248*(1-Contrib!C$105)*100/(24*Input!$F$58)</f>
        <v>1.5364630118529232E-3</v>
      </c>
      <c r="D121" s="33">
        <f>Multi!D906*D$11*LAFs!D$248*(1-Contrib!D$105)*100/(24*Input!$F$58)</f>
        <v>7.7332852356216432E-4</v>
      </c>
      <c r="E121" s="33">
        <f>Multi!E906*E$11*LAFs!E$248*(1-Contrib!E$105)*100/(24*Input!$F$58)</f>
        <v>4.0566677086969708E-3</v>
      </c>
      <c r="F121" s="33">
        <f>Multi!F906*F$11*LAFs!F$248*(1-Contrib!F$105)*100/(24*Input!$F$58)</f>
        <v>6.573225398083719E-3</v>
      </c>
      <c r="G121" s="33">
        <f>Multi!G906*G$11*LAFs!G$248*(1-Contrib!G$105)*100/(24*Input!$F$58)</f>
        <v>1.2842379297236435E-4</v>
      </c>
      <c r="H121" s="33">
        <f>Multi!H906*H$11*LAFs!H$248*(1-Contrib!H$105)*100/(24*Input!$F$58)</f>
        <v>8.5634070476798812E-3</v>
      </c>
      <c r="I121" s="33">
        <f>Multi!I906*I$11*LAFs!I$248*(1-Contrib!I$105)*100/(24*Input!$F$58)</f>
        <v>2.0324196229734711E-3</v>
      </c>
      <c r="J121" s="33">
        <f>Multi!J906*J$11*LAFs!J$248*(1-Contrib!J$105)*100/(24*Input!$F$58)</f>
        <v>8.4444919264031596E-4</v>
      </c>
      <c r="K121" s="33">
        <f>Multi!B906*K$11*LAFs!B$248*(1-Contrib!K$105)*100/(24*Input!$F$58)</f>
        <v>1.1464757817415735E-3</v>
      </c>
      <c r="L121" s="33">
        <f>Multi!C906*L$11*LAFs!C$248*(1-Contrib!L$105)*100/(24*Input!$F$58)</f>
        <v>6.9536275402623841E-4</v>
      </c>
      <c r="M121" s="33">
        <f>Multi!D906*M$11*LAFs!D$248*(1-Contrib!M$105)*100/(24*Input!$F$58)</f>
        <v>3.499881531562092E-4</v>
      </c>
      <c r="N121" s="33">
        <f>Multi!E906*N$11*LAFs!E$248*(1-Contrib!N$105)*100/(24*Input!$F$58)</f>
        <v>1.8359411247310005E-3</v>
      </c>
      <c r="O121" s="33">
        <f>Multi!F906*O$11*LAFs!F$248*(1-Contrib!O$105)*100/(24*Input!$F$58)</f>
        <v>2.9748689557677712E-3</v>
      </c>
      <c r="P121" s="33">
        <f>Multi!G906*P$11*LAFs!G$248*(1-Contrib!P$105)*100/(24*Input!$F$58)</f>
        <v>5.8121231474400792E-5</v>
      </c>
      <c r="Q121" s="33">
        <f>Multi!H906*Q$11*LAFs!H$248*(1-Contrib!Q$105)*100/(24*Input!$F$58)</f>
        <v>7.4406262924166756E-3</v>
      </c>
      <c r="R121" s="33">
        <f>Multi!I906*R$11*LAFs!I$248*(1-Contrib!R$105)*100/(24*Input!$F$58)</f>
        <v>3.1600653644882296E-3</v>
      </c>
      <c r="S121" s="33">
        <f>Multi!J906*S$11*LAFs!J$248*(1-Contrib!S$105)*100/(24*Input!$F$58)</f>
        <v>6.2359522936890465E-3</v>
      </c>
      <c r="T121" s="10"/>
    </row>
    <row r="122" spans="1:20" x14ac:dyDescent="0.25">
      <c r="A122" s="3" t="s">
        <v>180</v>
      </c>
      <c r="B122" s="33">
        <f>Multi!B907*B$11*LAFs!B$249*(1-Contrib!B$106)*100/(24*Input!$F$58)</f>
        <v>0</v>
      </c>
      <c r="C122" s="33">
        <f>Multi!C907*C$11*LAFs!C$249*(1-Contrib!C$106)*100/(24*Input!$F$58)</f>
        <v>1.4903979681913616E-3</v>
      </c>
      <c r="D122" s="33">
        <f>Multi!D907*D$11*LAFs!D$249*(1-Contrib!D$106)*100/(24*Input!$F$58)</f>
        <v>7.5014318689749487E-4</v>
      </c>
      <c r="E122" s="33">
        <f>Multi!E907*E$11*LAFs!E$249*(1-Contrib!E$106)*100/(24*Input!$F$58)</f>
        <v>3.9350438403187703E-3</v>
      </c>
      <c r="F122" s="33">
        <f>Multi!F907*F$11*LAFs!F$249*(1-Contrib!F$106)*100/(24*Input!$F$58)</f>
        <v>6.3761520467409804E-3</v>
      </c>
      <c r="G122" s="33">
        <f>Multi!G907*G$11*LAFs!G$249*(1-Contrib!G$106)*100/(24*Input!$F$58)</f>
        <v>1.2457349030655466E-4</v>
      </c>
      <c r="H122" s="33">
        <f>Multi!H907*H$11*LAFs!H$249*(1-Contrib!H$106)*100/(24*Input!$F$58)</f>
        <v>8.306665611992876E-3</v>
      </c>
      <c r="I122" s="33">
        <f>Multi!I907*I$11*LAFs!I$249*(1-Contrib!I$106)*100/(24*Input!$F$58)</f>
        <v>1.9714851924348656E-3</v>
      </c>
      <c r="J122" s="33">
        <f>Multi!J907*J$11*LAFs!J$249*(1-Contrib!J$106)*100/(24*Input!$F$58)</f>
        <v>0</v>
      </c>
      <c r="K122" s="33">
        <f>Multi!B907*K$11*LAFs!B$249*(1-Contrib!K$106)*100/(24*Input!$F$58)</f>
        <v>1.1121030330743871E-3</v>
      </c>
      <c r="L122" s="33">
        <f>Multi!C907*L$11*LAFs!C$249*(1-Contrib!L$106)*100/(24*Input!$F$58)</f>
        <v>6.7451492666057149E-4</v>
      </c>
      <c r="M122" s="33">
        <f>Multi!D907*M$11*LAFs!D$249*(1-Contrib!M$106)*100/(24*Input!$F$58)</f>
        <v>3.3949507949820607E-4</v>
      </c>
      <c r="N122" s="33">
        <f>Multi!E907*N$11*LAFs!E$249*(1-Contrib!N$106)*100/(24*Input!$F$58)</f>
        <v>1.7808973603068909E-3</v>
      </c>
      <c r="O122" s="33">
        <f>Multi!F907*O$11*LAFs!F$249*(1-Contrib!O$106)*100/(24*Input!$F$58)</f>
        <v>2.8856787394868056E-3</v>
      </c>
      <c r="P122" s="33">
        <f>Multi!G907*P$11*LAFs!G$249*(1-Contrib!P$106)*100/(24*Input!$F$58)</f>
        <v>5.6378685741195539E-5</v>
      </c>
      <c r="Q122" s="33">
        <f>Multi!H907*Q$11*LAFs!H$249*(1-Contrib!Q$106)*100/(24*Input!$F$58)</f>
        <v>7.2175471994704735E-3</v>
      </c>
      <c r="R122" s="33">
        <f>Multi!I907*R$11*LAFs!I$249*(1-Contrib!R$106)*100/(24*Input!$F$58)</f>
        <v>3.065322732960128E-3</v>
      </c>
      <c r="S122" s="33">
        <f>Multi!J907*S$11*LAFs!J$249*(1-Contrib!S$106)*100/(24*Input!$F$58)</f>
        <v>0</v>
      </c>
      <c r="T122" s="10"/>
    </row>
    <row r="123" spans="1:20" x14ac:dyDescent="0.25">
      <c r="A123" s="3" t="s">
        <v>193</v>
      </c>
      <c r="B123" s="33">
        <f>Multi!B908*B$11*LAFs!B$250*(1-Contrib!B$107)*100/(24*Input!$F$58)</f>
        <v>0</v>
      </c>
      <c r="C123" s="33">
        <f>Multi!C908*C$11*LAFs!C$250*(1-Contrib!C$107)*100/(24*Input!$F$58)</f>
        <v>1.2981598410193758E-3</v>
      </c>
      <c r="D123" s="33">
        <f>Multi!D908*D$11*LAFs!D$250*(1-Contrib!D$107)*100/(24*Input!$F$58)</f>
        <v>6.5338639814864995E-4</v>
      </c>
      <c r="E123" s="33">
        <f>Multi!E908*E$11*LAFs!E$250*(1-Contrib!E$107)*100/(24*Input!$F$58)</f>
        <v>3.2032582636243672E-3</v>
      </c>
      <c r="F123" s="33">
        <f>Multi!F908*F$11*LAFs!F$250*(1-Contrib!F$107)*100/(24*Input!$F$58)</f>
        <v>3.6008725438838288E-3</v>
      </c>
      <c r="G123" s="33">
        <f>Multi!G908*G$11*LAFs!G$250*(1-Contrib!G$107)*100/(24*Input!$F$58)</f>
        <v>7.0351719603350545E-5</v>
      </c>
      <c r="H123" s="33">
        <f>Multi!H908*H$11*LAFs!H$250*(1-Contrib!H$107)*100/(24*Input!$F$58)</f>
        <v>5.0306914715045207E-3</v>
      </c>
      <c r="I123" s="33">
        <f>Multi!I908*I$11*LAFs!I$250*(1-Contrib!I$107)*100/(24*Input!$F$58)</f>
        <v>0</v>
      </c>
      <c r="J123" s="33">
        <f>Multi!J908*J$11*LAFs!J$250*(1-Contrib!J$107)*100/(24*Input!$F$58)</f>
        <v>0</v>
      </c>
      <c r="K123" s="33">
        <f>Multi!B908*K$11*LAFs!B$250*(1-Contrib!K$107)*100/(24*Input!$F$58)</f>
        <v>9.6865906115328792E-4</v>
      </c>
      <c r="L123" s="33">
        <f>Multi!C908*L$11*LAFs!C$250*(1-Contrib!L$107)*100/(24*Input!$F$58)</f>
        <v>5.8751300568497269E-4</v>
      </c>
      <c r="M123" s="33">
        <f>Multi!D908*M$11*LAFs!D$250*(1-Contrib!M$107)*100/(24*Input!$F$58)</f>
        <v>2.9570550137227833E-4</v>
      </c>
      <c r="N123" s="33">
        <f>Multi!E908*N$11*LAFs!E$250*(1-Contrib!N$107)*100/(24*Input!$F$58)</f>
        <v>1.5511893356466124E-3</v>
      </c>
      <c r="O123" s="33">
        <f>Multi!F908*O$11*LAFs!F$250*(1-Contrib!O$107)*100/(24*Input!$F$58)</f>
        <v>2.5134711222339792E-3</v>
      </c>
      <c r="P123" s="33">
        <f>Multi!G908*P$11*LAFs!G$250*(1-Contrib!P$107)*100/(24*Input!$F$58)</f>
        <v>4.9106713294495457E-5</v>
      </c>
      <c r="Q123" s="33">
        <f>Multi!H908*Q$11*LAFs!H$250*(1-Contrib!Q$107)*100/(24*Input!$F$58)</f>
        <v>6.2865960132679252E-3</v>
      </c>
      <c r="R123" s="33">
        <f>Multi!I908*R$11*LAFs!I$250*(1-Contrib!R$107)*100/(24*Input!$F$58)</f>
        <v>0</v>
      </c>
      <c r="S123" s="33">
        <f>Multi!J908*S$11*LAFs!J$250*(1-Contrib!S$107)*100/(24*Input!$F$58)</f>
        <v>0</v>
      </c>
      <c r="T123" s="10"/>
    </row>
    <row r="124" spans="1:20" x14ac:dyDescent="0.25">
      <c r="A124" s="3" t="s">
        <v>217</v>
      </c>
      <c r="B124" s="33">
        <f>Multi!B909*B$11*LAFs!B$255*(1-Contrib!B$112)*100/(24*Input!$F$58)</f>
        <v>0</v>
      </c>
      <c r="C124" s="33">
        <f>Multi!C909*C$11*LAFs!C$255*(1-Contrib!C$112)*100/(24*Input!$F$58)</f>
        <v>1.4564748788609306E-3</v>
      </c>
      <c r="D124" s="33">
        <f>Multi!D909*D$11*LAFs!D$255*(1-Contrib!D$112)*100/(24*Input!$F$58)</f>
        <v>7.330691067639727E-4</v>
      </c>
      <c r="E124" s="33">
        <f>Multi!E909*E$11*LAFs!E$255*(1-Contrib!E$112)*100/(24*Input!$F$58)</f>
        <v>3.845477934726259E-3</v>
      </c>
      <c r="F124" s="33">
        <f>Multi!F909*F$11*LAFs!F$255*(1-Contrib!F$112)*100/(24*Input!$F$58)</f>
        <v>6.231023846030608E-3</v>
      </c>
      <c r="G124" s="33">
        <f>Multi!G909*G$11*LAFs!G$255*(1-Contrib!G$112)*100/(24*Input!$F$58)</f>
        <v>1.2173806129359035E-4</v>
      </c>
      <c r="H124" s="33">
        <f>Multi!H909*H$11*LAFs!H$255*(1-Contrib!H$112)*100/(24*Input!$F$58)</f>
        <v>8.1175968091578773E-3</v>
      </c>
      <c r="I124" s="33">
        <f>Multi!I909*I$11*LAFs!I$255*(1-Contrib!I$112)*100/(24*Input!$F$58)</f>
        <v>1.9266120312229314E-3</v>
      </c>
      <c r="J124" s="33">
        <f>Multi!J909*J$11*LAFs!J$255*(1-Contrib!J$112)*100/(24*Input!$F$58)</f>
        <v>8.0048723989246755E-4</v>
      </c>
      <c r="K124" s="33">
        <f>Multi!B909*K$11*LAFs!B$255*(1-Contrib!K$112)*100/(24*Input!$F$58)</f>
        <v>1.0867903505957554E-3</v>
      </c>
      <c r="L124" s="33">
        <f>Multi!C909*L$11*LAFs!C$255*(1-Contrib!L$112)*100/(24*Input!$F$58)</f>
        <v>6.5916222852211174E-4</v>
      </c>
      <c r="M124" s="33">
        <f>Multi!D909*M$11*LAFs!D$255*(1-Contrib!M$112)*100/(24*Input!$F$58)</f>
        <v>3.3176779983542213E-4</v>
      </c>
      <c r="N124" s="33">
        <f>Multi!E909*N$11*LAFs!E$255*(1-Contrib!N$112)*100/(24*Input!$F$58)</f>
        <v>1.740362186795259E-3</v>
      </c>
      <c r="O124" s="33">
        <f>Multi!F909*O$11*LAFs!F$255*(1-Contrib!O$112)*100/(24*Input!$F$58)</f>
        <v>2.8199975323543701E-3</v>
      </c>
      <c r="P124" s="33">
        <f>Multi!G909*P$11*LAFs!G$255*(1-Contrib!P$112)*100/(24*Input!$F$58)</f>
        <v>5.5095445134626675E-5</v>
      </c>
      <c r="Q124" s="33">
        <f>Multi!H909*Q$11*LAFs!H$255*(1-Contrib!Q$112)*100/(24*Input!$F$58)</f>
        <v>7.0532679239885283E-3</v>
      </c>
      <c r="R124" s="33">
        <f>Multi!I909*R$11*LAFs!I$255*(1-Contrib!R$112)*100/(24*Input!$F$58)</f>
        <v>2.9955526318756523E-3</v>
      </c>
      <c r="S124" s="33">
        <f>Multi!J909*S$11*LAFs!J$255*(1-Contrib!S$112)*100/(24*Input!$F$58)</f>
        <v>5.9113091506056434E-3</v>
      </c>
      <c r="T124" s="10"/>
    </row>
    <row r="125" spans="1:20" x14ac:dyDescent="0.25">
      <c r="A125" s="3" t="s">
        <v>184</v>
      </c>
      <c r="B125" s="33">
        <f>Multi!B910*B$11*LAFs!B$259*(1-Contrib!B$116)*100/(24*Input!$F$58)</f>
        <v>0</v>
      </c>
      <c r="C125" s="33">
        <f>Multi!C910*C$11*LAFs!C$259*(1-Contrib!C$116)*100/(24*Input!$F$58)</f>
        <v>-1.2582422121076972E-3</v>
      </c>
      <c r="D125" s="33">
        <f>Multi!D910*D$11*LAFs!D$259*(1-Contrib!D$116)*100/(24*Input!$F$58)</f>
        <v>-6.3329516211352841E-4</v>
      </c>
      <c r="E125" s="33">
        <f>Multi!E910*E$11*LAFs!E$259*(1-Contrib!E$116)*100/(24*Input!$F$58)</f>
        <v>-3.3220913957578194E-3</v>
      </c>
      <c r="F125" s="33">
        <f>Multi!F910*F$11*LAFs!F$259*(1-Contrib!F$116)*100/(24*Input!$F$58)</f>
        <v>-5.3829539674978295E-3</v>
      </c>
      <c r="G125" s="33">
        <f>Multi!G910*G$11*LAFs!G$259*(1-Contrib!G$116)*100/(24*Input!$F$58)</f>
        <v>-1.0516897322633148E-4</v>
      </c>
      <c r="H125" s="33">
        <f>Multi!H910*H$11*LAFs!H$259*(1-Contrib!H$116)*100/(24*Input!$F$58)</f>
        <v>-7.0127560141244692E-3</v>
      </c>
      <c r="I125" s="33">
        <f>Multi!I910*I$11*LAFs!I$259*(1-Contrib!I$116)*100/(24*Input!$F$58)</f>
        <v>-1.664391620633446E-3</v>
      </c>
      <c r="J125" s="33">
        <f>Multi!J910*J$11*LAFs!J$259*(1-Contrib!J$116)*100/(24*Input!$F$58)</f>
        <v>0</v>
      </c>
      <c r="K125" s="33">
        <f>Multi!B910*K$11*LAFs!B$259*(1-Contrib!K$116)*100/(24*Input!$F$58)</f>
        <v>-9.3887338166817212E-4</v>
      </c>
      <c r="L125" s="33">
        <f>Multi!C910*L$11*LAFs!C$259*(1-Contrib!L$116)*100/(24*Input!$F$58)</f>
        <v>-5.6944733657345427E-4</v>
      </c>
      <c r="M125" s="33">
        <f>Multi!D910*M$11*LAFs!D$259*(1-Contrib!M$116)*100/(24*Input!$F$58)</f>
        <v>-2.8661273629209256E-4</v>
      </c>
      <c r="N125" s="33">
        <f>Multi!E910*N$11*LAFs!E$259*(1-Contrib!N$116)*100/(24*Input!$F$58)</f>
        <v>-1.5034912030164487E-3</v>
      </c>
      <c r="O125" s="33">
        <f>Multi!F910*O$11*LAFs!F$259*(1-Contrib!O$116)*100/(24*Input!$F$58)</f>
        <v>-2.4361834074493574E-3</v>
      </c>
      <c r="P125" s="33">
        <f>Multi!G910*P$11*LAFs!G$259*(1-Contrib!P$116)*100/(24*Input!$F$58)</f>
        <v>-4.7596711601003996E-5</v>
      </c>
      <c r="Q125" s="33">
        <f>Multi!H910*Q$11*LAFs!H$259*(1-Contrib!Q$116)*100/(24*Input!$F$58)</f>
        <v>-6.0932869931874627E-3</v>
      </c>
      <c r="R125" s="33">
        <f>Multi!I910*R$11*LAFs!I$259*(1-Contrib!R$116)*100/(24*Input!$F$58)</f>
        <v>-2.5878446821987009E-3</v>
      </c>
      <c r="S125" s="33">
        <f>Multi!J910*S$11*LAFs!J$259*(1-Contrib!S$116)*100/(24*Input!$F$58)</f>
        <v>0</v>
      </c>
      <c r="T125" s="10"/>
    </row>
    <row r="126" spans="1:20" x14ac:dyDescent="0.25">
      <c r="A126" s="3" t="s">
        <v>186</v>
      </c>
      <c r="B126" s="33">
        <f>Multi!B911*B$11*LAFs!B$261*(1-Contrib!B$118)*100/(24*Input!$F$58)</f>
        <v>0</v>
      </c>
      <c r="C126" s="33">
        <f>Multi!C911*C$11*LAFs!C$261*(1-Contrib!C$118)*100/(24*Input!$F$58)</f>
        <v>-1.2121949216371503E-3</v>
      </c>
      <c r="D126" s="33">
        <f>Multi!D911*D$11*LAFs!D$261*(1-Contrib!D$118)*100/(24*Input!$F$58)</f>
        <v>-6.1011876093828492E-4</v>
      </c>
      <c r="E126" s="33">
        <f>Multi!E911*E$11*LAFs!E$261*(1-Contrib!E$118)*100/(24*Input!$F$58)</f>
        <v>-3.2005144004876337E-3</v>
      </c>
      <c r="F126" s="33">
        <f>Multi!F911*F$11*LAFs!F$261*(1-Contrib!F$118)*100/(24*Input!$F$58)</f>
        <v>-5.1859565670404522E-3</v>
      </c>
      <c r="G126" s="33">
        <f>Multi!G911*G$11*LAFs!G$261*(1-Contrib!G$118)*100/(24*Input!$F$58)</f>
        <v>-1.0132015444403205E-4</v>
      </c>
      <c r="H126" s="33">
        <f>Multi!H911*H$11*LAFs!H$261*(1-Contrib!H$118)*100/(24*Input!$F$58)</f>
        <v>-6.7561135250439729E-3</v>
      </c>
      <c r="I126" s="33">
        <f>Multi!I911*I$11*LAFs!I$261*(1-Contrib!I$118)*100/(24*Input!$F$58)</f>
        <v>0</v>
      </c>
      <c r="J126" s="33">
        <f>Multi!J911*J$11*LAFs!J$261*(1-Contrib!J$118)*100/(24*Input!$F$58)</f>
        <v>0</v>
      </c>
      <c r="K126" s="33">
        <f>Multi!B911*K$11*LAFs!B$261*(1-Contrib!K$118)*100/(24*Input!$F$58)</f>
        <v>-9.0451388005177052E-4</v>
      </c>
      <c r="L126" s="33">
        <f>Multi!C911*L$11*LAFs!C$261*(1-Contrib!L$118)*100/(24*Input!$F$58)</f>
        <v>-5.486075438351759E-4</v>
      </c>
      <c r="M126" s="33">
        <f>Multi!D911*M$11*LAFs!D$261*(1-Contrib!M$118)*100/(24*Input!$F$58)</f>
        <v>-2.7612370660162251E-4</v>
      </c>
      <c r="N126" s="33">
        <f>Multi!E911*N$11*LAFs!E$261*(1-Contrib!N$118)*100/(24*Input!$F$58)</f>
        <v>-1.4484686521283811E-3</v>
      </c>
      <c r="O126" s="33">
        <f>Multi!F911*O$11*LAFs!F$261*(1-Contrib!O$118)*100/(24*Input!$F$58)</f>
        <v>-2.3470275645417868E-3</v>
      </c>
      <c r="P126" s="33">
        <f>Multi!G911*P$11*LAFs!G$261*(1-Contrib!P$118)*100/(24*Input!$F$58)</f>
        <v>-4.5854837434453066E-5</v>
      </c>
      <c r="Q126" s="33">
        <f>Multi!H911*Q$11*LAFs!H$261*(1-Contrib!Q$118)*100/(24*Input!$F$58)</f>
        <v>-5.8702938735831637E-3</v>
      </c>
      <c r="R126" s="33">
        <f>Multi!I911*R$11*LAFs!I$261*(1-Contrib!R$118)*100/(24*Input!$F$58)</f>
        <v>0</v>
      </c>
      <c r="S126" s="33">
        <f>Multi!J911*S$11*LAFs!J$261*(1-Contrib!S$118)*100/(24*Input!$F$58)</f>
        <v>0</v>
      </c>
      <c r="T126" s="10"/>
    </row>
    <row r="127" spans="1:20" x14ac:dyDescent="0.25">
      <c r="A127" s="3" t="s">
        <v>195</v>
      </c>
      <c r="B127" s="33">
        <f>Multi!B912*B$11*LAFs!B$263*(1-Contrib!B$120)*100/(24*Input!$F$58)</f>
        <v>0</v>
      </c>
      <c r="C127" s="33">
        <f>Multi!C912*C$11*LAFs!C$263*(1-Contrib!C$120)*100/(24*Input!$F$58)</f>
        <v>-1.1903224586636402E-3</v>
      </c>
      <c r="D127" s="33">
        <f>Multi!D912*D$11*LAFs!D$263*(1-Contrib!D$120)*100/(24*Input!$F$58)</f>
        <v>-5.9910997038004445E-4</v>
      </c>
      <c r="E127" s="33">
        <f>Multi!E912*E$11*LAFs!E$263*(1-Contrib!E$120)*100/(24*Input!$F$58)</f>
        <v>-2.9371654642296637E-3</v>
      </c>
      <c r="F127" s="33">
        <f>Multi!F912*F$11*LAFs!F$263*(1-Contrib!F$120)*100/(24*Input!$F$58)</f>
        <v>-3.3017501576727824E-3</v>
      </c>
      <c r="G127" s="33">
        <f>Multi!G912*G$11*LAFs!G$263*(1-Contrib!G$120)*100/(24*Input!$F$58)</f>
        <v>-6.4507643206492758E-5</v>
      </c>
      <c r="H127" s="33">
        <f>Multi!H912*H$11*LAFs!H$263*(1-Contrib!H$120)*100/(24*Input!$F$58)</f>
        <v>0</v>
      </c>
      <c r="I127" s="33">
        <f>Multi!I912*I$11*LAFs!I$263*(1-Contrib!I$120)*100/(24*Input!$F$58)</f>
        <v>0</v>
      </c>
      <c r="J127" s="33">
        <f>Multi!J912*J$11*LAFs!J$263*(1-Contrib!J$120)*100/(24*Input!$F$58)</f>
        <v>0</v>
      </c>
      <c r="K127" s="33">
        <f>Multi!B912*K$11*LAFs!B$263*(1-Contrib!K$120)*100/(24*Input!$F$58)</f>
        <v>-8.8819311678398007E-4</v>
      </c>
      <c r="L127" s="33">
        <f>Multi!C912*L$11*LAFs!C$263*(1-Contrib!L$120)*100/(24*Input!$F$58)</f>
        <v>-5.3870864228449376E-4</v>
      </c>
      <c r="M127" s="33">
        <f>Multi!D912*M$11*LAFs!D$263*(1-Contrib!M$120)*100/(24*Input!$F$58)</f>
        <v>-2.7114141749864934E-4</v>
      </c>
      <c r="N127" s="33">
        <f>Multi!E912*N$11*LAFs!E$263*(1-Contrib!N$120)*100/(24*Input!$F$58)</f>
        <v>-1.4223329404565491E-3</v>
      </c>
      <c r="O127" s="33">
        <f>Multi!F912*O$11*LAFs!F$263*(1-Contrib!O$120)*100/(24*Input!$F$58)</f>
        <v>-2.3046785391606915E-3</v>
      </c>
      <c r="P127" s="33">
        <f>Multi!G912*P$11*LAFs!G$263*(1-Contrib!P$120)*100/(24*Input!$F$58)</f>
        <v>-4.5027447205341383E-5</v>
      </c>
      <c r="Q127" s="33">
        <f>Multi!H912*Q$11*LAFs!H$263*(1-Contrib!Q$120)*100/(24*Input!$F$58)</f>
        <v>0</v>
      </c>
      <c r="R127" s="33">
        <f>Multi!I912*R$11*LAFs!I$263*(1-Contrib!R$120)*100/(24*Input!$F$58)</f>
        <v>0</v>
      </c>
      <c r="S127" s="33">
        <f>Multi!J912*S$11*LAFs!J$263*(1-Contrib!S$120)*100/(24*Input!$F$58)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51" display="x1 = 2460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81" display="x1 = 2461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903" display="x1 = 2462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East Midlands in April 17 (Final)</v>
      </c>
    </row>
    <row r="2" spans="1:20" x14ac:dyDescent="0.25">
      <c r="A2" s="2" t="s">
        <v>988</v>
      </c>
    </row>
    <row r="4" spans="1:20" ht="21" customHeight="1" x14ac:dyDescent="0.3">
      <c r="A4" s="1" t="s">
        <v>989</v>
      </c>
    </row>
    <row r="5" spans="1:20" x14ac:dyDescent="0.25">
      <c r="A5" s="2" t="s">
        <v>356</v>
      </c>
    </row>
    <row r="6" spans="1:20" x14ac:dyDescent="0.25">
      <c r="A6" s="11" t="s">
        <v>977</v>
      </c>
    </row>
    <row r="7" spans="1:20" x14ac:dyDescent="0.25">
      <c r="A7" s="11" t="s">
        <v>990</v>
      </c>
    </row>
    <row r="8" spans="1:20" x14ac:dyDescent="0.25">
      <c r="A8" s="2" t="s">
        <v>991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x14ac:dyDescent="0.25">
      <c r="A11" s="3" t="s">
        <v>992</v>
      </c>
      <c r="B11" s="33">
        <f>Yard!B11/(1+AMD!B202)</f>
        <v>0</v>
      </c>
      <c r="C11" s="33">
        <f>Yard!C11/(1+AMD!C202)</f>
        <v>5.6743129453803638</v>
      </c>
      <c r="D11" s="33">
        <f>Yard!D11/(1+AMD!D202)</f>
        <v>3.1031019153229336</v>
      </c>
      <c r="E11" s="33">
        <f>Yard!E11/(1+AMD!E202)</f>
        <v>3.5158607933995087</v>
      </c>
      <c r="F11" s="33">
        <f>Yard!F11/(1+AMD!F202)</f>
        <v>5.7420525814361971</v>
      </c>
      <c r="G11" s="33">
        <f>Yard!G11/(1+AMD!G202)</f>
        <v>6.4209422698516612</v>
      </c>
      <c r="H11" s="33">
        <f>Yard!H11/(1+AMD!H202)</f>
        <v>10.069263209276281</v>
      </c>
      <c r="I11" s="33">
        <f>Yard!I11/(1+AMD!I202)</f>
        <v>4.355039508172406</v>
      </c>
      <c r="J11" s="33">
        <f>Yard!J11/(1+AMD!J202)</f>
        <v>8.5005519301870471</v>
      </c>
      <c r="K11" s="33">
        <f>Yard!K11/(1+AMD!B202)</f>
        <v>2.529585112395099</v>
      </c>
      <c r="L11" s="33">
        <f>Yard!L11/(1+AMD!C202)</f>
        <v>2.5680448188258276</v>
      </c>
      <c r="M11" s="33">
        <f>Yard!M11/(1+AMD!D202)</f>
        <v>1.4043823230478145</v>
      </c>
      <c r="N11" s="33">
        <f>Yard!N11/(1+AMD!E202)</f>
        <v>1.5911861367380478</v>
      </c>
      <c r="O11" s="33">
        <f>Yard!O11/(1+AMD!F202)</f>
        <v>2.5987019967215157</v>
      </c>
      <c r="P11" s="33">
        <f>Yard!P11/(1+AMD!G202)</f>
        <v>2.905949616595739</v>
      </c>
      <c r="Q11" s="33">
        <f>Yard!Q11/(1+AMD!H202)</f>
        <v>4.5570837320538606</v>
      </c>
      <c r="R11" s="33">
        <f>Yard!R11/(1+AMD!I202)</f>
        <v>1.9709763547407306</v>
      </c>
      <c r="S11" s="33">
        <f>Yard!S11/(1+AMD!J202)</f>
        <v>3.8471262603253247</v>
      </c>
      <c r="T11" s="10"/>
    </row>
    <row r="13" spans="1:20" ht="21" customHeight="1" x14ac:dyDescent="0.3">
      <c r="A13" s="1" t="s">
        <v>993</v>
      </c>
    </row>
    <row r="14" spans="1:20" x14ac:dyDescent="0.25">
      <c r="A14" s="2" t="s">
        <v>994</v>
      </c>
    </row>
    <row r="15" spans="1:20" x14ac:dyDescent="0.25">
      <c r="A15" s="2" t="s">
        <v>356</v>
      </c>
    </row>
    <row r="16" spans="1:20" x14ac:dyDescent="0.25">
      <c r="A16" s="11" t="s">
        <v>995</v>
      </c>
    </row>
    <row r="17" spans="1:20" x14ac:dyDescent="0.25">
      <c r="A17" s="11" t="s">
        <v>996</v>
      </c>
    </row>
    <row r="18" spans="1:20" x14ac:dyDescent="0.25">
      <c r="A18" s="11" t="s">
        <v>997</v>
      </c>
    </row>
    <row r="19" spans="1:20" x14ac:dyDescent="0.25">
      <c r="A19" s="11" t="s">
        <v>998</v>
      </c>
    </row>
    <row r="20" spans="1:20" x14ac:dyDescent="0.25">
      <c r="A20" s="11" t="s">
        <v>746</v>
      </c>
    </row>
    <row r="21" spans="1:20" x14ac:dyDescent="0.25">
      <c r="A21" s="11" t="s">
        <v>999</v>
      </c>
    </row>
    <row r="22" spans="1:20" x14ac:dyDescent="0.25">
      <c r="A22" s="2" t="s">
        <v>1000</v>
      </c>
    </row>
    <row r="24" spans="1:20" ht="30" x14ac:dyDescent="0.25">
      <c r="B24" s="12" t="s">
        <v>139</v>
      </c>
      <c r="C24" s="12" t="s">
        <v>311</v>
      </c>
      <c r="D24" s="12" t="s">
        <v>312</v>
      </c>
      <c r="E24" s="12" t="s">
        <v>313</v>
      </c>
      <c r="F24" s="12" t="s">
        <v>314</v>
      </c>
      <c r="G24" s="12" t="s">
        <v>315</v>
      </c>
      <c r="H24" s="12" t="s">
        <v>316</v>
      </c>
      <c r="I24" s="12" t="s">
        <v>317</v>
      </c>
      <c r="J24" s="12" t="s">
        <v>318</v>
      </c>
      <c r="K24" s="12" t="s">
        <v>299</v>
      </c>
      <c r="L24" s="12" t="s">
        <v>882</v>
      </c>
      <c r="M24" s="12" t="s">
        <v>883</v>
      </c>
      <c r="N24" s="12" t="s">
        <v>884</v>
      </c>
      <c r="O24" s="12" t="s">
        <v>885</v>
      </c>
      <c r="P24" s="12" t="s">
        <v>886</v>
      </c>
      <c r="Q24" s="12" t="s">
        <v>887</v>
      </c>
      <c r="R24" s="12" t="s">
        <v>888</v>
      </c>
      <c r="S24" s="12" t="s">
        <v>889</v>
      </c>
    </row>
    <row r="25" spans="1:20" x14ac:dyDescent="0.25">
      <c r="A25" s="3" t="s">
        <v>171</v>
      </c>
      <c r="B25" s="33">
        <f>100*AMD!B41*LAFs!B$237*B$11*Input!$E$58/Input!$F$58*(1-Contrib!B$94)</f>
        <v>0</v>
      </c>
      <c r="C25" s="33">
        <f>100*AMD!C41*LAFs!C$237*C$11*Input!$E$58/Input!$F$58*(1-Contrib!C$94)</f>
        <v>0</v>
      </c>
      <c r="D25" s="33">
        <f>100*AMD!D41*LAFs!D$237*D$11*Input!$E$58/Input!$F$58*(1-Contrib!D$94)</f>
        <v>0</v>
      </c>
      <c r="E25" s="33">
        <f>100*AMD!E41*LAFs!E$237*E$11*Input!$E$58/Input!$F$58*(1-Contrib!E$94)</f>
        <v>0</v>
      </c>
      <c r="F25" s="33">
        <f>100*AMD!F41*LAFs!F$237*F$11*Input!$E$58/Input!$F$58*(1-Contrib!F$94)</f>
        <v>0</v>
      </c>
      <c r="G25" s="33">
        <f>100*AMD!G41*LAFs!G$237*G$11*Input!$E$58/Input!$F$58*(1-Contrib!G$94)</f>
        <v>0</v>
      </c>
      <c r="H25" s="33">
        <f>100*AMD!H41*LAFs!H$237*H$11*Input!$E$58/Input!$F$58*(1-Contrib!H$94)</f>
        <v>0</v>
      </c>
      <c r="I25" s="33">
        <f>100*AMD!I41*LAFs!I$237*I$11*Input!$E$58/Input!$F$58*(1-Contrib!I$94)</f>
        <v>0</v>
      </c>
      <c r="J25" s="33">
        <f>100*AMD!J41*LAFs!J$237*J$11*Input!$E$58/Input!$F$58*(1-Contrib!J$94)</f>
        <v>0.135593203487892</v>
      </c>
      <c r="K25" s="33">
        <f>100*AMD!B41*LAFs!B$237*K$11*Input!$E$58/Input!$F$58*(1-Contrib!K$94)</f>
        <v>0</v>
      </c>
      <c r="L25" s="33">
        <f>100*AMD!C41*LAFs!C$237*L$11*Input!$E$58/Input!$F$58*(1-Contrib!L$94)</f>
        <v>0</v>
      </c>
      <c r="M25" s="33">
        <f>100*AMD!D41*LAFs!D$237*M$11*Input!$E$58/Input!$F$58*(1-Contrib!M$94)</f>
        <v>0</v>
      </c>
      <c r="N25" s="33">
        <f>100*AMD!E41*LAFs!E$237*N$11*Input!$E$58/Input!$F$58*(1-Contrib!N$94)</f>
        <v>0</v>
      </c>
      <c r="O25" s="33">
        <f>100*AMD!F41*LAFs!F$237*O$11*Input!$E$58/Input!$F$58*(1-Contrib!O$94)</f>
        <v>0</v>
      </c>
      <c r="P25" s="33">
        <f>100*AMD!G41*LAFs!G$237*P$11*Input!$E$58/Input!$F$58*(1-Contrib!P$94)</f>
        <v>0</v>
      </c>
      <c r="Q25" s="33">
        <f>100*AMD!H41*LAFs!H$237*Q$11*Input!$E$58/Input!$F$58*(1-Contrib!Q$94)</f>
        <v>0</v>
      </c>
      <c r="R25" s="33">
        <f>100*AMD!I41*LAFs!I$237*R$11*Input!$E$58/Input!$F$58*(1-Contrib!R$94)</f>
        <v>0</v>
      </c>
      <c r="S25" s="33">
        <f>100*AMD!J41*LAFs!J$237*S$11*Input!$E$58/Input!$F$58*(1-Contrib!S$94)</f>
        <v>1.001306834879194</v>
      </c>
      <c r="T25" s="10"/>
    </row>
    <row r="26" spans="1:20" x14ac:dyDescent="0.25">
      <c r="A26" s="3" t="s">
        <v>172</v>
      </c>
      <c r="B26" s="33">
        <f>100*AMD!B42*LAFs!B$238*B$11*Input!$E$58/Input!$F$58*(1-Contrib!B$95)</f>
        <v>0</v>
      </c>
      <c r="C26" s="33">
        <f>100*AMD!C42*LAFs!C$238*C$11*Input!$E$58/Input!$F$58*(1-Contrib!C$95)</f>
        <v>0</v>
      </c>
      <c r="D26" s="33">
        <f>100*AMD!D42*LAFs!D$238*D$11*Input!$E$58/Input!$F$58*(1-Contrib!D$95)</f>
        <v>0</v>
      </c>
      <c r="E26" s="33">
        <f>100*AMD!E42*LAFs!E$238*E$11*Input!$E$58/Input!$F$58*(1-Contrib!E$95)</f>
        <v>0</v>
      </c>
      <c r="F26" s="33">
        <f>100*AMD!F42*LAFs!F$238*F$11*Input!$E$58/Input!$F$58*(1-Contrib!F$95)</f>
        <v>0</v>
      </c>
      <c r="G26" s="33">
        <f>100*AMD!G42*LAFs!G$238*G$11*Input!$E$58/Input!$F$58*(1-Contrib!G$95)</f>
        <v>0</v>
      </c>
      <c r="H26" s="33">
        <f>100*AMD!H42*LAFs!H$238*H$11*Input!$E$58/Input!$F$58*(1-Contrib!H$95)</f>
        <v>0</v>
      </c>
      <c r="I26" s="33">
        <f>100*AMD!I42*LAFs!I$238*I$11*Input!$E$58/Input!$F$58*(1-Contrib!I$95)</f>
        <v>0</v>
      </c>
      <c r="J26" s="33">
        <f>100*AMD!J42*LAFs!J$238*J$11*Input!$E$58/Input!$F$58*(1-Contrib!J$95)</f>
        <v>0.135593203487892</v>
      </c>
      <c r="K26" s="33">
        <f>100*AMD!B42*LAFs!B$238*K$11*Input!$E$58/Input!$F$58*(1-Contrib!K$95)</f>
        <v>0</v>
      </c>
      <c r="L26" s="33">
        <f>100*AMD!C42*LAFs!C$238*L$11*Input!$E$58/Input!$F$58*(1-Contrib!L$95)</f>
        <v>0</v>
      </c>
      <c r="M26" s="33">
        <f>100*AMD!D42*LAFs!D$238*M$11*Input!$E$58/Input!$F$58*(1-Contrib!M$95)</f>
        <v>0</v>
      </c>
      <c r="N26" s="33">
        <f>100*AMD!E42*LAFs!E$238*N$11*Input!$E$58/Input!$F$58*(1-Contrib!N$95)</f>
        <v>0</v>
      </c>
      <c r="O26" s="33">
        <f>100*AMD!F42*LAFs!F$238*O$11*Input!$E$58/Input!$F$58*(1-Contrib!O$95)</f>
        <v>0</v>
      </c>
      <c r="P26" s="33">
        <f>100*AMD!G42*LAFs!G$238*P$11*Input!$E$58/Input!$F$58*(1-Contrib!P$95)</f>
        <v>0</v>
      </c>
      <c r="Q26" s="33">
        <f>100*AMD!H42*LAFs!H$238*Q$11*Input!$E$58/Input!$F$58*(1-Contrib!Q$95)</f>
        <v>0</v>
      </c>
      <c r="R26" s="33">
        <f>100*AMD!I42*LAFs!I$238*R$11*Input!$E$58/Input!$F$58*(1-Contrib!R$95)</f>
        <v>0</v>
      </c>
      <c r="S26" s="33">
        <f>100*AMD!J42*LAFs!J$238*S$11*Input!$E$58/Input!$F$58*(1-Contrib!S$95)</f>
        <v>1.001306834879194</v>
      </c>
      <c r="T26" s="10"/>
    </row>
    <row r="27" spans="1:20" x14ac:dyDescent="0.25">
      <c r="A27" s="3" t="s">
        <v>211</v>
      </c>
      <c r="B27" s="33">
        <f>100*AMD!B43*LAFs!B$239*B$11*Input!$E$58/Input!$F$58*(1-Contrib!B$96)</f>
        <v>0</v>
      </c>
      <c r="C27" s="33">
        <f>100*AMD!C43*LAFs!C$239*C$11*Input!$E$58/Input!$F$58*(1-Contrib!C$96)</f>
        <v>0</v>
      </c>
      <c r="D27" s="33">
        <f>100*AMD!D43*LAFs!D$239*D$11*Input!$E$58/Input!$F$58*(1-Contrib!D$96)</f>
        <v>0</v>
      </c>
      <c r="E27" s="33">
        <f>100*AMD!E43*LAFs!E$239*E$11*Input!$E$58/Input!$F$58*(1-Contrib!E$96)</f>
        <v>0</v>
      </c>
      <c r="F27" s="33">
        <f>100*AMD!F43*LAFs!F$239*F$11*Input!$E$58/Input!$F$58*(1-Contrib!F$96)</f>
        <v>0</v>
      </c>
      <c r="G27" s="33">
        <f>100*AMD!G43*LAFs!G$239*G$11*Input!$E$58/Input!$F$58*(1-Contrib!G$96)</f>
        <v>0</v>
      </c>
      <c r="H27" s="33">
        <f>100*AMD!H43*LAFs!H$239*H$11*Input!$E$58/Input!$F$58*(1-Contrib!H$96)</f>
        <v>0</v>
      </c>
      <c r="I27" s="33">
        <f>100*AMD!I43*LAFs!I$239*I$11*Input!$E$58/Input!$F$58*(1-Contrib!I$96)</f>
        <v>0</v>
      </c>
      <c r="J27" s="33">
        <f>100*AMD!J43*LAFs!J$239*J$11*Input!$E$58/Input!$F$58*(1-Contrib!J$96)</f>
        <v>0.135593203487892</v>
      </c>
      <c r="K27" s="33">
        <f>100*AMD!B43*LAFs!B$239*K$11*Input!$E$58/Input!$F$58*(1-Contrib!K$96)</f>
        <v>0</v>
      </c>
      <c r="L27" s="33">
        <f>100*AMD!C43*LAFs!C$239*L$11*Input!$E$58/Input!$F$58*(1-Contrib!L$96)</f>
        <v>0</v>
      </c>
      <c r="M27" s="33">
        <f>100*AMD!D43*LAFs!D$239*M$11*Input!$E$58/Input!$F$58*(1-Contrib!M$96)</f>
        <v>0</v>
      </c>
      <c r="N27" s="33">
        <f>100*AMD!E43*LAFs!E$239*N$11*Input!$E$58/Input!$F$58*(1-Contrib!N$96)</f>
        <v>0</v>
      </c>
      <c r="O27" s="33">
        <f>100*AMD!F43*LAFs!F$239*O$11*Input!$E$58/Input!$F$58*(1-Contrib!O$96)</f>
        <v>0</v>
      </c>
      <c r="P27" s="33">
        <f>100*AMD!G43*LAFs!G$239*P$11*Input!$E$58/Input!$F$58*(1-Contrib!P$96)</f>
        <v>0</v>
      </c>
      <c r="Q27" s="33">
        <f>100*AMD!H43*LAFs!H$239*Q$11*Input!$E$58/Input!$F$58*(1-Contrib!Q$96)</f>
        <v>0</v>
      </c>
      <c r="R27" s="33">
        <f>100*AMD!I43*LAFs!I$239*R$11*Input!$E$58/Input!$F$58*(1-Contrib!R$96)</f>
        <v>0</v>
      </c>
      <c r="S27" s="33">
        <f>100*AMD!J43*LAFs!J$239*S$11*Input!$E$58/Input!$F$58*(1-Contrib!S$96)</f>
        <v>1.001306834879194</v>
      </c>
      <c r="T27" s="10"/>
    </row>
    <row r="28" spans="1:20" x14ac:dyDescent="0.25">
      <c r="A28" s="3" t="s">
        <v>173</v>
      </c>
      <c r="B28" s="33">
        <f>100*AMD!B44*LAFs!B$240*B$11*Input!$E$58/Input!$F$58*(1-Contrib!B$97)</f>
        <v>0</v>
      </c>
      <c r="C28" s="33">
        <f>100*AMD!C44*LAFs!C$240*C$11*Input!$E$58/Input!$F$58*(1-Contrib!C$97)</f>
        <v>0</v>
      </c>
      <c r="D28" s="33">
        <f>100*AMD!D44*LAFs!D$240*D$11*Input!$E$58/Input!$F$58*(1-Contrib!D$97)</f>
        <v>0</v>
      </c>
      <c r="E28" s="33">
        <f>100*AMD!E44*LAFs!E$240*E$11*Input!$E$58/Input!$F$58*(1-Contrib!E$97)</f>
        <v>0</v>
      </c>
      <c r="F28" s="33">
        <f>100*AMD!F44*LAFs!F$240*F$11*Input!$E$58/Input!$F$58*(1-Contrib!F$97)</f>
        <v>0</v>
      </c>
      <c r="G28" s="33">
        <f>100*AMD!G44*LAFs!G$240*G$11*Input!$E$58/Input!$F$58*(1-Contrib!G$97)</f>
        <v>0</v>
      </c>
      <c r="H28" s="33">
        <f>100*AMD!H44*LAFs!H$240*H$11*Input!$E$58/Input!$F$58*(1-Contrib!H$97)</f>
        <v>0</v>
      </c>
      <c r="I28" s="33">
        <f>100*AMD!I44*LAFs!I$240*I$11*Input!$E$58/Input!$F$58*(1-Contrib!I$97)</f>
        <v>0</v>
      </c>
      <c r="J28" s="33">
        <f>100*AMD!J44*LAFs!J$240*J$11*Input!$E$58/Input!$F$58*(1-Contrib!J$97)</f>
        <v>0.135593203487892</v>
      </c>
      <c r="K28" s="33">
        <f>100*AMD!B44*LAFs!B$240*K$11*Input!$E$58/Input!$F$58*(1-Contrib!K$97)</f>
        <v>0</v>
      </c>
      <c r="L28" s="33">
        <f>100*AMD!C44*LAFs!C$240*L$11*Input!$E$58/Input!$F$58*(1-Contrib!L$97)</f>
        <v>0</v>
      </c>
      <c r="M28" s="33">
        <f>100*AMD!D44*LAFs!D$240*M$11*Input!$E$58/Input!$F$58*(1-Contrib!M$97)</f>
        <v>0</v>
      </c>
      <c r="N28" s="33">
        <f>100*AMD!E44*LAFs!E$240*N$11*Input!$E$58/Input!$F$58*(1-Contrib!N$97)</f>
        <v>0</v>
      </c>
      <c r="O28" s="33">
        <f>100*AMD!F44*LAFs!F$240*O$11*Input!$E$58/Input!$F$58*(1-Contrib!O$97)</f>
        <v>0</v>
      </c>
      <c r="P28" s="33">
        <f>100*AMD!G44*LAFs!G$240*P$11*Input!$E$58/Input!$F$58*(1-Contrib!P$97)</f>
        <v>0</v>
      </c>
      <c r="Q28" s="33">
        <f>100*AMD!H44*LAFs!H$240*Q$11*Input!$E$58/Input!$F$58*(1-Contrib!Q$97)</f>
        <v>0</v>
      </c>
      <c r="R28" s="33">
        <f>100*AMD!I44*LAFs!I$240*R$11*Input!$E$58/Input!$F$58*(1-Contrib!R$97)</f>
        <v>0</v>
      </c>
      <c r="S28" s="33">
        <f>100*AMD!J44*LAFs!J$240*S$11*Input!$E$58/Input!$F$58*(1-Contrib!S$97)</f>
        <v>1.001306834879194</v>
      </c>
      <c r="T28" s="10"/>
    </row>
    <row r="29" spans="1:20" x14ac:dyDescent="0.25">
      <c r="A29" s="3" t="s">
        <v>174</v>
      </c>
      <c r="B29" s="33">
        <f>100*AMD!B45*LAFs!B$241*B$11*Input!$E$58/Input!$F$58*(1-Contrib!B$98)</f>
        <v>0</v>
      </c>
      <c r="C29" s="33">
        <f>100*AMD!C45*LAFs!C$241*C$11*Input!$E$58/Input!$F$58*(1-Contrib!C$98)</f>
        <v>0</v>
      </c>
      <c r="D29" s="33">
        <f>100*AMD!D45*LAFs!D$241*D$11*Input!$E$58/Input!$F$58*(1-Contrib!D$98)</f>
        <v>0</v>
      </c>
      <c r="E29" s="33">
        <f>100*AMD!E45*LAFs!E$241*E$11*Input!$E$58/Input!$F$58*(1-Contrib!E$98)</f>
        <v>0</v>
      </c>
      <c r="F29" s="33">
        <f>100*AMD!F45*LAFs!F$241*F$11*Input!$E$58/Input!$F$58*(1-Contrib!F$98)</f>
        <v>0</v>
      </c>
      <c r="G29" s="33">
        <f>100*AMD!G45*LAFs!G$241*G$11*Input!$E$58/Input!$F$58*(1-Contrib!G$98)</f>
        <v>0</v>
      </c>
      <c r="H29" s="33">
        <f>100*AMD!H45*LAFs!H$241*H$11*Input!$E$58/Input!$F$58*(1-Contrib!H$98)</f>
        <v>0</v>
      </c>
      <c r="I29" s="33">
        <f>100*AMD!I45*LAFs!I$241*I$11*Input!$E$58/Input!$F$58*(1-Contrib!I$98)</f>
        <v>0</v>
      </c>
      <c r="J29" s="33">
        <f>100*AMD!J45*LAFs!J$241*J$11*Input!$E$58/Input!$F$58*(1-Contrib!J$98)</f>
        <v>0.135593203487892</v>
      </c>
      <c r="K29" s="33">
        <f>100*AMD!B45*LAFs!B$241*K$11*Input!$E$58/Input!$F$58*(1-Contrib!K$98)</f>
        <v>0</v>
      </c>
      <c r="L29" s="33">
        <f>100*AMD!C45*LAFs!C$241*L$11*Input!$E$58/Input!$F$58*(1-Contrib!L$98)</f>
        <v>0</v>
      </c>
      <c r="M29" s="33">
        <f>100*AMD!D45*LAFs!D$241*M$11*Input!$E$58/Input!$F$58*(1-Contrib!M$98)</f>
        <v>0</v>
      </c>
      <c r="N29" s="33">
        <f>100*AMD!E45*LAFs!E$241*N$11*Input!$E$58/Input!$F$58*(1-Contrib!N$98)</f>
        <v>0</v>
      </c>
      <c r="O29" s="33">
        <f>100*AMD!F45*LAFs!F$241*O$11*Input!$E$58/Input!$F$58*(1-Contrib!O$98)</f>
        <v>0</v>
      </c>
      <c r="P29" s="33">
        <f>100*AMD!G45*LAFs!G$241*P$11*Input!$E$58/Input!$F$58*(1-Contrib!P$98)</f>
        <v>0</v>
      </c>
      <c r="Q29" s="33">
        <f>100*AMD!H45*LAFs!H$241*Q$11*Input!$E$58/Input!$F$58*(1-Contrib!Q$98)</f>
        <v>0</v>
      </c>
      <c r="R29" s="33">
        <f>100*AMD!I45*LAFs!I$241*R$11*Input!$E$58/Input!$F$58*(1-Contrib!R$98)</f>
        <v>0</v>
      </c>
      <c r="S29" s="33">
        <f>100*AMD!J45*LAFs!J$241*S$11*Input!$E$58/Input!$F$58*(1-Contrib!S$98)</f>
        <v>1.001306834879194</v>
      </c>
      <c r="T29" s="10"/>
    </row>
    <row r="30" spans="1:20" x14ac:dyDescent="0.25">
      <c r="A30" s="3" t="s">
        <v>212</v>
      </c>
      <c r="B30" s="33">
        <f>100*AMD!B46*LAFs!B$242*B$11*Input!$E$58/Input!$F$58*(1-Contrib!B$99)</f>
        <v>0</v>
      </c>
      <c r="C30" s="33">
        <f>100*AMD!C46*LAFs!C$242*C$11*Input!$E$58/Input!$F$58*(1-Contrib!C$99)</f>
        <v>0</v>
      </c>
      <c r="D30" s="33">
        <f>100*AMD!D46*LAFs!D$242*D$11*Input!$E$58/Input!$F$58*(1-Contrib!D$99)</f>
        <v>0</v>
      </c>
      <c r="E30" s="33">
        <f>100*AMD!E46*LAFs!E$242*E$11*Input!$E$58/Input!$F$58*(1-Contrib!E$99)</f>
        <v>0</v>
      </c>
      <c r="F30" s="33">
        <f>100*AMD!F46*LAFs!F$242*F$11*Input!$E$58/Input!$F$58*(1-Contrib!F$99)</f>
        <v>0</v>
      </c>
      <c r="G30" s="33">
        <f>100*AMD!G46*LAFs!G$242*G$11*Input!$E$58/Input!$F$58*(1-Contrib!G$99)</f>
        <v>0</v>
      </c>
      <c r="H30" s="33">
        <f>100*AMD!H46*LAFs!H$242*H$11*Input!$E$58/Input!$F$58*(1-Contrib!H$99)</f>
        <v>0</v>
      </c>
      <c r="I30" s="33">
        <f>100*AMD!I46*LAFs!I$242*I$11*Input!$E$58/Input!$F$58*(1-Contrib!I$99)</f>
        <v>0</v>
      </c>
      <c r="J30" s="33">
        <f>100*AMD!J46*LAFs!J$242*J$11*Input!$E$58/Input!$F$58*(1-Contrib!J$99)</f>
        <v>0.135593203487892</v>
      </c>
      <c r="K30" s="33">
        <f>100*AMD!B46*LAFs!B$242*K$11*Input!$E$58/Input!$F$58*(1-Contrib!K$99)</f>
        <v>0</v>
      </c>
      <c r="L30" s="33">
        <f>100*AMD!C46*LAFs!C$242*L$11*Input!$E$58/Input!$F$58*(1-Contrib!L$99)</f>
        <v>0</v>
      </c>
      <c r="M30" s="33">
        <f>100*AMD!D46*LAFs!D$242*M$11*Input!$E$58/Input!$F$58*(1-Contrib!M$99)</f>
        <v>0</v>
      </c>
      <c r="N30" s="33">
        <f>100*AMD!E46*LAFs!E$242*N$11*Input!$E$58/Input!$F$58*(1-Contrib!N$99)</f>
        <v>0</v>
      </c>
      <c r="O30" s="33">
        <f>100*AMD!F46*LAFs!F$242*O$11*Input!$E$58/Input!$F$58*(1-Contrib!O$99)</f>
        <v>0</v>
      </c>
      <c r="P30" s="33">
        <f>100*AMD!G46*LAFs!G$242*P$11*Input!$E$58/Input!$F$58*(1-Contrib!P$99)</f>
        <v>0</v>
      </c>
      <c r="Q30" s="33">
        <f>100*AMD!H46*LAFs!H$242*Q$11*Input!$E$58/Input!$F$58*(1-Contrib!Q$99)</f>
        <v>0</v>
      </c>
      <c r="R30" s="33">
        <f>100*AMD!I46*LAFs!I$242*R$11*Input!$E$58/Input!$F$58*(1-Contrib!R$99)</f>
        <v>0</v>
      </c>
      <c r="S30" s="33">
        <f>100*AMD!J46*LAFs!J$242*S$11*Input!$E$58/Input!$F$58*(1-Contrib!S$99)</f>
        <v>1.001306834879194</v>
      </c>
      <c r="T30" s="10"/>
    </row>
    <row r="31" spans="1:20" x14ac:dyDescent="0.25">
      <c r="A31" s="3" t="s">
        <v>175</v>
      </c>
      <c r="B31" s="33">
        <f>100*AMD!B47*LAFs!B$243*B$11*Input!$E$58/Input!$F$58*(1-Contrib!B$100)</f>
        <v>0</v>
      </c>
      <c r="C31" s="33">
        <f>100*AMD!C47*LAFs!C$243*C$11*Input!$E$58/Input!$F$58*(1-Contrib!C$100)</f>
        <v>0</v>
      </c>
      <c r="D31" s="33">
        <f>100*AMD!D47*LAFs!D$243*D$11*Input!$E$58/Input!$F$58*(1-Contrib!D$100)</f>
        <v>0</v>
      </c>
      <c r="E31" s="33">
        <f>100*AMD!E47*LAFs!E$243*E$11*Input!$E$58/Input!$F$58*(1-Contrib!E$100)</f>
        <v>0</v>
      </c>
      <c r="F31" s="33">
        <f>100*AMD!F47*LAFs!F$243*F$11*Input!$E$58/Input!$F$58*(1-Contrib!F$100)</f>
        <v>0</v>
      </c>
      <c r="G31" s="33">
        <f>100*AMD!G47*LAFs!G$243*G$11*Input!$E$58/Input!$F$58*(1-Contrib!G$100)</f>
        <v>0</v>
      </c>
      <c r="H31" s="33">
        <f>100*AMD!H47*LAFs!H$243*H$11*Input!$E$58/Input!$F$58*(1-Contrib!H$100)</f>
        <v>0</v>
      </c>
      <c r="I31" s="33">
        <f>100*AMD!I47*LAFs!I$243*I$11*Input!$E$58/Input!$F$58*(1-Contrib!I$100)</f>
        <v>0</v>
      </c>
      <c r="J31" s="33">
        <f>100*AMD!J47*LAFs!J$243*J$11*Input!$E$58/Input!$F$58*(1-Contrib!J$100)</f>
        <v>0.135593203487892</v>
      </c>
      <c r="K31" s="33">
        <f>100*AMD!B47*LAFs!B$243*K$11*Input!$E$58/Input!$F$58*(1-Contrib!K$100)</f>
        <v>0</v>
      </c>
      <c r="L31" s="33">
        <f>100*AMD!C47*LAFs!C$243*L$11*Input!$E$58/Input!$F$58*(1-Contrib!L$100)</f>
        <v>0</v>
      </c>
      <c r="M31" s="33">
        <f>100*AMD!D47*LAFs!D$243*M$11*Input!$E$58/Input!$F$58*(1-Contrib!M$100)</f>
        <v>0</v>
      </c>
      <c r="N31" s="33">
        <f>100*AMD!E47*LAFs!E$243*N$11*Input!$E$58/Input!$F$58*(1-Contrib!N$100)</f>
        <v>0</v>
      </c>
      <c r="O31" s="33">
        <f>100*AMD!F47*LAFs!F$243*O$11*Input!$E$58/Input!$F$58*(1-Contrib!O$100)</f>
        <v>0</v>
      </c>
      <c r="P31" s="33">
        <f>100*AMD!G47*LAFs!G$243*P$11*Input!$E$58/Input!$F$58*(1-Contrib!P$100)</f>
        <v>0</v>
      </c>
      <c r="Q31" s="33">
        <f>100*AMD!H47*LAFs!H$243*Q$11*Input!$E$58/Input!$F$58*(1-Contrib!Q$100)</f>
        <v>0</v>
      </c>
      <c r="R31" s="33">
        <f>100*AMD!I47*LAFs!I$243*R$11*Input!$E$58/Input!$F$58*(1-Contrib!R$100)</f>
        <v>0</v>
      </c>
      <c r="S31" s="33">
        <f>100*AMD!J47*LAFs!J$243*S$11*Input!$E$58/Input!$F$58*(1-Contrib!S$100)</f>
        <v>1.001306834879194</v>
      </c>
      <c r="T31" s="10"/>
    </row>
    <row r="32" spans="1:20" x14ac:dyDescent="0.25">
      <c r="A32" s="3" t="s">
        <v>176</v>
      </c>
      <c r="B32" s="33">
        <f>100*AMD!B48*LAFs!B$244*B$11*Input!$E$58/Input!$F$58*(1-Contrib!B$101)</f>
        <v>0</v>
      </c>
      <c r="C32" s="33">
        <f>100*AMD!C48*LAFs!C$244*C$11*Input!$E$58/Input!$F$58*(1-Contrib!C$101)</f>
        <v>0</v>
      </c>
      <c r="D32" s="33">
        <f>100*AMD!D48*LAFs!D$244*D$11*Input!$E$58/Input!$F$58*(1-Contrib!D$101)</f>
        <v>0</v>
      </c>
      <c r="E32" s="33">
        <f>100*AMD!E48*LAFs!E$244*E$11*Input!$E$58/Input!$F$58*(1-Contrib!E$101)</f>
        <v>0</v>
      </c>
      <c r="F32" s="33">
        <f>100*AMD!F48*LAFs!F$244*F$11*Input!$E$58/Input!$F$58*(1-Contrib!F$101)</f>
        <v>0</v>
      </c>
      <c r="G32" s="33">
        <f>100*AMD!G48*LAFs!G$244*G$11*Input!$E$58/Input!$F$58*(1-Contrib!G$101)</f>
        <v>0</v>
      </c>
      <c r="H32" s="33">
        <f>100*AMD!H48*LAFs!H$244*H$11*Input!$E$58/Input!$F$58*(1-Contrib!H$101)</f>
        <v>0</v>
      </c>
      <c r="I32" s="33">
        <f>100*AMD!I48*LAFs!I$244*I$11*Input!$E$58/Input!$F$58*(1-Contrib!I$101)</f>
        <v>0.32993582040819414</v>
      </c>
      <c r="J32" s="33">
        <f>100*AMD!J48*LAFs!J$244*J$11*Input!$E$58/Input!$F$58*(1-Contrib!J$101)</f>
        <v>0</v>
      </c>
      <c r="K32" s="33">
        <f>100*AMD!B48*LAFs!B$244*K$11*Input!$E$58/Input!$F$58*(1-Contrib!K$101)</f>
        <v>0</v>
      </c>
      <c r="L32" s="33">
        <f>100*AMD!C48*LAFs!C$244*L$11*Input!$E$58/Input!$F$58*(1-Contrib!L$101)</f>
        <v>0</v>
      </c>
      <c r="M32" s="33">
        <f>100*AMD!D48*LAFs!D$244*M$11*Input!$E$58/Input!$F$58*(1-Contrib!M$101)</f>
        <v>0</v>
      </c>
      <c r="N32" s="33">
        <f>100*AMD!E48*LAFs!E$244*N$11*Input!$E$58/Input!$F$58*(1-Contrib!N$101)</f>
        <v>0</v>
      </c>
      <c r="O32" s="33">
        <f>100*AMD!F48*LAFs!F$244*O$11*Input!$E$58/Input!$F$58*(1-Contrib!O$101)</f>
        <v>0</v>
      </c>
      <c r="P32" s="33">
        <f>100*AMD!G48*LAFs!G$244*P$11*Input!$E$58/Input!$F$58*(1-Contrib!P$101)</f>
        <v>0</v>
      </c>
      <c r="Q32" s="33">
        <f>100*AMD!H48*LAFs!H$244*Q$11*Input!$E$58/Input!$F$58*(1-Contrib!Q$101)</f>
        <v>0</v>
      </c>
      <c r="R32" s="33">
        <f>100*AMD!I48*LAFs!I$244*R$11*Input!$E$58/Input!$F$58*(1-Contrib!R$101)</f>
        <v>0.51299384575443674</v>
      </c>
      <c r="S32" s="33">
        <f>100*AMD!J48*LAFs!J$244*S$11*Input!$E$58/Input!$F$58*(1-Contrib!S$101)</f>
        <v>0</v>
      </c>
      <c r="T32" s="10"/>
    </row>
    <row r="33" spans="1:20" x14ac:dyDescent="0.25">
      <c r="A33" s="3" t="s">
        <v>192</v>
      </c>
      <c r="B33" s="33">
        <f>100*AMD!B49*LAFs!B$245*B$11*Input!$E$58/Input!$F$58*(1-Contrib!B$102)</f>
        <v>0</v>
      </c>
      <c r="C33" s="33">
        <f>100*AMD!C49*LAFs!C$245*C$11*Input!$E$58/Input!$F$58*(1-Contrib!C$102)</f>
        <v>2.2874141104867473E-2</v>
      </c>
      <c r="D33" s="33">
        <f>100*AMD!D49*LAFs!D$245*D$11*Input!$E$58/Input!$F$58*(1-Contrib!D$102)</f>
        <v>0</v>
      </c>
      <c r="E33" s="33">
        <f>100*AMD!E49*LAFs!E$245*E$11*Input!$E$58/Input!$F$58*(1-Contrib!E$102)</f>
        <v>0.16196789787430105</v>
      </c>
      <c r="F33" s="33">
        <f>100*AMD!F49*LAFs!F$245*F$11*Input!$E$58/Input!$F$58*(1-Contrib!F$102)</f>
        <v>0.91036330580827507</v>
      </c>
      <c r="G33" s="33">
        <f>100*AMD!G49*LAFs!G$245*G$11*Input!$E$58/Input!$F$58*(1-Contrib!G$102)</f>
        <v>8.2593028200273338E-2</v>
      </c>
      <c r="H33" s="33">
        <f>100*AMD!H49*LAFs!H$245*H$11*Input!$E$58/Input!$F$58*(1-Contrib!H$102)</f>
        <v>0.94913913280881723</v>
      </c>
      <c r="I33" s="33">
        <f>100*AMD!I49*LAFs!I$245*I$11*Input!$E$58/Input!$F$58*(1-Contrib!I$102)</f>
        <v>0</v>
      </c>
      <c r="J33" s="33">
        <f>100*AMD!J49*LAFs!J$245*J$11*Input!$E$58/Input!$F$58*(1-Contrib!J$102)</f>
        <v>0</v>
      </c>
      <c r="K33" s="33">
        <f>100*AMD!B49*LAFs!B$245*K$11*Input!$E$58/Input!$F$58*(1-Contrib!K$102)</f>
        <v>0</v>
      </c>
      <c r="L33" s="33">
        <f>100*AMD!C49*LAFs!C$245*L$11*Input!$E$58/Input!$F$58*(1-Contrib!L$102)</f>
        <v>1.0352234731302468E-2</v>
      </c>
      <c r="M33" s="33">
        <f>100*AMD!D49*LAFs!D$245*M$11*Input!$E$58/Input!$F$58*(1-Contrib!M$102)</f>
        <v>0</v>
      </c>
      <c r="N33" s="33">
        <f>100*AMD!E49*LAFs!E$245*N$11*Input!$E$58/Input!$F$58*(1-Contrib!N$102)</f>
        <v>7.8433537112128943E-2</v>
      </c>
      <c r="O33" s="33">
        <f>100*AMD!F49*LAFs!F$245*O$11*Input!$E$58/Input!$F$58*(1-Contrib!O$102)</f>
        <v>0.63544928402897149</v>
      </c>
      <c r="P33" s="33">
        <f>100*AMD!G49*LAFs!G$245*P$11*Input!$E$58/Input!$F$58*(1-Contrib!P$102)</f>
        <v>5.7651357761009686E-2</v>
      </c>
      <c r="Q33" s="33">
        <f>100*AMD!H49*LAFs!H$245*Q$11*Input!$E$58/Input!$F$58*(1-Contrib!Q$102)</f>
        <v>1.1860902864249774</v>
      </c>
      <c r="R33" s="33">
        <f>100*AMD!I49*LAFs!I$245*R$11*Input!$E$58/Input!$F$58*(1-Contrib!R$102)</f>
        <v>0</v>
      </c>
      <c r="S33" s="33">
        <f>100*AMD!J49*LAFs!J$245*S$11*Input!$E$58/Input!$F$58*(1-Contrib!S$102)</f>
        <v>0</v>
      </c>
      <c r="T33" s="10"/>
    </row>
    <row r="34" spans="1:20" x14ac:dyDescent="0.25">
      <c r="A34" s="3" t="s">
        <v>177</v>
      </c>
      <c r="B34" s="33">
        <f>100*AMD!B50*LAFs!B$246*B$11*Input!$E$58/Input!$F$58*(1-Contrib!B$103)</f>
        <v>0</v>
      </c>
      <c r="C34" s="33">
        <f>100*AMD!C50*LAFs!C$246*C$11*Input!$E$58/Input!$F$58*(1-Contrib!C$103)</f>
        <v>0</v>
      </c>
      <c r="D34" s="33">
        <f>100*AMD!D50*LAFs!D$246*D$11*Input!$E$58/Input!$F$58*(1-Contrib!D$103)</f>
        <v>0</v>
      </c>
      <c r="E34" s="33">
        <f>100*AMD!E50*LAFs!E$246*E$11*Input!$E$58/Input!$F$58*(1-Contrib!E$103)</f>
        <v>0</v>
      </c>
      <c r="F34" s="33">
        <f>100*AMD!F50*LAFs!F$246*F$11*Input!$E$58/Input!$F$58*(1-Contrib!F$103)</f>
        <v>0</v>
      </c>
      <c r="G34" s="33">
        <f>100*AMD!G50*LAFs!G$246*G$11*Input!$E$58/Input!$F$58*(1-Contrib!G$103)</f>
        <v>0</v>
      </c>
      <c r="H34" s="33">
        <f>100*AMD!H50*LAFs!H$246*H$11*Input!$E$58/Input!$F$58*(1-Contrib!H$103)</f>
        <v>0</v>
      </c>
      <c r="I34" s="33">
        <f>100*AMD!I50*LAFs!I$246*I$11*Input!$E$58/Input!$F$58*(1-Contrib!I$103)</f>
        <v>0</v>
      </c>
      <c r="J34" s="33">
        <f>100*AMD!J50*LAFs!J$246*J$11*Input!$E$58/Input!$F$58*(1-Contrib!J$103)</f>
        <v>0.135593203487892</v>
      </c>
      <c r="K34" s="33">
        <f>100*AMD!B50*LAFs!B$246*K$11*Input!$E$58/Input!$F$58*(1-Contrib!K$103)</f>
        <v>0</v>
      </c>
      <c r="L34" s="33">
        <f>100*AMD!C50*LAFs!C$246*L$11*Input!$E$58/Input!$F$58*(1-Contrib!L$103)</f>
        <v>0</v>
      </c>
      <c r="M34" s="33">
        <f>100*AMD!D50*LAFs!D$246*M$11*Input!$E$58/Input!$F$58*(1-Contrib!M$103)</f>
        <v>0</v>
      </c>
      <c r="N34" s="33">
        <f>100*AMD!E50*LAFs!E$246*N$11*Input!$E$58/Input!$F$58*(1-Contrib!N$103)</f>
        <v>0</v>
      </c>
      <c r="O34" s="33">
        <f>100*AMD!F50*LAFs!F$246*O$11*Input!$E$58/Input!$F$58*(1-Contrib!O$103)</f>
        <v>0</v>
      </c>
      <c r="P34" s="33">
        <f>100*AMD!G50*LAFs!G$246*P$11*Input!$E$58/Input!$F$58*(1-Contrib!P$103)</f>
        <v>0</v>
      </c>
      <c r="Q34" s="33">
        <f>100*AMD!H50*LAFs!H$246*Q$11*Input!$E$58/Input!$F$58*(1-Contrib!Q$103)</f>
        <v>0</v>
      </c>
      <c r="R34" s="33">
        <f>100*AMD!I50*LAFs!I$246*R$11*Input!$E$58/Input!$F$58*(1-Contrib!R$103)</f>
        <v>0</v>
      </c>
      <c r="S34" s="33">
        <f>100*AMD!J50*LAFs!J$246*S$11*Input!$E$58/Input!$F$58*(1-Contrib!S$103)</f>
        <v>1.001306834879194</v>
      </c>
      <c r="T34" s="10"/>
    </row>
    <row r="35" spans="1:20" x14ac:dyDescent="0.25">
      <c r="A35" s="3" t="s">
        <v>178</v>
      </c>
      <c r="B35" s="33">
        <f>100*AMD!B51*LAFs!B$247*B$11*Input!$E$58/Input!$F$58*(1-Contrib!B$104)</f>
        <v>0</v>
      </c>
      <c r="C35" s="33">
        <f>100*AMD!C51*LAFs!C$247*C$11*Input!$E$58/Input!$F$58*(1-Contrib!C$104)</f>
        <v>0</v>
      </c>
      <c r="D35" s="33">
        <f>100*AMD!D51*LAFs!D$247*D$11*Input!$E$58/Input!$F$58*(1-Contrib!D$104)</f>
        <v>0</v>
      </c>
      <c r="E35" s="33">
        <f>100*AMD!E51*LAFs!E$247*E$11*Input!$E$58/Input!$F$58*(1-Contrib!E$104)</f>
        <v>0</v>
      </c>
      <c r="F35" s="33">
        <f>100*AMD!F51*LAFs!F$247*F$11*Input!$E$58/Input!$F$58*(1-Contrib!F$104)</f>
        <v>0</v>
      </c>
      <c r="G35" s="33">
        <f>100*AMD!G51*LAFs!G$247*G$11*Input!$E$58/Input!$F$58*(1-Contrib!G$104)</f>
        <v>0</v>
      </c>
      <c r="H35" s="33">
        <f>100*AMD!H51*LAFs!H$247*H$11*Input!$E$58/Input!$F$58*(1-Contrib!H$104)</f>
        <v>0</v>
      </c>
      <c r="I35" s="33">
        <f>100*AMD!I51*LAFs!I$247*I$11*Input!$E$58/Input!$F$58*(1-Contrib!I$104)</f>
        <v>0</v>
      </c>
      <c r="J35" s="33">
        <f>100*AMD!J51*LAFs!J$247*J$11*Input!$E$58/Input!$F$58*(1-Contrib!J$104)</f>
        <v>0.135593203487892</v>
      </c>
      <c r="K35" s="33">
        <f>100*AMD!B51*LAFs!B$247*K$11*Input!$E$58/Input!$F$58*(1-Contrib!K$104)</f>
        <v>0</v>
      </c>
      <c r="L35" s="33">
        <f>100*AMD!C51*LAFs!C$247*L$11*Input!$E$58/Input!$F$58*(1-Contrib!L$104)</f>
        <v>0</v>
      </c>
      <c r="M35" s="33">
        <f>100*AMD!D51*LAFs!D$247*M$11*Input!$E$58/Input!$F$58*(1-Contrib!M$104)</f>
        <v>0</v>
      </c>
      <c r="N35" s="33">
        <f>100*AMD!E51*LAFs!E$247*N$11*Input!$E$58/Input!$F$58*(1-Contrib!N$104)</f>
        <v>0</v>
      </c>
      <c r="O35" s="33">
        <f>100*AMD!F51*LAFs!F$247*O$11*Input!$E$58/Input!$F$58*(1-Contrib!O$104)</f>
        <v>0</v>
      </c>
      <c r="P35" s="33">
        <f>100*AMD!G51*LAFs!G$247*P$11*Input!$E$58/Input!$F$58*(1-Contrib!P$104)</f>
        <v>0</v>
      </c>
      <c r="Q35" s="33">
        <f>100*AMD!H51*LAFs!H$247*Q$11*Input!$E$58/Input!$F$58*(1-Contrib!Q$104)</f>
        <v>0</v>
      </c>
      <c r="R35" s="33">
        <f>100*AMD!I51*LAFs!I$247*R$11*Input!$E$58/Input!$F$58*(1-Contrib!R$104)</f>
        <v>0</v>
      </c>
      <c r="S35" s="33">
        <f>100*AMD!J51*LAFs!J$247*S$11*Input!$E$58/Input!$F$58*(1-Contrib!S$104)</f>
        <v>1.001306834879194</v>
      </c>
      <c r="T35" s="10"/>
    </row>
    <row r="36" spans="1:20" x14ac:dyDescent="0.25">
      <c r="A36" s="3" t="s">
        <v>179</v>
      </c>
      <c r="B36" s="33">
        <f>100*AMD!B52*LAFs!B$248*B$11*Input!$E$58/Input!$F$58*(1-Contrib!B$105)</f>
        <v>0</v>
      </c>
      <c r="C36" s="33">
        <f>100*AMD!C52*LAFs!C$248*C$11*Input!$E$58/Input!$F$58*(1-Contrib!C$105)</f>
        <v>0</v>
      </c>
      <c r="D36" s="33">
        <f>100*AMD!D52*LAFs!D$248*D$11*Input!$E$58/Input!$F$58*(1-Contrib!D$105)</f>
        <v>0</v>
      </c>
      <c r="E36" s="33">
        <f>100*AMD!E52*LAFs!E$248*E$11*Input!$E$58/Input!$F$58*(1-Contrib!E$105)</f>
        <v>0</v>
      </c>
      <c r="F36" s="33">
        <f>100*AMD!F52*LAFs!F$248*F$11*Input!$E$58/Input!$F$58*(1-Contrib!F$105)</f>
        <v>0</v>
      </c>
      <c r="G36" s="33">
        <f>100*AMD!G52*LAFs!G$248*G$11*Input!$E$58/Input!$F$58*(1-Contrib!G$105)</f>
        <v>0</v>
      </c>
      <c r="H36" s="33">
        <f>100*AMD!H52*LAFs!H$248*H$11*Input!$E$58/Input!$F$58*(1-Contrib!H$105)</f>
        <v>0.28859211670763896</v>
      </c>
      <c r="I36" s="33">
        <f>100*AMD!I52*LAFs!I$248*I$11*Input!$E$58/Input!$F$58*(1-Contrib!I$105)</f>
        <v>0.34246899497260802</v>
      </c>
      <c r="J36" s="33">
        <f>100*AMD!J52*LAFs!J$248*J$11*Input!$E$58/Input!$F$58*(1-Contrib!J$105)</f>
        <v>0.135593203487892</v>
      </c>
      <c r="K36" s="33">
        <f>100*AMD!B52*LAFs!B$248*K$11*Input!$E$58/Input!$F$58*(1-Contrib!K$105)</f>
        <v>0</v>
      </c>
      <c r="L36" s="33">
        <f>100*AMD!C52*LAFs!C$248*L$11*Input!$E$58/Input!$F$58*(1-Contrib!L$105)</f>
        <v>0</v>
      </c>
      <c r="M36" s="33">
        <f>100*AMD!D52*LAFs!D$248*M$11*Input!$E$58/Input!$F$58*(1-Contrib!M$105)</f>
        <v>0</v>
      </c>
      <c r="N36" s="33">
        <f>100*AMD!E52*LAFs!E$248*N$11*Input!$E$58/Input!$F$58*(1-Contrib!N$105)</f>
        <v>0</v>
      </c>
      <c r="O36" s="33">
        <f>100*AMD!F52*LAFs!F$248*O$11*Input!$E$58/Input!$F$58*(1-Contrib!O$105)</f>
        <v>0</v>
      </c>
      <c r="P36" s="33">
        <f>100*AMD!G52*LAFs!G$248*P$11*Input!$E$58/Input!$F$58*(1-Contrib!P$105)</f>
        <v>0</v>
      </c>
      <c r="Q36" s="33">
        <f>100*AMD!H52*LAFs!H$248*Q$11*Input!$E$58/Input!$F$58*(1-Contrib!Q$105)</f>
        <v>0.25075371045696332</v>
      </c>
      <c r="R36" s="33">
        <f>100*AMD!I52*LAFs!I$248*R$11*Input!$E$58/Input!$F$58*(1-Contrib!R$105)</f>
        <v>0.53248079146210758</v>
      </c>
      <c r="S36" s="33">
        <f>100*AMD!J52*LAFs!J$248*S$11*Input!$E$58/Input!$F$58*(1-Contrib!S$105)</f>
        <v>1.001306834879194</v>
      </c>
      <c r="T36" s="10"/>
    </row>
    <row r="37" spans="1:20" x14ac:dyDescent="0.25">
      <c r="A37" s="3" t="s">
        <v>180</v>
      </c>
      <c r="B37" s="33">
        <f>100*AMD!B53*LAFs!B$249*B$11*Input!$E$58/Input!$F$58*(1-Contrib!B$106)</f>
        <v>0</v>
      </c>
      <c r="C37" s="33">
        <f>100*AMD!C53*LAFs!C$249*C$11*Input!$E$58/Input!$F$58*(1-Contrib!C$106)</f>
        <v>0</v>
      </c>
      <c r="D37" s="33">
        <f>100*AMD!D53*LAFs!D$249*D$11*Input!$E$58/Input!$F$58*(1-Contrib!D$106)</f>
        <v>0</v>
      </c>
      <c r="E37" s="33">
        <f>100*AMD!E53*LAFs!E$249*E$11*Input!$E$58/Input!$F$58*(1-Contrib!E$106)</f>
        <v>0</v>
      </c>
      <c r="F37" s="33">
        <f>100*AMD!F53*LAFs!F$249*F$11*Input!$E$58/Input!$F$58*(1-Contrib!F$106)</f>
        <v>0</v>
      </c>
      <c r="G37" s="33">
        <f>100*AMD!G53*LAFs!G$249*G$11*Input!$E$58/Input!$F$58*(1-Contrib!G$106)</f>
        <v>0</v>
      </c>
      <c r="H37" s="33">
        <f>100*AMD!H53*LAFs!H$249*H$11*Input!$E$58/Input!$F$58*(1-Contrib!H$106)</f>
        <v>1.3901532428780592</v>
      </c>
      <c r="I37" s="33">
        <f>100*AMD!I53*LAFs!I$249*I$11*Input!$E$58/Input!$F$58*(1-Contrib!I$106)</f>
        <v>0.32993582040819414</v>
      </c>
      <c r="J37" s="33">
        <f>100*AMD!J53*LAFs!J$249*J$11*Input!$E$58/Input!$F$58*(1-Contrib!J$106)</f>
        <v>0</v>
      </c>
      <c r="K37" s="33">
        <f>100*AMD!B53*LAFs!B$249*K$11*Input!$E$58/Input!$F$58*(1-Contrib!K$106)</f>
        <v>0</v>
      </c>
      <c r="L37" s="33">
        <f>100*AMD!C53*LAFs!C$249*L$11*Input!$E$58/Input!$F$58*(1-Contrib!L$106)</f>
        <v>0</v>
      </c>
      <c r="M37" s="33">
        <f>100*AMD!D53*LAFs!D$249*M$11*Input!$E$58/Input!$F$58*(1-Contrib!M$106)</f>
        <v>0</v>
      </c>
      <c r="N37" s="33">
        <f>100*AMD!E53*LAFs!E$249*N$11*Input!$E$58/Input!$F$58*(1-Contrib!N$106)</f>
        <v>0</v>
      </c>
      <c r="O37" s="33">
        <f>100*AMD!F53*LAFs!F$249*O$11*Input!$E$58/Input!$F$58*(1-Contrib!O$106)</f>
        <v>0</v>
      </c>
      <c r="P37" s="33">
        <f>100*AMD!G53*LAFs!G$249*P$11*Input!$E$58/Input!$F$58*(1-Contrib!P$106)</f>
        <v>0</v>
      </c>
      <c r="Q37" s="33">
        <f>100*AMD!H53*LAFs!H$249*Q$11*Input!$E$58/Input!$F$58*(1-Contrib!Q$106)</f>
        <v>1.207884982210349</v>
      </c>
      <c r="R37" s="33">
        <f>100*AMD!I53*LAFs!I$249*R$11*Input!$E$58/Input!$F$58*(1-Contrib!R$106)</f>
        <v>0.51299384575443674</v>
      </c>
      <c r="S37" s="33">
        <f>100*AMD!J53*LAFs!J$249*S$11*Input!$E$58/Input!$F$58*(1-Contrib!S$106)</f>
        <v>0</v>
      </c>
      <c r="T37" s="10"/>
    </row>
    <row r="38" spans="1:20" x14ac:dyDescent="0.25">
      <c r="A38" s="3" t="s">
        <v>193</v>
      </c>
      <c r="B38" s="33">
        <f>100*AMD!B54*LAFs!B$250*B$11*Input!$E$58/Input!$F$58*(1-Contrib!B$107)</f>
        <v>0</v>
      </c>
      <c r="C38" s="33">
        <f>100*AMD!C54*LAFs!C$250*C$11*Input!$E$58/Input!$F$58*(1-Contrib!C$107)</f>
        <v>2.2874141104867473E-2</v>
      </c>
      <c r="D38" s="33">
        <f>100*AMD!D54*LAFs!D$250*D$11*Input!$E$58/Input!$F$58*(1-Contrib!D$107)</f>
        <v>0</v>
      </c>
      <c r="E38" s="33">
        <f>100*AMD!E54*LAFs!E$250*E$11*Input!$E$58/Input!$F$58*(1-Contrib!E$107)</f>
        <v>0.16196789787430105</v>
      </c>
      <c r="F38" s="33">
        <f>100*AMD!F54*LAFs!F$250*F$11*Input!$E$58/Input!$F$58*(1-Contrib!F$107)</f>
        <v>0.91036330580827507</v>
      </c>
      <c r="G38" s="33">
        <f>100*AMD!G54*LAFs!G$250*G$11*Input!$E$58/Input!$F$58*(1-Contrib!G$107)</f>
        <v>8.2593028200273338E-2</v>
      </c>
      <c r="H38" s="33">
        <f>100*AMD!H54*LAFs!H$250*H$11*Input!$E$58/Input!$F$58*(1-Contrib!H$107)</f>
        <v>0.94913913280881723</v>
      </c>
      <c r="I38" s="33">
        <f>100*AMD!I54*LAFs!I$250*I$11*Input!$E$58/Input!$F$58*(1-Contrib!I$107)</f>
        <v>0</v>
      </c>
      <c r="J38" s="33">
        <f>100*AMD!J54*LAFs!J$250*J$11*Input!$E$58/Input!$F$58*(1-Contrib!J$107)</f>
        <v>0</v>
      </c>
      <c r="K38" s="33">
        <f>100*AMD!B54*LAFs!B$250*K$11*Input!$E$58/Input!$F$58*(1-Contrib!K$107)</f>
        <v>0</v>
      </c>
      <c r="L38" s="33">
        <f>100*AMD!C54*LAFs!C$250*L$11*Input!$E$58/Input!$F$58*(1-Contrib!L$107)</f>
        <v>1.0352234731302468E-2</v>
      </c>
      <c r="M38" s="33">
        <f>100*AMD!D54*LAFs!D$250*M$11*Input!$E$58/Input!$F$58*(1-Contrib!M$107)</f>
        <v>0</v>
      </c>
      <c r="N38" s="33">
        <f>100*AMD!E54*LAFs!E$250*N$11*Input!$E$58/Input!$F$58*(1-Contrib!N$107)</f>
        <v>7.8433537112128943E-2</v>
      </c>
      <c r="O38" s="33">
        <f>100*AMD!F54*LAFs!F$250*O$11*Input!$E$58/Input!$F$58*(1-Contrib!O$107)</f>
        <v>0.63544928402897149</v>
      </c>
      <c r="P38" s="33">
        <f>100*AMD!G54*LAFs!G$250*P$11*Input!$E$58/Input!$F$58*(1-Contrib!P$107)</f>
        <v>5.7651357761009686E-2</v>
      </c>
      <c r="Q38" s="33">
        <f>100*AMD!H54*LAFs!H$250*Q$11*Input!$E$58/Input!$F$58*(1-Contrib!Q$107)</f>
        <v>1.1860902864249774</v>
      </c>
      <c r="R38" s="33">
        <f>100*AMD!I54*LAFs!I$250*R$11*Input!$E$58/Input!$F$58*(1-Contrib!R$107)</f>
        <v>0</v>
      </c>
      <c r="S38" s="33">
        <f>100*AMD!J54*LAFs!J$250*S$11*Input!$E$58/Input!$F$58*(1-Contrib!S$107)</f>
        <v>0</v>
      </c>
      <c r="T38" s="10"/>
    </row>
    <row r="39" spans="1:20" x14ac:dyDescent="0.25">
      <c r="A39" s="3" t="s">
        <v>213</v>
      </c>
      <c r="B39" s="33">
        <f>100*AMD!B55*LAFs!B$251*B$11*Input!$E$58/Input!$F$58*(1-Contrib!B$108)</f>
        <v>0</v>
      </c>
      <c r="C39" s="33">
        <f>100*AMD!C55*LAFs!C$251*C$11*Input!$E$58/Input!$F$58*(1-Contrib!C$108)</f>
        <v>0</v>
      </c>
      <c r="D39" s="33">
        <f>100*AMD!D55*LAFs!D$251*D$11*Input!$E$58/Input!$F$58*(1-Contrib!D$108)</f>
        <v>0</v>
      </c>
      <c r="E39" s="33">
        <f>100*AMD!E55*LAFs!E$251*E$11*Input!$E$58/Input!$F$58*(1-Contrib!E$108)</f>
        <v>0</v>
      </c>
      <c r="F39" s="33">
        <f>100*AMD!F55*LAFs!F$251*F$11*Input!$E$58/Input!$F$58*(1-Contrib!F$108)</f>
        <v>0</v>
      </c>
      <c r="G39" s="33">
        <f>100*AMD!G55*LAFs!G$251*G$11*Input!$E$58/Input!$F$58*(1-Contrib!G$108)</f>
        <v>0</v>
      </c>
      <c r="H39" s="33">
        <f>100*AMD!H55*LAFs!H$251*H$11*Input!$E$58/Input!$F$58*(1-Contrib!H$108)</f>
        <v>0</v>
      </c>
      <c r="I39" s="33">
        <f>100*AMD!I55*LAFs!I$251*I$11*Input!$E$58/Input!$F$58*(1-Contrib!I$108)</f>
        <v>0</v>
      </c>
      <c r="J39" s="33">
        <f>100*AMD!J55*LAFs!J$251*J$11*Input!$E$58/Input!$F$58*(1-Contrib!J$108)</f>
        <v>0</v>
      </c>
      <c r="K39" s="33">
        <f>100*AMD!B55*LAFs!B$251*K$11*Input!$E$58/Input!$F$58*(1-Contrib!K$108)</f>
        <v>0</v>
      </c>
      <c r="L39" s="33">
        <f>100*AMD!C55*LAFs!C$251*L$11*Input!$E$58/Input!$F$58*(1-Contrib!L$108)</f>
        <v>0</v>
      </c>
      <c r="M39" s="33">
        <f>100*AMD!D55*LAFs!D$251*M$11*Input!$E$58/Input!$F$58*(1-Contrib!M$108)</f>
        <v>0</v>
      </c>
      <c r="N39" s="33">
        <f>100*AMD!E55*LAFs!E$251*N$11*Input!$E$58/Input!$F$58*(1-Contrib!N$108)</f>
        <v>0</v>
      </c>
      <c r="O39" s="33">
        <f>100*AMD!F55*LAFs!F$251*O$11*Input!$E$58/Input!$F$58*(1-Contrib!O$108)</f>
        <v>0</v>
      </c>
      <c r="P39" s="33">
        <f>100*AMD!G55*LAFs!G$251*P$11*Input!$E$58/Input!$F$58*(1-Contrib!P$108)</f>
        <v>0</v>
      </c>
      <c r="Q39" s="33">
        <f>100*AMD!H55*LAFs!H$251*Q$11*Input!$E$58/Input!$F$58*(1-Contrib!Q$108)</f>
        <v>0</v>
      </c>
      <c r="R39" s="33">
        <f>100*AMD!I55*LAFs!I$251*R$11*Input!$E$58/Input!$F$58*(1-Contrib!R$108)</f>
        <v>0</v>
      </c>
      <c r="S39" s="33">
        <f>100*AMD!J55*LAFs!J$251*S$11*Input!$E$58/Input!$F$58*(1-Contrib!S$108)</f>
        <v>0</v>
      </c>
      <c r="T39" s="10"/>
    </row>
    <row r="40" spans="1:20" x14ac:dyDescent="0.25">
      <c r="A40" s="3" t="s">
        <v>214</v>
      </c>
      <c r="B40" s="33">
        <f>100*AMD!B56*LAFs!B$252*B$11*Input!$E$58/Input!$F$58*(1-Contrib!B$109)</f>
        <v>0</v>
      </c>
      <c r="C40" s="33">
        <f>100*AMD!C56*LAFs!C$252*C$11*Input!$E$58/Input!$F$58*(1-Contrib!C$109)</f>
        <v>0</v>
      </c>
      <c r="D40" s="33">
        <f>100*AMD!D56*LAFs!D$252*D$11*Input!$E$58/Input!$F$58*(1-Contrib!D$109)</f>
        <v>0</v>
      </c>
      <c r="E40" s="33">
        <f>100*AMD!E56*LAFs!E$252*E$11*Input!$E$58/Input!$F$58*(1-Contrib!E$109)</f>
        <v>0</v>
      </c>
      <c r="F40" s="33">
        <f>100*AMD!F56*LAFs!F$252*F$11*Input!$E$58/Input!$F$58*(1-Contrib!F$109)</f>
        <v>0</v>
      </c>
      <c r="G40" s="33">
        <f>100*AMD!G56*LAFs!G$252*G$11*Input!$E$58/Input!$F$58*(1-Contrib!G$109)</f>
        <v>0</v>
      </c>
      <c r="H40" s="33">
        <f>100*AMD!H56*LAFs!H$252*H$11*Input!$E$58/Input!$F$58*(1-Contrib!H$109)</f>
        <v>0</v>
      </c>
      <c r="I40" s="33">
        <f>100*AMD!I56*LAFs!I$252*I$11*Input!$E$58/Input!$F$58*(1-Contrib!I$109)</f>
        <v>0</v>
      </c>
      <c r="J40" s="33">
        <f>100*AMD!J56*LAFs!J$252*J$11*Input!$E$58/Input!$F$58*(1-Contrib!J$109)</f>
        <v>0</v>
      </c>
      <c r="K40" s="33">
        <f>100*AMD!B56*LAFs!B$252*K$11*Input!$E$58/Input!$F$58*(1-Contrib!K$109)</f>
        <v>0</v>
      </c>
      <c r="L40" s="33">
        <f>100*AMD!C56*LAFs!C$252*L$11*Input!$E$58/Input!$F$58*(1-Contrib!L$109)</f>
        <v>0</v>
      </c>
      <c r="M40" s="33">
        <f>100*AMD!D56*LAFs!D$252*M$11*Input!$E$58/Input!$F$58*(1-Contrib!M$109)</f>
        <v>0</v>
      </c>
      <c r="N40" s="33">
        <f>100*AMD!E56*LAFs!E$252*N$11*Input!$E$58/Input!$F$58*(1-Contrib!N$109)</f>
        <v>0</v>
      </c>
      <c r="O40" s="33">
        <f>100*AMD!F56*LAFs!F$252*O$11*Input!$E$58/Input!$F$58*(1-Contrib!O$109)</f>
        <v>0</v>
      </c>
      <c r="P40" s="33">
        <f>100*AMD!G56*LAFs!G$252*P$11*Input!$E$58/Input!$F$58*(1-Contrib!P$109)</f>
        <v>0</v>
      </c>
      <c r="Q40" s="33">
        <f>100*AMD!H56*LAFs!H$252*Q$11*Input!$E$58/Input!$F$58*(1-Contrib!Q$109)</f>
        <v>0</v>
      </c>
      <c r="R40" s="33">
        <f>100*AMD!I56*LAFs!I$252*R$11*Input!$E$58/Input!$F$58*(1-Contrib!R$109)</f>
        <v>0</v>
      </c>
      <c r="S40" s="33">
        <f>100*AMD!J56*LAFs!J$252*S$11*Input!$E$58/Input!$F$58*(1-Contrib!S$109)</f>
        <v>0</v>
      </c>
      <c r="T40" s="10"/>
    </row>
    <row r="41" spans="1:20" x14ac:dyDescent="0.25">
      <c r="A41" s="3" t="s">
        <v>215</v>
      </c>
      <c r="B41" s="33">
        <f>100*AMD!B57*LAFs!B$253*B$11*Input!$E$58/Input!$F$58*(1-Contrib!B$110)</f>
        <v>0</v>
      </c>
      <c r="C41" s="33">
        <f>100*AMD!C57*LAFs!C$253*C$11*Input!$E$58/Input!$F$58*(1-Contrib!C$110)</f>
        <v>0</v>
      </c>
      <c r="D41" s="33">
        <f>100*AMD!D57*LAFs!D$253*D$11*Input!$E$58/Input!$F$58*(1-Contrib!D$110)</f>
        <v>0</v>
      </c>
      <c r="E41" s="33">
        <f>100*AMD!E57*LAFs!E$253*E$11*Input!$E$58/Input!$F$58*(1-Contrib!E$110)</f>
        <v>0</v>
      </c>
      <c r="F41" s="33">
        <f>100*AMD!F57*LAFs!F$253*F$11*Input!$E$58/Input!$F$58*(1-Contrib!F$110)</f>
        <v>0</v>
      </c>
      <c r="G41" s="33">
        <f>100*AMD!G57*LAFs!G$253*G$11*Input!$E$58/Input!$F$58*(1-Contrib!G$110)</f>
        <v>0</v>
      </c>
      <c r="H41" s="33">
        <f>100*AMD!H57*LAFs!H$253*H$11*Input!$E$58/Input!$F$58*(1-Contrib!H$110)</f>
        <v>0</v>
      </c>
      <c r="I41" s="33">
        <f>100*AMD!I57*LAFs!I$253*I$11*Input!$E$58/Input!$F$58*(1-Contrib!I$110)</f>
        <v>0</v>
      </c>
      <c r="J41" s="33">
        <f>100*AMD!J57*LAFs!J$253*J$11*Input!$E$58/Input!$F$58*(1-Contrib!J$110)</f>
        <v>0</v>
      </c>
      <c r="K41" s="33">
        <f>100*AMD!B57*LAFs!B$253*K$11*Input!$E$58/Input!$F$58*(1-Contrib!K$110)</f>
        <v>0</v>
      </c>
      <c r="L41" s="33">
        <f>100*AMD!C57*LAFs!C$253*L$11*Input!$E$58/Input!$F$58*(1-Contrib!L$110)</f>
        <v>0</v>
      </c>
      <c r="M41" s="33">
        <f>100*AMD!D57*LAFs!D$253*M$11*Input!$E$58/Input!$F$58*(1-Contrib!M$110)</f>
        <v>0</v>
      </c>
      <c r="N41" s="33">
        <f>100*AMD!E57*LAFs!E$253*N$11*Input!$E$58/Input!$F$58*(1-Contrib!N$110)</f>
        <v>0</v>
      </c>
      <c r="O41" s="33">
        <f>100*AMD!F57*LAFs!F$253*O$11*Input!$E$58/Input!$F$58*(1-Contrib!O$110)</f>
        <v>0</v>
      </c>
      <c r="P41" s="33">
        <f>100*AMD!G57*LAFs!G$253*P$11*Input!$E$58/Input!$F$58*(1-Contrib!P$110)</f>
        <v>0</v>
      </c>
      <c r="Q41" s="33">
        <f>100*AMD!H57*LAFs!H$253*Q$11*Input!$E$58/Input!$F$58*(1-Contrib!Q$110)</f>
        <v>0</v>
      </c>
      <c r="R41" s="33">
        <f>100*AMD!I57*LAFs!I$253*R$11*Input!$E$58/Input!$F$58*(1-Contrib!R$110)</f>
        <v>0</v>
      </c>
      <c r="S41" s="33">
        <f>100*AMD!J57*LAFs!J$253*S$11*Input!$E$58/Input!$F$58*(1-Contrib!S$110)</f>
        <v>0</v>
      </c>
      <c r="T41" s="10"/>
    </row>
    <row r="42" spans="1:20" x14ac:dyDescent="0.25">
      <c r="A42" s="3" t="s">
        <v>216</v>
      </c>
      <c r="B42" s="33">
        <f>100*AMD!B58*LAFs!B$254*B$11*Input!$E$58/Input!$F$58*(1-Contrib!B$111)</f>
        <v>0</v>
      </c>
      <c r="C42" s="33">
        <f>100*AMD!C58*LAFs!C$254*C$11*Input!$E$58/Input!$F$58*(1-Contrib!C$111)</f>
        <v>0</v>
      </c>
      <c r="D42" s="33">
        <f>100*AMD!D58*LAFs!D$254*D$11*Input!$E$58/Input!$F$58*(1-Contrib!D$111)</f>
        <v>0</v>
      </c>
      <c r="E42" s="33">
        <f>100*AMD!E58*LAFs!E$254*E$11*Input!$E$58/Input!$F$58*(1-Contrib!E$111)</f>
        <v>0</v>
      </c>
      <c r="F42" s="33">
        <f>100*AMD!F58*LAFs!F$254*F$11*Input!$E$58/Input!$F$58*(1-Contrib!F$111)</f>
        <v>0</v>
      </c>
      <c r="G42" s="33">
        <f>100*AMD!G58*LAFs!G$254*G$11*Input!$E$58/Input!$F$58*(1-Contrib!G$111)</f>
        <v>0</v>
      </c>
      <c r="H42" s="33">
        <f>100*AMD!H58*LAFs!H$254*H$11*Input!$E$58/Input!$F$58*(1-Contrib!H$111)</f>
        <v>0</v>
      </c>
      <c r="I42" s="33">
        <f>100*AMD!I58*LAFs!I$254*I$11*Input!$E$58/Input!$F$58*(1-Contrib!I$111)</f>
        <v>0</v>
      </c>
      <c r="J42" s="33">
        <f>100*AMD!J58*LAFs!J$254*J$11*Input!$E$58/Input!$F$58*(1-Contrib!J$111)</f>
        <v>0</v>
      </c>
      <c r="K42" s="33">
        <f>100*AMD!B58*LAFs!B$254*K$11*Input!$E$58/Input!$F$58*(1-Contrib!K$111)</f>
        <v>0</v>
      </c>
      <c r="L42" s="33">
        <f>100*AMD!C58*LAFs!C$254*L$11*Input!$E$58/Input!$F$58*(1-Contrib!L$111)</f>
        <v>0</v>
      </c>
      <c r="M42" s="33">
        <f>100*AMD!D58*LAFs!D$254*M$11*Input!$E$58/Input!$F$58*(1-Contrib!M$111)</f>
        <v>0</v>
      </c>
      <c r="N42" s="33">
        <f>100*AMD!E58*LAFs!E$254*N$11*Input!$E$58/Input!$F$58*(1-Contrib!N$111)</f>
        <v>0</v>
      </c>
      <c r="O42" s="33">
        <f>100*AMD!F58*LAFs!F$254*O$11*Input!$E$58/Input!$F$58*(1-Contrib!O$111)</f>
        <v>0</v>
      </c>
      <c r="P42" s="33">
        <f>100*AMD!G58*LAFs!G$254*P$11*Input!$E$58/Input!$F$58*(1-Contrib!P$111)</f>
        <v>0</v>
      </c>
      <c r="Q42" s="33">
        <f>100*AMD!H58*LAFs!H$254*Q$11*Input!$E$58/Input!$F$58*(1-Contrib!Q$111)</f>
        <v>0</v>
      </c>
      <c r="R42" s="33">
        <f>100*AMD!I58*LAFs!I$254*R$11*Input!$E$58/Input!$F$58*(1-Contrib!R$111)</f>
        <v>0</v>
      </c>
      <c r="S42" s="33">
        <f>100*AMD!J58*LAFs!J$254*S$11*Input!$E$58/Input!$F$58*(1-Contrib!S$111)</f>
        <v>0</v>
      </c>
      <c r="T42" s="10"/>
    </row>
    <row r="43" spans="1:20" x14ac:dyDescent="0.25">
      <c r="A43" s="3" t="s">
        <v>217</v>
      </c>
      <c r="B43" s="33">
        <f>100*AMD!B59*LAFs!B$255*B$11*Input!$E$58/Input!$F$58*(1-Contrib!B$112)</f>
        <v>0</v>
      </c>
      <c r="C43" s="33">
        <f>100*AMD!C59*LAFs!C$255*C$11*Input!$E$58/Input!$F$58*(1-Contrib!C$112)</f>
        <v>0</v>
      </c>
      <c r="D43" s="33">
        <f>100*AMD!D59*LAFs!D$255*D$11*Input!$E$58/Input!$F$58*(1-Contrib!D$112)</f>
        <v>0</v>
      </c>
      <c r="E43" s="33">
        <f>100*AMD!E59*LAFs!E$255*E$11*Input!$E$58/Input!$F$58*(1-Contrib!E$112)</f>
        <v>0</v>
      </c>
      <c r="F43" s="33">
        <f>100*AMD!F59*LAFs!F$255*F$11*Input!$E$58/Input!$F$58*(1-Contrib!F$112)</f>
        <v>0</v>
      </c>
      <c r="G43" s="33">
        <f>100*AMD!G59*LAFs!G$255*G$11*Input!$E$58/Input!$F$58*(1-Contrib!G$112)</f>
        <v>0</v>
      </c>
      <c r="H43" s="33">
        <f>100*AMD!H59*LAFs!H$255*H$11*Input!$E$58/Input!$F$58*(1-Contrib!H$112)</f>
        <v>0</v>
      </c>
      <c r="I43" s="33">
        <f>100*AMD!I59*LAFs!I$255*I$11*Input!$E$58/Input!$F$58*(1-Contrib!I$112)</f>
        <v>0</v>
      </c>
      <c r="J43" s="33">
        <f>100*AMD!J59*LAFs!J$255*J$11*Input!$E$58/Input!$F$58*(1-Contrib!J$112)</f>
        <v>0</v>
      </c>
      <c r="K43" s="33">
        <f>100*AMD!B59*LAFs!B$255*K$11*Input!$E$58/Input!$F$58*(1-Contrib!K$112)</f>
        <v>0</v>
      </c>
      <c r="L43" s="33">
        <f>100*AMD!C59*LAFs!C$255*L$11*Input!$E$58/Input!$F$58*(1-Contrib!L$112)</f>
        <v>0</v>
      </c>
      <c r="M43" s="33">
        <f>100*AMD!D59*LAFs!D$255*M$11*Input!$E$58/Input!$F$58*(1-Contrib!M$112)</f>
        <v>0</v>
      </c>
      <c r="N43" s="33">
        <f>100*AMD!E59*LAFs!E$255*N$11*Input!$E$58/Input!$F$58*(1-Contrib!N$112)</f>
        <v>0</v>
      </c>
      <c r="O43" s="33">
        <f>100*AMD!F59*LAFs!F$255*O$11*Input!$E$58/Input!$F$58*(1-Contrib!O$112)</f>
        <v>0</v>
      </c>
      <c r="P43" s="33">
        <f>100*AMD!G59*LAFs!G$255*P$11*Input!$E$58/Input!$F$58*(1-Contrib!P$112)</f>
        <v>0</v>
      </c>
      <c r="Q43" s="33">
        <f>100*AMD!H59*LAFs!H$255*Q$11*Input!$E$58/Input!$F$58*(1-Contrib!Q$112)</f>
        <v>0</v>
      </c>
      <c r="R43" s="33">
        <f>100*AMD!I59*LAFs!I$255*R$11*Input!$E$58/Input!$F$58*(1-Contrib!R$112)</f>
        <v>0</v>
      </c>
      <c r="S43" s="33">
        <f>100*AMD!J59*LAFs!J$255*S$11*Input!$E$58/Input!$F$58*(1-Contrib!S$112)</f>
        <v>0</v>
      </c>
      <c r="T43" s="10"/>
    </row>
    <row r="45" spans="1:20" ht="21" customHeight="1" x14ac:dyDescent="0.3">
      <c r="A45" s="1" t="s">
        <v>1001</v>
      </c>
    </row>
    <row r="46" spans="1:20" x14ac:dyDescent="0.25">
      <c r="A46" s="2" t="s">
        <v>356</v>
      </c>
    </row>
    <row r="47" spans="1:20" x14ac:dyDescent="0.25">
      <c r="A47" s="11" t="s">
        <v>995</v>
      </c>
    </row>
    <row r="48" spans="1:20" x14ac:dyDescent="0.25">
      <c r="A48" s="11" t="s">
        <v>1002</v>
      </c>
    </row>
    <row r="49" spans="1:20" x14ac:dyDescent="0.25">
      <c r="A49" s="2" t="s">
        <v>1003</v>
      </c>
    </row>
    <row r="51" spans="1:20" ht="30" x14ac:dyDescent="0.25">
      <c r="B51" s="12" t="s">
        <v>139</v>
      </c>
      <c r="C51" s="12" t="s">
        <v>311</v>
      </c>
      <c r="D51" s="12" t="s">
        <v>312</v>
      </c>
      <c r="E51" s="12" t="s">
        <v>313</v>
      </c>
      <c r="F51" s="12" t="s">
        <v>314</v>
      </c>
      <c r="G51" s="12" t="s">
        <v>315</v>
      </c>
      <c r="H51" s="12" t="s">
        <v>316</v>
      </c>
      <c r="I51" s="12" t="s">
        <v>317</v>
      </c>
      <c r="J51" s="12" t="s">
        <v>318</v>
      </c>
      <c r="K51" s="12" t="s">
        <v>299</v>
      </c>
      <c r="L51" s="12" t="s">
        <v>882</v>
      </c>
      <c r="M51" s="12" t="s">
        <v>883</v>
      </c>
      <c r="N51" s="12" t="s">
        <v>884</v>
      </c>
      <c r="O51" s="12" t="s">
        <v>885</v>
      </c>
      <c r="P51" s="12" t="s">
        <v>886</v>
      </c>
      <c r="Q51" s="12" t="s">
        <v>887</v>
      </c>
      <c r="R51" s="12" t="s">
        <v>888</v>
      </c>
      <c r="S51" s="12" t="s">
        <v>889</v>
      </c>
    </row>
    <row r="52" spans="1:20" x14ac:dyDescent="0.25">
      <c r="A52" s="3" t="s">
        <v>171</v>
      </c>
      <c r="B52" s="33">
        <f>(1-AMD!B41)*Yard!B$23</f>
        <v>0</v>
      </c>
      <c r="C52" s="33">
        <f>(1-AMD!C41)*Yard!C$23</f>
        <v>0.15372386857919598</v>
      </c>
      <c r="D52" s="33">
        <f>(1-AMD!D41)*Yard!D$23</f>
        <v>7.7371893372981115E-2</v>
      </c>
      <c r="E52" s="33">
        <f>(1-AMD!E41)*Yard!E$23</f>
        <v>9.4309512326607559E-2</v>
      </c>
      <c r="F52" s="33">
        <f>(1-AMD!F41)*Yard!F$23</f>
        <v>0.15281450841465841</v>
      </c>
      <c r="G52" s="33">
        <f>(1-AMD!G41)*Yard!G$23</f>
        <v>1.2848862693751188E-2</v>
      </c>
      <c r="H52" s="33">
        <f>(1-AMD!H41)*Yard!H$23</f>
        <v>0.1990823011679046</v>
      </c>
      <c r="I52" s="33">
        <f>(1-AMD!I41)*Yard!I$23</f>
        <v>4.7249742214459899E-2</v>
      </c>
      <c r="J52" s="33">
        <f>(1-AMD!J41)*Yard!J$23</f>
        <v>0</v>
      </c>
      <c r="K52" s="33">
        <f>(1-AMD!B41)*Yard!K$23</f>
        <v>6.570874122651639E-2</v>
      </c>
      <c r="L52" s="33">
        <f>(1-AMD!C41)*Yard!L$23</f>
        <v>6.9571380365275978E-2</v>
      </c>
      <c r="M52" s="33">
        <f>(1-AMD!D41)*Yard!M$23</f>
        <v>3.5016484253127422E-2</v>
      </c>
      <c r="N52" s="33">
        <f>(1-AMD!E41)*Yard!N$23</f>
        <v>4.2682005174478503E-2</v>
      </c>
      <c r="O52" s="33">
        <f>(1-AMD!F41)*Yard!O$23</f>
        <v>6.9159827868706586E-2</v>
      </c>
      <c r="P52" s="33">
        <f>(1-AMD!G41)*Yard!P$23</f>
        <v>5.8150573622055236E-3</v>
      </c>
      <c r="Q52" s="33">
        <f>(1-AMD!H41)*Yard!Q$23</f>
        <v>0.1729798660950094</v>
      </c>
      <c r="R52" s="33">
        <f>(1-AMD!I41)*Yard!R$23</f>
        <v>7.3465278609377571E-2</v>
      </c>
      <c r="S52" s="33">
        <f>(1-AMD!J41)*Yard!S$23</f>
        <v>0</v>
      </c>
      <c r="T52" s="10"/>
    </row>
    <row r="53" spans="1:20" x14ac:dyDescent="0.25">
      <c r="A53" s="3" t="s">
        <v>172</v>
      </c>
      <c r="B53" s="33">
        <f>(1-AMD!B42)*Yard!B$24</f>
        <v>0</v>
      </c>
      <c r="C53" s="33">
        <f>(1-AMD!C42)*Yard!C$24</f>
        <v>0.12725351632215115</v>
      </c>
      <c r="D53" s="33">
        <f>(1-AMD!D42)*Yard!D$24</f>
        <v>6.4048905269008222E-2</v>
      </c>
      <c r="E53" s="33">
        <f>(1-AMD!E42)*Yard!E$24</f>
        <v>7.8069965172683914E-2</v>
      </c>
      <c r="F53" s="33">
        <f>(1-AMD!F42)*Yard!F$24</f>
        <v>0.12650074266630812</v>
      </c>
      <c r="G53" s="33">
        <f>(1-AMD!G42)*Yard!G$24</f>
        <v>1.0636363589028391E-2</v>
      </c>
      <c r="H53" s="33">
        <f>(1-AMD!H42)*Yard!H$24</f>
        <v>0.16480149176098668</v>
      </c>
      <c r="I53" s="33">
        <f>(1-AMD!I42)*Yard!I$24</f>
        <v>3.9113612594309441E-2</v>
      </c>
      <c r="J53" s="33">
        <f>(1-AMD!J42)*Yard!J$24</f>
        <v>0</v>
      </c>
      <c r="K53" s="33">
        <f>(1-AMD!B42)*Yard!K$24</f>
        <v>5.4394079796845067E-2</v>
      </c>
      <c r="L53" s="33">
        <f>(1-AMD!C42)*Yard!L$24</f>
        <v>5.7591595037866289E-2</v>
      </c>
      <c r="M53" s="33">
        <f>(1-AMD!D42)*Yard!M$24</f>
        <v>2.8986850198569246E-2</v>
      </c>
      <c r="N53" s="33">
        <f>(1-AMD!E42)*Yard!N$24</f>
        <v>3.5332413192128695E-2</v>
      </c>
      <c r="O53" s="33">
        <f>(1-AMD!F42)*Yard!O$24</f>
        <v>5.7250909477298079E-2</v>
      </c>
      <c r="P53" s="33">
        <f>(1-AMD!G42)*Yard!P$24</f>
        <v>4.8137384506065639E-3</v>
      </c>
      <c r="Q53" s="33">
        <f>(1-AMD!H42)*Yard!Q$24</f>
        <v>0.14319374354142297</v>
      </c>
      <c r="R53" s="33">
        <f>(1-AMD!I42)*Yard!R$24</f>
        <v>6.0814986748876344E-2</v>
      </c>
      <c r="S53" s="33">
        <f>(1-AMD!J42)*Yard!S$24</f>
        <v>0</v>
      </c>
      <c r="T53" s="10"/>
    </row>
    <row r="54" spans="1:20" x14ac:dyDescent="0.25">
      <c r="A54" s="3" t="s">
        <v>211</v>
      </c>
      <c r="B54" s="33">
        <f>(1-AMD!B43)*Yard!B$25</f>
        <v>0</v>
      </c>
      <c r="C54" s="33">
        <f>(1-AMD!C43)*Yard!C$25</f>
        <v>0</v>
      </c>
      <c r="D54" s="33">
        <f>(1-AMD!D43)*Yard!D$25</f>
        <v>0</v>
      </c>
      <c r="E54" s="33">
        <f>(1-AMD!E43)*Yard!E$25</f>
        <v>0</v>
      </c>
      <c r="F54" s="33">
        <f>(1-AMD!F43)*Yard!F$25</f>
        <v>0</v>
      </c>
      <c r="G54" s="33">
        <f>(1-AMD!G43)*Yard!G$25</f>
        <v>0</v>
      </c>
      <c r="H54" s="33">
        <f>(1-AMD!H43)*Yard!H$25</f>
        <v>0</v>
      </c>
      <c r="I54" s="33">
        <f>(1-AMD!I43)*Yard!I$25</f>
        <v>0</v>
      </c>
      <c r="J54" s="33">
        <f>(1-AMD!J43)*Yard!J$25</f>
        <v>0</v>
      </c>
      <c r="K54" s="33">
        <f>(1-AMD!B43)*Yard!K$25</f>
        <v>0</v>
      </c>
      <c r="L54" s="33">
        <f>(1-AMD!C43)*Yard!L$25</f>
        <v>0</v>
      </c>
      <c r="M54" s="33">
        <f>(1-AMD!D43)*Yard!M$25</f>
        <v>0</v>
      </c>
      <c r="N54" s="33">
        <f>(1-AMD!E43)*Yard!N$25</f>
        <v>0</v>
      </c>
      <c r="O54" s="33">
        <f>(1-AMD!F43)*Yard!O$25</f>
        <v>0</v>
      </c>
      <c r="P54" s="33">
        <f>(1-AMD!G43)*Yard!P$25</f>
        <v>0</v>
      </c>
      <c r="Q54" s="33">
        <f>(1-AMD!H43)*Yard!Q$25</f>
        <v>0</v>
      </c>
      <c r="R54" s="33">
        <f>(1-AMD!I43)*Yard!R$25</f>
        <v>0</v>
      </c>
      <c r="S54" s="33">
        <f>(1-AMD!J43)*Yard!S$25</f>
        <v>0</v>
      </c>
      <c r="T54" s="10"/>
    </row>
    <row r="55" spans="1:20" x14ac:dyDescent="0.25">
      <c r="A55" s="3" t="s">
        <v>173</v>
      </c>
      <c r="B55" s="33">
        <f>(1-AMD!B44)*Yard!B$26</f>
        <v>0</v>
      </c>
      <c r="C55" s="33">
        <f>(1-AMD!C44)*Yard!C$26</f>
        <v>0.13563834131290939</v>
      </c>
      <c r="D55" s="33">
        <f>(1-AMD!D44)*Yard!D$26</f>
        <v>6.8269133338547269E-2</v>
      </c>
      <c r="E55" s="33">
        <f>(1-AMD!E44)*Yard!E$26</f>
        <v>8.3214050883843135E-2</v>
      </c>
      <c r="F55" s="33">
        <f>(1-AMD!F44)*Yard!F$26</f>
        <v>0.13483596686374982</v>
      </c>
      <c r="G55" s="33">
        <f>(1-AMD!G44)*Yard!G$26</f>
        <v>1.1337201175365104E-2</v>
      </c>
      <c r="H55" s="33">
        <f>(1-AMD!H44)*Yard!H$26</f>
        <v>0.17566037964533834</v>
      </c>
      <c r="I55" s="33">
        <f>(1-AMD!I44)*Yard!I$26</f>
        <v>4.1690836437219568E-2</v>
      </c>
      <c r="J55" s="33">
        <f>(1-AMD!J44)*Yard!J$26</f>
        <v>0</v>
      </c>
      <c r="K55" s="33">
        <f>(1-AMD!B44)*Yard!K$26</f>
        <v>5.7978144526932937E-2</v>
      </c>
      <c r="L55" s="33">
        <f>(1-AMD!C44)*Yard!L$26</f>
        <v>6.1386346328735499E-2</v>
      </c>
      <c r="M55" s="33">
        <f>(1-AMD!D44)*Yard!M$26</f>
        <v>3.0896814441388521E-2</v>
      </c>
      <c r="N55" s="33">
        <f>(1-AMD!E44)*Yard!N$26</f>
        <v>3.7660491108397531E-2</v>
      </c>
      <c r="O55" s="33">
        <f>(1-AMD!F44)*Yard!O$26</f>
        <v>6.1023212753489174E-2</v>
      </c>
      <c r="P55" s="33">
        <f>(1-AMD!G44)*Yard!P$26</f>
        <v>5.1309191119050671E-3</v>
      </c>
      <c r="Q55" s="33">
        <f>(1-AMD!H44)*Yard!Q$26</f>
        <v>0.15262888147762593</v>
      </c>
      <c r="R55" s="33">
        <f>(1-AMD!I44)*Yard!R$26</f>
        <v>6.4822129619598295E-2</v>
      </c>
      <c r="S55" s="33">
        <f>(1-AMD!J44)*Yard!S$26</f>
        <v>0</v>
      </c>
      <c r="T55" s="10"/>
    </row>
    <row r="56" spans="1:20" x14ac:dyDescent="0.25">
      <c r="A56" s="3" t="s">
        <v>174</v>
      </c>
      <c r="B56" s="33">
        <f>(1-AMD!B45)*Yard!B$27</f>
        <v>0</v>
      </c>
      <c r="C56" s="33">
        <f>(1-AMD!C45)*Yard!C$27</f>
        <v>0.11360282855224128</v>
      </c>
      <c r="D56" s="33">
        <f>(1-AMD!D45)*Yard!D$27</f>
        <v>5.7178276990113477E-2</v>
      </c>
      <c r="E56" s="33">
        <f>(1-AMD!E45)*Yard!E$27</f>
        <v>6.9695275422798103E-2</v>
      </c>
      <c r="F56" s="33">
        <f>(1-AMD!F45)*Yard!F$27</f>
        <v>0.11293080612775372</v>
      </c>
      <c r="G56" s="33">
        <f>(1-AMD!G45)*Yard!G$27</f>
        <v>9.4953838930843006E-3</v>
      </c>
      <c r="H56" s="33">
        <f>(1-AMD!H45)*Yard!H$27</f>
        <v>0.14712297274584646</v>
      </c>
      <c r="I56" s="33">
        <f>(1-AMD!I45)*Yard!I$27</f>
        <v>3.4917832952932326E-2</v>
      </c>
      <c r="J56" s="33">
        <f>(1-AMD!J45)*Yard!J$27</f>
        <v>0</v>
      </c>
      <c r="K56" s="33">
        <f>(1-AMD!B45)*Yard!K$27</f>
        <v>4.8559140053737598E-2</v>
      </c>
      <c r="L56" s="33">
        <f>(1-AMD!C45)*Yard!L$27</f>
        <v>5.1413652732187509E-2</v>
      </c>
      <c r="M56" s="33">
        <f>(1-AMD!D45)*Yard!M$27</f>
        <v>2.587738451989911E-2</v>
      </c>
      <c r="N56" s="33">
        <f>(1-AMD!E45)*Yard!N$27</f>
        <v>3.1542248844746837E-2</v>
      </c>
      <c r="O56" s="33">
        <f>(1-AMD!F45)*Yard!O$27</f>
        <v>5.1109513055375158E-2</v>
      </c>
      <c r="P56" s="33">
        <f>(1-AMD!G45)*Yard!P$27</f>
        <v>4.2973610451375608E-3</v>
      </c>
      <c r="Q56" s="33">
        <f>(1-AMD!H45)*Yard!Q$27</f>
        <v>0.12783312215992756</v>
      </c>
      <c r="R56" s="33">
        <f>(1-AMD!I45)*Yard!R$27</f>
        <v>5.4291266070396277E-2</v>
      </c>
      <c r="S56" s="33">
        <f>(1-AMD!J45)*Yard!S$27</f>
        <v>0</v>
      </c>
      <c r="T56" s="10"/>
    </row>
    <row r="57" spans="1:20" x14ac:dyDescent="0.25">
      <c r="A57" s="3" t="s">
        <v>212</v>
      </c>
      <c r="B57" s="33">
        <f>(1-AMD!B46)*Yard!B$28</f>
        <v>0</v>
      </c>
      <c r="C57" s="33">
        <f>(1-AMD!C46)*Yard!C$28</f>
        <v>0</v>
      </c>
      <c r="D57" s="33">
        <f>(1-AMD!D46)*Yard!D$28</f>
        <v>0</v>
      </c>
      <c r="E57" s="33">
        <f>(1-AMD!E46)*Yard!E$28</f>
        <v>0</v>
      </c>
      <c r="F57" s="33">
        <f>(1-AMD!F46)*Yard!F$28</f>
        <v>0</v>
      </c>
      <c r="G57" s="33">
        <f>(1-AMD!G46)*Yard!G$28</f>
        <v>0</v>
      </c>
      <c r="H57" s="33">
        <f>(1-AMD!H46)*Yard!H$28</f>
        <v>0</v>
      </c>
      <c r="I57" s="33">
        <f>(1-AMD!I46)*Yard!I$28</f>
        <v>0</v>
      </c>
      <c r="J57" s="33">
        <f>(1-AMD!J46)*Yard!J$28</f>
        <v>0</v>
      </c>
      <c r="K57" s="33">
        <f>(1-AMD!B46)*Yard!K$28</f>
        <v>0</v>
      </c>
      <c r="L57" s="33">
        <f>(1-AMD!C46)*Yard!L$28</f>
        <v>0</v>
      </c>
      <c r="M57" s="33">
        <f>(1-AMD!D46)*Yard!M$28</f>
        <v>0</v>
      </c>
      <c r="N57" s="33">
        <f>(1-AMD!E46)*Yard!N$28</f>
        <v>0</v>
      </c>
      <c r="O57" s="33">
        <f>(1-AMD!F46)*Yard!O$28</f>
        <v>0</v>
      </c>
      <c r="P57" s="33">
        <f>(1-AMD!G46)*Yard!P$28</f>
        <v>0</v>
      </c>
      <c r="Q57" s="33">
        <f>(1-AMD!H46)*Yard!Q$28</f>
        <v>0</v>
      </c>
      <c r="R57" s="33">
        <f>(1-AMD!I46)*Yard!R$28</f>
        <v>0</v>
      </c>
      <c r="S57" s="33">
        <f>(1-AMD!J46)*Yard!S$28</f>
        <v>0</v>
      </c>
      <c r="T57" s="10"/>
    </row>
    <row r="58" spans="1:20" x14ac:dyDescent="0.25">
      <c r="A58" s="3" t="s">
        <v>175</v>
      </c>
      <c r="B58" s="33">
        <f>(1-AMD!B47)*Yard!B$29</f>
        <v>0</v>
      </c>
      <c r="C58" s="33">
        <f>(1-AMD!C47)*Yard!C$29</f>
        <v>0.11837920949026122</v>
      </c>
      <c r="D58" s="33">
        <f>(1-AMD!D47)*Yard!D$29</f>
        <v>5.9582312486103003E-2</v>
      </c>
      <c r="E58" s="33">
        <f>(1-AMD!E47)*Yard!E$29</f>
        <v>7.2625582610056374E-2</v>
      </c>
      <c r="F58" s="33">
        <f>(1-AMD!F47)*Yard!F$29</f>
        <v>0.11767893217864495</v>
      </c>
      <c r="G58" s="33">
        <f>(1-AMD!G47)*Yard!G$29</f>
        <v>9.8946131306314328E-3</v>
      </c>
      <c r="H58" s="33">
        <f>(1-AMD!H47)*Yard!H$29</f>
        <v>0.15330869339667458</v>
      </c>
      <c r="I58" s="33">
        <f>(1-AMD!I47)*Yard!I$29</f>
        <v>3.6385937874603827E-2</v>
      </c>
      <c r="J58" s="33">
        <f>(1-AMD!J47)*Yard!J$29</f>
        <v>0</v>
      </c>
      <c r="K58" s="33">
        <f>(1-AMD!B47)*Yard!K$29</f>
        <v>5.0600787729901342E-2</v>
      </c>
      <c r="L58" s="33">
        <f>(1-AMD!C47)*Yard!L$29</f>
        <v>5.3575317137850319E-2</v>
      </c>
      <c r="M58" s="33">
        <f>(1-AMD!D47)*Yard!M$29</f>
        <v>2.6965387765256851E-2</v>
      </c>
      <c r="N58" s="33">
        <f>(1-AMD!E47)*Yard!N$29</f>
        <v>3.2868428817942198E-2</v>
      </c>
      <c r="O58" s="33">
        <f>(1-AMD!F47)*Yard!O$29</f>
        <v>5.3258390042156468E-2</v>
      </c>
      <c r="P58" s="33">
        <f>(1-AMD!G47)*Yard!P$29</f>
        <v>4.4780416993199122E-3</v>
      </c>
      <c r="Q58" s="33">
        <f>(1-AMD!H47)*Yard!Q$29</f>
        <v>0.13320780953095082</v>
      </c>
      <c r="R58" s="33">
        <f>(1-AMD!I47)*Yard!R$29</f>
        <v>5.6573918462632787E-2</v>
      </c>
      <c r="S58" s="33">
        <f>(1-AMD!J47)*Yard!S$29</f>
        <v>0</v>
      </c>
      <c r="T58" s="10"/>
    </row>
    <row r="59" spans="1:20" x14ac:dyDescent="0.25">
      <c r="A59" s="3" t="s">
        <v>176</v>
      </c>
      <c r="B59" s="33">
        <f>(1-AMD!B48)*Yard!B$30</f>
        <v>0</v>
      </c>
      <c r="C59" s="33">
        <f>(1-AMD!C48)*Yard!C$30</f>
        <v>0.11404694198833033</v>
      </c>
      <c r="D59" s="33">
        <f>(1-AMD!D48)*Yard!D$30</f>
        <v>5.740180699713307E-2</v>
      </c>
      <c r="E59" s="33">
        <f>(1-AMD!E48)*Yard!E$30</f>
        <v>6.9967738781692004E-2</v>
      </c>
      <c r="F59" s="33">
        <f>(1-AMD!F48)*Yard!F$30</f>
        <v>0.11337229239168629</v>
      </c>
      <c r="G59" s="33">
        <f>(1-AMD!G48)*Yard!G$30</f>
        <v>9.5325046903521494E-3</v>
      </c>
      <c r="H59" s="33">
        <f>(1-AMD!H48)*Yard!H$30</f>
        <v>0.14769812822204786</v>
      </c>
      <c r="I59" s="33">
        <f>(1-AMD!I48)*Yard!I$30</f>
        <v>0</v>
      </c>
      <c r="J59" s="33">
        <f>(1-AMD!J48)*Yard!J$30</f>
        <v>0</v>
      </c>
      <c r="K59" s="33">
        <f>(1-AMD!B48)*Yard!K$30</f>
        <v>4.8748974821213278E-2</v>
      </c>
      <c r="L59" s="33">
        <f>(1-AMD!C48)*Yard!L$30</f>
        <v>5.1614646794287636E-2</v>
      </c>
      <c r="M59" s="33">
        <f>(1-AMD!D48)*Yard!M$30</f>
        <v>2.5978548322795478E-2</v>
      </c>
      <c r="N59" s="33">
        <f>(1-AMD!E48)*Yard!N$30</f>
        <v>3.1665558595876608E-2</v>
      </c>
      <c r="O59" s="33">
        <f>(1-AMD!F48)*Yard!O$30</f>
        <v>5.1309318128445344E-2</v>
      </c>
      <c r="P59" s="33">
        <f>(1-AMD!G48)*Yard!P$30</f>
        <v>4.3141609417967682E-3</v>
      </c>
      <c r="Q59" s="33">
        <f>(1-AMD!H48)*Yard!Q$30</f>
        <v>0.12833286682167536</v>
      </c>
      <c r="R59" s="33">
        <f>(1-AMD!I48)*Yard!R$30</f>
        <v>0</v>
      </c>
      <c r="S59" s="33">
        <f>(1-AMD!J48)*Yard!S$30</f>
        <v>0</v>
      </c>
      <c r="T59" s="10"/>
    </row>
    <row r="60" spans="1:20" x14ac:dyDescent="0.25">
      <c r="A60" s="3" t="s">
        <v>192</v>
      </c>
      <c r="B60" s="33">
        <f>(1-AMD!B49)*Yard!B$31</f>
        <v>0</v>
      </c>
      <c r="C60" s="33">
        <f>(1-AMD!C49)*Yard!C$31</f>
        <v>0.11109635817520137</v>
      </c>
      <c r="D60" s="33">
        <f>(1-AMD!D49)*Yard!D$31</f>
        <v>5.6768761792838338E-2</v>
      </c>
      <c r="E60" s="33">
        <f>(1-AMD!E49)*Yard!E$31</f>
        <v>5.1735439530851218E-2</v>
      </c>
      <c r="F60" s="33">
        <f>(1-AMD!F49)*Yard!F$31</f>
        <v>0</v>
      </c>
      <c r="G60" s="33">
        <f>(1-AMD!G49)*Yard!G$31</f>
        <v>0</v>
      </c>
      <c r="H60" s="33">
        <f>(1-AMD!H49)*Yard!H$31</f>
        <v>0</v>
      </c>
      <c r="I60" s="33">
        <f>(1-AMD!I49)*Yard!I$31</f>
        <v>0</v>
      </c>
      <c r="J60" s="33">
        <f>(1-AMD!J49)*Yard!J$31</f>
        <v>0</v>
      </c>
      <c r="K60" s="33">
        <f>(1-AMD!B49)*Yard!K$31</f>
        <v>4.8211355775067292E-2</v>
      </c>
      <c r="L60" s="33">
        <f>(1-AMD!C49)*Yard!L$31</f>
        <v>5.02792901534478E-2</v>
      </c>
      <c r="M60" s="33">
        <f>(1-AMD!D49)*Yard!M$31</f>
        <v>2.5692048710838911E-2</v>
      </c>
      <c r="N60" s="33">
        <f>(1-AMD!E49)*Yard!N$31</f>
        <v>2.5053072674959733E-2</v>
      </c>
      <c r="O60" s="33">
        <f>(1-AMD!F49)*Yard!O$31</f>
        <v>0</v>
      </c>
      <c r="P60" s="33">
        <f>(1-AMD!G49)*Yard!P$31</f>
        <v>0</v>
      </c>
      <c r="Q60" s="33">
        <f>(1-AMD!H49)*Yard!Q$31</f>
        <v>0</v>
      </c>
      <c r="R60" s="33">
        <f>(1-AMD!I49)*Yard!R$31</f>
        <v>0</v>
      </c>
      <c r="S60" s="33">
        <f>(1-AMD!J49)*Yard!S$31</f>
        <v>0</v>
      </c>
      <c r="T60" s="10"/>
    </row>
    <row r="61" spans="1:20" x14ac:dyDescent="0.25">
      <c r="A61" s="3" t="s">
        <v>177</v>
      </c>
      <c r="B61" s="33">
        <f>(1-AMD!B50)*Yard!B$32</f>
        <v>0</v>
      </c>
      <c r="C61" s="33">
        <f>(1-AMD!C50)*Yard!C$32</f>
        <v>0.14406839367399693</v>
      </c>
      <c r="D61" s="33">
        <f>(1-AMD!D50)*Yard!D$32</f>
        <v>7.2512125129211735E-2</v>
      </c>
      <c r="E61" s="33">
        <f>(1-AMD!E50)*Yard!E$32</f>
        <v>8.8385883562854498E-2</v>
      </c>
      <c r="F61" s="33">
        <f>(1-AMD!F50)*Yard!F$32</f>
        <v>0.14321615088706399</v>
      </c>
      <c r="G61" s="33">
        <f>(1-AMD!G50)*Yard!G$32</f>
        <v>1.2041819048242431E-2</v>
      </c>
      <c r="H61" s="33">
        <f>(1-AMD!H50)*Yard!H$32</f>
        <v>0.18657783988442031</v>
      </c>
      <c r="I61" s="33">
        <f>(1-AMD!I50)*Yard!I$32</f>
        <v>4.428196171006929E-2</v>
      </c>
      <c r="J61" s="33">
        <f>(1-AMD!J50)*Yard!J$32</f>
        <v>0</v>
      </c>
      <c r="K61" s="33">
        <f>(1-AMD!B50)*Yard!K$32</f>
        <v>6.1581541541595695E-2</v>
      </c>
      <c r="L61" s="33">
        <f>(1-AMD!C50)*Yard!L$32</f>
        <v>6.5201566338048911E-2</v>
      </c>
      <c r="M61" s="33">
        <f>(1-AMD!D50)*Yard!M$32</f>
        <v>3.2817080945760184E-2</v>
      </c>
      <c r="N61" s="33">
        <f>(1-AMD!E50)*Yard!N$32</f>
        <v>4.0001126572640315E-2</v>
      </c>
      <c r="O61" s="33">
        <f>(1-AMD!F50)*Yard!O$32</f>
        <v>6.4815863664539036E-2</v>
      </c>
      <c r="P61" s="33">
        <f>(1-AMD!G50)*Yard!P$32</f>
        <v>5.4498106314797594E-3</v>
      </c>
      <c r="Q61" s="33">
        <f>(1-AMD!H50)*Yard!Q$32</f>
        <v>0.16211491212512807</v>
      </c>
      <c r="R61" s="33">
        <f>(1-AMD!I50)*Yard!R$32</f>
        <v>6.8850886839430261E-2</v>
      </c>
      <c r="S61" s="33">
        <f>(1-AMD!J50)*Yard!S$32</f>
        <v>0</v>
      </c>
      <c r="T61" s="10"/>
    </row>
    <row r="62" spans="1:20" x14ac:dyDescent="0.25">
      <c r="A62" s="3" t="s">
        <v>178</v>
      </c>
      <c r="B62" s="33">
        <f>(1-AMD!B51)*Yard!B$33</f>
        <v>0</v>
      </c>
      <c r="C62" s="33">
        <f>(1-AMD!C51)*Yard!C$33</f>
        <v>0.12373629867651384</v>
      </c>
      <c r="D62" s="33">
        <f>(1-AMD!D51)*Yard!D$33</f>
        <v>6.2278628530834539E-2</v>
      </c>
      <c r="E62" s="33">
        <f>(1-AMD!E51)*Yard!E$33</f>
        <v>7.5912154001442772E-2</v>
      </c>
      <c r="F62" s="33">
        <f>(1-AMD!F51)*Yard!F$33</f>
        <v>0.12300433127311887</v>
      </c>
      <c r="G62" s="33">
        <f>(1-AMD!G51)*Yard!G$33</f>
        <v>1.0342380312322402E-2</v>
      </c>
      <c r="H62" s="33">
        <f>(1-AMD!H51)*Yard!H$33</f>
        <v>0.16024646859461938</v>
      </c>
      <c r="I62" s="33">
        <f>(1-AMD!I51)*Yard!I$33</f>
        <v>3.8032533718240842E-2</v>
      </c>
      <c r="J62" s="33">
        <f>(1-AMD!J51)*Yard!J$33</f>
        <v>0</v>
      </c>
      <c r="K62" s="33">
        <f>(1-AMD!B51)*Yard!K$33</f>
        <v>5.2890657158249067E-2</v>
      </c>
      <c r="L62" s="33">
        <f>(1-AMD!C51)*Yard!L$33</f>
        <v>5.5999794825487219E-2</v>
      </c>
      <c r="M62" s="33">
        <f>(1-AMD!D51)*Yard!M$33</f>
        <v>2.8185669500727057E-2</v>
      </c>
      <c r="N62" s="33">
        <f>(1-AMD!E51)*Yard!N$33</f>
        <v>3.4355844601067519E-2</v>
      </c>
      <c r="O62" s="33">
        <f>(1-AMD!F51)*Yard!O$33</f>
        <v>5.566852562762456E-2</v>
      </c>
      <c r="P62" s="33">
        <f>(1-AMD!G51)*Yard!P$33</f>
        <v>4.6806893505951007E-3</v>
      </c>
      <c r="Q62" s="33">
        <f>(1-AMD!H51)*Yard!Q$33</f>
        <v>0.1392359467269621</v>
      </c>
      <c r="R62" s="33">
        <f>(1-AMD!I51)*Yard!R$33</f>
        <v>5.9134093751225518E-2</v>
      </c>
      <c r="S62" s="33">
        <f>(1-AMD!J51)*Yard!S$33</f>
        <v>0</v>
      </c>
      <c r="T62" s="10"/>
    </row>
    <row r="63" spans="1:20" x14ac:dyDescent="0.25">
      <c r="A63" s="3" t="s">
        <v>179</v>
      </c>
      <c r="B63" s="33">
        <f>(1-AMD!B52)*Yard!B$34</f>
        <v>0</v>
      </c>
      <c r="C63" s="33">
        <f>(1-AMD!C52)*Yard!C$34</f>
        <v>0.11175022065921109</v>
      </c>
      <c r="D63" s="33">
        <f>(1-AMD!D52)*Yard!D$34</f>
        <v>5.6245827256143716E-2</v>
      </c>
      <c r="E63" s="33">
        <f>(1-AMD!E52)*Yard!E$34</f>
        <v>6.8558701457161225E-2</v>
      </c>
      <c r="F63" s="33">
        <f>(1-AMD!F52)*Yard!F$34</f>
        <v>0.11108915741649536</v>
      </c>
      <c r="G63" s="33">
        <f>(1-AMD!G52)*Yard!G$34</f>
        <v>9.3405354322505067E-3</v>
      </c>
      <c r="H63" s="33">
        <f>(1-AMD!H52)*Yard!H$34</f>
        <v>0.11577898105469715</v>
      </c>
      <c r="I63" s="33">
        <f>(1-AMD!I52)*Yard!I$34</f>
        <v>0</v>
      </c>
      <c r="J63" s="33">
        <f>(1-AMD!J52)*Yard!J$34</f>
        <v>0</v>
      </c>
      <c r="K63" s="33">
        <f>(1-AMD!B52)*Yard!K$34</f>
        <v>4.7767249153759316E-2</v>
      </c>
      <c r="L63" s="33">
        <f>(1-AMD!C52)*Yard!L$34</f>
        <v>5.0575211118760927E-2</v>
      </c>
      <c r="M63" s="33">
        <f>(1-AMD!D52)*Yard!M$34</f>
        <v>2.5455382291402692E-2</v>
      </c>
      <c r="N63" s="33">
        <f>(1-AMD!E52)*Yard!N$34</f>
        <v>3.1027865356955165E-2</v>
      </c>
      <c r="O63" s="33">
        <f>(1-AMD!F52)*Yard!O$34</f>
        <v>5.0276031279419431E-2</v>
      </c>
      <c r="P63" s="33">
        <f>(1-AMD!G52)*Yard!P$34</f>
        <v>4.2272807038918215E-3</v>
      </c>
      <c r="Q63" s="33">
        <f>(1-AMD!H52)*Yard!Q$34</f>
        <v>0.10059876002019462</v>
      </c>
      <c r="R63" s="33">
        <f>(1-AMD!I52)*Yard!R$34</f>
        <v>0</v>
      </c>
      <c r="S63" s="33">
        <f>(1-AMD!J52)*Yard!S$34</f>
        <v>0</v>
      </c>
      <c r="T63" s="10"/>
    </row>
    <row r="64" spans="1:20" x14ac:dyDescent="0.25">
      <c r="A64" s="3" t="s">
        <v>180</v>
      </c>
      <c r="B64" s="33">
        <f>(1-AMD!B53)*Yard!B$35</f>
        <v>0</v>
      </c>
      <c r="C64" s="33">
        <f>(1-AMD!C53)*Yard!C$35</f>
        <v>0.10594366955203766</v>
      </c>
      <c r="D64" s="33">
        <f>(1-AMD!D53)*Yard!D$35</f>
        <v>5.3323289219068898E-2</v>
      </c>
      <c r="E64" s="33">
        <f>(1-AMD!E53)*Yard!E$35</f>
        <v>6.499638541425648E-2</v>
      </c>
      <c r="F64" s="33">
        <f>(1-AMD!F53)*Yard!F$35</f>
        <v>0.10531695521244944</v>
      </c>
      <c r="G64" s="33">
        <f>(1-AMD!G53)*Yard!G$35</f>
        <v>8.8552004052967481E-3</v>
      </c>
      <c r="H64" s="33">
        <f>(1-AMD!H53)*Yard!H$35</f>
        <v>0</v>
      </c>
      <c r="I64" s="33">
        <f>(1-AMD!I53)*Yard!I$35</f>
        <v>0</v>
      </c>
      <c r="J64" s="33">
        <f>(1-AMD!J53)*Yard!J$35</f>
        <v>0</v>
      </c>
      <c r="K64" s="33">
        <f>(1-AMD!B53)*Yard!K$35</f>
        <v>4.5285258766409431E-2</v>
      </c>
      <c r="L64" s="33">
        <f>(1-AMD!C53)*Yard!L$35</f>
        <v>4.7947318785440812E-2</v>
      </c>
      <c r="M64" s="33">
        <f>(1-AMD!D53)*Yard!M$35</f>
        <v>2.4132718431271117E-2</v>
      </c>
      <c r="N64" s="33">
        <f>(1-AMD!E53)*Yard!N$35</f>
        <v>2.9415654795948046E-2</v>
      </c>
      <c r="O64" s="33">
        <f>(1-AMD!F53)*Yard!O$35</f>
        <v>4.7663684356364491E-2</v>
      </c>
      <c r="P64" s="33">
        <f>(1-AMD!G53)*Yard!P$35</f>
        <v>4.0076308337911601E-3</v>
      </c>
      <c r="Q64" s="33">
        <f>(1-AMD!H53)*Yard!Q$35</f>
        <v>0</v>
      </c>
      <c r="R64" s="33">
        <f>(1-AMD!I53)*Yard!R$35</f>
        <v>0</v>
      </c>
      <c r="S64" s="33">
        <f>(1-AMD!J53)*Yard!S$35</f>
        <v>0</v>
      </c>
      <c r="T64" s="10"/>
    </row>
    <row r="65" spans="1:20" x14ac:dyDescent="0.25">
      <c r="A65" s="3" t="s">
        <v>193</v>
      </c>
      <c r="B65" s="33">
        <f>(1-AMD!B54)*Yard!B$36</f>
        <v>0</v>
      </c>
      <c r="C65" s="33">
        <f>(1-AMD!C54)*Yard!C$36</f>
        <v>8.478430227186963E-2</v>
      </c>
      <c r="D65" s="33">
        <f>(1-AMD!D54)*Yard!D$36</f>
        <v>4.3323651094425673E-2</v>
      </c>
      <c r="E65" s="33">
        <f>(1-AMD!E54)*Yard!E$36</f>
        <v>3.9482420624754849E-2</v>
      </c>
      <c r="F65" s="33">
        <f>(1-AMD!F54)*Yard!F$36</f>
        <v>0</v>
      </c>
      <c r="G65" s="33">
        <f>(1-AMD!G54)*Yard!G$36</f>
        <v>0</v>
      </c>
      <c r="H65" s="33">
        <f>(1-AMD!H54)*Yard!H$36</f>
        <v>0</v>
      </c>
      <c r="I65" s="33">
        <f>(1-AMD!I54)*Yard!I$36</f>
        <v>0</v>
      </c>
      <c r="J65" s="33">
        <f>(1-AMD!J54)*Yard!J$36</f>
        <v>0</v>
      </c>
      <c r="K65" s="33">
        <f>(1-AMD!B54)*Yard!K$36</f>
        <v>3.6792980689103895E-2</v>
      </c>
      <c r="L65" s="33">
        <f>(1-AMD!C54)*Yard!L$36</f>
        <v>3.8371145592930055E-2</v>
      </c>
      <c r="M65" s="33">
        <f>(1-AMD!D54)*Yard!M$36</f>
        <v>1.9607145181556408E-2</v>
      </c>
      <c r="N65" s="33">
        <f>(1-AMD!E54)*Yard!N$36</f>
        <v>1.9119504197996663E-2</v>
      </c>
      <c r="O65" s="33">
        <f>(1-AMD!F54)*Yard!O$36</f>
        <v>0</v>
      </c>
      <c r="P65" s="33">
        <f>(1-AMD!G54)*Yard!P$36</f>
        <v>0</v>
      </c>
      <c r="Q65" s="33">
        <f>(1-AMD!H54)*Yard!Q$36</f>
        <v>0</v>
      </c>
      <c r="R65" s="33">
        <f>(1-AMD!I54)*Yard!R$36</f>
        <v>0</v>
      </c>
      <c r="S65" s="33">
        <f>(1-AMD!J54)*Yard!S$36</f>
        <v>0</v>
      </c>
      <c r="T65" s="10"/>
    </row>
    <row r="66" spans="1:20" x14ac:dyDescent="0.25">
      <c r="A66" s="3" t="s">
        <v>213</v>
      </c>
      <c r="B66" s="33">
        <f>(1-AMD!B55)*Yard!B$37</f>
        <v>0</v>
      </c>
      <c r="C66" s="33">
        <f>(1-AMD!C55)*Yard!C$37</f>
        <v>7.5663437961999452E-2</v>
      </c>
      <c r="D66" s="33">
        <f>(1-AMD!D55)*Yard!D$37</f>
        <v>3.8082722665888372E-2</v>
      </c>
      <c r="E66" s="33">
        <f>(1-AMD!E55)*Yard!E$37</f>
        <v>4.6419479298196654E-2</v>
      </c>
      <c r="F66" s="33">
        <f>(1-AMD!F55)*Yard!F$37</f>
        <v>7.5215847636368544E-2</v>
      </c>
      <c r="G66" s="33">
        <f>(1-AMD!G55)*Yard!G$37</f>
        <v>6.3242561763272066E-3</v>
      </c>
      <c r="H66" s="33">
        <f>(1-AMD!H55)*Yard!H$37</f>
        <v>9.7989020722500902E-2</v>
      </c>
      <c r="I66" s="33">
        <f>(1-AMD!I55)*Yard!I$37</f>
        <v>2.3256492123228292E-2</v>
      </c>
      <c r="J66" s="33">
        <f>(1-AMD!J55)*Yard!J$37</f>
        <v>9.6628303403082962E-3</v>
      </c>
      <c r="K66" s="33">
        <f>(1-AMD!B55)*Yard!K$37</f>
        <v>3.2342077462045107E-2</v>
      </c>
      <c r="L66" s="33">
        <f>(1-AMD!C55)*Yard!L$37</f>
        <v>3.424328226222588E-2</v>
      </c>
      <c r="M66" s="33">
        <f>(1-AMD!D55)*Yard!M$37</f>
        <v>1.7235238798123761E-2</v>
      </c>
      <c r="N66" s="33">
        <f>(1-AMD!E55)*Yard!N$37</f>
        <v>2.1008235614036256E-2</v>
      </c>
      <c r="O66" s="33">
        <f>(1-AMD!F55)*Yard!O$37</f>
        <v>3.404071465135261E-2</v>
      </c>
      <c r="P66" s="33">
        <f>(1-AMD!G55)*Yard!P$37</f>
        <v>2.8621920332692623E-3</v>
      </c>
      <c r="Q66" s="33">
        <f>(1-AMD!H55)*Yard!Q$37</f>
        <v>8.5141308815110034E-2</v>
      </c>
      <c r="R66" s="33">
        <f>(1-AMD!I55)*Yard!R$37</f>
        <v>3.6159872905865156E-2</v>
      </c>
      <c r="S66" s="33">
        <f>(1-AMD!J55)*Yard!S$37</f>
        <v>7.1356512090170743E-2</v>
      </c>
      <c r="T66" s="10"/>
    </row>
    <row r="67" spans="1:20" x14ac:dyDescent="0.25">
      <c r="A67" s="3" t="s">
        <v>214</v>
      </c>
      <c r="B67" s="33">
        <f>(1-AMD!B56)*Yard!B$38</f>
        <v>0</v>
      </c>
      <c r="C67" s="33">
        <f>(1-AMD!C56)*Yard!C$38</f>
        <v>0.16018474437987246</v>
      </c>
      <c r="D67" s="33">
        <f>(1-AMD!D56)*Yard!D$38</f>
        <v>8.0623764394484071E-2</v>
      </c>
      <c r="E67" s="33">
        <f>(1-AMD!E56)*Yard!E$38</f>
        <v>9.8273256224001501E-2</v>
      </c>
      <c r="F67" s="33">
        <f>(1-AMD!F56)*Yard!F$38</f>
        <v>0.15923716462630513</v>
      </c>
      <c r="G67" s="33">
        <f>(1-AMD!G56)*Yard!G$38</f>
        <v>1.3388888825096585E-2</v>
      </c>
      <c r="H67" s="33">
        <f>(1-AMD!H56)*Yard!H$38</f>
        <v>0.20744955105464585</v>
      </c>
      <c r="I67" s="33">
        <f>(1-AMD!I56)*Yard!I$38</f>
        <v>4.9235606341372196E-2</v>
      </c>
      <c r="J67" s="33">
        <f>(1-AMD!J56)*Yard!J$38</f>
        <v>2.0456881814248692E-2</v>
      </c>
      <c r="K67" s="33">
        <f>(1-AMD!B56)*Yard!K$38</f>
        <v>6.8470420463495774E-2</v>
      </c>
      <c r="L67" s="33">
        <f>(1-AMD!C56)*Yard!L$38</f>
        <v>7.2495402847770937E-2</v>
      </c>
      <c r="M67" s="33">
        <f>(1-AMD!D56)*Yard!M$38</f>
        <v>3.6488195561376509E-2</v>
      </c>
      <c r="N67" s="33">
        <f>(1-AMD!E56)*Yard!N$38</f>
        <v>4.4475891425877837E-2</v>
      </c>
      <c r="O67" s="33">
        <f>(1-AMD!F56)*Yard!O$38</f>
        <v>7.2066553170286388E-2</v>
      </c>
      <c r="P67" s="33">
        <f>(1-AMD!G56)*Yard!P$38</f>
        <v>6.0594589879144397E-3</v>
      </c>
      <c r="Q67" s="33">
        <f>(1-AMD!H56)*Yard!Q$38</f>
        <v>0.18025005413533793</v>
      </c>
      <c r="R67" s="33">
        <f>(1-AMD!I56)*Yard!R$38</f>
        <v>7.655295812944346E-2</v>
      </c>
      <c r="S67" s="33">
        <f>(1-AMD!J56)*Yard!S$38</f>
        <v>0.15106668368339141</v>
      </c>
      <c r="T67" s="10"/>
    </row>
    <row r="68" spans="1:20" x14ac:dyDescent="0.25">
      <c r="A68" s="3" t="s">
        <v>215</v>
      </c>
      <c r="B68" s="33">
        <f>(1-AMD!B57)*Yard!B$39</f>
        <v>0</v>
      </c>
      <c r="C68" s="33">
        <f>(1-AMD!C57)*Yard!C$39</f>
        <v>0.31427306798300497</v>
      </c>
      <c r="D68" s="33">
        <f>(1-AMD!D57)*Yard!D$39</f>
        <v>0.15817909431191265</v>
      </c>
      <c r="E68" s="33">
        <f>(1-AMD!E57)*Yard!E$39</f>
        <v>0.19280636151564509</v>
      </c>
      <c r="F68" s="33">
        <f>(1-AMD!F57)*Yard!F$39</f>
        <v>0.31241397211551108</v>
      </c>
      <c r="G68" s="33">
        <f>(1-AMD!G57)*Yard!G$39</f>
        <v>2.626821414383821E-2</v>
      </c>
      <c r="H68" s="33">
        <f>(1-AMD!H57)*Yard!H$39</f>
        <v>0.40700384492939612</v>
      </c>
      <c r="I68" s="33">
        <f>(1-AMD!I57)*Yard!I$39</f>
        <v>9.6597370235281921E-2</v>
      </c>
      <c r="J68" s="33">
        <f>(1-AMD!J57)*Yard!J$39</f>
        <v>4.0135201601242496E-2</v>
      </c>
      <c r="K68" s="33">
        <f>(1-AMD!B57)*Yard!K$39</f>
        <v>0.13433494674198806</v>
      </c>
      <c r="L68" s="33">
        <f>(1-AMD!C57)*Yard!L$39</f>
        <v>0.14223172597262404</v>
      </c>
      <c r="M68" s="33">
        <f>(1-AMD!D57)*Yard!M$39</f>
        <v>7.1587698370598044E-2</v>
      </c>
      <c r="N68" s="33">
        <f>(1-AMD!E57)*Yard!N$39</f>
        <v>8.7259088896395332E-2</v>
      </c>
      <c r="O68" s="33">
        <f>(1-AMD!F57)*Yard!O$39</f>
        <v>0.1413903480725727</v>
      </c>
      <c r="P68" s="33">
        <f>(1-AMD!G57)*Yard!P$39</f>
        <v>1.188830293309971E-2</v>
      </c>
      <c r="Q68" s="33">
        <f>(1-AMD!H57)*Yard!Q$39</f>
        <v>0.35364002818443979</v>
      </c>
      <c r="R68" s="33">
        <f>(1-AMD!I57)*Yard!R$39</f>
        <v>0.15019241131640323</v>
      </c>
      <c r="S68" s="33">
        <f>(1-AMD!J57)*Yard!S$39</f>
        <v>0.29638396799266642</v>
      </c>
      <c r="T68" s="10"/>
    </row>
    <row r="69" spans="1:20" x14ac:dyDescent="0.25">
      <c r="A69" s="3" t="s">
        <v>216</v>
      </c>
      <c r="B69" s="33">
        <f>(1-AMD!B58)*Yard!B$40</f>
        <v>0</v>
      </c>
      <c r="C69" s="33">
        <f>(1-AMD!C58)*Yard!C$40</f>
        <v>7.4775913449249035E-4</v>
      </c>
      <c r="D69" s="33">
        <f>(1-AMD!D58)*Yard!D$40</f>
        <v>3.7636016161549693E-4</v>
      </c>
      <c r="E69" s="33">
        <f>(1-AMD!E58)*Yard!E$40</f>
        <v>4.5874983477547443E-4</v>
      </c>
      <c r="F69" s="33">
        <f>(1-AMD!F58)*Yard!F$40</f>
        <v>7.433357331309363E-4</v>
      </c>
      <c r="G69" s="33">
        <f>(1-AMD!G58)*Yard!G$40</f>
        <v>6.2500732878332594E-5</v>
      </c>
      <c r="H69" s="33">
        <f>(1-AMD!H58)*Yard!H$40</f>
        <v>9.6839619370750181E-4</v>
      </c>
      <c r="I69" s="33">
        <f>(1-AMD!I58)*Yard!I$40</f>
        <v>2.298369581108717E-4</v>
      </c>
      <c r="J69" s="33">
        <f>(1-AMD!J58)*Yard!J$40</f>
        <v>9.5494863128550475E-5</v>
      </c>
      <c r="K69" s="33">
        <f>(1-AMD!B58)*Yard!K$40</f>
        <v>3.1962708148226002E-4</v>
      </c>
      <c r="L69" s="33">
        <f>(1-AMD!C58)*Yard!L$40</f>
        <v>3.3841612007432268E-4</v>
      </c>
      <c r="M69" s="33">
        <f>(1-AMD!D58)*Yard!M$40</f>
        <v>1.7033071181525049E-4</v>
      </c>
      <c r="N69" s="33">
        <f>(1-AMD!E58)*Yard!N$40</f>
        <v>2.0761811124490095E-4</v>
      </c>
      <c r="O69" s="33">
        <f>(1-AMD!F58)*Yard!O$40</f>
        <v>3.3641420494248745E-4</v>
      </c>
      <c r="P69" s="33">
        <f>(1-AMD!G58)*Yard!P$40</f>
        <v>2.8286188087615253E-5</v>
      </c>
      <c r="Q69" s="33">
        <f>(1-AMD!H58)*Yard!Q$40</f>
        <v>8.4142609831077417E-4</v>
      </c>
      <c r="R69" s="33">
        <f>(1-AMD!I58)*Yard!R$40</f>
        <v>3.5735721235701645E-4</v>
      </c>
      <c r="S69" s="33">
        <f>(1-AMD!J58)*Yard!S$40</f>
        <v>7.0519507384460636E-4</v>
      </c>
      <c r="T69" s="10"/>
    </row>
    <row r="70" spans="1:20" x14ac:dyDescent="0.25">
      <c r="A70" s="3" t="s">
        <v>217</v>
      </c>
      <c r="B70" s="33">
        <f>(1-AMD!B59)*Yard!B$41</f>
        <v>0</v>
      </c>
      <c r="C70" s="33">
        <f>(1-AMD!C59)*Yard!C$41</f>
        <v>0.16094591099499744</v>
      </c>
      <c r="D70" s="33">
        <f>(1-AMD!D59)*Yard!D$41</f>
        <v>8.1006872774001495E-2</v>
      </c>
      <c r="E70" s="33">
        <f>(1-AMD!E59)*Yard!E$41</f>
        <v>9.8740231541076293E-2</v>
      </c>
      <c r="F70" s="33">
        <f>(1-AMD!F59)*Yard!F$41</f>
        <v>0.15999382852753952</v>
      </c>
      <c r="G70" s="33">
        <f>(1-AMD!G59)*Yard!G$41</f>
        <v>1.345251020943463E-2</v>
      </c>
      <c r="H70" s="33">
        <f>(1-AMD!H59)*Yard!H$41</f>
        <v>0.20843531079847635</v>
      </c>
      <c r="I70" s="33">
        <f>(1-AMD!I59)*Yard!I$41</f>
        <v>4.9469564325121368E-2</v>
      </c>
      <c r="J70" s="33">
        <f>(1-AMD!J59)*Yard!J$41</f>
        <v>2.0554088920623548E-2</v>
      </c>
      <c r="K70" s="33">
        <f>(1-AMD!B59)*Yard!K$41</f>
        <v>6.8795778526663062E-2</v>
      </c>
      <c r="L70" s="33">
        <f>(1-AMD!C59)*Yard!L$41</f>
        <v>7.2839886840996293E-2</v>
      </c>
      <c r="M70" s="33">
        <f>(1-AMD!D59)*Yard!M$41</f>
        <v>3.6661580339152899E-2</v>
      </c>
      <c r="N70" s="33">
        <f>(1-AMD!E59)*Yard!N$41</f>
        <v>4.4687232174101775E-2</v>
      </c>
      <c r="O70" s="33">
        <f>(1-AMD!F59)*Yard!O$41</f>
        <v>7.2408999353614958E-2</v>
      </c>
      <c r="P70" s="33">
        <f>(1-AMD!G59)*Yard!P$41</f>
        <v>6.0882523533823899E-3</v>
      </c>
      <c r="Q70" s="33">
        <f>(1-AMD!H59)*Yard!Q$41</f>
        <v>0.18110656718290333</v>
      </c>
      <c r="R70" s="33">
        <f>(1-AMD!I59)*Yard!R$41</f>
        <v>7.6916722832772552E-2</v>
      </c>
      <c r="S70" s="33">
        <f>(1-AMD!J59)*Yard!S$41</f>
        <v>0.15178452305519047</v>
      </c>
      <c r="T70" s="10"/>
    </row>
    <row r="72" spans="1:20" ht="21" customHeight="1" x14ac:dyDescent="0.3">
      <c r="A72" s="1" t="s">
        <v>1004</v>
      </c>
    </row>
    <row r="73" spans="1:20" x14ac:dyDescent="0.25">
      <c r="A73" s="2" t="s">
        <v>356</v>
      </c>
    </row>
    <row r="74" spans="1:20" x14ac:dyDescent="0.25">
      <c r="A74" s="11" t="s">
        <v>995</v>
      </c>
    </row>
    <row r="75" spans="1:20" x14ac:dyDescent="0.25">
      <c r="A75" s="11" t="s">
        <v>1005</v>
      </c>
    </row>
    <row r="76" spans="1:20" x14ac:dyDescent="0.25">
      <c r="A76" s="2" t="s">
        <v>1003</v>
      </c>
    </row>
    <row r="78" spans="1:20" ht="30" x14ac:dyDescent="0.25">
      <c r="B78" s="12" t="s">
        <v>139</v>
      </c>
      <c r="C78" s="12" t="s">
        <v>311</v>
      </c>
      <c r="D78" s="12" t="s">
        <v>312</v>
      </c>
      <c r="E78" s="12" t="s">
        <v>313</v>
      </c>
      <c r="F78" s="12" t="s">
        <v>314</v>
      </c>
      <c r="G78" s="12" t="s">
        <v>315</v>
      </c>
      <c r="H78" s="12" t="s">
        <v>316</v>
      </c>
      <c r="I78" s="12" t="s">
        <v>317</v>
      </c>
      <c r="J78" s="12" t="s">
        <v>318</v>
      </c>
      <c r="K78" s="12" t="s">
        <v>299</v>
      </c>
      <c r="L78" s="12" t="s">
        <v>882</v>
      </c>
      <c r="M78" s="12" t="s">
        <v>883</v>
      </c>
      <c r="N78" s="12" t="s">
        <v>884</v>
      </c>
      <c r="O78" s="12" t="s">
        <v>885</v>
      </c>
      <c r="P78" s="12" t="s">
        <v>886</v>
      </c>
      <c r="Q78" s="12" t="s">
        <v>887</v>
      </c>
      <c r="R78" s="12" t="s">
        <v>888</v>
      </c>
      <c r="S78" s="12" t="s">
        <v>889</v>
      </c>
    </row>
    <row r="79" spans="1:20" x14ac:dyDescent="0.25">
      <c r="A79" s="3" t="s">
        <v>171</v>
      </c>
      <c r="B79" s="33">
        <f>(1-AMD!B$41)*Yard!B$61</f>
        <v>0</v>
      </c>
      <c r="C79" s="33">
        <f>(1-AMD!C$41)*Yard!C$61</f>
        <v>0.14852313018664284</v>
      </c>
      <c r="D79" s="33">
        <f>(1-AMD!D$41)*Yard!D$61</f>
        <v>7.4754271398667582E-2</v>
      </c>
      <c r="E79" s="33">
        <f>(1-AMD!E$41)*Yard!E$61</f>
        <v>8.62399448715995E-2</v>
      </c>
      <c r="F79" s="33">
        <f>(1-AMD!F$41)*Yard!F$61</f>
        <v>0.13973897707816488</v>
      </c>
      <c r="G79" s="33">
        <f>(1-AMD!G$41)*Yard!G$61</f>
        <v>1.2414163943780492E-2</v>
      </c>
      <c r="H79" s="33">
        <f>(1-AMD!H$41)*Yard!H$61</f>
        <v>0.18204787888387178</v>
      </c>
      <c r="I79" s="33">
        <f>(1-AMD!I$41)*Yard!I$61</f>
        <v>4.3206831031642211E-2</v>
      </c>
      <c r="J79" s="33">
        <f>(1-AMD!J$41)*Yard!J$61</f>
        <v>0</v>
      </c>
      <c r="K79" s="33">
        <f>(1-AMD!B$41)*Yard!K$61</f>
        <v>6.5046388581286266E-2</v>
      </c>
      <c r="L79" s="33">
        <f>(1-AMD!C$41)*Yard!L$61</f>
        <v>6.7217662935232222E-2</v>
      </c>
      <c r="M79" s="33">
        <f>(1-AMD!D$41)*Yard!M$61</f>
        <v>3.3831817384470962E-2</v>
      </c>
      <c r="N79" s="33">
        <f>(1-AMD!E$41)*Yard!N$61</f>
        <v>3.9029931153804306E-2</v>
      </c>
      <c r="O79" s="33">
        <f>(1-AMD!F$41)*Yard!O$61</f>
        <v>6.3242186239614848E-2</v>
      </c>
      <c r="P79" s="33">
        <f>(1-AMD!G$41)*Yard!P$61</f>
        <v>5.6183241394598283E-3</v>
      </c>
      <c r="Q79" s="33">
        <f>(1-AMD!H$41)*Yard!Q$61</f>
        <v>0.15817889148093411</v>
      </c>
      <c r="R79" s="33">
        <f>(1-AMD!I$41)*Yard!R$61</f>
        <v>6.7179242273124815E-2</v>
      </c>
      <c r="S79" s="33">
        <f>(1-AMD!J$41)*Yard!S$61</f>
        <v>0</v>
      </c>
      <c r="T79" s="10"/>
    </row>
    <row r="80" spans="1:20" x14ac:dyDescent="0.25">
      <c r="A80" s="3" t="s">
        <v>172</v>
      </c>
      <c r="B80" s="33">
        <f>(1-AMD!B$42)*Yard!B$62</f>
        <v>0</v>
      </c>
      <c r="C80" s="33">
        <f>(1-AMD!C$42)*Yard!C$62</f>
        <v>0.17991228142212476</v>
      </c>
      <c r="D80" s="33">
        <f>(1-AMD!D$42)*Yard!D$62</f>
        <v>9.0552976472296987E-2</v>
      </c>
      <c r="E80" s="33">
        <f>(1-AMD!E$42)*Yard!E$62</f>
        <v>0.10456734005644332</v>
      </c>
      <c r="F80" s="33">
        <f>(1-AMD!F$42)*Yard!F$62</f>
        <v>0.16943578937843298</v>
      </c>
      <c r="G80" s="33">
        <f>(1-AMD!G$42)*Yard!G$62</f>
        <v>1.5037796161898371E-2</v>
      </c>
      <c r="H80" s="33">
        <f>(1-AMD!H$42)*Yard!H$62</f>
        <v>0.22073602303603793</v>
      </c>
      <c r="I80" s="33">
        <f>(1-AMD!I$42)*Yard!I$62</f>
        <v>5.2388987492672803E-2</v>
      </c>
      <c r="J80" s="33">
        <f>(1-AMD!J$42)*Yard!J$62</f>
        <v>0</v>
      </c>
      <c r="K80" s="33">
        <f>(1-AMD!B$42)*Yard!K$62</f>
        <v>7.8763349034288277E-2</v>
      </c>
      <c r="L80" s="33">
        <f>(1-AMD!C$42)*Yard!L$62</f>
        <v>8.1423567328158905E-2</v>
      </c>
      <c r="M80" s="33">
        <f>(1-AMD!D$42)*Yard!M$62</f>
        <v>4.0981895834324898E-2</v>
      </c>
      <c r="N80" s="33">
        <f>(1-AMD!E$42)*Yard!N$62</f>
        <v>4.7324428249761838E-2</v>
      </c>
      <c r="O80" s="33">
        <f>(1-AMD!F$42)*Yard!O$62</f>
        <v>7.6682182534749496E-2</v>
      </c>
      <c r="P80" s="33">
        <f>(1-AMD!G$42)*Yard!P$62</f>
        <v>6.8057110864077281E-3</v>
      </c>
      <c r="Q80" s="33">
        <f>(1-AMD!H$42)*Yard!Q$62</f>
        <v>0.19179448641652763</v>
      </c>
      <c r="R80" s="33">
        <f>(1-AMD!I$42)*Yard!R$62</f>
        <v>8.1455927203652759E-2</v>
      </c>
      <c r="S80" s="33">
        <f>(1-AMD!J$42)*Yard!S$62</f>
        <v>0</v>
      </c>
      <c r="T80" s="10"/>
    </row>
    <row r="81" spans="1:20" x14ac:dyDescent="0.25">
      <c r="A81" s="3" t="s">
        <v>211</v>
      </c>
      <c r="B81" s="33">
        <f>(1-AMD!B$43)*Yard!B$63</f>
        <v>0</v>
      </c>
      <c r="C81" s="33">
        <f>(1-AMD!C$43)*Yard!C$63</f>
        <v>4.3865530937929442E-2</v>
      </c>
      <c r="D81" s="33">
        <f>(1-AMD!D$43)*Yard!D$63</f>
        <v>2.2078283703419618E-2</v>
      </c>
      <c r="E81" s="33">
        <f>(1-AMD!E$43)*Yard!E$63</f>
        <v>3.1440106138130808E-2</v>
      </c>
      <c r="F81" s="33">
        <f>(1-AMD!F$43)*Yard!F$63</f>
        <v>5.0944006023108751E-2</v>
      </c>
      <c r="G81" s="33">
        <f>(1-AMD!G$43)*Yard!G$63</f>
        <v>3.666458496128604E-3</v>
      </c>
      <c r="H81" s="33">
        <f>(1-AMD!H$43)*Yard!H$63</f>
        <v>6.6368370745740188E-2</v>
      </c>
      <c r="I81" s="33">
        <f>(1-AMD!I$43)*Yard!I$63</f>
        <v>1.5751718713986233E-2</v>
      </c>
      <c r="J81" s="33">
        <f>(1-AMD!J$43)*Yard!J$63</f>
        <v>0</v>
      </c>
      <c r="K81" s="33">
        <f>(1-AMD!B$43)*Yard!K$63</f>
        <v>1.66826178479994E-2</v>
      </c>
      <c r="L81" s="33">
        <f>(1-AMD!C$43)*Yard!L$63</f>
        <v>1.9852385748640206E-2</v>
      </c>
      <c r="M81" s="33">
        <f>(1-AMD!D$43)*Yard!M$63</f>
        <v>9.9920506004683961E-3</v>
      </c>
      <c r="N81" s="33">
        <f>(1-AMD!E$43)*Yard!N$63</f>
        <v>1.4228965241878947E-2</v>
      </c>
      <c r="O81" s="33">
        <f>(1-AMD!F$43)*Yard!O$63</f>
        <v>2.3055917425983025E-2</v>
      </c>
      <c r="P81" s="33">
        <f>(1-AMD!G$43)*Yard!P$63</f>
        <v>1.6593426966499188E-3</v>
      </c>
      <c r="Q81" s="33">
        <f>(1-AMD!H$43)*Yard!Q$63</f>
        <v>5.7666562106189423E-2</v>
      </c>
      <c r="R81" s="33">
        <f>(1-AMD!I$43)*Yard!R$63</f>
        <v>2.4491232113969166E-2</v>
      </c>
      <c r="S81" s="33">
        <f>(1-AMD!J$43)*Yard!S$63</f>
        <v>0</v>
      </c>
      <c r="T81" s="10"/>
    </row>
    <row r="82" spans="1:20" x14ac:dyDescent="0.25">
      <c r="A82" s="3" t="s">
        <v>173</v>
      </c>
      <c r="B82" s="33">
        <f>(1-AMD!B$44)*Yard!B$64</f>
        <v>0</v>
      </c>
      <c r="C82" s="33">
        <f>(1-AMD!C$44)*Yard!C$64</f>
        <v>0.13971239054989121</v>
      </c>
      <c r="D82" s="33">
        <f>(1-AMD!D$44)*Yard!D$64</f>
        <v>7.0319673089292864E-2</v>
      </c>
      <c r="E82" s="33">
        <f>(1-AMD!E$44)*Yard!E$64</f>
        <v>8.7299173302801791E-2</v>
      </c>
      <c r="F82" s="33">
        <f>(1-AMD!F$44)*Yard!F$64</f>
        <v>0.1414552988787956</v>
      </c>
      <c r="G82" s="33">
        <f>(1-AMD!G$44)*Yard!G$64</f>
        <v>1.16777266886597E-2</v>
      </c>
      <c r="H82" s="33">
        <f>(1-AMD!H$44)*Yard!H$64</f>
        <v>0.18428385305385728</v>
      </c>
      <c r="I82" s="33">
        <f>(1-AMD!I$44)*Yard!I$64</f>
        <v>4.3737512074156888E-2</v>
      </c>
      <c r="J82" s="33">
        <f>(1-AMD!J$44)*Yard!J$64</f>
        <v>0</v>
      </c>
      <c r="K82" s="33">
        <f>(1-AMD!B$44)*Yard!K$64</f>
        <v>5.7353117223506861E-2</v>
      </c>
      <c r="L82" s="33">
        <f>(1-AMD!C$44)*Yard!L$64</f>
        <v>6.3230153876077458E-2</v>
      </c>
      <c r="M82" s="33">
        <f>(1-AMD!D$44)*Yard!M$64</f>
        <v>3.182483480850376E-2</v>
      </c>
      <c r="N82" s="33">
        <f>(1-AMD!E$44)*Yard!N$64</f>
        <v>3.9509310086705184E-2</v>
      </c>
      <c r="O82" s="33">
        <f>(1-AMD!F$44)*Yard!O$64</f>
        <v>6.401894835160514E-2</v>
      </c>
      <c r="P82" s="33">
        <f>(1-AMD!G$44)*Yard!P$64</f>
        <v>5.2850320042519949E-3</v>
      </c>
      <c r="Q82" s="33">
        <f>(1-AMD!H$44)*Yard!Q$64</f>
        <v>0.16012169860264699</v>
      </c>
      <c r="R82" s="33">
        <f>(1-AMD!I$44)*Yard!R$64</f>
        <v>6.8004360650789214E-2</v>
      </c>
      <c r="S82" s="33">
        <f>(1-AMD!J$44)*Yard!S$64</f>
        <v>0</v>
      </c>
      <c r="T82" s="10"/>
    </row>
    <row r="83" spans="1:20" x14ac:dyDescent="0.25">
      <c r="A83" s="3" t="s">
        <v>174</v>
      </c>
      <c r="B83" s="33">
        <f>(1-AMD!B$45)*Yard!B$65</f>
        <v>0</v>
      </c>
      <c r="C83" s="33">
        <f>(1-AMD!C$45)*Yard!C$65</f>
        <v>0.15219693563171241</v>
      </c>
      <c r="D83" s="33">
        <f>(1-AMD!D$45)*Yard!D$65</f>
        <v>7.6603361496361558E-2</v>
      </c>
      <c r="E83" s="33">
        <f>(1-AMD!E$45)*Yard!E$65</f>
        <v>9.4061665440270448E-2</v>
      </c>
      <c r="F83" s="33">
        <f>(1-AMD!F$45)*Yard!F$65</f>
        <v>0.15241290947555516</v>
      </c>
      <c r="G83" s="33">
        <f>(1-AMD!G$45)*Yard!G$65</f>
        <v>1.2721235462104503E-2</v>
      </c>
      <c r="H83" s="33">
        <f>(1-AMD!H$45)*Yard!H$65</f>
        <v>0.19855910973946828</v>
      </c>
      <c r="I83" s="33">
        <f>(1-AMD!I$45)*Yard!I$65</f>
        <v>4.7125569146450302E-2</v>
      </c>
      <c r="J83" s="33">
        <f>(1-AMD!J$45)*Yard!J$65</f>
        <v>0</v>
      </c>
      <c r="K83" s="33">
        <f>(1-AMD!B$45)*Yard!K$65</f>
        <v>6.332863732135241E-2</v>
      </c>
      <c r="L83" s="33">
        <f>(1-AMD!C$45)*Yard!L$65</f>
        <v>6.8880330667766429E-2</v>
      </c>
      <c r="M83" s="33">
        <f>(1-AMD!D$45)*Yard!M$65</f>
        <v>3.4668666936237602E-2</v>
      </c>
      <c r="N83" s="33">
        <f>(1-AMD!E$45)*Yard!N$65</f>
        <v>4.2569836191476217E-2</v>
      </c>
      <c r="O83" s="33">
        <f>(1-AMD!F$45)*Yard!O$65</f>
        <v>6.8978074749917184E-2</v>
      </c>
      <c r="P83" s="33">
        <f>(1-AMD!G$45)*Yard!P$65</f>
        <v>5.7572966334395546E-3</v>
      </c>
      <c r="Q83" s="33">
        <f>(1-AMD!H$45)*Yard!Q$65</f>
        <v>0.17252527227776876</v>
      </c>
      <c r="R83" s="33">
        <f>(1-AMD!I$45)*Yard!R$65</f>
        <v>7.3272210698113599E-2</v>
      </c>
      <c r="S83" s="33">
        <f>(1-AMD!J$45)*Yard!S$65</f>
        <v>0</v>
      </c>
      <c r="T83" s="10"/>
    </row>
    <row r="84" spans="1:20" x14ac:dyDescent="0.25">
      <c r="A84" s="3" t="s">
        <v>212</v>
      </c>
      <c r="B84" s="33">
        <f>(1-AMD!B$46)*Yard!B$66</f>
        <v>0</v>
      </c>
      <c r="C84" s="33">
        <f>(1-AMD!C$46)*Yard!C$66</f>
        <v>1.9343188680648545E-2</v>
      </c>
      <c r="D84" s="33">
        <f>(1-AMD!D$46)*Yard!D$66</f>
        <v>9.7357628709529992E-3</v>
      </c>
      <c r="E84" s="33">
        <f>(1-AMD!E$46)*Yard!E$66</f>
        <v>1.6551333310514577E-2</v>
      </c>
      <c r="F84" s="33">
        <f>(1-AMD!F$46)*Yard!F$66</f>
        <v>2.6818968745105674E-2</v>
      </c>
      <c r="G84" s="33">
        <f>(1-AMD!G$46)*Yard!G$66</f>
        <v>1.616781946187704E-3</v>
      </c>
      <c r="H84" s="33">
        <f>(1-AMD!H$46)*Yard!H$66</f>
        <v>3.4938973191197327E-2</v>
      </c>
      <c r="I84" s="33">
        <f>(1-AMD!I$46)*Yard!I$66</f>
        <v>8.2923367212320784E-3</v>
      </c>
      <c r="J84" s="33">
        <f>(1-AMD!J$46)*Yard!J$66</f>
        <v>0</v>
      </c>
      <c r="K84" s="33">
        <f>(1-AMD!B$46)*Yard!K$66</f>
        <v>6.7807840477061669E-3</v>
      </c>
      <c r="L84" s="33">
        <f>(1-AMD!C$46)*Yard!L$66</f>
        <v>8.7542185193277364E-3</v>
      </c>
      <c r="M84" s="33">
        <f>(1-AMD!D$46)*Yard!M$66</f>
        <v>4.4061502491543987E-3</v>
      </c>
      <c r="N84" s="33">
        <f>(1-AMD!E$46)*Yard!N$66</f>
        <v>7.4906981976259543E-3</v>
      </c>
      <c r="O84" s="33">
        <f>(1-AMD!F$46)*Yard!O$66</f>
        <v>1.2137559982163398E-2</v>
      </c>
      <c r="P84" s="33">
        <f>(1-AMD!G$46)*Yard!P$66</f>
        <v>7.3171299151886205E-4</v>
      </c>
      <c r="Q84" s="33">
        <f>(1-AMD!H$46)*Yard!Q$66</f>
        <v>3.0357991989519911E-2</v>
      </c>
      <c r="R84" s="33">
        <f>(1-AMD!I$46)*Yard!R$66</f>
        <v>1.289316722159075E-2</v>
      </c>
      <c r="S84" s="33">
        <f>(1-AMD!J$46)*Yard!S$66</f>
        <v>0</v>
      </c>
      <c r="T84" s="10"/>
    </row>
    <row r="85" spans="1:20" x14ac:dyDescent="0.25">
      <c r="A85" s="3" t="s">
        <v>175</v>
      </c>
      <c r="B85" s="33">
        <f>(1-AMD!B$47)*Yard!B$67</f>
        <v>0</v>
      </c>
      <c r="C85" s="33">
        <f>(1-AMD!C$47)*Yard!C$67</f>
        <v>0.11593612936548527</v>
      </c>
      <c r="D85" s="33">
        <f>(1-AMD!D$47)*Yard!D$67</f>
        <v>5.8352667820880236E-2</v>
      </c>
      <c r="E85" s="33">
        <f>(1-AMD!E$47)*Yard!E$67</f>
        <v>7.0909749478431025E-2</v>
      </c>
      <c r="F85" s="33">
        <f>(1-AMD!F$47)*Yard!F$67</f>
        <v>0.11489868032427357</v>
      </c>
      <c r="G85" s="33">
        <f>(1-AMD!G$47)*Yard!G$67</f>
        <v>9.6904106124199793E-3</v>
      </c>
      <c r="H85" s="33">
        <f>(1-AMD!H$47)*Yard!H$67</f>
        <v>0.14968666206773373</v>
      </c>
      <c r="I85" s="33">
        <f>(1-AMD!I$47)*Yard!I$67</f>
        <v>3.5526293166956935E-2</v>
      </c>
      <c r="J85" s="33">
        <f>(1-AMD!J$47)*Yard!J$67</f>
        <v>0</v>
      </c>
      <c r="K85" s="33">
        <f>(1-AMD!B$47)*Yard!K$67</f>
        <v>4.8582025379594426E-2</v>
      </c>
      <c r="L85" s="33">
        <f>(1-AMD!C$47)*Yard!L$67</f>
        <v>5.2469643320280042E-2</v>
      </c>
      <c r="M85" s="33">
        <f>(1-AMD!D$47)*Yard!M$67</f>
        <v>2.6408882926359484E-2</v>
      </c>
      <c r="N85" s="33">
        <f>(1-AMD!E$47)*Yard!N$67</f>
        <v>3.2091887864692963E-2</v>
      </c>
      <c r="O85" s="33">
        <f>(1-AMD!F$47)*Yard!O$67</f>
        <v>5.2000121166545364E-2</v>
      </c>
      <c r="P85" s="33">
        <f>(1-AMD!G$47)*Yard!P$67</f>
        <v>4.3856250095934404E-3</v>
      </c>
      <c r="Q85" s="33">
        <f>(1-AMD!H$47)*Yard!Q$67</f>
        <v>0.1300606764578621</v>
      </c>
      <c r="R85" s="33">
        <f>(1-AMD!I$47)*Yard!R$67</f>
        <v>5.5237317774618287E-2</v>
      </c>
      <c r="S85" s="33">
        <f>(1-AMD!J$47)*Yard!S$67</f>
        <v>0</v>
      </c>
      <c r="T85" s="10"/>
    </row>
    <row r="86" spans="1:20" x14ac:dyDescent="0.25">
      <c r="A86" s="3" t="s">
        <v>176</v>
      </c>
      <c r="B86" s="33">
        <f>(1-AMD!B$48)*Yard!B$68</f>
        <v>0</v>
      </c>
      <c r="C86" s="33">
        <f>(1-AMD!C$48)*Yard!C$68</f>
        <v>0.11073904393608351</v>
      </c>
      <c r="D86" s="33">
        <f>(1-AMD!D$48)*Yard!D$68</f>
        <v>5.5736884446375923E-2</v>
      </c>
      <c r="E86" s="33">
        <f>(1-AMD!E$48)*Yard!E$68</f>
        <v>6.7891203075617287E-2</v>
      </c>
      <c r="F86" s="33">
        <f>(1-AMD!F$48)*Yard!F$68</f>
        <v>0.11000757577614115</v>
      </c>
      <c r="G86" s="33">
        <f>(1-AMD!G$48)*Yard!G$68</f>
        <v>9.2560171918844077E-3</v>
      </c>
      <c r="H86" s="33">
        <f>(1-AMD!H$48)*Yard!H$68</f>
        <v>0.14331467318528546</v>
      </c>
      <c r="I86" s="33">
        <f>(1-AMD!I$48)*Yard!I$68</f>
        <v>0</v>
      </c>
      <c r="J86" s="33">
        <f>(1-AMD!J$48)*Yard!J$68</f>
        <v>0</v>
      </c>
      <c r="K86" s="33">
        <f>(1-AMD!B$48)*Yard!K$68</f>
        <v>4.6317224033925117E-2</v>
      </c>
      <c r="L86" s="33">
        <f>(1-AMD!C$48)*Yard!L$68</f>
        <v>5.0117579125294798E-2</v>
      </c>
      <c r="M86" s="33">
        <f>(1-AMD!D$48)*Yard!M$68</f>
        <v>2.5225048159626114E-2</v>
      </c>
      <c r="N86" s="33">
        <f>(1-AMD!E$48)*Yard!N$68</f>
        <v>3.0725773143008089E-2</v>
      </c>
      <c r="O86" s="33">
        <f>(1-AMD!F$48)*Yard!O$68</f>
        <v>4.9786535871889935E-2</v>
      </c>
      <c r="P86" s="33">
        <f>(1-AMD!G$48)*Yard!P$68</f>
        <v>4.1890299709206793E-3</v>
      </c>
      <c r="Q86" s="33">
        <f>(1-AMD!H$48)*Yard!Q$68</f>
        <v>0.12452414318906496</v>
      </c>
      <c r="R86" s="33">
        <f>(1-AMD!I$48)*Yard!R$68</f>
        <v>0</v>
      </c>
      <c r="S86" s="33">
        <f>(1-AMD!J$48)*Yard!S$68</f>
        <v>0</v>
      </c>
      <c r="T86" s="10"/>
    </row>
    <row r="87" spans="1:20" x14ac:dyDescent="0.25">
      <c r="A87" s="3" t="s">
        <v>192</v>
      </c>
      <c r="B87" s="33">
        <f>(1-AMD!B$49)*Yard!B$69</f>
        <v>0</v>
      </c>
      <c r="C87" s="33">
        <f>(1-AMD!C$49)*Yard!C$69</f>
        <v>0.10748507088859664</v>
      </c>
      <c r="D87" s="33">
        <f>(1-AMD!D$49)*Yard!D$69</f>
        <v>5.4923442008228775E-2</v>
      </c>
      <c r="E87" s="33">
        <f>(1-AMD!E$49)*Yard!E$69</f>
        <v>5.0169075618935965E-2</v>
      </c>
      <c r="F87" s="33">
        <f>(1-AMD!F$49)*Yard!F$69</f>
        <v>0</v>
      </c>
      <c r="G87" s="33">
        <f>(1-AMD!G$49)*Yard!G$69</f>
        <v>0</v>
      </c>
      <c r="H87" s="33">
        <f>(1-AMD!H$49)*Yard!H$69</f>
        <v>0</v>
      </c>
      <c r="I87" s="33">
        <f>(1-AMD!I$49)*Yard!I$69</f>
        <v>0</v>
      </c>
      <c r="J87" s="33">
        <f>(1-AMD!J$49)*Yard!J$69</f>
        <v>0</v>
      </c>
      <c r="K87" s="33">
        <f>(1-AMD!B$49)*Yard!K$69</f>
        <v>4.5503599669899641E-2</v>
      </c>
      <c r="L87" s="33">
        <f>(1-AMD!C$49)*Yard!L$69</f>
        <v>4.8644916495363406E-2</v>
      </c>
      <c r="M87" s="33">
        <f>(1-AMD!D$49)*Yard!M$69</f>
        <v>2.485690550362446E-2</v>
      </c>
      <c r="N87" s="33">
        <f>(1-AMD!E$49)*Yard!N$69</f>
        <v>2.4294555316713536E-2</v>
      </c>
      <c r="O87" s="33">
        <f>(1-AMD!F$49)*Yard!O$69</f>
        <v>0</v>
      </c>
      <c r="P87" s="33">
        <f>(1-AMD!G$49)*Yard!P$69</f>
        <v>0</v>
      </c>
      <c r="Q87" s="33">
        <f>(1-AMD!H$49)*Yard!Q$69</f>
        <v>0</v>
      </c>
      <c r="R87" s="33">
        <f>(1-AMD!I$49)*Yard!R$69</f>
        <v>0</v>
      </c>
      <c r="S87" s="33">
        <f>(1-AMD!J$49)*Yard!S$69</f>
        <v>0</v>
      </c>
      <c r="T87" s="10"/>
    </row>
    <row r="88" spans="1:20" x14ac:dyDescent="0.25">
      <c r="A88" s="3" t="s">
        <v>177</v>
      </c>
      <c r="B88" s="33">
        <f>(1-AMD!B$50)*Yard!B$70</f>
        <v>0</v>
      </c>
      <c r="C88" s="33">
        <f>(1-AMD!C$50)*Yard!C$70</f>
        <v>0.93377092976896503</v>
      </c>
      <c r="D88" s="33">
        <f>(1-AMD!D$50)*Yard!D$70</f>
        <v>0.46998312936454006</v>
      </c>
      <c r="E88" s="33">
        <f>(1-AMD!E$50)*Yard!E$70</f>
        <v>0.44811790711782873</v>
      </c>
      <c r="F88" s="33">
        <f>(1-AMD!F$50)*Yard!F$70</f>
        <v>0.72610827899166841</v>
      </c>
      <c r="G88" s="33">
        <f>(1-AMD!G$50)*Yard!G$70</f>
        <v>7.8048351078522982E-2</v>
      </c>
      <c r="H88" s="33">
        <f>(1-AMD!H$50)*Yard!H$70</f>
        <v>0.94595276704016173</v>
      </c>
      <c r="I88" s="33">
        <f>(1-AMD!I$50)*Yard!I$70</f>
        <v>0.22451028608518239</v>
      </c>
      <c r="J88" s="33">
        <f>(1-AMD!J$50)*Yard!J$70</f>
        <v>0</v>
      </c>
      <c r="K88" s="33">
        <f>(1-AMD!B$50)*Yard!K$70</f>
        <v>0.45747033706892454</v>
      </c>
      <c r="L88" s="33">
        <f>(1-AMD!C$50)*Yard!L$70</f>
        <v>0.42260016697098562</v>
      </c>
      <c r="M88" s="33">
        <f>(1-AMD!D$50)*Yard!M$70</f>
        <v>0.21270200496833042</v>
      </c>
      <c r="N88" s="33">
        <f>(1-AMD!E$50)*Yard!N$70</f>
        <v>0.20280638038018425</v>
      </c>
      <c r="O88" s="33">
        <f>(1-AMD!F$50)*Yard!O$70</f>
        <v>0.32861751223805624</v>
      </c>
      <c r="P88" s="33">
        <f>(1-AMD!G$50)*Yard!P$70</f>
        <v>3.5322631221508118E-2</v>
      </c>
      <c r="Q88" s="33">
        <f>(1-AMD!H$50)*Yard!Q$70</f>
        <v>0.8219253143794325</v>
      </c>
      <c r="R88" s="33">
        <f>(1-AMD!I$50)*Yard!R$70</f>
        <v>0.34907514718400712</v>
      </c>
      <c r="S88" s="33">
        <f>(1-AMD!J$50)*Yard!S$70</f>
        <v>0</v>
      </c>
      <c r="T88" s="10"/>
    </row>
    <row r="89" spans="1:20" x14ac:dyDescent="0.25">
      <c r="A89" s="3" t="s">
        <v>178</v>
      </c>
      <c r="B89" s="33">
        <f>(1-AMD!B$51)*Yard!B$71</f>
        <v>0</v>
      </c>
      <c r="C89" s="33">
        <f>(1-AMD!C$51)*Yard!C$71</f>
        <v>0.96169595080774972</v>
      </c>
      <c r="D89" s="33">
        <f>(1-AMD!D$51)*Yard!D$71</f>
        <v>0.48403827753522227</v>
      </c>
      <c r="E89" s="33">
        <f>(1-AMD!E$51)*Yard!E$71</f>
        <v>0.46126715498732113</v>
      </c>
      <c r="F89" s="33">
        <f>(1-AMD!F$51)*Yard!F$71</f>
        <v>0.74741467534159478</v>
      </c>
      <c r="G89" s="33">
        <f>(1-AMD!G$51)*Yard!G$71</f>
        <v>8.0382437283636948E-2</v>
      </c>
      <c r="H89" s="33">
        <f>(1-AMD!H$51)*Yard!H$71</f>
        <v>0.97371012109602784</v>
      </c>
      <c r="I89" s="33">
        <f>(1-AMD!I$51)*Yard!I$71</f>
        <v>0.23109815359525815</v>
      </c>
      <c r="J89" s="33">
        <f>(1-AMD!J$51)*Yard!J$71</f>
        <v>0</v>
      </c>
      <c r="K89" s="33">
        <f>(1-AMD!B$51)*Yard!K$71</f>
        <v>0.47128298126904355</v>
      </c>
      <c r="L89" s="33">
        <f>(1-AMD!C$51)*Yard!L$71</f>
        <v>0.43523829713485612</v>
      </c>
      <c r="M89" s="33">
        <f>(1-AMD!D$51)*Yard!M$71</f>
        <v>0.21906299541510083</v>
      </c>
      <c r="N89" s="33">
        <f>(1-AMD!E$51)*Yard!N$71</f>
        <v>0.20875738417355061</v>
      </c>
      <c r="O89" s="33">
        <f>(1-AMD!F$51)*Yard!O$71</f>
        <v>0.33826022692104241</v>
      </c>
      <c r="P89" s="33">
        <f>(1-AMD!G$51)*Yard!P$71</f>
        <v>3.6378977257307168E-2</v>
      </c>
      <c r="Q89" s="33">
        <f>(1-AMD!H$51)*Yard!Q$71</f>
        <v>0.8460432965384086</v>
      </c>
      <c r="R89" s="33">
        <f>(1-AMD!I$51)*Yard!R$71</f>
        <v>0.35931815591562455</v>
      </c>
      <c r="S89" s="33">
        <f>(1-AMD!J$51)*Yard!S$71</f>
        <v>0</v>
      </c>
      <c r="T89" s="10"/>
    </row>
    <row r="90" spans="1:20" x14ac:dyDescent="0.25">
      <c r="A90" s="3" t="s">
        <v>179</v>
      </c>
      <c r="B90" s="33">
        <f>(1-AMD!B$52)*Yard!B$72</f>
        <v>0</v>
      </c>
      <c r="C90" s="33">
        <f>(1-AMD!C$52)*Yard!C$72</f>
        <v>0.88985804321683715</v>
      </c>
      <c r="D90" s="33">
        <f>(1-AMD!D$52)*Yard!D$72</f>
        <v>0.44788101075788617</v>
      </c>
      <c r="E90" s="33">
        <f>(1-AMD!E$52)*Yard!E$72</f>
        <v>0.42681396705614877</v>
      </c>
      <c r="F90" s="33">
        <f>(1-AMD!F$52)*Yard!F$72</f>
        <v>0.69158841935601967</v>
      </c>
      <c r="G90" s="33">
        <f>(1-AMD!G$52)*Yard!G$72</f>
        <v>7.437793440862317E-2</v>
      </c>
      <c r="H90" s="33">
        <f>(1-AMD!H$52)*Yard!H$72</f>
        <v>0.72078503757180312</v>
      </c>
      <c r="I90" s="33">
        <f>(1-AMD!I$52)*Yard!I$72</f>
        <v>0</v>
      </c>
      <c r="J90" s="33">
        <f>(1-AMD!J$52)*Yard!J$72</f>
        <v>0</v>
      </c>
      <c r="K90" s="33">
        <f>(1-AMD!B$52)*Yard!K$72</f>
        <v>0.43582587192933281</v>
      </c>
      <c r="L90" s="33">
        <f>(1-AMD!C$52)*Yard!L$72</f>
        <v>0.40272634931669349</v>
      </c>
      <c r="M90" s="33">
        <f>(1-AMD!D$52)*Yard!M$72</f>
        <v>0.2026991673174566</v>
      </c>
      <c r="N90" s="33">
        <f>(1-AMD!E$52)*Yard!N$72</f>
        <v>0.19316477734866411</v>
      </c>
      <c r="O90" s="33">
        <f>(1-AMD!F$52)*Yard!O$72</f>
        <v>0.31299473155302304</v>
      </c>
      <c r="P90" s="33">
        <f>(1-AMD!G$52)*Yard!P$72</f>
        <v>3.3661497159499433E-2</v>
      </c>
      <c r="Q90" s="33">
        <f>(1-AMD!H$52)*Yard!Q$72</f>
        <v>0.62628017935809133</v>
      </c>
      <c r="R90" s="33">
        <f>(1-AMD!I$52)*Yard!R$72</f>
        <v>0</v>
      </c>
      <c r="S90" s="33">
        <f>(1-AMD!J$52)*Yard!S$72</f>
        <v>0</v>
      </c>
      <c r="T90" s="10"/>
    </row>
    <row r="91" spans="1:20" x14ac:dyDescent="0.25">
      <c r="A91" s="3" t="s">
        <v>180</v>
      </c>
      <c r="B91" s="33">
        <f>(1-AMD!B$53)*Yard!B$73</f>
        <v>0</v>
      </c>
      <c r="C91" s="33">
        <f>(1-AMD!C$53)*Yard!C$73</f>
        <v>0.863179008773996</v>
      </c>
      <c r="D91" s="33">
        <f>(1-AMD!D$53)*Yard!D$73</f>
        <v>0.4344529892848113</v>
      </c>
      <c r="E91" s="33">
        <f>(1-AMD!E$53)*Yard!E$73</f>
        <v>0.41401756136585172</v>
      </c>
      <c r="F91" s="33">
        <f>(1-AMD!F$53)*Yard!F$73</f>
        <v>0.67085375116830626</v>
      </c>
      <c r="G91" s="33">
        <f>(1-AMD!G$53)*Yard!G$73</f>
        <v>7.2147992802766972E-2</v>
      </c>
      <c r="H91" s="33">
        <f>(1-AMD!H$53)*Yard!H$73</f>
        <v>0</v>
      </c>
      <c r="I91" s="33">
        <f>(1-AMD!I$53)*Yard!I$73</f>
        <v>0</v>
      </c>
      <c r="J91" s="33">
        <f>(1-AMD!J$53)*Yard!J$73</f>
        <v>0</v>
      </c>
      <c r="K91" s="33">
        <f>(1-AMD!B$53)*Yard!K$73</f>
        <v>0.42275927828901377</v>
      </c>
      <c r="L91" s="33">
        <f>(1-AMD!C$53)*Yard!L$73</f>
        <v>0.39065211991981252</v>
      </c>
      <c r="M91" s="33">
        <f>(1-AMD!D$53)*Yard!M$73</f>
        <v>0.19662199792215804</v>
      </c>
      <c r="N91" s="33">
        <f>(1-AMD!E$53)*Yard!N$73</f>
        <v>0.1873734606467338</v>
      </c>
      <c r="O91" s="33">
        <f>(1-AMD!F$53)*Yard!O$73</f>
        <v>0.30361076600123216</v>
      </c>
      <c r="P91" s="33">
        <f>(1-AMD!G$53)*Yard!P$73</f>
        <v>3.2652284230581696E-2</v>
      </c>
      <c r="Q91" s="33">
        <f>(1-AMD!H$53)*Yard!Q$73</f>
        <v>0</v>
      </c>
      <c r="R91" s="33">
        <f>(1-AMD!I$53)*Yard!R$73</f>
        <v>0</v>
      </c>
      <c r="S91" s="33">
        <f>(1-AMD!J$53)*Yard!S$73</f>
        <v>0</v>
      </c>
      <c r="T91" s="10"/>
    </row>
    <row r="92" spans="1:20" x14ac:dyDescent="0.25">
      <c r="A92" s="3" t="s">
        <v>193</v>
      </c>
      <c r="B92" s="33">
        <f>(1-AMD!B$54)*Yard!B$74</f>
        <v>0</v>
      </c>
      <c r="C92" s="33">
        <f>(1-AMD!C$54)*Yard!C$74</f>
        <v>0.74055805623110982</v>
      </c>
      <c r="D92" s="33">
        <f>(1-AMD!D$54)*Yard!D$74</f>
        <v>0.37841531962418035</v>
      </c>
      <c r="E92" s="33">
        <f>(1-AMD!E$54)*Yard!E$74</f>
        <v>0.26961939506591909</v>
      </c>
      <c r="F92" s="33">
        <f>(1-AMD!F$54)*Yard!F$74</f>
        <v>0</v>
      </c>
      <c r="G92" s="33">
        <f>(1-AMD!G$54)*Yard!G$74</f>
        <v>0</v>
      </c>
      <c r="H92" s="33">
        <f>(1-AMD!H$54)*Yard!H$74</f>
        <v>0</v>
      </c>
      <c r="I92" s="33">
        <f>(1-AMD!I$54)*Yard!I$74</f>
        <v>0</v>
      </c>
      <c r="J92" s="33">
        <f>(1-AMD!J$54)*Yard!J$74</f>
        <v>0</v>
      </c>
      <c r="K92" s="33">
        <f>(1-AMD!B$54)*Yard!K$74</f>
        <v>0.3682299152347388</v>
      </c>
      <c r="L92" s="33">
        <f>(1-AMD!C$54)*Yard!L$74</f>
        <v>0.33515710142358851</v>
      </c>
      <c r="M92" s="33">
        <f>(1-AMD!D$54)*Yard!M$74</f>
        <v>0.1712608222844598</v>
      </c>
      <c r="N92" s="33">
        <f>(1-AMD!E$54)*Yard!N$74</f>
        <v>0.13056416182831668</v>
      </c>
      <c r="O92" s="33">
        <f>(1-AMD!F$54)*Yard!O$74</f>
        <v>0</v>
      </c>
      <c r="P92" s="33">
        <f>(1-AMD!G$54)*Yard!P$74</f>
        <v>0</v>
      </c>
      <c r="Q92" s="33">
        <f>(1-AMD!H$54)*Yard!Q$74</f>
        <v>0</v>
      </c>
      <c r="R92" s="33">
        <f>(1-AMD!I$54)*Yard!R$74</f>
        <v>0</v>
      </c>
      <c r="S92" s="33">
        <f>(1-AMD!J$54)*Yard!S$74</f>
        <v>0</v>
      </c>
      <c r="T92" s="10"/>
    </row>
    <row r="93" spans="1:20" x14ac:dyDescent="0.25">
      <c r="A93" s="3" t="s">
        <v>213</v>
      </c>
      <c r="B93" s="33">
        <f>(1-AMD!B$55)*Yard!B$75</f>
        <v>0</v>
      </c>
      <c r="C93" s="33">
        <f>(1-AMD!C$55)*Yard!C$75</f>
        <v>8.7327567060378752E-2</v>
      </c>
      <c r="D93" s="33">
        <f>(1-AMD!D$55)*Yard!D$75</f>
        <v>4.395348145715279E-2</v>
      </c>
      <c r="E93" s="33">
        <f>(1-AMD!E$55)*Yard!E$75</f>
        <v>5.3638828597786042E-2</v>
      </c>
      <c r="F93" s="33">
        <f>(1-AMD!F$55)*Yard!F$75</f>
        <v>8.6913727172314451E-2</v>
      </c>
      <c r="G93" s="33">
        <f>(1-AMD!G$55)*Yard!G$75</f>
        <v>7.2991912635875979E-3</v>
      </c>
      <c r="H93" s="33">
        <f>(1-AMD!H$55)*Yard!H$75</f>
        <v>0.11322867827178149</v>
      </c>
      <c r="I93" s="33">
        <f>(1-AMD!I$55)*Yard!I$75</f>
        <v>2.687343791105528E-2</v>
      </c>
      <c r="J93" s="33">
        <f>(1-AMD!J$55)*Yard!J$75</f>
        <v>1.1165633657019903E-2</v>
      </c>
      <c r="K93" s="33">
        <f>(1-AMD!B$55)*Yard!K$75</f>
        <v>3.7293785971893846E-2</v>
      </c>
      <c r="L93" s="33">
        <f>(1-AMD!C$55)*Yard!L$75</f>
        <v>3.9522160354699624E-2</v>
      </c>
      <c r="M93" s="33">
        <f>(1-AMD!D$55)*Yard!M$75</f>
        <v>1.9892189840761781E-2</v>
      </c>
      <c r="N93" s="33">
        <f>(1-AMD!E$55)*Yard!N$75</f>
        <v>2.4275523256181212E-2</v>
      </c>
      <c r="O93" s="33">
        <f>(1-AMD!F$55)*Yard!O$75</f>
        <v>3.933486730431681E-2</v>
      </c>
      <c r="P93" s="33">
        <f>(1-AMD!G$55)*Yard!P$75</f>
        <v>3.3034220154063731E-3</v>
      </c>
      <c r="Q93" s="33">
        <f>(1-AMD!H$55)*Yard!Q$75</f>
        <v>9.8382837101369108E-2</v>
      </c>
      <c r="R93" s="33">
        <f>(1-AMD!I$55)*Yard!R$75</f>
        <v>4.1783605810304277E-2</v>
      </c>
      <c r="S93" s="33">
        <f>(1-AMD!J$55)*Yard!S$75</f>
        <v>8.2454171809057952E-2</v>
      </c>
      <c r="T93" s="10"/>
    </row>
    <row r="94" spans="1:20" x14ac:dyDescent="0.25">
      <c r="A94" s="3" t="s">
        <v>214</v>
      </c>
      <c r="B94" s="33">
        <f>(1-AMD!B$56)*Yard!B$76</f>
        <v>0</v>
      </c>
      <c r="C94" s="33">
        <f>(1-AMD!C$56)*Yard!C$76</f>
        <v>0.13010750724123898</v>
      </c>
      <c r="D94" s="33">
        <f>(1-AMD!D$56)*Yard!D$76</f>
        <v>6.5485368474885411E-2</v>
      </c>
      <c r="E94" s="33">
        <f>(1-AMD!E$56)*Yard!E$76</f>
        <v>6.7050419693824317E-2</v>
      </c>
      <c r="F94" s="33">
        <f>(1-AMD!F$56)*Yard!F$76</f>
        <v>0.10864521162005319</v>
      </c>
      <c r="G94" s="33">
        <f>(1-AMD!G$56)*Yard!G$76</f>
        <v>1.0874911693415184E-2</v>
      </c>
      <c r="H94" s="33">
        <f>(1-AMD!H$56)*Yard!H$76</f>
        <v>0.14153982474951582</v>
      </c>
      <c r="I94" s="33">
        <f>(1-AMD!I$56)*Yard!I$76</f>
        <v>3.3592741259576259E-2</v>
      </c>
      <c r="J94" s="33">
        <f>(1-AMD!J$56)*Yard!J$76</f>
        <v>1.3957434239747291E-2</v>
      </c>
      <c r="K94" s="33">
        <f>(1-AMD!B$56)*Yard!K$76</f>
        <v>6.2730152491812935E-2</v>
      </c>
      <c r="L94" s="33">
        <f>(1-AMD!C$56)*Yard!L$76</f>
        <v>5.8883236275014877E-2</v>
      </c>
      <c r="M94" s="33">
        <f>(1-AMD!D$56)*Yard!M$76</f>
        <v>2.9636955670155916E-2</v>
      </c>
      <c r="N94" s="33">
        <f>(1-AMD!E$56)*Yard!N$76</f>
        <v>3.0345256694910856E-2</v>
      </c>
      <c r="O94" s="33">
        <f>(1-AMD!F$56)*Yard!O$76</f>
        <v>4.9169965681617994E-2</v>
      </c>
      <c r="P94" s="33">
        <f>(1-AMD!G$56)*Yard!P$76</f>
        <v>4.9216990494328891E-3</v>
      </c>
      <c r="Q94" s="33">
        <f>(1-AMD!H$56)*Yard!Q$76</f>
        <v>0.12298200185878452</v>
      </c>
      <c r="R94" s="33">
        <f>(1-AMD!I$56)*Yard!R$76</f>
        <v>5.223097482068903E-2</v>
      </c>
      <c r="S94" s="33">
        <f>(1-AMD!J$56)*Yard!S$76</f>
        <v>0.10307061078384971</v>
      </c>
      <c r="T94" s="10"/>
    </row>
    <row r="95" spans="1:20" x14ac:dyDescent="0.25">
      <c r="A95" s="3" t="s">
        <v>215</v>
      </c>
      <c r="B95" s="33">
        <f>(1-AMD!B$57)*Yard!B$77</f>
        <v>0</v>
      </c>
      <c r="C95" s="33">
        <f>(1-AMD!C$57)*Yard!C$77</f>
        <v>0.23521502486975984</v>
      </c>
      <c r="D95" s="33">
        <f>(1-AMD!D$57)*Yard!D$77</f>
        <v>0.11838780790616341</v>
      </c>
      <c r="E95" s="33">
        <f>(1-AMD!E$57)*Yard!E$77</f>
        <v>0.1184972189773822</v>
      </c>
      <c r="F95" s="33">
        <f>(1-AMD!F$57)*Yard!F$77</f>
        <v>0.19200708199849273</v>
      </c>
      <c r="G95" s="33">
        <f>(1-AMD!G$57)*Yard!G$77</f>
        <v>1.9660223139009829E-2</v>
      </c>
      <c r="H95" s="33">
        <f>(1-AMD!H$57)*Yard!H$77</f>
        <v>0.25014124719801678</v>
      </c>
      <c r="I95" s="33">
        <f>(1-AMD!I$57)*Yard!I$77</f>
        <v>5.9367956759459148E-2</v>
      </c>
      <c r="J95" s="33">
        <f>(1-AMD!J$57)*Yard!J$77</f>
        <v>2.466676791915862E-2</v>
      </c>
      <c r="K95" s="33">
        <f>(1-AMD!B$57)*Yard!K$77</f>
        <v>0.11321690668879686</v>
      </c>
      <c r="L95" s="33">
        <f>(1-AMD!C$57)*Yard!L$77</f>
        <v>0.10645213468857849</v>
      </c>
      <c r="M95" s="33">
        <f>(1-AMD!D$57)*Yard!M$77</f>
        <v>5.3579208554770802E-2</v>
      </c>
      <c r="N95" s="33">
        <f>(1-AMD!E$57)*Yard!N$77</f>
        <v>5.3628725128366632E-2</v>
      </c>
      <c r="O95" s="33">
        <f>(1-AMD!F$57)*Yard!O$77</f>
        <v>8.6897356005986456E-2</v>
      </c>
      <c r="P95" s="33">
        <f>(1-AMD!G$57)*Yard!P$77</f>
        <v>8.8976999779678996E-3</v>
      </c>
      <c r="Q95" s="33">
        <f>(1-AMD!H$57)*Yard!Q$77</f>
        <v>0.21734428018620541</v>
      </c>
      <c r="R95" s="33">
        <f>(1-AMD!I$57)*Yard!R$77</f>
        <v>9.2307032364472782E-2</v>
      </c>
      <c r="S95" s="33">
        <f>(1-AMD!J$57)*Yard!S$77</f>
        <v>0.1821551720624249</v>
      </c>
      <c r="T95" s="10"/>
    </row>
    <row r="96" spans="1:20" x14ac:dyDescent="0.25">
      <c r="A96" s="3" t="s">
        <v>216</v>
      </c>
      <c r="B96" s="33">
        <f>(1-AMD!B$58)*Yard!B$78</f>
        <v>0</v>
      </c>
      <c r="C96" s="33">
        <f>(1-AMD!C$58)*Yard!C$78</f>
        <v>4.4924836489167251E-2</v>
      </c>
      <c r="D96" s="33">
        <f>(1-AMD!D$58)*Yard!D$78</f>
        <v>2.2611450588414798E-2</v>
      </c>
      <c r="E96" s="33">
        <f>(1-AMD!E$58)*Yard!E$78</f>
        <v>3.9900592221258156E-2</v>
      </c>
      <c r="F96" s="33">
        <f>(1-AMD!F$58)*Yard!F$78</f>
        <v>6.465296273221266E-2</v>
      </c>
      <c r="G96" s="33">
        <f>(1-AMD!G$58)*Yard!G$78</f>
        <v>3.7549995386120024E-3</v>
      </c>
      <c r="H96" s="33">
        <f>(1-AMD!H$58)*Yard!H$78</f>
        <v>8.4228001199505381E-2</v>
      </c>
      <c r="I96" s="33">
        <f>(1-AMD!I$58)*Yard!I$78</f>
        <v>1.9990482933786035E-2</v>
      </c>
      <c r="J96" s="33">
        <f>(1-AMD!J$58)*Yard!J$78</f>
        <v>8.3058375264200932E-3</v>
      </c>
      <c r="K96" s="33">
        <f>(1-AMD!B$58)*Yard!K$78</f>
        <v>1.2370569658954847E-2</v>
      </c>
      <c r="L96" s="33">
        <f>(1-AMD!C$58)*Yard!L$78</f>
        <v>2.0331799584041091E-2</v>
      </c>
      <c r="M96" s="33">
        <f>(1-AMD!D$58)*Yard!M$78</f>
        <v>1.0233347911660246E-2</v>
      </c>
      <c r="N96" s="33">
        <f>(1-AMD!E$58)*Yard!N$78</f>
        <v>1.8057958753456727E-2</v>
      </c>
      <c r="O96" s="33">
        <f>(1-AMD!F$58)*Yard!O$78</f>
        <v>2.9260230721213507E-2</v>
      </c>
      <c r="P96" s="33">
        <f>(1-AMD!G$58)*Yard!P$78</f>
        <v>1.6994140440697056E-3</v>
      </c>
      <c r="Q96" s="33">
        <f>(1-AMD!H$58)*Yard!Q$78</f>
        <v>7.318454871913857E-2</v>
      </c>
      <c r="R96" s="33">
        <f>(1-AMD!I$58)*Yard!R$78</f>
        <v>3.1081786469877474E-2</v>
      </c>
      <c r="S96" s="33">
        <f>(1-AMD!J$58)*Yard!S$78</f>
        <v>6.133561027152213E-2</v>
      </c>
      <c r="T96" s="10"/>
    </row>
    <row r="97" spans="1:20" x14ac:dyDescent="0.25">
      <c r="A97" s="3" t="s">
        <v>217</v>
      </c>
      <c r="B97" s="33">
        <f>(1-AMD!B$59)*Yard!B$79</f>
        <v>0</v>
      </c>
      <c r="C97" s="33">
        <f>(1-AMD!C$59)*Yard!C$79</f>
        <v>2.5477790888535994</v>
      </c>
      <c r="D97" s="33">
        <f>(1-AMD!D$59)*Yard!D$79</f>
        <v>1.2823414725549624</v>
      </c>
      <c r="E97" s="33">
        <f>(1-AMD!E$59)*Yard!E$79</f>
        <v>1.2119240928152448</v>
      </c>
      <c r="F97" s="33">
        <f>(1-AMD!F$59)*Yard!F$79</f>
        <v>1.9637423618316403</v>
      </c>
      <c r="G97" s="33">
        <f>(1-AMD!G$59)*Yard!G$79</f>
        <v>0.21295368109881599</v>
      </c>
      <c r="H97" s="33">
        <f>(1-AMD!H$59)*Yard!H$79</f>
        <v>2.5583064877159147</v>
      </c>
      <c r="I97" s="33">
        <f>(1-AMD!I$59)*Yard!I$79</f>
        <v>0.60718266436054791</v>
      </c>
      <c r="J97" s="33">
        <f>(1-AMD!J$59)*Yard!J$79</f>
        <v>0.25227807530923124</v>
      </c>
      <c r="K97" s="33">
        <f>(1-AMD!B$59)*Yard!K$79</f>
        <v>1.2490182758222481</v>
      </c>
      <c r="L97" s="33">
        <f>(1-AMD!C$59)*Yard!L$79</f>
        <v>1.153057815390669</v>
      </c>
      <c r="M97" s="33">
        <f>(1-AMD!D$59)*Yard!M$79</f>
        <v>0.58035402810154801</v>
      </c>
      <c r="N97" s="33">
        <f>(1-AMD!E$59)*Yard!N$79</f>
        <v>0.54848497383250305</v>
      </c>
      <c r="O97" s="33">
        <f>(1-AMD!F$59)*Yard!O$79</f>
        <v>0.88873815144724866</v>
      </c>
      <c r="P97" s="33">
        <f>(1-AMD!G$59)*Yard!P$79</f>
        <v>9.6377235915571027E-2</v>
      </c>
      <c r="Q97" s="33">
        <f>(1-AMD!H$59)*Yard!Q$79</f>
        <v>2.2228772275535507</v>
      </c>
      <c r="R97" s="33">
        <f>(1-AMD!I$59)*Yard!R$79</f>
        <v>0.94406533270737591</v>
      </c>
      <c r="S97" s="33">
        <f>(1-AMD!J$59)*Yard!S$79</f>
        <v>1.8629824696180901</v>
      </c>
      <c r="T97" s="10"/>
    </row>
    <row r="99" spans="1:20" ht="21" customHeight="1" x14ac:dyDescent="0.3">
      <c r="A99" s="1" t="s">
        <v>1006</v>
      </c>
    </row>
    <row r="100" spans="1:20" x14ac:dyDescent="0.25">
      <c r="A100" s="2" t="s">
        <v>356</v>
      </c>
    </row>
    <row r="101" spans="1:20" x14ac:dyDescent="0.25">
      <c r="A101" s="11" t="s">
        <v>995</v>
      </c>
    </row>
    <row r="102" spans="1:20" x14ac:dyDescent="0.25">
      <c r="A102" s="11" t="s">
        <v>1007</v>
      </c>
    </row>
    <row r="103" spans="1:20" x14ac:dyDescent="0.25">
      <c r="A103" s="2" t="s">
        <v>1003</v>
      </c>
    </row>
    <row r="105" spans="1:20" ht="30" x14ac:dyDescent="0.25">
      <c r="B105" s="12" t="s">
        <v>139</v>
      </c>
      <c r="C105" s="12" t="s">
        <v>311</v>
      </c>
      <c r="D105" s="12" t="s">
        <v>312</v>
      </c>
      <c r="E105" s="12" t="s">
        <v>313</v>
      </c>
      <c r="F105" s="12" t="s">
        <v>314</v>
      </c>
      <c r="G105" s="12" t="s">
        <v>315</v>
      </c>
      <c r="H105" s="12" t="s">
        <v>316</v>
      </c>
      <c r="I105" s="12" t="s">
        <v>317</v>
      </c>
      <c r="J105" s="12" t="s">
        <v>318</v>
      </c>
      <c r="K105" s="12" t="s">
        <v>299</v>
      </c>
      <c r="L105" s="12" t="s">
        <v>882</v>
      </c>
      <c r="M105" s="12" t="s">
        <v>883</v>
      </c>
      <c r="N105" s="12" t="s">
        <v>884</v>
      </c>
      <c r="O105" s="12" t="s">
        <v>885</v>
      </c>
      <c r="P105" s="12" t="s">
        <v>886</v>
      </c>
      <c r="Q105" s="12" t="s">
        <v>887</v>
      </c>
      <c r="R105" s="12" t="s">
        <v>888</v>
      </c>
      <c r="S105" s="12" t="s">
        <v>889</v>
      </c>
    </row>
    <row r="106" spans="1:20" x14ac:dyDescent="0.25">
      <c r="A106" s="3" t="s">
        <v>172</v>
      </c>
      <c r="B106" s="33">
        <f>(1-AMD!B$42)*Yard!B$94</f>
        <v>0</v>
      </c>
      <c r="C106" s="33">
        <f>(1-AMD!C$42)*Yard!C$94</f>
        <v>1.838487587674956E-3</v>
      </c>
      <c r="D106" s="33">
        <f>(1-AMD!D$42)*Yard!D$94</f>
        <v>9.2534273900251576E-4</v>
      </c>
      <c r="E106" s="33">
        <f>(1-AMD!E$42)*Yard!E$94</f>
        <v>4.854092270510907E-3</v>
      </c>
      <c r="F106" s="33">
        <f>(1-AMD!F$42)*Yard!F$94</f>
        <v>7.8653330487877E-3</v>
      </c>
      <c r="G106" s="33">
        <f>(1-AMD!G$42)*Yard!G$94</f>
        <v>1.5366822860063168E-4</v>
      </c>
      <c r="H106" s="33">
        <f>(1-AMD!H$42)*Yard!H$94</f>
        <v>1.0246727349707755E-2</v>
      </c>
      <c r="I106" s="33">
        <f>(1-AMD!I$42)*Yard!I$94</f>
        <v>2.4319350488480355E-3</v>
      </c>
      <c r="J106" s="33">
        <f>(1-AMD!J$42)*Yard!J$94</f>
        <v>0</v>
      </c>
      <c r="K106" s="33">
        <f>(1-AMD!B$42)*Yard!K$94</f>
        <v>1.3718400495433404E-3</v>
      </c>
      <c r="L106" s="33">
        <f>(1-AMD!C$42)*Yard!L$94</f>
        <v>8.3205113455154763E-4</v>
      </c>
      <c r="M106" s="33">
        <f>(1-AMD!D$42)*Yard!M$94</f>
        <v>4.1878578947045014E-4</v>
      </c>
      <c r="N106" s="33">
        <f>(1-AMD!E$42)*Yard!N$94</f>
        <v>2.1968345111343587E-3</v>
      </c>
      <c r="O106" s="33">
        <f>(1-AMD!F$42)*Yard!O$94</f>
        <v>3.5596428992734812E-3</v>
      </c>
      <c r="P106" s="33">
        <f>(1-AMD!G$42)*Yard!P$94</f>
        <v>6.9546199174170173E-5</v>
      </c>
      <c r="Q106" s="33">
        <f>(1-AMD!H$42)*Yard!Q$94</f>
        <v>8.9032400894825045E-3</v>
      </c>
      <c r="R106" s="33">
        <f>(1-AMD!I$42)*Yard!R$94</f>
        <v>3.781243612136677E-3</v>
      </c>
      <c r="S106" s="33">
        <f>(1-AMD!J$42)*Yard!S$94</f>
        <v>0</v>
      </c>
      <c r="T106" s="10"/>
    </row>
    <row r="107" spans="1:20" x14ac:dyDescent="0.25">
      <c r="A107" s="3" t="s">
        <v>174</v>
      </c>
      <c r="B107" s="33">
        <f>(1-AMD!B$45)*Yard!B$95</f>
        <v>0</v>
      </c>
      <c r="C107" s="33">
        <f>(1-AMD!C$45)*Yard!C$95</f>
        <v>1.7643742470313029E-3</v>
      </c>
      <c r="D107" s="33">
        <f>(1-AMD!D$45)*Yard!D$95</f>
        <v>8.8804020724348723E-4</v>
      </c>
      <c r="E107" s="33">
        <f>(1-AMD!E$45)*Yard!E$95</f>
        <v>4.6583460618654197E-3</v>
      </c>
      <c r="F107" s="33">
        <f>(1-AMD!F$45)*Yard!F$95</f>
        <v>7.5481554925662161E-3</v>
      </c>
      <c r="G107" s="33">
        <f>(1-AMD!G$45)*Yard!G$95</f>
        <v>1.4747353582775946E-4</v>
      </c>
      <c r="H107" s="33">
        <f>(1-AMD!H$45)*Yard!H$95</f>
        <v>9.8335176458225412E-3</v>
      </c>
      <c r="I107" s="33">
        <f>(1-AMD!I$45)*Yard!I$95</f>
        <v>2.3338647941114122E-3</v>
      </c>
      <c r="J107" s="33">
        <f>(1-AMD!J$45)*Yard!J$95</f>
        <v>0</v>
      </c>
      <c r="K107" s="33">
        <f>(1-AMD!B$45)*Yard!K$95</f>
        <v>1.3165208097886349E-3</v>
      </c>
      <c r="L107" s="33">
        <f>(1-AMD!C$45)*Yard!L$95</f>
        <v>7.9850938557191856E-4</v>
      </c>
      <c r="M107" s="33">
        <f>(1-AMD!D$45)*Yard!M$95</f>
        <v>4.0190364455969956E-4</v>
      </c>
      <c r="N107" s="33">
        <f>(1-AMD!E$45)*Yard!N$95</f>
        <v>2.1082449247376315E-3</v>
      </c>
      <c r="O107" s="33">
        <f>(1-AMD!F$45)*Yard!O$95</f>
        <v>3.4160966783049057E-3</v>
      </c>
      <c r="P107" s="33">
        <f>(1-AMD!G$45)*Yard!P$95</f>
        <v>6.6742644130110841E-5</v>
      </c>
      <c r="Q107" s="33">
        <f>(1-AMD!H$45)*Yard!Q$95</f>
        <v>8.5442078760315492E-3</v>
      </c>
      <c r="R107" s="33">
        <f>(1-AMD!I$45)*Yard!R$95</f>
        <v>3.6287611169980301E-3</v>
      </c>
      <c r="S107" s="33">
        <f>(1-AMD!J$45)*Yard!S$95</f>
        <v>0</v>
      </c>
      <c r="T107" s="10"/>
    </row>
    <row r="108" spans="1:20" x14ac:dyDescent="0.25">
      <c r="A108" s="3" t="s">
        <v>175</v>
      </c>
      <c r="B108" s="33">
        <f>(1-AMD!B$47)*Yard!B$96</f>
        <v>0</v>
      </c>
      <c r="C108" s="33">
        <f>(1-AMD!C$47)*Yard!C$96</f>
        <v>1.2582422121076972E-3</v>
      </c>
      <c r="D108" s="33">
        <f>(1-AMD!D$47)*Yard!D$96</f>
        <v>6.3329516211352841E-4</v>
      </c>
      <c r="E108" s="33">
        <f>(1-AMD!E$47)*Yard!E$96</f>
        <v>3.3220913957578194E-3</v>
      </c>
      <c r="F108" s="33">
        <f>(1-AMD!F$47)*Yard!F$96</f>
        <v>5.3829539674978295E-3</v>
      </c>
      <c r="G108" s="33">
        <f>(1-AMD!G$47)*Yard!G$96</f>
        <v>1.0516897322633148E-4</v>
      </c>
      <c r="H108" s="33">
        <f>(1-AMD!H$47)*Yard!H$96</f>
        <v>7.0127560141244692E-3</v>
      </c>
      <c r="I108" s="33">
        <f>(1-AMD!I$47)*Yard!I$96</f>
        <v>1.664391620633446E-3</v>
      </c>
      <c r="J108" s="33">
        <f>(1-AMD!J$47)*Yard!J$96</f>
        <v>0</v>
      </c>
      <c r="K108" s="33">
        <f>(1-AMD!B$47)*Yard!K$96</f>
        <v>9.3887338166817212E-4</v>
      </c>
      <c r="L108" s="33">
        <f>(1-AMD!C$47)*Yard!L$96</f>
        <v>5.6944733657345427E-4</v>
      </c>
      <c r="M108" s="33">
        <f>(1-AMD!D$47)*Yard!M$96</f>
        <v>2.8661273629209256E-4</v>
      </c>
      <c r="N108" s="33">
        <f>(1-AMD!E$47)*Yard!N$96</f>
        <v>1.5034912030164487E-3</v>
      </c>
      <c r="O108" s="33">
        <f>(1-AMD!F$47)*Yard!O$96</f>
        <v>2.4361834074493574E-3</v>
      </c>
      <c r="P108" s="33">
        <f>(1-AMD!G$47)*Yard!P$96</f>
        <v>4.7596711601003996E-5</v>
      </c>
      <c r="Q108" s="33">
        <f>(1-AMD!H$47)*Yard!Q$96</f>
        <v>6.0932869931874627E-3</v>
      </c>
      <c r="R108" s="33">
        <f>(1-AMD!I$47)*Yard!R$96</f>
        <v>2.5878446821987009E-3</v>
      </c>
      <c r="S108" s="33">
        <f>(1-AMD!J$47)*Yard!S$96</f>
        <v>0</v>
      </c>
      <c r="T108" s="10"/>
    </row>
    <row r="109" spans="1:20" x14ac:dyDescent="0.25">
      <c r="A109" s="3" t="s">
        <v>176</v>
      </c>
      <c r="B109" s="33">
        <f>(1-AMD!B$48)*Yard!B$97</f>
        <v>0</v>
      </c>
      <c r="C109" s="33">
        <f>(1-AMD!C$48)*Yard!C$97</f>
        <v>1.2121949216371503E-3</v>
      </c>
      <c r="D109" s="33">
        <f>(1-AMD!D$48)*Yard!D$97</f>
        <v>6.1011876093828492E-4</v>
      </c>
      <c r="E109" s="33">
        <f>(1-AMD!E$48)*Yard!E$97</f>
        <v>3.2005144004876337E-3</v>
      </c>
      <c r="F109" s="33">
        <f>(1-AMD!F$48)*Yard!F$97</f>
        <v>5.1859565670404522E-3</v>
      </c>
      <c r="G109" s="33">
        <f>(1-AMD!G$48)*Yard!G$97</f>
        <v>1.0132015444403205E-4</v>
      </c>
      <c r="H109" s="33">
        <f>(1-AMD!H$48)*Yard!H$97</f>
        <v>6.7561135250439729E-3</v>
      </c>
      <c r="I109" s="33">
        <f>(1-AMD!I$48)*Yard!I$97</f>
        <v>0</v>
      </c>
      <c r="J109" s="33">
        <f>(1-AMD!J$48)*Yard!J$97</f>
        <v>0</v>
      </c>
      <c r="K109" s="33">
        <f>(1-AMD!B$48)*Yard!K$97</f>
        <v>9.0451388005177052E-4</v>
      </c>
      <c r="L109" s="33">
        <f>(1-AMD!C$48)*Yard!L$97</f>
        <v>5.486075438351759E-4</v>
      </c>
      <c r="M109" s="33">
        <f>(1-AMD!D$48)*Yard!M$97</f>
        <v>2.7612370660162251E-4</v>
      </c>
      <c r="N109" s="33">
        <f>(1-AMD!E$48)*Yard!N$97</f>
        <v>1.4484686521283811E-3</v>
      </c>
      <c r="O109" s="33">
        <f>(1-AMD!F$48)*Yard!O$97</f>
        <v>2.3470275645417868E-3</v>
      </c>
      <c r="P109" s="33">
        <f>(1-AMD!G$48)*Yard!P$97</f>
        <v>4.5854837434453066E-5</v>
      </c>
      <c r="Q109" s="33">
        <f>(1-AMD!H$48)*Yard!Q$97</f>
        <v>5.8702938735831637E-3</v>
      </c>
      <c r="R109" s="33">
        <f>(1-AMD!I$48)*Yard!R$97</f>
        <v>0</v>
      </c>
      <c r="S109" s="33">
        <f>(1-AMD!J$48)*Yard!S$97</f>
        <v>0</v>
      </c>
      <c r="T109" s="10"/>
    </row>
    <row r="110" spans="1:20" x14ac:dyDescent="0.25">
      <c r="A110" s="3" t="s">
        <v>192</v>
      </c>
      <c r="B110" s="33">
        <f>(1-AMD!B$49)*Yard!B$98</f>
        <v>0</v>
      </c>
      <c r="C110" s="33">
        <f>(1-AMD!C$49)*Yard!C$98</f>
        <v>1.1724570653586532E-3</v>
      </c>
      <c r="D110" s="33">
        <f>(1-AMD!D$49)*Yard!D$98</f>
        <v>5.9910997038004445E-4</v>
      </c>
      <c r="E110" s="33">
        <f>(1-AMD!E$49)*Yard!E$98</f>
        <v>2.3497323713837313E-3</v>
      </c>
      <c r="F110" s="33">
        <f>(1-AMD!F$49)*Yard!F$98</f>
        <v>0</v>
      </c>
      <c r="G110" s="33">
        <f>(1-AMD!G$49)*Yard!G$98</f>
        <v>0</v>
      </c>
      <c r="H110" s="33">
        <f>(1-AMD!H$49)*Yard!H$98</f>
        <v>0</v>
      </c>
      <c r="I110" s="33">
        <f>(1-AMD!I$49)*Yard!I$98</f>
        <v>0</v>
      </c>
      <c r="J110" s="33">
        <f>(1-AMD!J$49)*Yard!J$98</f>
        <v>0</v>
      </c>
      <c r="K110" s="33">
        <f>(1-AMD!B$49)*Yard!K$98</f>
        <v>8.8819311678398007E-4</v>
      </c>
      <c r="L110" s="33">
        <f>(1-AMD!C$49)*Yard!L$98</f>
        <v>5.3062323508986427E-4</v>
      </c>
      <c r="M110" s="33">
        <f>(1-AMD!D$49)*Yard!M$98</f>
        <v>2.7114141749864934E-4</v>
      </c>
      <c r="N110" s="33">
        <f>(1-AMD!E$49)*Yard!N$98</f>
        <v>1.1378663523652394E-3</v>
      </c>
      <c r="O110" s="33">
        <f>(1-AMD!F$49)*Yard!O$98</f>
        <v>0</v>
      </c>
      <c r="P110" s="33">
        <f>(1-AMD!G$49)*Yard!P$98</f>
        <v>0</v>
      </c>
      <c r="Q110" s="33">
        <f>(1-AMD!H$49)*Yard!Q$98</f>
        <v>0</v>
      </c>
      <c r="R110" s="33">
        <f>(1-AMD!I$49)*Yard!R$98</f>
        <v>0</v>
      </c>
      <c r="S110" s="33">
        <f>(1-AMD!J$49)*Yard!S$98</f>
        <v>0</v>
      </c>
      <c r="T110" s="10"/>
    </row>
    <row r="111" spans="1:20" x14ac:dyDescent="0.25">
      <c r="A111" s="3" t="s">
        <v>177</v>
      </c>
      <c r="B111" s="33">
        <f>(1-AMD!B$50)*Yard!B$99</f>
        <v>0</v>
      </c>
      <c r="C111" s="33">
        <f>(1-AMD!C$50)*Yard!C$99</f>
        <v>4.1211337442663934E-2</v>
      </c>
      <c r="D111" s="33">
        <f>(1-AMD!D$50)*Yard!D$99</f>
        <v>2.0742382011606903E-2</v>
      </c>
      <c r="E111" s="33">
        <f>(1-AMD!E$50)*Yard!E$99</f>
        <v>5.474040778134593E-2</v>
      </c>
      <c r="F111" s="33">
        <f>(1-AMD!F$50)*Yard!F$99</f>
        <v>8.8698672054995528E-2</v>
      </c>
      <c r="G111" s="33">
        <f>(1-AMD!G$50)*Yard!G$99</f>
        <v>3.4446102685337806E-3</v>
      </c>
      <c r="H111" s="33">
        <f>(1-AMD!H$50)*Yard!H$99</f>
        <v>0.11555405259905276</v>
      </c>
      <c r="I111" s="33">
        <f>(1-AMD!I$50)*Yard!I$99</f>
        <v>2.7425336984308522E-2</v>
      </c>
      <c r="J111" s="33">
        <f>(1-AMD!J$50)*Yard!J$99</f>
        <v>0</v>
      </c>
      <c r="K111" s="33">
        <f>(1-AMD!B$50)*Yard!K$99</f>
        <v>0</v>
      </c>
      <c r="L111" s="33">
        <f>(1-AMD!C$50)*Yard!L$99</f>
        <v>1.8651167571340516E-2</v>
      </c>
      <c r="M111" s="33">
        <f>(1-AMD!D$50)*Yard!M$99</f>
        <v>9.3874566256307371E-3</v>
      </c>
      <c r="N111" s="33">
        <f>(1-AMD!E$50)*Yard!N$99</f>
        <v>2.4774069025880155E-2</v>
      </c>
      <c r="O111" s="33">
        <f>(1-AMD!F$50)*Yard!O$99</f>
        <v>4.0142686418627491E-2</v>
      </c>
      <c r="P111" s="33">
        <f>(1-AMD!G$50)*Yard!P$99</f>
        <v>1.5589400228946055E-3</v>
      </c>
      <c r="Q111" s="33">
        <f>(1-AMD!H$50)*Yard!Q$99</f>
        <v>0.10040332278689923</v>
      </c>
      <c r="R111" s="33">
        <f>(1-AMD!I$50)*Yard!R$99</f>
        <v>4.2641714601602571E-2</v>
      </c>
      <c r="S111" s="33">
        <f>(1-AMD!J$50)*Yard!S$99</f>
        <v>0</v>
      </c>
      <c r="T111" s="10"/>
    </row>
    <row r="112" spans="1:20" x14ac:dyDescent="0.25">
      <c r="A112" s="3" t="s">
        <v>178</v>
      </c>
      <c r="B112" s="33">
        <f>(1-AMD!B$51)*Yard!B$100</f>
        <v>0</v>
      </c>
      <c r="C112" s="33">
        <f>(1-AMD!C$51)*Yard!C$100</f>
        <v>4.2443789030557739E-2</v>
      </c>
      <c r="D112" s="33">
        <f>(1-AMD!D$51)*Yard!D$100</f>
        <v>2.1362696304548043E-2</v>
      </c>
      <c r="E112" s="33">
        <f>(1-AMD!E$51)*Yard!E$100</f>
        <v>5.6346670729023093E-2</v>
      </c>
      <c r="F112" s="33">
        <f>(1-AMD!F$51)*Yard!F$100</f>
        <v>9.1301381757108085E-2</v>
      </c>
      <c r="G112" s="33">
        <f>(1-AMD!G$51)*Yard!G$100</f>
        <v>3.5476235570744926E-3</v>
      </c>
      <c r="H112" s="33">
        <f>(1-AMD!H$51)*Yard!H$100</f>
        <v>0.11894478717094691</v>
      </c>
      <c r="I112" s="33">
        <f>(1-AMD!I$51)*Yard!I$100</f>
        <v>2.8230086243784567E-2</v>
      </c>
      <c r="J112" s="33">
        <f>(1-AMD!J$51)*Yard!J$100</f>
        <v>0</v>
      </c>
      <c r="K112" s="33">
        <f>(1-AMD!B$51)*Yard!K$100</f>
        <v>0</v>
      </c>
      <c r="L112" s="33">
        <f>(1-AMD!C$51)*Yard!L$100</f>
        <v>1.9208942749623748E-2</v>
      </c>
      <c r="M112" s="33">
        <f>(1-AMD!D$51)*Yard!M$100</f>
        <v>9.668194561899832E-3</v>
      </c>
      <c r="N112" s="33">
        <f>(1-AMD!E$51)*Yard!N$100</f>
        <v>2.5501021395296527E-2</v>
      </c>
      <c r="O112" s="33">
        <f>(1-AMD!F$51)*Yard!O$100</f>
        <v>4.132060438504128E-2</v>
      </c>
      <c r="P112" s="33">
        <f>(1-AMD!G$51)*Yard!P$100</f>
        <v>1.6055611282960187E-3</v>
      </c>
      <c r="Q112" s="33">
        <f>(1-AMD!H$51)*Yard!Q$100</f>
        <v>0.10334948529742449</v>
      </c>
      <c r="R112" s="33">
        <f>(1-AMD!I$51)*Yard!R$100</f>
        <v>4.3892962244177117E-2</v>
      </c>
      <c r="S112" s="33">
        <f>(1-AMD!J$51)*Yard!S$100</f>
        <v>0</v>
      </c>
      <c r="T112" s="10"/>
    </row>
    <row r="113" spans="1:20" x14ac:dyDescent="0.25">
      <c r="A113" s="3" t="s">
        <v>179</v>
      </c>
      <c r="B113" s="33">
        <f>(1-AMD!B$52)*Yard!B$101</f>
        <v>0</v>
      </c>
      <c r="C113" s="33">
        <f>(1-AMD!C$52)*Yard!C$101</f>
        <v>3.9273272411844293E-2</v>
      </c>
      <c r="D113" s="33">
        <f>(1-AMD!D$52)*Yard!D$101</f>
        <v>1.976692021572302E-2</v>
      </c>
      <c r="E113" s="33">
        <f>(1-AMD!E$52)*Yard!E$101</f>
        <v>5.2137998130220187E-2</v>
      </c>
      <c r="F113" s="33">
        <f>(1-AMD!F$52)*Yard!F$101</f>
        <v>8.4481855090094898E-2</v>
      </c>
      <c r="G113" s="33">
        <f>(1-AMD!G$52)*Yard!G$101</f>
        <v>3.2826189544800811E-3</v>
      </c>
      <c r="H113" s="33">
        <f>(1-AMD!H$52)*Yard!H$101</f>
        <v>8.8048404789587309E-2</v>
      </c>
      <c r="I113" s="33">
        <f>(1-AMD!I$52)*Yard!I$101</f>
        <v>0</v>
      </c>
      <c r="J113" s="33">
        <f>(1-AMD!J$52)*Yard!J$101</f>
        <v>0</v>
      </c>
      <c r="K113" s="33">
        <f>(1-AMD!B$52)*Yard!K$101</f>
        <v>0</v>
      </c>
      <c r="L113" s="33">
        <f>(1-AMD!C$52)*Yard!L$101</f>
        <v>1.7774050304659651E-2</v>
      </c>
      <c r="M113" s="33">
        <f>(1-AMD!D$52)*Yard!M$101</f>
        <v>8.9459882690217547E-3</v>
      </c>
      <c r="N113" s="33">
        <f>(1-AMD!E$52)*Yard!N$101</f>
        <v>2.3596286854652405E-2</v>
      </c>
      <c r="O113" s="33">
        <f>(1-AMD!F$52)*Yard!O$101</f>
        <v>3.8234265952064014E-2</v>
      </c>
      <c r="P113" s="33">
        <f>(1-AMD!G$52)*Yard!P$101</f>
        <v>1.4856270141207287E-3</v>
      </c>
      <c r="Q113" s="33">
        <f>(1-AMD!H$52)*Yard!Q$101</f>
        <v>7.6504044714334571E-2</v>
      </c>
      <c r="R113" s="33">
        <f>(1-AMD!I$52)*Yard!R$101</f>
        <v>0</v>
      </c>
      <c r="S113" s="33">
        <f>(1-AMD!J$52)*Yard!S$101</f>
        <v>0</v>
      </c>
      <c r="T113" s="10"/>
    </row>
    <row r="114" spans="1:20" x14ac:dyDescent="0.25">
      <c r="A114" s="3" t="s">
        <v>180</v>
      </c>
      <c r="B114" s="33">
        <f>(1-AMD!B$53)*Yard!B$102</f>
        <v>0</v>
      </c>
      <c r="C114" s="33">
        <f>(1-AMD!C$53)*Yard!C$102</f>
        <v>3.8095811584979176E-2</v>
      </c>
      <c r="D114" s="33">
        <f>(1-AMD!D$53)*Yard!D$102</f>
        <v>1.9174283728044885E-2</v>
      </c>
      <c r="E114" s="33">
        <f>(1-AMD!E$53)*Yard!E$102</f>
        <v>5.0574837063688156E-2</v>
      </c>
      <c r="F114" s="33">
        <f>(1-AMD!F$53)*Yard!F$102</f>
        <v>8.1948985562281279E-2</v>
      </c>
      <c r="G114" s="33">
        <f>(1-AMD!G$53)*Yard!G$102</f>
        <v>3.1842020161640498E-3</v>
      </c>
      <c r="H114" s="33">
        <f>(1-AMD!H$53)*Yard!H$102</f>
        <v>0</v>
      </c>
      <c r="I114" s="33">
        <f>(1-AMD!I$53)*Yard!I$102</f>
        <v>0</v>
      </c>
      <c r="J114" s="33">
        <f>(1-AMD!J$53)*Yard!J$102</f>
        <v>0</v>
      </c>
      <c r="K114" s="33">
        <f>(1-AMD!B$53)*Yard!K$102</f>
        <v>0</v>
      </c>
      <c r="L114" s="33">
        <f>(1-AMD!C$53)*Yard!L$102</f>
        <v>1.7241162498698386E-2</v>
      </c>
      <c r="M114" s="33">
        <f>(1-AMD!D$53)*Yard!M$102</f>
        <v>8.6777765795575668E-3</v>
      </c>
      <c r="N114" s="33">
        <f>(1-AMD!E$53)*Yard!N$102</f>
        <v>2.2888841263170541E-2</v>
      </c>
      <c r="O114" s="33">
        <f>(1-AMD!F$53)*Yard!O$102</f>
        <v>3.708795581191586E-2</v>
      </c>
      <c r="P114" s="33">
        <f>(1-AMD!G$53)*Yard!P$102</f>
        <v>1.441086095958478E-3</v>
      </c>
      <c r="Q114" s="33">
        <f>(1-AMD!H$53)*Yard!Q$102</f>
        <v>0</v>
      </c>
      <c r="R114" s="33">
        <f>(1-AMD!I$53)*Yard!R$102</f>
        <v>0</v>
      </c>
      <c r="S114" s="33">
        <f>(1-AMD!J$53)*Yard!S$102</f>
        <v>0</v>
      </c>
      <c r="T114" s="10"/>
    </row>
    <row r="115" spans="1:20" x14ac:dyDescent="0.25">
      <c r="A115" s="3" t="s">
        <v>193</v>
      </c>
      <c r="B115" s="33">
        <f>(1-AMD!B$54)*Yard!B$103</f>
        <v>0</v>
      </c>
      <c r="C115" s="33">
        <f>(1-AMD!C$54)*Yard!C$103</f>
        <v>3.2684020221934618E-2</v>
      </c>
      <c r="D115" s="33">
        <f>(1-AMD!D$54)*Yard!D$103</f>
        <v>1.6701099737988369E-2</v>
      </c>
      <c r="E115" s="33">
        <f>(1-AMD!E$54)*Yard!E$103</f>
        <v>3.2935697050346734E-2</v>
      </c>
      <c r="F115" s="33">
        <f>(1-AMD!F$54)*Yard!F$103</f>
        <v>0</v>
      </c>
      <c r="G115" s="33">
        <f>(1-AMD!G$54)*Yard!G$103</f>
        <v>0</v>
      </c>
      <c r="H115" s="33">
        <f>(1-AMD!H$54)*Yard!H$103</f>
        <v>0</v>
      </c>
      <c r="I115" s="33">
        <f>(1-AMD!I$54)*Yard!I$103</f>
        <v>0</v>
      </c>
      <c r="J115" s="33">
        <f>(1-AMD!J$54)*Yard!J$103</f>
        <v>0</v>
      </c>
      <c r="K115" s="33">
        <f>(1-AMD!B$54)*Yard!K$103</f>
        <v>0</v>
      </c>
      <c r="L115" s="33">
        <f>(1-AMD!C$54)*Yard!L$103</f>
        <v>1.4791928044376037E-2</v>
      </c>
      <c r="M115" s="33">
        <f>(1-AMD!D$54)*Yard!M$103</f>
        <v>7.5584785442177364E-3</v>
      </c>
      <c r="N115" s="33">
        <f>(1-AMD!E$54)*Yard!N$103</f>
        <v>1.5949229759819487E-2</v>
      </c>
      <c r="O115" s="33">
        <f>(1-AMD!F$54)*Yard!O$103</f>
        <v>0</v>
      </c>
      <c r="P115" s="33">
        <f>(1-AMD!G$54)*Yard!P$103</f>
        <v>0</v>
      </c>
      <c r="Q115" s="33">
        <f>(1-AMD!H$54)*Yard!Q$103</f>
        <v>0</v>
      </c>
      <c r="R115" s="33">
        <f>(1-AMD!I$54)*Yard!R$103</f>
        <v>0</v>
      </c>
      <c r="S115" s="33">
        <f>(1-AMD!J$54)*Yard!S$103</f>
        <v>0</v>
      </c>
      <c r="T115" s="10"/>
    </row>
    <row r="116" spans="1:20" x14ac:dyDescent="0.25">
      <c r="A116" s="3" t="s">
        <v>217</v>
      </c>
      <c r="B116" s="33">
        <f>(1-AMD!B$59)*Yard!B$104</f>
        <v>0</v>
      </c>
      <c r="C116" s="33">
        <f>(1-AMD!C$59)*Yard!C$104</f>
        <v>3.1446007594553259E-2</v>
      </c>
      <c r="D116" s="33">
        <f>(1-AMD!D$59)*Yard!D$104</f>
        <v>1.5827321866794346E-2</v>
      </c>
      <c r="E116" s="33">
        <f>(1-AMD!E$59)*Yard!E$104</f>
        <v>4.238427247308018E-2</v>
      </c>
      <c r="F116" s="33">
        <f>(1-AMD!F$59)*Yard!F$104</f>
        <v>6.867739640150114E-2</v>
      </c>
      <c r="G116" s="33">
        <f>(1-AMD!G$59)*Yard!G$104</f>
        <v>2.6283845025726394E-3</v>
      </c>
      <c r="H116" s="33">
        <f>(1-AMD!H$59)*Yard!H$104</f>
        <v>8.9470916444211901E-2</v>
      </c>
      <c r="I116" s="33">
        <f>(1-AMD!I$59)*Yard!I$104</f>
        <v>2.1234824556880468E-2</v>
      </c>
      <c r="J116" s="33">
        <f>(1-AMD!J$59)*Yard!J$104</f>
        <v>8.822848515250007E-3</v>
      </c>
      <c r="K116" s="33">
        <f>(1-AMD!B$59)*Yard!K$104</f>
        <v>0</v>
      </c>
      <c r="L116" s="33">
        <f>(1-AMD!C$59)*Yard!L$104</f>
        <v>1.4231636085862186E-2</v>
      </c>
      <c r="M116" s="33">
        <f>(1-AMD!D$59)*Yard!M$104</f>
        <v>7.1630296578902219E-3</v>
      </c>
      <c r="N116" s="33">
        <f>(1-AMD!E$59)*Yard!N$104</f>
        <v>1.9182007120846164E-2</v>
      </c>
      <c r="O116" s="33">
        <f>(1-AMD!F$59)*Yard!O$104</f>
        <v>3.1081583567382932E-2</v>
      </c>
      <c r="P116" s="33">
        <f>(1-AMD!G$59)*Yard!P$104</f>
        <v>1.189537705918916E-3</v>
      </c>
      <c r="Q116" s="33">
        <f>(1-AMD!H$59)*Yard!Q$104</f>
        <v>7.7740045474281705E-2</v>
      </c>
      <c r="R116" s="33">
        <f>(1-AMD!I$59)*Yard!R$104</f>
        <v>3.3016525152915234E-2</v>
      </c>
      <c r="S116" s="33">
        <f>(1-AMD!J$59)*Yard!S$104</f>
        <v>6.5153549692573365E-2</v>
      </c>
      <c r="T116" s="10"/>
    </row>
    <row r="118" spans="1:20" ht="21" customHeight="1" x14ac:dyDescent="0.3">
      <c r="A118" s="1" t="s">
        <v>1008</v>
      </c>
    </row>
    <row r="119" spans="1:20" x14ac:dyDescent="0.25">
      <c r="A119" s="2" t="s">
        <v>356</v>
      </c>
    </row>
    <row r="120" spans="1:20" x14ac:dyDescent="0.25">
      <c r="A120" s="11" t="s">
        <v>995</v>
      </c>
    </row>
    <row r="121" spans="1:20" x14ac:dyDescent="0.25">
      <c r="A121" s="11" t="s">
        <v>1009</v>
      </c>
    </row>
    <row r="122" spans="1:20" x14ac:dyDescent="0.25">
      <c r="A122" s="2" t="s">
        <v>1003</v>
      </c>
    </row>
    <row r="124" spans="1:20" ht="30" x14ac:dyDescent="0.25">
      <c r="B124" s="12" t="s">
        <v>139</v>
      </c>
      <c r="C124" s="12" t="s">
        <v>311</v>
      </c>
      <c r="D124" s="12" t="s">
        <v>312</v>
      </c>
      <c r="E124" s="12" t="s">
        <v>313</v>
      </c>
      <c r="F124" s="12" t="s">
        <v>314</v>
      </c>
      <c r="G124" s="12" t="s">
        <v>315</v>
      </c>
      <c r="H124" s="12" t="s">
        <v>316</v>
      </c>
      <c r="I124" s="12" t="s">
        <v>317</v>
      </c>
      <c r="J124" s="12" t="s">
        <v>318</v>
      </c>
      <c r="K124" s="12" t="s">
        <v>299</v>
      </c>
      <c r="L124" s="12" t="s">
        <v>882</v>
      </c>
      <c r="M124" s="12" t="s">
        <v>883</v>
      </c>
      <c r="N124" s="12" t="s">
        <v>884</v>
      </c>
      <c r="O124" s="12" t="s">
        <v>885</v>
      </c>
      <c r="P124" s="12" t="s">
        <v>886</v>
      </c>
      <c r="Q124" s="12" t="s">
        <v>887</v>
      </c>
      <c r="R124" s="12" t="s">
        <v>888</v>
      </c>
      <c r="S124" s="12" t="s">
        <v>889</v>
      </c>
    </row>
    <row r="125" spans="1:20" x14ac:dyDescent="0.25">
      <c r="A125" s="3" t="s">
        <v>177</v>
      </c>
      <c r="B125" s="33">
        <f>(1-AMD!B$50)*Yard!B$119</f>
        <v>0</v>
      </c>
      <c r="C125" s="33">
        <f>(1-AMD!C$50)*Yard!C$119</f>
        <v>1.6122846852595408E-3</v>
      </c>
      <c r="D125" s="33">
        <f>(1-AMD!D$50)*Yard!D$119</f>
        <v>8.1149088887601587E-4</v>
      </c>
      <c r="E125" s="33">
        <f>(1-AMD!E$50)*Yard!E$119</f>
        <v>4.2591517237171818E-3</v>
      </c>
      <c r="F125" s="33">
        <f>(1-AMD!F$50)*Yard!F$119</f>
        <v>6.9013205653027099E-3</v>
      </c>
      <c r="G125" s="33">
        <f>(1-AMD!G$50)*Yard!G$119</f>
        <v>1.3476127510715833E-4</v>
      </c>
      <c r="H125" s="33">
        <f>(1-AMD!H$50)*Yard!H$119</f>
        <v>8.9908398979350861E-3</v>
      </c>
      <c r="I125" s="33">
        <f>(1-AMD!I$50)*Yard!I$119</f>
        <v>2.1338655670381668E-3</v>
      </c>
      <c r="J125" s="33">
        <f>(1-AMD!J$50)*Yard!J$119</f>
        <v>0</v>
      </c>
      <c r="K125" s="33">
        <f>(1-AMD!B$50)*Yard!K$119</f>
        <v>1.2034133265032929E-3</v>
      </c>
      <c r="L125" s="33">
        <f>(1-AMD!C$50)*Yard!L$119</f>
        <v>7.2967764948950143E-4</v>
      </c>
      <c r="M125" s="33">
        <f>(1-AMD!D$50)*Yard!M$119</f>
        <v>3.6725943612239844E-4</v>
      </c>
      <c r="N125" s="33">
        <f>(1-AMD!E$50)*Yard!N$119</f>
        <v>1.9275800651054544E-3</v>
      </c>
      <c r="O125" s="33">
        <f>(1-AMD!F$50)*Yard!O$119</f>
        <v>3.123356200367927E-3</v>
      </c>
      <c r="P125" s="33">
        <f>(1-AMD!G$50)*Yard!P$119</f>
        <v>6.098940922866244E-5</v>
      </c>
      <c r="Q125" s="33">
        <f>(1-AMD!H$50)*Yard!Q$119</f>
        <v>7.8120168016081225E-3</v>
      </c>
      <c r="R125" s="33">
        <f>(1-AMD!I$50)*Yard!R$119</f>
        <v>3.3177964799444206E-3</v>
      </c>
      <c r="S125" s="33">
        <f>(1-AMD!J$50)*Yard!S$119</f>
        <v>0</v>
      </c>
      <c r="T125" s="10"/>
    </row>
    <row r="126" spans="1:20" x14ac:dyDescent="0.25">
      <c r="A126" s="3" t="s">
        <v>178</v>
      </c>
      <c r="B126" s="33">
        <f>(1-AMD!B$51)*Yard!B$120</f>
        <v>0</v>
      </c>
      <c r="C126" s="33">
        <f>(1-AMD!C$51)*Yard!C$120</f>
        <v>1.6605010971449722E-3</v>
      </c>
      <c r="D126" s="33">
        <f>(1-AMD!D$51)*Yard!D$120</f>
        <v>8.3575904653889323E-4</v>
      </c>
      <c r="E126" s="33">
        <f>(1-AMD!E$51)*Yard!E$120</f>
        <v>4.384129192457808E-3</v>
      </c>
      <c r="F126" s="33">
        <f>(1-AMD!F$51)*Yard!F$120</f>
        <v>7.1038279261971937E-3</v>
      </c>
      <c r="G126" s="33">
        <f>(1-AMD!G$51)*Yard!G$120</f>
        <v>1.3879139783063178E-4</v>
      </c>
      <c r="H126" s="33">
        <f>(1-AMD!H$51)*Yard!H$120</f>
        <v>9.2546606033678293E-3</v>
      </c>
      <c r="I126" s="33">
        <f>(1-AMD!I$51)*Yard!I$120</f>
        <v>2.1964801754157381E-3</v>
      </c>
      <c r="J126" s="33">
        <f>(1-AMD!J$51)*Yard!J$120</f>
        <v>0</v>
      </c>
      <c r="K126" s="33">
        <f>(1-AMD!B$51)*Yard!K$120</f>
        <v>1.2397486224946638E-3</v>
      </c>
      <c r="L126" s="33">
        <f>(1-AMD!C$51)*Yard!L$120</f>
        <v>7.5149912953768286E-4</v>
      </c>
      <c r="M126" s="33">
        <f>(1-AMD!D$51)*Yard!M$120</f>
        <v>3.7824256608870352E-4</v>
      </c>
      <c r="N126" s="33">
        <f>(1-AMD!E$51)*Yard!N$120</f>
        <v>1.9841415808622867E-3</v>
      </c>
      <c r="O126" s="33">
        <f>(1-AMD!F$51)*Yard!O$120</f>
        <v>3.2150057064711389E-3</v>
      </c>
      <c r="P126" s="33">
        <f>(1-AMD!G$51)*Yard!P$120</f>
        <v>6.2813336791148067E-5</v>
      </c>
      <c r="Q126" s="33">
        <f>(1-AMD!H$51)*Yard!Q$120</f>
        <v>8.041246974411673E-3</v>
      </c>
      <c r="R126" s="33">
        <f>(1-AMD!I$51)*Yard!R$120</f>
        <v>3.4151515010278498E-3</v>
      </c>
      <c r="S126" s="33">
        <f>(1-AMD!J$51)*Yard!S$120</f>
        <v>0</v>
      </c>
      <c r="T126" s="10"/>
    </row>
    <row r="127" spans="1:20" x14ac:dyDescent="0.25">
      <c r="A127" s="3" t="s">
        <v>179</v>
      </c>
      <c r="B127" s="33">
        <f>(1-AMD!B$52)*Yard!B$121</f>
        <v>0</v>
      </c>
      <c r="C127" s="33">
        <f>(1-AMD!C$52)*Yard!C$121</f>
        <v>1.5364630118529232E-3</v>
      </c>
      <c r="D127" s="33">
        <f>(1-AMD!D$52)*Yard!D$121</f>
        <v>7.7332852356216432E-4</v>
      </c>
      <c r="E127" s="33">
        <f>(1-AMD!E$52)*Yard!E$121</f>
        <v>4.0566677086969708E-3</v>
      </c>
      <c r="F127" s="33">
        <f>(1-AMD!F$52)*Yard!F$121</f>
        <v>6.573225398083719E-3</v>
      </c>
      <c r="G127" s="33">
        <f>(1-AMD!G$52)*Yard!G$121</f>
        <v>1.2842379297236435E-4</v>
      </c>
      <c r="H127" s="33">
        <f>(1-AMD!H$52)*Yard!H$121</f>
        <v>6.8507256381439051E-3</v>
      </c>
      <c r="I127" s="33">
        <f>(1-AMD!I$52)*Yard!I$121</f>
        <v>0</v>
      </c>
      <c r="J127" s="33">
        <f>(1-AMD!J$52)*Yard!J$121</f>
        <v>0</v>
      </c>
      <c r="K127" s="33">
        <f>(1-AMD!B$52)*Yard!K$121</f>
        <v>1.1464757817415735E-3</v>
      </c>
      <c r="L127" s="33">
        <f>(1-AMD!C$52)*Yard!L$121</f>
        <v>6.9536275402623841E-4</v>
      </c>
      <c r="M127" s="33">
        <f>(1-AMD!D$52)*Yard!M$121</f>
        <v>3.499881531562092E-4</v>
      </c>
      <c r="N127" s="33">
        <f>(1-AMD!E$52)*Yard!N$121</f>
        <v>1.8359411247310005E-3</v>
      </c>
      <c r="O127" s="33">
        <f>(1-AMD!F$52)*Yard!O$121</f>
        <v>2.9748689557677712E-3</v>
      </c>
      <c r="P127" s="33">
        <f>(1-AMD!G$52)*Yard!P$121</f>
        <v>5.8121231474400792E-5</v>
      </c>
      <c r="Q127" s="33">
        <f>(1-AMD!H$52)*Yard!Q$121</f>
        <v>5.9525010339333412E-3</v>
      </c>
      <c r="R127" s="33">
        <f>(1-AMD!I$52)*Yard!R$121</f>
        <v>0</v>
      </c>
      <c r="S127" s="33">
        <f>(1-AMD!J$52)*Yard!S$121</f>
        <v>0</v>
      </c>
      <c r="T127" s="10"/>
    </row>
    <row r="128" spans="1:20" x14ac:dyDescent="0.25">
      <c r="A128" s="3" t="s">
        <v>180</v>
      </c>
      <c r="B128" s="33">
        <f>(1-AMD!B$53)*Yard!B$122</f>
        <v>0</v>
      </c>
      <c r="C128" s="33">
        <f>(1-AMD!C$53)*Yard!C$122</f>
        <v>1.4903979681913616E-3</v>
      </c>
      <c r="D128" s="33">
        <f>(1-AMD!D$53)*Yard!D$122</f>
        <v>7.5014318689749487E-4</v>
      </c>
      <c r="E128" s="33">
        <f>(1-AMD!E$53)*Yard!E$122</f>
        <v>3.9350438403187703E-3</v>
      </c>
      <c r="F128" s="33">
        <f>(1-AMD!F$53)*Yard!F$122</f>
        <v>6.3761520467409804E-3</v>
      </c>
      <c r="G128" s="33">
        <f>(1-AMD!G$53)*Yard!G$122</f>
        <v>1.2457349030655466E-4</v>
      </c>
      <c r="H128" s="33">
        <f>(1-AMD!H$53)*Yard!H$122</f>
        <v>0</v>
      </c>
      <c r="I128" s="33">
        <f>(1-AMD!I$53)*Yard!I$122</f>
        <v>0</v>
      </c>
      <c r="J128" s="33">
        <f>(1-AMD!J$53)*Yard!J$122</f>
        <v>0</v>
      </c>
      <c r="K128" s="33">
        <f>(1-AMD!B$53)*Yard!K$122</f>
        <v>1.1121030330743871E-3</v>
      </c>
      <c r="L128" s="33">
        <f>(1-AMD!C$53)*Yard!L$122</f>
        <v>6.7451492666057149E-4</v>
      </c>
      <c r="M128" s="33">
        <f>(1-AMD!D$53)*Yard!M$122</f>
        <v>3.3949507949820607E-4</v>
      </c>
      <c r="N128" s="33">
        <f>(1-AMD!E$53)*Yard!N$122</f>
        <v>1.7808973603068909E-3</v>
      </c>
      <c r="O128" s="33">
        <f>(1-AMD!F$53)*Yard!O$122</f>
        <v>2.8856787394868056E-3</v>
      </c>
      <c r="P128" s="33">
        <f>(1-AMD!G$53)*Yard!P$122</f>
        <v>5.6378685741195539E-5</v>
      </c>
      <c r="Q128" s="33">
        <f>(1-AMD!H$53)*Yard!Q$122</f>
        <v>0</v>
      </c>
      <c r="R128" s="33">
        <f>(1-AMD!I$53)*Yard!R$122</f>
        <v>0</v>
      </c>
      <c r="S128" s="33">
        <f>(1-AMD!J$53)*Yard!S$122</f>
        <v>0</v>
      </c>
      <c r="T128" s="10"/>
    </row>
    <row r="129" spans="1:20" x14ac:dyDescent="0.25">
      <c r="A129" s="3" t="s">
        <v>193</v>
      </c>
      <c r="B129" s="33">
        <f>(1-AMD!B$54)*Yard!B$123</f>
        <v>0</v>
      </c>
      <c r="C129" s="33">
        <f>(1-AMD!C$54)*Yard!C$123</f>
        <v>1.2786759306186697E-3</v>
      </c>
      <c r="D129" s="33">
        <f>(1-AMD!D$54)*Yard!D$123</f>
        <v>6.5338639814864995E-4</v>
      </c>
      <c r="E129" s="33">
        <f>(1-AMD!E$54)*Yard!E$123</f>
        <v>2.562606610899494E-3</v>
      </c>
      <c r="F129" s="33">
        <f>(1-AMD!F$54)*Yard!F$123</f>
        <v>0</v>
      </c>
      <c r="G129" s="33">
        <f>(1-AMD!G$54)*Yard!G$123</f>
        <v>0</v>
      </c>
      <c r="H129" s="33">
        <f>(1-AMD!H$54)*Yard!H$123</f>
        <v>0</v>
      </c>
      <c r="I129" s="33">
        <f>(1-AMD!I$54)*Yard!I$123</f>
        <v>0</v>
      </c>
      <c r="J129" s="33">
        <f>(1-AMD!J$54)*Yard!J$123</f>
        <v>0</v>
      </c>
      <c r="K129" s="33">
        <f>(1-AMD!B$54)*Yard!K$123</f>
        <v>9.6865906115328792E-4</v>
      </c>
      <c r="L129" s="33">
        <f>(1-AMD!C$54)*Yard!L$123</f>
        <v>5.786951002157766E-4</v>
      </c>
      <c r="M129" s="33">
        <f>(1-AMD!D$54)*Yard!M$123</f>
        <v>2.9570550137227833E-4</v>
      </c>
      <c r="N129" s="33">
        <f>(1-AMD!E$54)*Yard!N$123</f>
        <v>1.24095146851729E-3</v>
      </c>
      <c r="O129" s="33">
        <f>(1-AMD!F$54)*Yard!O$123</f>
        <v>0</v>
      </c>
      <c r="P129" s="33">
        <f>(1-AMD!G$54)*Yard!P$123</f>
        <v>0</v>
      </c>
      <c r="Q129" s="33">
        <f>(1-AMD!H$54)*Yard!Q$123</f>
        <v>0</v>
      </c>
      <c r="R129" s="33">
        <f>(1-AMD!I$54)*Yard!R$123</f>
        <v>0</v>
      </c>
      <c r="S129" s="33">
        <f>(1-AMD!J$54)*Yard!S$123</f>
        <v>0</v>
      </c>
      <c r="T129" s="10"/>
    </row>
    <row r="130" spans="1:20" x14ac:dyDescent="0.25">
      <c r="A130" s="3" t="s">
        <v>217</v>
      </c>
      <c r="B130" s="33">
        <f>(1-AMD!B$59)*Yard!B$124</f>
        <v>0</v>
      </c>
      <c r="C130" s="33">
        <f>(1-AMD!C$59)*Yard!C$124</f>
        <v>1.4564748788609306E-3</v>
      </c>
      <c r="D130" s="33">
        <f>(1-AMD!D$59)*Yard!D$124</f>
        <v>7.330691067639727E-4</v>
      </c>
      <c r="E130" s="33">
        <f>(1-AMD!E$59)*Yard!E$124</f>
        <v>3.845477934726259E-3</v>
      </c>
      <c r="F130" s="33">
        <f>(1-AMD!F$59)*Yard!F$124</f>
        <v>6.231023846030608E-3</v>
      </c>
      <c r="G130" s="33">
        <f>(1-AMD!G$59)*Yard!G$124</f>
        <v>1.2173806129359035E-4</v>
      </c>
      <c r="H130" s="33">
        <f>(1-AMD!H$59)*Yard!H$124</f>
        <v>8.1175968091578773E-3</v>
      </c>
      <c r="I130" s="33">
        <f>(1-AMD!I$59)*Yard!I$124</f>
        <v>1.9266120312229314E-3</v>
      </c>
      <c r="J130" s="33">
        <f>(1-AMD!J$59)*Yard!J$124</f>
        <v>8.0048723989246755E-4</v>
      </c>
      <c r="K130" s="33">
        <f>(1-AMD!B$59)*Yard!K$124</f>
        <v>1.0867903505957554E-3</v>
      </c>
      <c r="L130" s="33">
        <f>(1-AMD!C$59)*Yard!L$124</f>
        <v>6.5916222852211174E-4</v>
      </c>
      <c r="M130" s="33">
        <f>(1-AMD!D$59)*Yard!M$124</f>
        <v>3.3176779983542213E-4</v>
      </c>
      <c r="N130" s="33">
        <f>(1-AMD!E$59)*Yard!N$124</f>
        <v>1.740362186795259E-3</v>
      </c>
      <c r="O130" s="33">
        <f>(1-AMD!F$59)*Yard!O$124</f>
        <v>2.8199975323543701E-3</v>
      </c>
      <c r="P130" s="33">
        <f>(1-AMD!G$59)*Yard!P$124</f>
        <v>5.5095445134626675E-5</v>
      </c>
      <c r="Q130" s="33">
        <f>(1-AMD!H$59)*Yard!Q$124</f>
        <v>7.0532679239885283E-3</v>
      </c>
      <c r="R130" s="33">
        <f>(1-AMD!I$59)*Yard!R$124</f>
        <v>2.9955526318756523E-3</v>
      </c>
      <c r="S130" s="33">
        <f>(1-AMD!J$59)*Yard!S$124</f>
        <v>5.9113091506056434E-3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1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East Midlands in April 17 (Final)</v>
      </c>
    </row>
    <row r="2" spans="1:6" x14ac:dyDescent="0.25">
      <c r="A2" s="2" t="s">
        <v>1010</v>
      </c>
    </row>
    <row r="4" spans="1:6" ht="21" customHeight="1" x14ac:dyDescent="0.3">
      <c r="A4" s="1" t="s">
        <v>1011</v>
      </c>
    </row>
    <row r="6" spans="1:6" ht="45" x14ac:dyDescent="0.25">
      <c r="B6" s="12" t="s">
        <v>1012</v>
      </c>
      <c r="C6" s="12" t="s">
        <v>1013</v>
      </c>
      <c r="D6" s="12" t="s">
        <v>1014</v>
      </c>
      <c r="E6" s="12" t="s">
        <v>1015</v>
      </c>
    </row>
    <row r="7" spans="1:6" x14ac:dyDescent="0.25">
      <c r="A7" s="3" t="s">
        <v>171</v>
      </c>
      <c r="B7" s="32">
        <v>1</v>
      </c>
      <c r="C7" s="32">
        <v>0</v>
      </c>
      <c r="D7" s="32">
        <v>0</v>
      </c>
      <c r="E7" s="32">
        <v>0</v>
      </c>
      <c r="F7" s="10"/>
    </row>
    <row r="8" spans="1:6" x14ac:dyDescent="0.25">
      <c r="A8" s="3" t="s">
        <v>172</v>
      </c>
      <c r="B8" s="32">
        <v>1</v>
      </c>
      <c r="C8" s="32">
        <v>0</v>
      </c>
      <c r="D8" s="32">
        <v>0</v>
      </c>
      <c r="E8" s="32">
        <v>0</v>
      </c>
      <c r="F8" s="10"/>
    </row>
    <row r="9" spans="1:6" x14ac:dyDescent="0.25">
      <c r="A9" s="3" t="s">
        <v>173</v>
      </c>
      <c r="B9" s="32">
        <v>1</v>
      </c>
      <c r="C9" s="32">
        <v>0</v>
      </c>
      <c r="D9" s="32">
        <v>0</v>
      </c>
      <c r="E9" s="32">
        <v>0</v>
      </c>
      <c r="F9" s="10"/>
    </row>
    <row r="10" spans="1:6" x14ac:dyDescent="0.25">
      <c r="A10" s="3" t="s">
        <v>174</v>
      </c>
      <c r="B10" s="32">
        <v>1</v>
      </c>
      <c r="C10" s="32">
        <v>0</v>
      </c>
      <c r="D10" s="32">
        <v>0</v>
      </c>
      <c r="E10" s="32">
        <v>0</v>
      </c>
      <c r="F10" s="10"/>
    </row>
    <row r="11" spans="1:6" x14ac:dyDescent="0.25">
      <c r="A11" s="3" t="s">
        <v>175</v>
      </c>
      <c r="B11" s="32">
        <v>0</v>
      </c>
      <c r="C11" s="32">
        <v>1</v>
      </c>
      <c r="D11" s="32">
        <v>0</v>
      </c>
      <c r="E11" s="32">
        <v>0</v>
      </c>
      <c r="F11" s="10"/>
    </row>
    <row r="12" spans="1:6" x14ac:dyDescent="0.25">
      <c r="A12" s="3" t="s">
        <v>176</v>
      </c>
      <c r="B12" s="32">
        <v>0</v>
      </c>
      <c r="C12" s="32">
        <v>0</v>
      </c>
      <c r="D12" s="32">
        <v>1</v>
      </c>
      <c r="E12" s="32">
        <v>0</v>
      </c>
      <c r="F12" s="10"/>
    </row>
    <row r="13" spans="1:6" x14ac:dyDescent="0.25">
      <c r="A13" s="3" t="s">
        <v>192</v>
      </c>
      <c r="B13" s="32">
        <v>0</v>
      </c>
      <c r="C13" s="32">
        <v>0</v>
      </c>
      <c r="D13" s="32">
        <v>0</v>
      </c>
      <c r="E13" s="32">
        <v>1</v>
      </c>
      <c r="F13" s="10"/>
    </row>
    <row r="14" spans="1:6" x14ac:dyDescent="0.25">
      <c r="A14" s="3" t="s">
        <v>177</v>
      </c>
      <c r="B14" s="32">
        <v>1</v>
      </c>
      <c r="C14" s="32">
        <v>0</v>
      </c>
      <c r="D14" s="32">
        <v>0</v>
      </c>
      <c r="E14" s="32">
        <v>0</v>
      </c>
      <c r="F14" s="10"/>
    </row>
    <row r="15" spans="1:6" x14ac:dyDescent="0.25">
      <c r="A15" s="3" t="s">
        <v>178</v>
      </c>
      <c r="B15" s="32">
        <v>1</v>
      </c>
      <c r="C15" s="32">
        <v>0</v>
      </c>
      <c r="D15" s="32">
        <v>0</v>
      </c>
      <c r="E15" s="32">
        <v>0</v>
      </c>
      <c r="F15" s="10"/>
    </row>
    <row r="17" spans="1:4" ht="21" customHeight="1" x14ac:dyDescent="0.3">
      <c r="A17" s="1" t="s">
        <v>1016</v>
      </c>
    </row>
    <row r="18" spans="1:4" x14ac:dyDescent="0.25">
      <c r="A18" s="2" t="s">
        <v>356</v>
      </c>
    </row>
    <row r="19" spans="1:4" x14ac:dyDescent="0.25">
      <c r="A19" s="11" t="s">
        <v>579</v>
      </c>
    </row>
    <row r="20" spans="1:4" x14ac:dyDescent="0.25">
      <c r="A20" s="11" t="s">
        <v>504</v>
      </c>
    </row>
    <row r="21" spans="1:4" x14ac:dyDescent="0.25">
      <c r="A21" s="11" t="s">
        <v>409</v>
      </c>
    </row>
    <row r="22" spans="1:4" x14ac:dyDescent="0.25">
      <c r="A22" s="11" t="s">
        <v>1017</v>
      </c>
    </row>
    <row r="23" spans="1:4" x14ac:dyDescent="0.25">
      <c r="A23" s="29" t="s">
        <v>359</v>
      </c>
      <c r="B23" s="29" t="s">
        <v>489</v>
      </c>
      <c r="C23" s="29" t="s">
        <v>418</v>
      </c>
    </row>
    <row r="24" spans="1:4" ht="30" x14ac:dyDescent="0.25">
      <c r="A24" s="29" t="s">
        <v>362</v>
      </c>
      <c r="B24" s="29" t="s">
        <v>1018</v>
      </c>
      <c r="C24" s="29" t="s">
        <v>1019</v>
      </c>
    </row>
    <row r="26" spans="1:4" ht="75" x14ac:dyDescent="0.25">
      <c r="B26" s="12" t="s">
        <v>1020</v>
      </c>
      <c r="C26" s="12" t="s">
        <v>225</v>
      </c>
    </row>
    <row r="27" spans="1:4" x14ac:dyDescent="0.25">
      <c r="A27" s="3" t="s">
        <v>171</v>
      </c>
      <c r="B27" s="17">
        <f>Multi!B$119/Input!C$160/(24*Input!F$58)*1000</f>
        <v>1421689.5470141878</v>
      </c>
      <c r="C27" s="39">
        <f>Loads!E$302</f>
        <v>1573884.4683723808</v>
      </c>
      <c r="D27" s="10"/>
    </row>
    <row r="28" spans="1:4" x14ac:dyDescent="0.25">
      <c r="A28" s="3" t="s">
        <v>172</v>
      </c>
      <c r="B28" s="17">
        <f>Multi!B$120/Input!C$161/(24*Input!F$58)*1000</f>
        <v>870751.8326647979</v>
      </c>
      <c r="C28" s="39">
        <f>Loads!E$303</f>
        <v>892009.18841465167</v>
      </c>
      <c r="D28" s="10"/>
    </row>
    <row r="29" spans="1:4" x14ac:dyDescent="0.25">
      <c r="A29" s="3" t="s">
        <v>173</v>
      </c>
      <c r="B29" s="17">
        <f>Multi!B$122/Input!C$163/(24*Input!F$58)*1000</f>
        <v>331026.45196777326</v>
      </c>
      <c r="C29" s="39">
        <f>Loads!E$305</f>
        <v>95985.234753374127</v>
      </c>
      <c r="D29" s="10"/>
    </row>
    <row r="30" spans="1:4" x14ac:dyDescent="0.25">
      <c r="A30" s="3" t="s">
        <v>174</v>
      </c>
      <c r="B30" s="17">
        <f>Multi!B$123/Input!C$164/(24*Input!F$58)*1000</f>
        <v>425781.49034887354</v>
      </c>
      <c r="C30" s="39">
        <f>Loads!E$306</f>
        <v>83272.456474592909</v>
      </c>
      <c r="D30" s="10"/>
    </row>
    <row r="31" spans="1:4" x14ac:dyDescent="0.25">
      <c r="A31" s="3" t="s">
        <v>175</v>
      </c>
      <c r="B31" s="17">
        <f>Multi!B$125/Input!C$166/(24*Input!F$58)*1000</f>
        <v>0</v>
      </c>
      <c r="C31" s="39">
        <f>Loads!E$308</f>
        <v>0</v>
      </c>
      <c r="D31" s="10"/>
    </row>
    <row r="32" spans="1:4" x14ac:dyDescent="0.25">
      <c r="A32" s="3" t="s">
        <v>176</v>
      </c>
      <c r="B32" s="17">
        <f>Multi!B$126/Input!C$167/(24*Input!F$58)*1000</f>
        <v>0</v>
      </c>
      <c r="C32" s="39">
        <f>Loads!E$309</f>
        <v>0</v>
      </c>
      <c r="D32" s="10"/>
    </row>
    <row r="33" spans="1:6" x14ac:dyDescent="0.25">
      <c r="A33" s="3" t="s">
        <v>192</v>
      </c>
      <c r="B33" s="17">
        <f>Multi!B$127/Input!C$168/(24*Input!F$58)*1000</f>
        <v>0</v>
      </c>
      <c r="C33" s="39">
        <f>Loads!E$310</f>
        <v>0</v>
      </c>
      <c r="D33" s="10"/>
    </row>
    <row r="34" spans="1:6" x14ac:dyDescent="0.25">
      <c r="A34" s="3" t="s">
        <v>177</v>
      </c>
      <c r="B34" s="17">
        <f>Multi!B$128/Input!C$169/(24*Input!F$58)*1000</f>
        <v>0</v>
      </c>
      <c r="C34" s="39">
        <f>Loads!E$311</f>
        <v>0</v>
      </c>
      <c r="D34" s="10"/>
    </row>
    <row r="35" spans="1:6" x14ac:dyDescent="0.25">
      <c r="A35" s="3" t="s">
        <v>178</v>
      </c>
      <c r="B35" s="17">
        <f>Multi!B$129/Input!C$170/(24*Input!F$58)*1000</f>
        <v>38280.411951412701</v>
      </c>
      <c r="C35" s="39">
        <f>Loads!E$312</f>
        <v>2551.8233977395394</v>
      </c>
      <c r="D35" s="10"/>
    </row>
    <row r="37" spans="1:6" ht="21" customHeight="1" x14ac:dyDescent="0.3">
      <c r="A37" s="1" t="s">
        <v>1021</v>
      </c>
    </row>
    <row r="38" spans="1:6" x14ac:dyDescent="0.25">
      <c r="A38" s="2" t="s">
        <v>356</v>
      </c>
    </row>
    <row r="39" spans="1:6" x14ac:dyDescent="0.25">
      <c r="A39" s="11" t="s">
        <v>1022</v>
      </c>
    </row>
    <row r="40" spans="1:6" x14ac:dyDescent="0.25">
      <c r="A40" s="11" t="s">
        <v>1023</v>
      </c>
    </row>
    <row r="41" spans="1:6" x14ac:dyDescent="0.25">
      <c r="A41" s="2" t="s">
        <v>369</v>
      </c>
    </row>
    <row r="43" spans="1:6" ht="45" x14ac:dyDescent="0.25">
      <c r="B43" s="12" t="s">
        <v>1012</v>
      </c>
      <c r="C43" s="12" t="s">
        <v>1013</v>
      </c>
      <c r="D43" s="12" t="s">
        <v>1014</v>
      </c>
      <c r="E43" s="12" t="s">
        <v>1015</v>
      </c>
    </row>
    <row r="44" spans="1:6" x14ac:dyDescent="0.25">
      <c r="A44" s="3" t="s">
        <v>1024</v>
      </c>
      <c r="B44" s="17">
        <f>SUMPRODUCT(B$7:B$15,$B$27:$B$35)</f>
        <v>3087529.7339470456</v>
      </c>
      <c r="C44" s="17">
        <f>SUMPRODUCT(C$7:C$15,$B$27:$B$35)</f>
        <v>0</v>
      </c>
      <c r="D44" s="17">
        <f>SUMPRODUCT(D$7:D$15,$B$27:$B$35)</f>
        <v>0</v>
      </c>
      <c r="E44" s="17">
        <f>SUMPRODUCT(E$7:E$15,$B$27:$B$35)</f>
        <v>0</v>
      </c>
      <c r="F44" s="10"/>
    </row>
    <row r="46" spans="1:6" ht="21" customHeight="1" x14ac:dyDescent="0.3">
      <c r="A46" s="1" t="s">
        <v>1025</v>
      </c>
    </row>
    <row r="47" spans="1:6" x14ac:dyDescent="0.25">
      <c r="A47" s="2" t="s">
        <v>356</v>
      </c>
    </row>
    <row r="48" spans="1:6" x14ac:dyDescent="0.25">
      <c r="A48" s="11" t="s">
        <v>1022</v>
      </c>
    </row>
    <row r="49" spans="1:6" x14ac:dyDescent="0.25">
      <c r="A49" s="11" t="s">
        <v>1026</v>
      </c>
    </row>
    <row r="50" spans="1:6" x14ac:dyDescent="0.25">
      <c r="A50" s="2" t="s">
        <v>369</v>
      </c>
    </row>
    <row r="52" spans="1:6" ht="45" x14ac:dyDescent="0.25">
      <c r="B52" s="12" t="s">
        <v>1012</v>
      </c>
      <c r="C52" s="12" t="s">
        <v>1013</v>
      </c>
      <c r="D52" s="12" t="s">
        <v>1014</v>
      </c>
      <c r="E52" s="12" t="s">
        <v>1015</v>
      </c>
    </row>
    <row r="53" spans="1:6" ht="30" x14ac:dyDescent="0.25">
      <c r="A53" s="3" t="s">
        <v>1027</v>
      </c>
      <c r="B53" s="17">
        <f>SUMPRODUCT(B$7:B$15,$C$27:$C$35)</f>
        <v>2647703.1714127385</v>
      </c>
      <c r="C53" s="17">
        <f>SUMPRODUCT(C$7:C$15,$C$27:$C$35)</f>
        <v>0</v>
      </c>
      <c r="D53" s="17">
        <f>SUMPRODUCT(D$7:D$15,$C$27:$C$35)</f>
        <v>0</v>
      </c>
      <c r="E53" s="17">
        <f>SUMPRODUCT(E$7:E$15,$C$27:$C$35)</f>
        <v>0</v>
      </c>
      <c r="F53" s="10"/>
    </row>
    <row r="55" spans="1:6" ht="21" customHeight="1" x14ac:dyDescent="0.3">
      <c r="A55" s="1" t="s">
        <v>1028</v>
      </c>
    </row>
    <row r="56" spans="1:6" x14ac:dyDescent="0.25">
      <c r="A56" s="2" t="s">
        <v>356</v>
      </c>
    </row>
    <row r="57" spans="1:6" x14ac:dyDescent="0.25">
      <c r="A57" s="11" t="s">
        <v>1029</v>
      </c>
    </row>
    <row r="58" spans="1:6" x14ac:dyDescent="0.25">
      <c r="A58" s="11" t="s">
        <v>1030</v>
      </c>
    </row>
    <row r="59" spans="1:6" x14ac:dyDescent="0.25">
      <c r="A59" s="11" t="s">
        <v>1031</v>
      </c>
    </row>
    <row r="60" spans="1:6" x14ac:dyDescent="0.25">
      <c r="A60" s="2" t="s">
        <v>1032</v>
      </c>
    </row>
    <row r="62" spans="1:6" ht="45" x14ac:dyDescent="0.25">
      <c r="B62" s="12" t="s">
        <v>1012</v>
      </c>
      <c r="C62" s="12" t="s">
        <v>1013</v>
      </c>
      <c r="D62" s="12" t="s">
        <v>1014</v>
      </c>
      <c r="E62" s="12" t="s">
        <v>1015</v>
      </c>
    </row>
    <row r="63" spans="1:6" x14ac:dyDescent="0.25">
      <c r="A63" s="3" t="s">
        <v>1033</v>
      </c>
      <c r="B63" s="33">
        <f>IF(B53,B44/B53/Input!$E58,0)</f>
        <v>1.2274908056092646</v>
      </c>
      <c r="C63" s="33">
        <f>IF(C53,C44/C53/Input!$E58,0)</f>
        <v>0</v>
      </c>
      <c r="D63" s="33">
        <f>IF(D53,D44/D53/Input!$E58,0)</f>
        <v>0</v>
      </c>
      <c r="E63" s="33">
        <f>IF(E53,E44/E53/Input!$E58,0)</f>
        <v>0</v>
      </c>
      <c r="F63" s="10"/>
    </row>
    <row r="65" spans="1:3" ht="21" customHeight="1" x14ac:dyDescent="0.3">
      <c r="A65" s="1" t="s">
        <v>1034</v>
      </c>
    </row>
    <row r="66" spans="1:3" x14ac:dyDescent="0.25">
      <c r="A66" s="2" t="s">
        <v>356</v>
      </c>
    </row>
    <row r="67" spans="1:3" x14ac:dyDescent="0.25">
      <c r="A67" s="11" t="s">
        <v>1022</v>
      </c>
    </row>
    <row r="68" spans="1:3" x14ac:dyDescent="0.25">
      <c r="A68" s="11" t="s">
        <v>1035</v>
      </c>
    </row>
    <row r="69" spans="1:3" x14ac:dyDescent="0.25">
      <c r="A69" s="2" t="s">
        <v>369</v>
      </c>
    </row>
    <row r="71" spans="1:3" ht="45" x14ac:dyDescent="0.25">
      <c r="B71" s="12" t="s">
        <v>1036</v>
      </c>
    </row>
    <row r="72" spans="1:3" x14ac:dyDescent="0.25">
      <c r="A72" s="3" t="s">
        <v>171</v>
      </c>
      <c r="B72" s="33">
        <f t="shared" ref="B72:B80" si="0">SUMPRODUCT($B7:$E7,$B$63:$E$63)</f>
        <v>1.2274908056092646</v>
      </c>
      <c r="C72" s="10"/>
    </row>
    <row r="73" spans="1:3" x14ac:dyDescent="0.25">
      <c r="A73" s="3" t="s">
        <v>172</v>
      </c>
      <c r="B73" s="33">
        <f t="shared" si="0"/>
        <v>1.2274908056092646</v>
      </c>
      <c r="C73" s="10"/>
    </row>
    <row r="74" spans="1:3" x14ac:dyDescent="0.25">
      <c r="A74" s="3" t="s">
        <v>173</v>
      </c>
      <c r="B74" s="33">
        <f t="shared" si="0"/>
        <v>1.2274908056092646</v>
      </c>
      <c r="C74" s="10"/>
    </row>
    <row r="75" spans="1:3" x14ac:dyDescent="0.25">
      <c r="A75" s="3" t="s">
        <v>174</v>
      </c>
      <c r="B75" s="33">
        <f t="shared" si="0"/>
        <v>1.2274908056092646</v>
      </c>
      <c r="C75" s="10"/>
    </row>
    <row r="76" spans="1:3" x14ac:dyDescent="0.25">
      <c r="A76" s="3" t="s">
        <v>175</v>
      </c>
      <c r="B76" s="33">
        <f t="shared" si="0"/>
        <v>0</v>
      </c>
      <c r="C76" s="10"/>
    </row>
    <row r="77" spans="1:3" x14ac:dyDescent="0.25">
      <c r="A77" s="3" t="s">
        <v>176</v>
      </c>
      <c r="B77" s="33">
        <f t="shared" si="0"/>
        <v>0</v>
      </c>
      <c r="C77" s="10"/>
    </row>
    <row r="78" spans="1:3" x14ac:dyDescent="0.25">
      <c r="A78" s="3" t="s">
        <v>192</v>
      </c>
      <c r="B78" s="33">
        <f t="shared" si="0"/>
        <v>0</v>
      </c>
      <c r="C78" s="10"/>
    </row>
    <row r="79" spans="1:3" x14ac:dyDescent="0.25">
      <c r="A79" s="3" t="s">
        <v>177</v>
      </c>
      <c r="B79" s="33">
        <f t="shared" si="0"/>
        <v>1.2274908056092646</v>
      </c>
      <c r="C79" s="10"/>
    </row>
    <row r="80" spans="1:3" x14ac:dyDescent="0.25">
      <c r="A80" s="3" t="s">
        <v>178</v>
      </c>
      <c r="B80" s="33">
        <f t="shared" si="0"/>
        <v>1.2274908056092646</v>
      </c>
      <c r="C80" s="10"/>
    </row>
    <row r="82" spans="1:20" ht="21" customHeight="1" x14ac:dyDescent="0.3">
      <c r="A82" s="1" t="s">
        <v>1037</v>
      </c>
    </row>
    <row r="83" spans="1:20" x14ac:dyDescent="0.25">
      <c r="A83" s="2" t="s">
        <v>356</v>
      </c>
    </row>
    <row r="84" spans="1:20" x14ac:dyDescent="0.25">
      <c r="A84" s="11" t="s">
        <v>1038</v>
      </c>
    </row>
    <row r="85" spans="1:20" x14ac:dyDescent="0.25">
      <c r="A85" s="11" t="s">
        <v>1039</v>
      </c>
    </row>
    <row r="86" spans="1:20" x14ac:dyDescent="0.25">
      <c r="A86" s="2" t="s">
        <v>694</v>
      </c>
    </row>
    <row r="88" spans="1:20" ht="30" x14ac:dyDescent="0.25">
      <c r="B88" s="12" t="s">
        <v>139</v>
      </c>
      <c r="C88" s="12" t="s">
        <v>311</v>
      </c>
      <c r="D88" s="12" t="s">
        <v>312</v>
      </c>
      <c r="E88" s="12" t="s">
        <v>313</v>
      </c>
      <c r="F88" s="12" t="s">
        <v>314</v>
      </c>
      <c r="G88" s="12" t="s">
        <v>315</v>
      </c>
      <c r="H88" s="12" t="s">
        <v>316</v>
      </c>
      <c r="I88" s="12" t="s">
        <v>317</v>
      </c>
      <c r="J88" s="12" t="s">
        <v>318</v>
      </c>
      <c r="K88" s="12" t="s">
        <v>299</v>
      </c>
      <c r="L88" s="12" t="s">
        <v>882</v>
      </c>
      <c r="M88" s="12" t="s">
        <v>883</v>
      </c>
      <c r="N88" s="12" t="s">
        <v>884</v>
      </c>
      <c r="O88" s="12" t="s">
        <v>885</v>
      </c>
      <c r="P88" s="12" t="s">
        <v>886</v>
      </c>
      <c r="Q88" s="12" t="s">
        <v>887</v>
      </c>
      <c r="R88" s="12" t="s">
        <v>888</v>
      </c>
      <c r="S88" s="12" t="s">
        <v>889</v>
      </c>
    </row>
    <row r="89" spans="1:20" x14ac:dyDescent="0.25">
      <c r="A89" s="3" t="s">
        <v>171</v>
      </c>
      <c r="B89" s="33">
        <f>Standing!B$25*$B72</f>
        <v>0</v>
      </c>
      <c r="C89" s="33">
        <f>Standing!C$25*$B72</f>
        <v>0</v>
      </c>
      <c r="D89" s="33">
        <f>Standing!D$25*$B72</f>
        <v>0</v>
      </c>
      <c r="E89" s="33">
        <f>Standing!E$25*$B72</f>
        <v>0</v>
      </c>
      <c r="F89" s="33">
        <f>Standing!F$25*$B72</f>
        <v>0</v>
      </c>
      <c r="G89" s="33">
        <f>Standing!G$25*$B72</f>
        <v>0</v>
      </c>
      <c r="H89" s="33">
        <f>Standing!H$25*$B72</f>
        <v>0</v>
      </c>
      <c r="I89" s="33">
        <f>Standing!I$25*$B72</f>
        <v>0</v>
      </c>
      <c r="J89" s="33">
        <f>Standing!J$25*$B72</f>
        <v>0.16643941058449349</v>
      </c>
      <c r="K89" s="33">
        <f>Standing!K$25*$B72</f>
        <v>0</v>
      </c>
      <c r="L89" s="33">
        <f>Standing!L$25*$B72</f>
        <v>0</v>
      </c>
      <c r="M89" s="33">
        <f>Standing!M$25*$B72</f>
        <v>0</v>
      </c>
      <c r="N89" s="33">
        <f>Standing!N$25*$B72</f>
        <v>0</v>
      </c>
      <c r="O89" s="33">
        <f>Standing!O$25*$B72</f>
        <v>0</v>
      </c>
      <c r="P89" s="33">
        <f>Standing!P$25*$B72</f>
        <v>0</v>
      </c>
      <c r="Q89" s="33">
        <f>Standing!Q$25*$B72</f>
        <v>0</v>
      </c>
      <c r="R89" s="33">
        <f>Standing!R$25*$B72</f>
        <v>0</v>
      </c>
      <c r="S89" s="33">
        <f>Standing!S$25*$B72</f>
        <v>1.2290949334079249</v>
      </c>
      <c r="T89" s="10"/>
    </row>
    <row r="90" spans="1:20" x14ac:dyDescent="0.25">
      <c r="A90" s="3" t="s">
        <v>172</v>
      </c>
      <c r="B90" s="33">
        <f>Standing!B$26*$B73</f>
        <v>0</v>
      </c>
      <c r="C90" s="33">
        <f>Standing!C$26*$B73</f>
        <v>0</v>
      </c>
      <c r="D90" s="33">
        <f>Standing!D$26*$B73</f>
        <v>0</v>
      </c>
      <c r="E90" s="33">
        <f>Standing!E$26*$B73</f>
        <v>0</v>
      </c>
      <c r="F90" s="33">
        <f>Standing!F$26*$B73</f>
        <v>0</v>
      </c>
      <c r="G90" s="33">
        <f>Standing!G$26*$B73</f>
        <v>0</v>
      </c>
      <c r="H90" s="33">
        <f>Standing!H$26*$B73</f>
        <v>0</v>
      </c>
      <c r="I90" s="33">
        <f>Standing!I$26*$B73</f>
        <v>0</v>
      </c>
      <c r="J90" s="33">
        <f>Standing!J$26*$B73</f>
        <v>0.16643941058449349</v>
      </c>
      <c r="K90" s="33">
        <f>Standing!K$26*$B73</f>
        <v>0</v>
      </c>
      <c r="L90" s="33">
        <f>Standing!L$26*$B73</f>
        <v>0</v>
      </c>
      <c r="M90" s="33">
        <f>Standing!M$26*$B73</f>
        <v>0</v>
      </c>
      <c r="N90" s="33">
        <f>Standing!N$26*$B73</f>
        <v>0</v>
      </c>
      <c r="O90" s="33">
        <f>Standing!O$26*$B73</f>
        <v>0</v>
      </c>
      <c r="P90" s="33">
        <f>Standing!P$26*$B73</f>
        <v>0</v>
      </c>
      <c r="Q90" s="33">
        <f>Standing!Q$26*$B73</f>
        <v>0</v>
      </c>
      <c r="R90" s="33">
        <f>Standing!R$26*$B73</f>
        <v>0</v>
      </c>
      <c r="S90" s="33">
        <f>Standing!S$26*$B73</f>
        <v>1.2290949334079249</v>
      </c>
      <c r="T90" s="10"/>
    </row>
    <row r="91" spans="1:20" x14ac:dyDescent="0.25">
      <c r="A91" s="3" t="s">
        <v>173</v>
      </c>
      <c r="B91" s="33">
        <f>Standing!B$28*$B74</f>
        <v>0</v>
      </c>
      <c r="C91" s="33">
        <f>Standing!C$28*$B74</f>
        <v>0</v>
      </c>
      <c r="D91" s="33">
        <f>Standing!D$28*$B74</f>
        <v>0</v>
      </c>
      <c r="E91" s="33">
        <f>Standing!E$28*$B74</f>
        <v>0</v>
      </c>
      <c r="F91" s="33">
        <f>Standing!F$28*$B74</f>
        <v>0</v>
      </c>
      <c r="G91" s="33">
        <f>Standing!G$28*$B74</f>
        <v>0</v>
      </c>
      <c r="H91" s="33">
        <f>Standing!H$28*$B74</f>
        <v>0</v>
      </c>
      <c r="I91" s="33">
        <f>Standing!I$28*$B74</f>
        <v>0</v>
      </c>
      <c r="J91" s="33">
        <f>Standing!J$28*$B74</f>
        <v>0.16643941058449349</v>
      </c>
      <c r="K91" s="33">
        <f>Standing!K$28*$B74</f>
        <v>0</v>
      </c>
      <c r="L91" s="33">
        <f>Standing!L$28*$B74</f>
        <v>0</v>
      </c>
      <c r="M91" s="33">
        <f>Standing!M$28*$B74</f>
        <v>0</v>
      </c>
      <c r="N91" s="33">
        <f>Standing!N$28*$B74</f>
        <v>0</v>
      </c>
      <c r="O91" s="33">
        <f>Standing!O$28*$B74</f>
        <v>0</v>
      </c>
      <c r="P91" s="33">
        <f>Standing!P$28*$B74</f>
        <v>0</v>
      </c>
      <c r="Q91" s="33">
        <f>Standing!Q$28*$B74</f>
        <v>0</v>
      </c>
      <c r="R91" s="33">
        <f>Standing!R$28*$B74</f>
        <v>0</v>
      </c>
      <c r="S91" s="33">
        <f>Standing!S$28*$B74</f>
        <v>1.2290949334079249</v>
      </c>
      <c r="T91" s="10"/>
    </row>
    <row r="92" spans="1:20" x14ac:dyDescent="0.25">
      <c r="A92" s="3" t="s">
        <v>174</v>
      </c>
      <c r="B92" s="33">
        <f>Standing!B$29*$B75</f>
        <v>0</v>
      </c>
      <c r="C92" s="33">
        <f>Standing!C$29*$B75</f>
        <v>0</v>
      </c>
      <c r="D92" s="33">
        <f>Standing!D$29*$B75</f>
        <v>0</v>
      </c>
      <c r="E92" s="33">
        <f>Standing!E$29*$B75</f>
        <v>0</v>
      </c>
      <c r="F92" s="33">
        <f>Standing!F$29*$B75</f>
        <v>0</v>
      </c>
      <c r="G92" s="33">
        <f>Standing!G$29*$B75</f>
        <v>0</v>
      </c>
      <c r="H92" s="33">
        <f>Standing!H$29*$B75</f>
        <v>0</v>
      </c>
      <c r="I92" s="33">
        <f>Standing!I$29*$B75</f>
        <v>0</v>
      </c>
      <c r="J92" s="33">
        <f>Standing!J$29*$B75</f>
        <v>0.16643941058449349</v>
      </c>
      <c r="K92" s="33">
        <f>Standing!K$29*$B75</f>
        <v>0</v>
      </c>
      <c r="L92" s="33">
        <f>Standing!L$29*$B75</f>
        <v>0</v>
      </c>
      <c r="M92" s="33">
        <f>Standing!M$29*$B75</f>
        <v>0</v>
      </c>
      <c r="N92" s="33">
        <f>Standing!N$29*$B75</f>
        <v>0</v>
      </c>
      <c r="O92" s="33">
        <f>Standing!O$29*$B75</f>
        <v>0</v>
      </c>
      <c r="P92" s="33">
        <f>Standing!P$29*$B75</f>
        <v>0</v>
      </c>
      <c r="Q92" s="33">
        <f>Standing!Q$29*$B75</f>
        <v>0</v>
      </c>
      <c r="R92" s="33">
        <f>Standing!R$29*$B75</f>
        <v>0</v>
      </c>
      <c r="S92" s="33">
        <f>Standing!S$29*$B75</f>
        <v>1.2290949334079249</v>
      </c>
      <c r="T92" s="10"/>
    </row>
    <row r="93" spans="1:20" x14ac:dyDescent="0.25">
      <c r="A93" s="3" t="s">
        <v>175</v>
      </c>
      <c r="B93" s="33">
        <f>Standing!B$31*$B76</f>
        <v>0</v>
      </c>
      <c r="C93" s="33">
        <f>Standing!C$31*$B76</f>
        <v>0</v>
      </c>
      <c r="D93" s="33">
        <f>Standing!D$31*$B76</f>
        <v>0</v>
      </c>
      <c r="E93" s="33">
        <f>Standing!E$31*$B76</f>
        <v>0</v>
      </c>
      <c r="F93" s="33">
        <f>Standing!F$31*$B76</f>
        <v>0</v>
      </c>
      <c r="G93" s="33">
        <f>Standing!G$31*$B76</f>
        <v>0</v>
      </c>
      <c r="H93" s="33">
        <f>Standing!H$31*$B76</f>
        <v>0</v>
      </c>
      <c r="I93" s="33">
        <f>Standing!I$31*$B76</f>
        <v>0</v>
      </c>
      <c r="J93" s="33">
        <f>Standing!J$31*$B76</f>
        <v>0</v>
      </c>
      <c r="K93" s="33">
        <f>Standing!K$31*$B76</f>
        <v>0</v>
      </c>
      <c r="L93" s="33">
        <f>Standing!L$31*$B76</f>
        <v>0</v>
      </c>
      <c r="M93" s="33">
        <f>Standing!M$31*$B76</f>
        <v>0</v>
      </c>
      <c r="N93" s="33">
        <f>Standing!N$31*$B76</f>
        <v>0</v>
      </c>
      <c r="O93" s="33">
        <f>Standing!O$31*$B76</f>
        <v>0</v>
      </c>
      <c r="P93" s="33">
        <f>Standing!P$31*$B76</f>
        <v>0</v>
      </c>
      <c r="Q93" s="33">
        <f>Standing!Q$31*$B76</f>
        <v>0</v>
      </c>
      <c r="R93" s="33">
        <f>Standing!R$31*$B76</f>
        <v>0</v>
      </c>
      <c r="S93" s="33">
        <f>Standing!S$31*$B76</f>
        <v>0</v>
      </c>
      <c r="T93" s="10"/>
    </row>
    <row r="94" spans="1:20" x14ac:dyDescent="0.25">
      <c r="A94" s="3" t="s">
        <v>176</v>
      </c>
      <c r="B94" s="33">
        <f>Standing!B$32*$B77</f>
        <v>0</v>
      </c>
      <c r="C94" s="33">
        <f>Standing!C$32*$B77</f>
        <v>0</v>
      </c>
      <c r="D94" s="33">
        <f>Standing!D$32*$B77</f>
        <v>0</v>
      </c>
      <c r="E94" s="33">
        <f>Standing!E$32*$B77</f>
        <v>0</v>
      </c>
      <c r="F94" s="33">
        <f>Standing!F$32*$B77</f>
        <v>0</v>
      </c>
      <c r="G94" s="33">
        <f>Standing!G$32*$B77</f>
        <v>0</v>
      </c>
      <c r="H94" s="33">
        <f>Standing!H$32*$B77</f>
        <v>0</v>
      </c>
      <c r="I94" s="33">
        <f>Standing!I$32*$B77</f>
        <v>0</v>
      </c>
      <c r="J94" s="33">
        <f>Standing!J$32*$B77</f>
        <v>0</v>
      </c>
      <c r="K94" s="33">
        <f>Standing!K$32*$B77</f>
        <v>0</v>
      </c>
      <c r="L94" s="33">
        <f>Standing!L$32*$B77</f>
        <v>0</v>
      </c>
      <c r="M94" s="33">
        <f>Standing!M$32*$B77</f>
        <v>0</v>
      </c>
      <c r="N94" s="33">
        <f>Standing!N$32*$B77</f>
        <v>0</v>
      </c>
      <c r="O94" s="33">
        <f>Standing!O$32*$B77</f>
        <v>0</v>
      </c>
      <c r="P94" s="33">
        <f>Standing!P$32*$B77</f>
        <v>0</v>
      </c>
      <c r="Q94" s="33">
        <f>Standing!Q$32*$B77</f>
        <v>0</v>
      </c>
      <c r="R94" s="33">
        <f>Standing!R$32*$B77</f>
        <v>0</v>
      </c>
      <c r="S94" s="33">
        <f>Standing!S$32*$B77</f>
        <v>0</v>
      </c>
      <c r="T94" s="10"/>
    </row>
    <row r="95" spans="1:20" x14ac:dyDescent="0.25">
      <c r="A95" s="3" t="s">
        <v>192</v>
      </c>
      <c r="B95" s="33">
        <f>Standing!B$33*$B78</f>
        <v>0</v>
      </c>
      <c r="C95" s="33">
        <f>Standing!C$33*$B78</f>
        <v>0</v>
      </c>
      <c r="D95" s="33">
        <f>Standing!D$33*$B78</f>
        <v>0</v>
      </c>
      <c r="E95" s="33">
        <f>Standing!E$33*$B78</f>
        <v>0</v>
      </c>
      <c r="F95" s="33">
        <f>Standing!F$33*$B78</f>
        <v>0</v>
      </c>
      <c r="G95" s="33">
        <f>Standing!G$33*$B78</f>
        <v>0</v>
      </c>
      <c r="H95" s="33">
        <f>Standing!H$33*$B78</f>
        <v>0</v>
      </c>
      <c r="I95" s="33">
        <f>Standing!I$33*$B78</f>
        <v>0</v>
      </c>
      <c r="J95" s="33">
        <f>Standing!J$33*$B78</f>
        <v>0</v>
      </c>
      <c r="K95" s="33">
        <f>Standing!K$33*$B78</f>
        <v>0</v>
      </c>
      <c r="L95" s="33">
        <f>Standing!L$33*$B78</f>
        <v>0</v>
      </c>
      <c r="M95" s="33">
        <f>Standing!M$33*$B78</f>
        <v>0</v>
      </c>
      <c r="N95" s="33">
        <f>Standing!N$33*$B78</f>
        <v>0</v>
      </c>
      <c r="O95" s="33">
        <f>Standing!O$33*$B78</f>
        <v>0</v>
      </c>
      <c r="P95" s="33">
        <f>Standing!P$33*$B78</f>
        <v>0</v>
      </c>
      <c r="Q95" s="33">
        <f>Standing!Q$33*$B78</f>
        <v>0</v>
      </c>
      <c r="R95" s="33">
        <f>Standing!R$33*$B78</f>
        <v>0</v>
      </c>
      <c r="S95" s="33">
        <f>Standing!S$33*$B78</f>
        <v>0</v>
      </c>
      <c r="T95" s="10"/>
    </row>
    <row r="96" spans="1:20" x14ac:dyDescent="0.25">
      <c r="A96" s="3" t="s">
        <v>177</v>
      </c>
      <c r="B96" s="33">
        <f>Standing!B$34*$B79</f>
        <v>0</v>
      </c>
      <c r="C96" s="33">
        <f>Standing!C$34*$B79</f>
        <v>0</v>
      </c>
      <c r="D96" s="33">
        <f>Standing!D$34*$B79</f>
        <v>0</v>
      </c>
      <c r="E96" s="33">
        <f>Standing!E$34*$B79</f>
        <v>0</v>
      </c>
      <c r="F96" s="33">
        <f>Standing!F$34*$B79</f>
        <v>0</v>
      </c>
      <c r="G96" s="33">
        <f>Standing!G$34*$B79</f>
        <v>0</v>
      </c>
      <c r="H96" s="33">
        <f>Standing!H$34*$B79</f>
        <v>0</v>
      </c>
      <c r="I96" s="33">
        <f>Standing!I$34*$B79</f>
        <v>0</v>
      </c>
      <c r="J96" s="33">
        <f>Standing!J$34*$B79</f>
        <v>0.16643941058449349</v>
      </c>
      <c r="K96" s="33">
        <f>Standing!K$34*$B79</f>
        <v>0</v>
      </c>
      <c r="L96" s="33">
        <f>Standing!L$34*$B79</f>
        <v>0</v>
      </c>
      <c r="M96" s="33">
        <f>Standing!M$34*$B79</f>
        <v>0</v>
      </c>
      <c r="N96" s="33">
        <f>Standing!N$34*$B79</f>
        <v>0</v>
      </c>
      <c r="O96" s="33">
        <f>Standing!O$34*$B79</f>
        <v>0</v>
      </c>
      <c r="P96" s="33">
        <f>Standing!P$34*$B79</f>
        <v>0</v>
      </c>
      <c r="Q96" s="33">
        <f>Standing!Q$34*$B79</f>
        <v>0</v>
      </c>
      <c r="R96" s="33">
        <f>Standing!R$34*$B79</f>
        <v>0</v>
      </c>
      <c r="S96" s="33">
        <f>Standing!S$34*$B79</f>
        <v>1.2290949334079249</v>
      </c>
      <c r="T96" s="10"/>
    </row>
    <row r="97" spans="1:20" x14ac:dyDescent="0.25">
      <c r="A97" s="3" t="s">
        <v>178</v>
      </c>
      <c r="B97" s="33">
        <f>Standing!B$35*$B80</f>
        <v>0</v>
      </c>
      <c r="C97" s="33">
        <f>Standing!C$35*$B80</f>
        <v>0</v>
      </c>
      <c r="D97" s="33">
        <f>Standing!D$35*$B80</f>
        <v>0</v>
      </c>
      <c r="E97" s="33">
        <f>Standing!E$35*$B80</f>
        <v>0</v>
      </c>
      <c r="F97" s="33">
        <f>Standing!F$35*$B80</f>
        <v>0</v>
      </c>
      <c r="G97" s="33">
        <f>Standing!G$35*$B80</f>
        <v>0</v>
      </c>
      <c r="H97" s="33">
        <f>Standing!H$35*$B80</f>
        <v>0</v>
      </c>
      <c r="I97" s="33">
        <f>Standing!I$35*$B80</f>
        <v>0</v>
      </c>
      <c r="J97" s="33">
        <f>Standing!J$35*$B80</f>
        <v>0.16643941058449349</v>
      </c>
      <c r="K97" s="33">
        <f>Standing!K$35*$B80</f>
        <v>0</v>
      </c>
      <c r="L97" s="33">
        <f>Standing!L$35*$B80</f>
        <v>0</v>
      </c>
      <c r="M97" s="33">
        <f>Standing!M$35*$B80</f>
        <v>0</v>
      </c>
      <c r="N97" s="33">
        <f>Standing!N$35*$B80</f>
        <v>0</v>
      </c>
      <c r="O97" s="33">
        <f>Standing!O$35*$B80</f>
        <v>0</v>
      </c>
      <c r="P97" s="33">
        <f>Standing!P$35*$B80</f>
        <v>0</v>
      </c>
      <c r="Q97" s="33">
        <f>Standing!Q$35*$B80</f>
        <v>0</v>
      </c>
      <c r="R97" s="33">
        <f>Standing!R$35*$B80</f>
        <v>0</v>
      </c>
      <c r="S97" s="33">
        <f>Standing!S$35*$B80</f>
        <v>1.2290949334079249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East Midlands in April 17 (Final)</v>
      </c>
    </row>
    <row r="3" spans="1:11" ht="21" customHeight="1" x14ac:dyDescent="0.3">
      <c r="A3" s="1" t="s">
        <v>1040</v>
      </c>
    </row>
    <row r="4" spans="1:11" x14ac:dyDescent="0.25">
      <c r="A4" s="2" t="s">
        <v>1041</v>
      </c>
    </row>
    <row r="5" spans="1:11" x14ac:dyDescent="0.25">
      <c r="A5" s="2" t="s">
        <v>1042</v>
      </c>
    </row>
    <row r="7" spans="1:11" x14ac:dyDescent="0.25">
      <c r="B7" s="12" t="s">
        <v>139</v>
      </c>
      <c r="C7" s="12" t="s">
        <v>140</v>
      </c>
      <c r="D7" s="12" t="s">
        <v>141</v>
      </c>
      <c r="E7" s="12" t="s">
        <v>142</v>
      </c>
      <c r="F7" s="12" t="s">
        <v>143</v>
      </c>
      <c r="G7" s="12" t="s">
        <v>148</v>
      </c>
      <c r="H7" s="12" t="s">
        <v>144</v>
      </c>
      <c r="I7" s="12" t="s">
        <v>145</v>
      </c>
      <c r="J7" s="12" t="s">
        <v>146</v>
      </c>
    </row>
    <row r="8" spans="1:11" x14ac:dyDescent="0.25">
      <c r="A8" s="3" t="s">
        <v>183</v>
      </c>
      <c r="B8" s="32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10"/>
    </row>
    <row r="9" spans="1:11" x14ac:dyDescent="0.25">
      <c r="A9" s="3" t="s">
        <v>184</v>
      </c>
      <c r="B9" s="32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10"/>
    </row>
    <row r="10" spans="1:11" x14ac:dyDescent="0.25">
      <c r="A10" s="3" t="s">
        <v>185</v>
      </c>
      <c r="B10" s="32">
        <v>1</v>
      </c>
      <c r="C10" s="32">
        <v>1</v>
      </c>
      <c r="D10" s="32">
        <v>1</v>
      </c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0</v>
      </c>
      <c r="K10" s="10"/>
    </row>
    <row r="11" spans="1:11" x14ac:dyDescent="0.25">
      <c r="A11" s="3" t="s">
        <v>186</v>
      </c>
      <c r="B11" s="32">
        <v>1</v>
      </c>
      <c r="C11" s="32">
        <v>1</v>
      </c>
      <c r="D11" s="32">
        <v>1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0</v>
      </c>
      <c r="K11" s="10"/>
    </row>
    <row r="12" spans="1:11" x14ac:dyDescent="0.25">
      <c r="A12" s="3" t="s">
        <v>194</v>
      </c>
      <c r="B12" s="32">
        <v>1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0</v>
      </c>
      <c r="J12" s="32">
        <v>0</v>
      </c>
      <c r="K12" s="10"/>
    </row>
    <row r="13" spans="1:11" x14ac:dyDescent="0.25">
      <c r="A13" s="3" t="s">
        <v>195</v>
      </c>
      <c r="B13" s="32">
        <v>1</v>
      </c>
      <c r="C13" s="32">
        <v>1</v>
      </c>
      <c r="D13" s="32">
        <v>1</v>
      </c>
      <c r="E13" s="32">
        <v>1</v>
      </c>
      <c r="F13" s="32">
        <v>1</v>
      </c>
      <c r="G13" s="32">
        <v>1</v>
      </c>
      <c r="H13" s="32">
        <v>1</v>
      </c>
      <c r="I13" s="32">
        <v>0</v>
      </c>
      <c r="J13" s="32">
        <v>0</v>
      </c>
      <c r="K13" s="10"/>
    </row>
    <row r="15" spans="1:11" ht="21" customHeight="1" x14ac:dyDescent="0.3">
      <c r="A15" s="1" t="s">
        <v>1043</v>
      </c>
    </row>
    <row r="16" spans="1:11" x14ac:dyDescent="0.25">
      <c r="A16" s="2" t="s">
        <v>356</v>
      </c>
    </row>
    <row r="17" spans="1:20" x14ac:dyDescent="0.25">
      <c r="A17" s="11" t="s">
        <v>1044</v>
      </c>
    </row>
    <row r="18" spans="1:20" x14ac:dyDescent="0.25">
      <c r="A18" s="2" t="s">
        <v>1045</v>
      </c>
    </row>
    <row r="20" spans="1:20" ht="30" x14ac:dyDescent="0.25">
      <c r="B20" s="12" t="s">
        <v>139</v>
      </c>
      <c r="C20" s="12" t="s">
        <v>311</v>
      </c>
      <c r="D20" s="12" t="s">
        <v>312</v>
      </c>
      <c r="E20" s="12" t="s">
        <v>313</v>
      </c>
      <c r="F20" s="12" t="s">
        <v>314</v>
      </c>
      <c r="G20" s="12" t="s">
        <v>315</v>
      </c>
      <c r="H20" s="12" t="s">
        <v>316</v>
      </c>
      <c r="I20" s="12" t="s">
        <v>317</v>
      </c>
      <c r="J20" s="12" t="s">
        <v>318</v>
      </c>
      <c r="K20" s="12" t="s">
        <v>299</v>
      </c>
      <c r="L20" s="12" t="s">
        <v>882</v>
      </c>
      <c r="M20" s="12" t="s">
        <v>883</v>
      </c>
      <c r="N20" s="12" t="s">
        <v>884</v>
      </c>
      <c r="O20" s="12" t="s">
        <v>885</v>
      </c>
      <c r="P20" s="12" t="s">
        <v>886</v>
      </c>
      <c r="Q20" s="12" t="s">
        <v>887</v>
      </c>
      <c r="R20" s="12" t="s">
        <v>888</v>
      </c>
      <c r="S20" s="12" t="s">
        <v>889</v>
      </c>
    </row>
    <row r="21" spans="1:20" x14ac:dyDescent="0.25">
      <c r="A21" s="3" t="s">
        <v>179</v>
      </c>
      <c r="B21" s="33">
        <f>ABS(Standing!B$63)</f>
        <v>0</v>
      </c>
      <c r="C21" s="33">
        <f>ABS(Standing!C$63)</f>
        <v>0.11175022065921109</v>
      </c>
      <c r="D21" s="33">
        <f>ABS(Standing!D$63)</f>
        <v>5.6245827256143716E-2</v>
      </c>
      <c r="E21" s="33">
        <f>ABS(Standing!E$63)</f>
        <v>6.8558701457161225E-2</v>
      </c>
      <c r="F21" s="33">
        <f>ABS(Standing!F$63)</f>
        <v>0.11108915741649536</v>
      </c>
      <c r="G21" s="33">
        <f>ABS(Standing!G$63)</f>
        <v>9.3405354322505067E-3</v>
      </c>
      <c r="H21" s="33">
        <f>ABS(Standing!H$63)</f>
        <v>0.11577898105469715</v>
      </c>
      <c r="I21" s="33">
        <f>ABS(Standing!I$63)</f>
        <v>0</v>
      </c>
      <c r="J21" s="33">
        <f>ABS(Standing!J$63)</f>
        <v>0</v>
      </c>
      <c r="K21" s="33">
        <f>ABS(Standing!K$63)</f>
        <v>4.7767249153759316E-2</v>
      </c>
      <c r="L21" s="33">
        <f>ABS(Standing!L$63)</f>
        <v>5.0575211118760927E-2</v>
      </c>
      <c r="M21" s="33">
        <f>ABS(Standing!M$63)</f>
        <v>2.5455382291402692E-2</v>
      </c>
      <c r="N21" s="33">
        <f>ABS(Standing!N$63)</f>
        <v>3.1027865356955165E-2</v>
      </c>
      <c r="O21" s="33">
        <f>ABS(Standing!O$63)</f>
        <v>5.0276031279419431E-2</v>
      </c>
      <c r="P21" s="33">
        <f>ABS(Standing!P$63)</f>
        <v>4.2272807038918215E-3</v>
      </c>
      <c r="Q21" s="33">
        <f>ABS(Standing!Q$63)</f>
        <v>0.10059876002019462</v>
      </c>
      <c r="R21" s="33">
        <f>ABS(Standing!R$63)</f>
        <v>0</v>
      </c>
      <c r="S21" s="33">
        <f>ABS(Standing!S$63)</f>
        <v>0</v>
      </c>
      <c r="T21" s="10"/>
    </row>
    <row r="22" spans="1:20" x14ac:dyDescent="0.25">
      <c r="A22" s="3" t="s">
        <v>180</v>
      </c>
      <c r="B22" s="33">
        <f>ABS(Standing!B$64)</f>
        <v>0</v>
      </c>
      <c r="C22" s="33">
        <f>ABS(Standing!C$64)</f>
        <v>0.10594366955203766</v>
      </c>
      <c r="D22" s="33">
        <f>ABS(Standing!D$64)</f>
        <v>5.3323289219068898E-2</v>
      </c>
      <c r="E22" s="33">
        <f>ABS(Standing!E$64)</f>
        <v>6.499638541425648E-2</v>
      </c>
      <c r="F22" s="33">
        <f>ABS(Standing!F$64)</f>
        <v>0.10531695521244944</v>
      </c>
      <c r="G22" s="33">
        <f>ABS(Standing!G$64)</f>
        <v>8.8552004052967481E-3</v>
      </c>
      <c r="H22" s="33">
        <f>ABS(Standing!H$64)</f>
        <v>0</v>
      </c>
      <c r="I22" s="33">
        <f>ABS(Standing!I$64)</f>
        <v>0</v>
      </c>
      <c r="J22" s="33">
        <f>ABS(Standing!J$64)</f>
        <v>0</v>
      </c>
      <c r="K22" s="33">
        <f>ABS(Standing!K$64)</f>
        <v>4.5285258766409431E-2</v>
      </c>
      <c r="L22" s="33">
        <f>ABS(Standing!L$64)</f>
        <v>4.7947318785440812E-2</v>
      </c>
      <c r="M22" s="33">
        <f>ABS(Standing!M$64)</f>
        <v>2.4132718431271117E-2</v>
      </c>
      <c r="N22" s="33">
        <f>ABS(Standing!N$64)</f>
        <v>2.9415654795948046E-2</v>
      </c>
      <c r="O22" s="33">
        <f>ABS(Standing!O$64)</f>
        <v>4.7663684356364491E-2</v>
      </c>
      <c r="P22" s="33">
        <f>ABS(Standing!P$64)</f>
        <v>4.0076308337911601E-3</v>
      </c>
      <c r="Q22" s="33">
        <f>ABS(Standing!Q$64)</f>
        <v>0</v>
      </c>
      <c r="R22" s="33">
        <f>ABS(Standing!R$64)</f>
        <v>0</v>
      </c>
      <c r="S22" s="33">
        <f>ABS(Standing!S$64)</f>
        <v>0</v>
      </c>
      <c r="T22" s="10"/>
    </row>
    <row r="23" spans="1:20" x14ac:dyDescent="0.25">
      <c r="A23" s="3" t="s">
        <v>193</v>
      </c>
      <c r="B23" s="33">
        <f>ABS(Standing!B$65)</f>
        <v>0</v>
      </c>
      <c r="C23" s="33">
        <f>ABS(Standing!C$65)</f>
        <v>8.478430227186963E-2</v>
      </c>
      <c r="D23" s="33">
        <f>ABS(Standing!D$65)</f>
        <v>4.3323651094425673E-2</v>
      </c>
      <c r="E23" s="33">
        <f>ABS(Standing!E$65)</f>
        <v>3.9482420624754849E-2</v>
      </c>
      <c r="F23" s="33">
        <f>ABS(Standing!F$65)</f>
        <v>0</v>
      </c>
      <c r="G23" s="33">
        <f>ABS(Standing!G$65)</f>
        <v>0</v>
      </c>
      <c r="H23" s="33">
        <f>ABS(Standing!H$65)</f>
        <v>0</v>
      </c>
      <c r="I23" s="33">
        <f>ABS(Standing!I$65)</f>
        <v>0</v>
      </c>
      <c r="J23" s="33">
        <f>ABS(Standing!J$65)</f>
        <v>0</v>
      </c>
      <c r="K23" s="33">
        <f>ABS(Standing!K$65)</f>
        <v>3.6792980689103895E-2</v>
      </c>
      <c r="L23" s="33">
        <f>ABS(Standing!L$65)</f>
        <v>3.8371145592930055E-2</v>
      </c>
      <c r="M23" s="33">
        <f>ABS(Standing!M$65)</f>
        <v>1.9607145181556408E-2</v>
      </c>
      <c r="N23" s="33">
        <f>ABS(Standing!N$65)</f>
        <v>1.9119504197996663E-2</v>
      </c>
      <c r="O23" s="33">
        <f>ABS(Standing!O$65)</f>
        <v>0</v>
      </c>
      <c r="P23" s="33">
        <f>ABS(Standing!P$65)</f>
        <v>0</v>
      </c>
      <c r="Q23" s="33">
        <f>ABS(Standing!Q$65)</f>
        <v>0</v>
      </c>
      <c r="R23" s="33">
        <f>ABS(Standing!R$65)</f>
        <v>0</v>
      </c>
      <c r="S23" s="33">
        <f>ABS(Standing!S$65)</f>
        <v>0</v>
      </c>
      <c r="T23" s="10"/>
    </row>
    <row r="25" spans="1:20" ht="21" customHeight="1" x14ac:dyDescent="0.3">
      <c r="A25" s="1" t="s">
        <v>1046</v>
      </c>
    </row>
    <row r="26" spans="1:20" x14ac:dyDescent="0.25">
      <c r="A26" s="2" t="s">
        <v>356</v>
      </c>
    </row>
    <row r="27" spans="1:20" x14ac:dyDescent="0.25">
      <c r="A27" s="11" t="s">
        <v>1047</v>
      </c>
    </row>
    <row r="28" spans="1:20" x14ac:dyDescent="0.25">
      <c r="A28" s="11" t="s">
        <v>1048</v>
      </c>
    </row>
    <row r="29" spans="1:20" x14ac:dyDescent="0.25">
      <c r="A29" s="11" t="s">
        <v>1031</v>
      </c>
    </row>
    <row r="30" spans="1:20" x14ac:dyDescent="0.25">
      <c r="A30" s="2" t="s">
        <v>699</v>
      </c>
    </row>
    <row r="32" spans="1:20" ht="30" x14ac:dyDescent="0.25">
      <c r="B32" s="12" t="s">
        <v>139</v>
      </c>
      <c r="C32" s="12" t="s">
        <v>311</v>
      </c>
      <c r="D32" s="12" t="s">
        <v>312</v>
      </c>
      <c r="E32" s="12" t="s">
        <v>313</v>
      </c>
      <c r="F32" s="12" t="s">
        <v>314</v>
      </c>
      <c r="G32" s="12" t="s">
        <v>315</v>
      </c>
      <c r="H32" s="12" t="s">
        <v>316</v>
      </c>
      <c r="I32" s="12" t="s">
        <v>317</v>
      </c>
      <c r="J32" s="12" t="s">
        <v>318</v>
      </c>
      <c r="K32" s="12" t="s">
        <v>299</v>
      </c>
      <c r="L32" s="12" t="s">
        <v>882</v>
      </c>
      <c r="M32" s="12" t="s">
        <v>883</v>
      </c>
      <c r="N32" s="12" t="s">
        <v>884</v>
      </c>
      <c r="O32" s="12" t="s">
        <v>885</v>
      </c>
      <c r="P32" s="12" t="s">
        <v>886</v>
      </c>
      <c r="Q32" s="12" t="s">
        <v>887</v>
      </c>
      <c r="R32" s="12" t="s">
        <v>888</v>
      </c>
      <c r="S32" s="12" t="s">
        <v>889</v>
      </c>
    </row>
    <row r="33" spans="1:20" x14ac:dyDescent="0.25">
      <c r="A33" s="3" t="s">
        <v>179</v>
      </c>
      <c r="B33" s="33">
        <f>B21*Input!B$370*Input!$E$58</f>
        <v>0</v>
      </c>
      <c r="C33" s="33">
        <f>C21*Input!C$370*Input!$E$58</f>
        <v>3.0856861255435034E-2</v>
      </c>
      <c r="D33" s="33">
        <f>D21*Input!D$370*Input!$E$58</f>
        <v>1.55307942803327E-2</v>
      </c>
      <c r="E33" s="33">
        <f>E21*Input!E$370*Input!$E$58</f>
        <v>1.8930668111768453E-2</v>
      </c>
      <c r="F33" s="33">
        <f>F21*Input!F$370*Input!$E$58</f>
        <v>3.0674326163860108E-2</v>
      </c>
      <c r="G33" s="33">
        <f>G21*Input!G$370*Input!$E$58</f>
        <v>2.579141268663545E-3</v>
      </c>
      <c r="H33" s="33">
        <f>H21*Input!H$370*Input!$E$58</f>
        <v>3.1969296647701602E-2</v>
      </c>
      <c r="I33" s="33">
        <f>I21*Input!I$370*Input!$E$58</f>
        <v>0</v>
      </c>
      <c r="J33" s="33">
        <f>J21*Input!J$370*Input!$E$58</f>
        <v>0</v>
      </c>
      <c r="K33" s="33">
        <f>K21*Input!B$370*Input!$E$58</f>
        <v>1.3189659680281414E-2</v>
      </c>
      <c r="L33" s="33">
        <f>L21*Input!C$370*Input!$E$58</f>
        <v>1.3965003945854027E-2</v>
      </c>
      <c r="M33" s="33">
        <f>M21*Input!D$370*Input!$E$58</f>
        <v>7.0288290701923332E-3</v>
      </c>
      <c r="N33" s="33">
        <f>N21*Input!E$370*Input!$E$58</f>
        <v>8.5675225581128955E-3</v>
      </c>
      <c r="O33" s="33">
        <f>O21*Input!F$370*Input!$E$58</f>
        <v>1.3882393363624066E-2</v>
      </c>
      <c r="P33" s="33">
        <f>P21*Input!G$370*Input!$E$58</f>
        <v>1.1672515132256788E-3</v>
      </c>
      <c r="Q33" s="33">
        <f>Q21*Input!H$370*Input!$E$58</f>
        <v>2.7777680993385023E-2</v>
      </c>
      <c r="R33" s="33">
        <f>R21*Input!I$370*Input!$E$58</f>
        <v>0</v>
      </c>
      <c r="S33" s="33">
        <f>S21*Input!J$370*Input!$E$58</f>
        <v>0</v>
      </c>
      <c r="T33" s="10"/>
    </row>
    <row r="34" spans="1:20" x14ac:dyDescent="0.25">
      <c r="A34" s="3" t="s">
        <v>180</v>
      </c>
      <c r="B34" s="33">
        <f>B22*Input!B$370*Input!$E$58</f>
        <v>0</v>
      </c>
      <c r="C34" s="33">
        <f>C22*Input!C$370*Input!$E$58</f>
        <v>2.9253536082296996E-2</v>
      </c>
      <c r="D34" s="33">
        <f>D22*Input!D$370*Input!$E$58</f>
        <v>1.4723812869541938E-2</v>
      </c>
      <c r="E34" s="33">
        <f>E22*Input!E$370*Input!$E$58</f>
        <v>1.7947028963357863E-2</v>
      </c>
      <c r="F34" s="33">
        <f>F22*Input!F$370*Input!$E$58</f>
        <v>2.9080485529829284E-2</v>
      </c>
      <c r="G34" s="33">
        <f>G22*Input!G$370*Input!$E$58</f>
        <v>2.4451288658175149E-3</v>
      </c>
      <c r="H34" s="33">
        <f>H22*Input!H$370*Input!$E$58</f>
        <v>0</v>
      </c>
      <c r="I34" s="33">
        <f>I22*Input!I$370*Input!$E$58</f>
        <v>0</v>
      </c>
      <c r="J34" s="33">
        <f>J22*Input!J$370*Input!$E$58</f>
        <v>0</v>
      </c>
      <c r="K34" s="33">
        <f>K22*Input!B$370*Input!$E$58</f>
        <v>1.2504323825300565E-2</v>
      </c>
      <c r="L34" s="33">
        <f>L22*Input!C$370*Input!$E$58</f>
        <v>1.3239381135937934E-2</v>
      </c>
      <c r="M34" s="33">
        <f>M22*Input!D$370*Input!$E$58</f>
        <v>6.6636105052633159E-3</v>
      </c>
      <c r="N34" s="33">
        <f>N22*Input!E$370*Input!$E$58</f>
        <v>8.1223533467942657E-3</v>
      </c>
      <c r="O34" s="33">
        <f>O22*Input!F$370*Input!$E$58</f>
        <v>1.3161063006688215E-2</v>
      </c>
      <c r="P34" s="33">
        <f>P22*Input!G$370*Input!$E$58</f>
        <v>1.1066010238889334E-3</v>
      </c>
      <c r="Q34" s="33">
        <f>Q22*Input!H$370*Input!$E$58</f>
        <v>0</v>
      </c>
      <c r="R34" s="33">
        <f>R22*Input!I$370*Input!$E$58</f>
        <v>0</v>
      </c>
      <c r="S34" s="33">
        <f>S22*Input!J$370*Input!$E$58</f>
        <v>0</v>
      </c>
      <c r="T34" s="10"/>
    </row>
    <row r="35" spans="1:20" x14ac:dyDescent="0.25">
      <c r="A35" s="3" t="s">
        <v>193</v>
      </c>
      <c r="B35" s="33">
        <f>B23*Input!B$370*Input!$E$58</f>
        <v>0</v>
      </c>
      <c r="C35" s="33">
        <f>C23*Input!C$370*Input!$E$58</f>
        <v>2.3410937682352632E-2</v>
      </c>
      <c r="D35" s="33">
        <f>D23*Input!D$370*Input!$E$58</f>
        <v>1.196267786330657E-2</v>
      </c>
      <c r="E35" s="33">
        <f>E23*Input!E$370*Input!$E$58</f>
        <v>1.0902023889170435E-2</v>
      </c>
      <c r="F35" s="33">
        <f>F23*Input!F$370*Input!$E$58</f>
        <v>0</v>
      </c>
      <c r="G35" s="33">
        <f>G23*Input!G$370*Input!$E$58</f>
        <v>0</v>
      </c>
      <c r="H35" s="33">
        <f>H23*Input!H$370*Input!$E$58</f>
        <v>0</v>
      </c>
      <c r="I35" s="33">
        <f>I23*Input!I$370*Input!$E$58</f>
        <v>0</v>
      </c>
      <c r="J35" s="33">
        <f>J23*Input!J$370*Input!$E$58</f>
        <v>0</v>
      </c>
      <c r="K35" s="33">
        <f>K23*Input!B$370*Input!$E$58</f>
        <v>1.0159406340322068E-2</v>
      </c>
      <c r="L35" s="33">
        <f>L23*Input!C$370*Input!$E$58</f>
        <v>1.0595174745863439E-2</v>
      </c>
      <c r="M35" s="33">
        <f>M23*Input!D$370*Input!$E$58</f>
        <v>5.41399341239322E-3</v>
      </c>
      <c r="N35" s="33">
        <f>N23*Input!E$370*Input!$E$58</f>
        <v>5.2793442807547797E-3</v>
      </c>
      <c r="O35" s="33">
        <f>O23*Input!F$370*Input!$E$58</f>
        <v>0</v>
      </c>
      <c r="P35" s="33">
        <f>P23*Input!G$370*Input!$E$58</f>
        <v>0</v>
      </c>
      <c r="Q35" s="33">
        <f>Q23*Input!H$370*Input!$E$58</f>
        <v>0</v>
      </c>
      <c r="R35" s="33">
        <f>R23*Input!I$370*Input!$E$58</f>
        <v>0</v>
      </c>
      <c r="S35" s="33">
        <f>S23*Input!J$370*Input!$E$58</f>
        <v>0</v>
      </c>
      <c r="T35" s="10"/>
    </row>
    <row r="37" spans="1:20" ht="21" customHeight="1" x14ac:dyDescent="0.3">
      <c r="A37" s="1" t="s">
        <v>1049</v>
      </c>
    </row>
    <row r="38" spans="1:20" x14ac:dyDescent="0.25">
      <c r="A38" s="2" t="s">
        <v>356</v>
      </c>
    </row>
    <row r="39" spans="1:20" x14ac:dyDescent="0.25">
      <c r="A39" s="11" t="s">
        <v>1050</v>
      </c>
    </row>
    <row r="40" spans="1:20" x14ac:dyDescent="0.25">
      <c r="A40" s="2" t="s">
        <v>1045</v>
      </c>
    </row>
    <row r="42" spans="1:20" ht="30" x14ac:dyDescent="0.25">
      <c r="B42" s="12" t="s">
        <v>1051</v>
      </c>
    </row>
    <row r="43" spans="1:20" x14ac:dyDescent="0.25">
      <c r="A43" s="3" t="s">
        <v>183</v>
      </c>
      <c r="B43" s="33">
        <f>ABS(Loads!B$67)</f>
        <v>1</v>
      </c>
      <c r="C43" s="10"/>
    </row>
    <row r="44" spans="1:20" x14ac:dyDescent="0.25">
      <c r="A44" s="3" t="s">
        <v>184</v>
      </c>
      <c r="B44" s="33">
        <f>ABS(Loads!B$68)</f>
        <v>1</v>
      </c>
      <c r="C44" s="10"/>
    </row>
    <row r="45" spans="1:20" x14ac:dyDescent="0.25">
      <c r="A45" s="3" t="s">
        <v>185</v>
      </c>
      <c r="B45" s="33">
        <f>ABS(Loads!B$69)</f>
        <v>1</v>
      </c>
      <c r="C45" s="10"/>
    </row>
    <row r="46" spans="1:20" x14ac:dyDescent="0.25">
      <c r="A46" s="3" t="s">
        <v>186</v>
      </c>
      <c r="B46" s="33">
        <f>ABS(Loads!B$70)</f>
        <v>1</v>
      </c>
      <c r="C46" s="10"/>
    </row>
    <row r="47" spans="1:20" x14ac:dyDescent="0.25">
      <c r="A47" s="3" t="s">
        <v>194</v>
      </c>
      <c r="B47" s="33">
        <f>ABS(Loads!B$71)</f>
        <v>1</v>
      </c>
      <c r="C47" s="10"/>
    </row>
    <row r="48" spans="1:20" x14ac:dyDescent="0.25">
      <c r="A48" s="3" t="s">
        <v>195</v>
      </c>
      <c r="B48" s="33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1" t="s">
        <v>977</v>
      </c>
    </row>
    <row r="53" spans="1:20" x14ac:dyDescent="0.25">
      <c r="A53" s="11" t="s">
        <v>1053</v>
      </c>
    </row>
    <row r="54" spans="1:20" x14ac:dyDescent="0.25">
      <c r="A54" s="11" t="s">
        <v>403</v>
      </c>
    </row>
    <row r="55" spans="1:20" x14ac:dyDescent="0.25">
      <c r="A55" s="11" t="s">
        <v>1054</v>
      </c>
    </row>
    <row r="56" spans="1:20" x14ac:dyDescent="0.25">
      <c r="A56" s="11" t="s">
        <v>1055</v>
      </c>
    </row>
    <row r="57" spans="1:20" x14ac:dyDescent="0.25">
      <c r="A57" s="11" t="s">
        <v>1056</v>
      </c>
    </row>
    <row r="58" spans="1:20" x14ac:dyDescent="0.25">
      <c r="A58" s="11" t="s">
        <v>1057</v>
      </c>
    </row>
    <row r="59" spans="1:20" x14ac:dyDescent="0.25">
      <c r="A59" s="2" t="s">
        <v>1058</v>
      </c>
    </row>
    <row r="61" spans="1:20" ht="30" x14ac:dyDescent="0.25">
      <c r="B61" s="12" t="s">
        <v>139</v>
      </c>
      <c r="C61" s="12" t="s">
        <v>311</v>
      </c>
      <c r="D61" s="12" t="s">
        <v>312</v>
      </c>
      <c r="E61" s="12" t="s">
        <v>313</v>
      </c>
      <c r="F61" s="12" t="s">
        <v>314</v>
      </c>
      <c r="G61" s="12" t="s">
        <v>315</v>
      </c>
      <c r="H61" s="12" t="s">
        <v>316</v>
      </c>
      <c r="I61" s="12" t="s">
        <v>317</v>
      </c>
      <c r="J61" s="12" t="s">
        <v>318</v>
      </c>
      <c r="K61" s="12" t="s">
        <v>299</v>
      </c>
      <c r="L61" s="12" t="s">
        <v>882</v>
      </c>
      <c r="M61" s="12" t="s">
        <v>883</v>
      </c>
      <c r="N61" s="12" t="s">
        <v>884</v>
      </c>
      <c r="O61" s="12" t="s">
        <v>885</v>
      </c>
      <c r="P61" s="12" t="s">
        <v>886</v>
      </c>
      <c r="Q61" s="12" t="s">
        <v>887</v>
      </c>
      <c r="R61" s="12" t="s">
        <v>888</v>
      </c>
      <c r="S61" s="12" t="s">
        <v>889</v>
      </c>
    </row>
    <row r="62" spans="1:20" x14ac:dyDescent="0.25">
      <c r="A62" s="3" t="s">
        <v>183</v>
      </c>
      <c r="B62" s="33">
        <f>Yard!B$11*$B$43*LAFs!$I$35/LAFs!B$77*(1-Contrib!B$115)*B8/(24*Input!$F$58)*100</f>
        <v>0</v>
      </c>
      <c r="C62" s="33">
        <f>Yard!C$11*$B$43*LAFs!$I$35/LAFs!C$77*(1-Contrib!C$115)*C8/(24*Input!$F$58)*100</f>
        <v>7.5663437961999438E-2</v>
      </c>
      <c r="D62" s="33">
        <f>Yard!D$11*$B$43*LAFs!$I$35/LAFs!D$77*(1-Contrib!D$115)*D8/(24*Input!$F$58)*100</f>
        <v>4.1172484719451452E-2</v>
      </c>
      <c r="E62" s="33">
        <f>Yard!E$11*$B$43*LAFs!$I$35/LAFs!E$77*(1-Contrib!E$115)*E8/(24*Input!$F$58)*100</f>
        <v>5.0185626664813243E-2</v>
      </c>
      <c r="F62" s="33">
        <f>Yard!F$11*$B$43*LAFs!$I$35/LAFs!F$77*(1-Contrib!F$115)*F8/(24*Input!$F$58)*100</f>
        <v>8.1318328120559336E-2</v>
      </c>
      <c r="G62" s="33">
        <f>Yard!G$11*$B$43*LAFs!$I$35/LAFs!G$77*(1-Contrib!G$115)*G8/(24*Input!$F$58)*100</f>
        <v>8.4273590091332326E-2</v>
      </c>
      <c r="H62" s="33">
        <f>Yard!H$11*$B$43*LAFs!$I$35/LAFs!H$77*(1-Contrib!H$115)*H8/(24*Input!$F$58)*100</f>
        <v>9.7989020722500889E-2</v>
      </c>
      <c r="I62" s="33">
        <f>Yard!I$11*$B$43*LAFs!$I$35/LAFs!I$77*(1-Contrib!I$115)*I8/(24*Input!$F$58)*100</f>
        <v>2.3256492123228292E-2</v>
      </c>
      <c r="J62" s="33">
        <f>Yard!J$11*$B$43*LAFs!$I$35/LAFs!J$77*(1-Contrib!J$115)*J8/(24*Input!$F$58)*100</f>
        <v>9.6628303403082962E-3</v>
      </c>
      <c r="K62" s="33">
        <f>Yard!K$11*$B$43*LAFs!$I$35/LAFs!B$77*(1-Contrib!K$115)*B8/(24*Input!$F$58)*100</f>
        <v>3.2342077462045107E-2</v>
      </c>
      <c r="L62" s="33">
        <f>Yard!L$11*$B$43*LAFs!$I$35/LAFs!C$77*(1-Contrib!L$115)*C8/(24*Input!$F$58)*100</f>
        <v>3.424328226222588E-2</v>
      </c>
      <c r="M62" s="33">
        <f>Yard!M$11*$B$43*LAFs!$I$35/LAFs!D$77*(1-Contrib!M$115)*D8/(24*Input!$F$58)*100</f>
        <v>1.8633583850544103E-2</v>
      </c>
      <c r="N62" s="33">
        <f>Yard!N$11*$B$43*LAFs!$I$35/LAFs!E$77*(1-Contrib!N$115)*E8/(24*Input!$F$58)*100</f>
        <v>2.2712694871900811E-2</v>
      </c>
      <c r="O62" s="33">
        <f>Yard!O$11*$B$43*LAFs!$I$35/LAFs!F$77*(1-Contrib!O$115)*F8/(24*Input!$F$58)*100</f>
        <v>3.6802536838507531E-2</v>
      </c>
      <c r="P62" s="33">
        <f>Yard!P$11*$B$43*LAFs!$I$35/LAFs!G$77*(1-Contrib!P$115)*G8/(24*Input!$F$58)*100</f>
        <v>3.8140010690473201E-2</v>
      </c>
      <c r="Q62" s="33">
        <f>Yard!Q$11*$B$43*LAFs!$I$35/LAFs!H$77*(1-Contrib!Q$115)*H8/(24*Input!$F$58)*100</f>
        <v>8.5141308815110034E-2</v>
      </c>
      <c r="R62" s="33">
        <f>Yard!R$11*$B$43*LAFs!$I$35/LAFs!I$77*(1-Contrib!R$115)*I8/(24*Input!$F$58)*100</f>
        <v>3.6159872905865156E-2</v>
      </c>
      <c r="S62" s="33">
        <f>Yard!S$11*$B$43*LAFs!$I$35/LAFs!J$77*(1-Contrib!S$115)*J8/(24*Input!$F$58)*100</f>
        <v>7.1356512090170743E-2</v>
      </c>
      <c r="T62" s="10"/>
    </row>
    <row r="63" spans="1:20" x14ac:dyDescent="0.25">
      <c r="A63" s="3" t="s">
        <v>184</v>
      </c>
      <c r="B63" s="33">
        <f>Yard!B$11*$B$44*LAFs!$I$36/LAFs!B$77*(1-Contrib!B$116)*B9/(24*Input!$F$58)*100</f>
        <v>0</v>
      </c>
      <c r="C63" s="33">
        <f>Yard!C$11*$B$44*LAFs!$I$36/LAFs!C$77*(1-Contrib!C$116)*C9/(24*Input!$F$58)*100</f>
        <v>7.5663437961999438E-2</v>
      </c>
      <c r="D63" s="33">
        <f>Yard!D$11*$B$44*LAFs!$I$36/LAFs!D$77*(1-Contrib!D$116)*D9/(24*Input!$F$58)*100</f>
        <v>4.1172484719451452E-2</v>
      </c>
      <c r="E63" s="33">
        <f>Yard!E$11*$B$44*LAFs!$I$36/LAFs!E$77*(1-Contrib!E$116)*E9/(24*Input!$F$58)*100</f>
        <v>5.0185626664813243E-2</v>
      </c>
      <c r="F63" s="33">
        <f>Yard!F$11*$B$44*LAFs!$I$36/LAFs!F$77*(1-Contrib!F$116)*F9/(24*Input!$F$58)*100</f>
        <v>8.1318328120559336E-2</v>
      </c>
      <c r="G63" s="33">
        <f>Yard!G$11*$B$44*LAFs!$I$36/LAFs!G$77*(1-Contrib!G$116)*G9/(24*Input!$F$58)*100</f>
        <v>8.4273590091332326E-2</v>
      </c>
      <c r="H63" s="33">
        <f>Yard!H$11*$B$44*LAFs!$I$36/LAFs!H$77*(1-Contrib!H$116)*H9/(24*Input!$F$58)*100</f>
        <v>9.7989020722500889E-2</v>
      </c>
      <c r="I63" s="33">
        <f>Yard!I$11*$B$44*LAFs!$I$36/LAFs!I$77*(1-Contrib!I$116)*I9/(24*Input!$F$58)*100</f>
        <v>2.3256492123228292E-2</v>
      </c>
      <c r="J63" s="33">
        <f>Yard!J$11*$B$44*LAFs!$I$36/LAFs!J$77*(1-Contrib!J$116)*J9/(24*Input!$F$58)*100</f>
        <v>9.6628303403082962E-3</v>
      </c>
      <c r="K63" s="33">
        <f>Yard!K$11*$B$44*LAFs!$I$36/LAFs!B$77*(1-Contrib!K$116)*B9/(24*Input!$F$58)*100</f>
        <v>3.2342077462045107E-2</v>
      </c>
      <c r="L63" s="33">
        <f>Yard!L$11*$B$44*LAFs!$I$36/LAFs!C$77*(1-Contrib!L$116)*C9/(24*Input!$F$58)*100</f>
        <v>3.424328226222588E-2</v>
      </c>
      <c r="M63" s="33">
        <f>Yard!M$11*$B$44*LAFs!$I$36/LAFs!D$77*(1-Contrib!M$116)*D9/(24*Input!$F$58)*100</f>
        <v>1.8633583850544103E-2</v>
      </c>
      <c r="N63" s="33">
        <f>Yard!N$11*$B$44*LAFs!$I$36/LAFs!E$77*(1-Contrib!N$116)*E9/(24*Input!$F$58)*100</f>
        <v>2.2712694871900811E-2</v>
      </c>
      <c r="O63" s="33">
        <f>Yard!O$11*$B$44*LAFs!$I$36/LAFs!F$77*(1-Contrib!O$116)*F9/(24*Input!$F$58)*100</f>
        <v>3.6802536838507531E-2</v>
      </c>
      <c r="P63" s="33">
        <f>Yard!P$11*$B$44*LAFs!$I$36/LAFs!G$77*(1-Contrib!P$116)*G9/(24*Input!$F$58)*100</f>
        <v>3.8140010690473201E-2</v>
      </c>
      <c r="Q63" s="33">
        <f>Yard!Q$11*$B$44*LAFs!$I$36/LAFs!H$77*(1-Contrib!Q$116)*H9/(24*Input!$F$58)*100</f>
        <v>8.5141308815110034E-2</v>
      </c>
      <c r="R63" s="33">
        <f>Yard!R$11*$B$44*LAFs!$I$36/LAFs!I$77*(1-Contrib!R$116)*I9/(24*Input!$F$58)*100</f>
        <v>3.6159872905865156E-2</v>
      </c>
      <c r="S63" s="33">
        <f>Yard!S$11*$B$44*LAFs!$I$36/LAFs!J$77*(1-Contrib!S$116)*J9/(24*Input!$F$58)*100</f>
        <v>7.1356512090170743E-2</v>
      </c>
      <c r="T63" s="10"/>
    </row>
    <row r="64" spans="1:20" x14ac:dyDescent="0.25">
      <c r="A64" s="3" t="s">
        <v>185</v>
      </c>
      <c r="B64" s="33">
        <f>Yard!B$11*$B$45*LAFs!$I$37/LAFs!B$77*(1-Contrib!B$117)*B10/(24*Input!$F$58)*100</f>
        <v>0</v>
      </c>
      <c r="C64" s="33">
        <f>Yard!C$11*$B$45*LAFs!$I$37/LAFs!C$77*(1-Contrib!C$117)*C10/(24*Input!$F$58)*100</f>
        <v>7.2894419189373644E-2</v>
      </c>
      <c r="D64" s="33">
        <f>Yard!D$11*$B$45*LAFs!$I$37/LAFs!D$77*(1-Contrib!D$117)*D10/(24*Input!$F$58)*100</f>
        <v>3.9665714921850309E-2</v>
      </c>
      <c r="E64" s="33">
        <f>Yard!E$11*$B$45*LAFs!$I$37/LAFs!E$77*(1-Contrib!E$117)*E10/(24*Input!$F$58)*100</f>
        <v>4.8349007207729493E-2</v>
      </c>
      <c r="F64" s="33">
        <f>Yard!F$11*$B$45*LAFs!$I$37/LAFs!F$77*(1-Contrib!F$117)*F10/(24*Input!$F$58)*100</f>
        <v>7.8342360028315627E-2</v>
      </c>
      <c r="G64" s="33">
        <f>Yard!G$11*$B$45*LAFs!$I$37/LAFs!G$77*(1-Contrib!G$117)*G10/(24*Input!$F$58)*100</f>
        <v>8.1189469685428117E-2</v>
      </c>
      <c r="H64" s="33">
        <f>Yard!H$11*$B$45*LAFs!$I$37/LAFs!H$77*(1-Contrib!H$117)*H10/(24*Input!$F$58)*100</f>
        <v>9.4402963239518231E-2</v>
      </c>
      <c r="I64" s="33">
        <f>Yard!I$11*$B$45*LAFs!$I$37/LAFs!I$77*(1-Contrib!I$117)*I10/(24*Input!$F$58)*100</f>
        <v>2.2405385366660015E-2</v>
      </c>
      <c r="J64" s="33">
        <f>Yard!J$11*$B$45*LAFs!$I$37/LAFs!J$77*(1-Contrib!J$117)*J10/(24*Input!$F$58)*100</f>
        <v>0</v>
      </c>
      <c r="K64" s="33">
        <f>Yard!K$11*$B$45*LAFs!$I$37/LAFs!B$77*(1-Contrib!K$117)*B10/(24*Input!$F$58)*100</f>
        <v>3.1158469869655526E-2</v>
      </c>
      <c r="L64" s="33">
        <f>Yard!L$11*$B$45*LAFs!$I$37/LAFs!C$77*(1-Contrib!L$117)*C10/(24*Input!$F$58)*100</f>
        <v>3.2990097184010837E-2</v>
      </c>
      <c r="M64" s="33">
        <f>Yard!M$11*$B$45*LAFs!$I$37/LAFs!D$77*(1-Contrib!M$117)*D10/(24*Input!$F$58)*100</f>
        <v>1.7951659464430867E-2</v>
      </c>
      <c r="N64" s="33">
        <f>Yard!N$11*$B$45*LAFs!$I$37/LAFs!E$77*(1-Contrib!N$117)*E10/(24*Input!$F$58)*100</f>
        <v>2.1881489204127681E-2</v>
      </c>
      <c r="O64" s="33">
        <f>Yard!O$11*$B$45*LAFs!$I$37/LAFs!F$77*(1-Contrib!O$117)*F10/(24*Input!$F$58)*100</f>
        <v>3.5455691940483473E-2</v>
      </c>
      <c r="P64" s="33">
        <f>Yard!P$11*$B$45*LAFs!$I$37/LAFs!G$77*(1-Contrib!P$117)*G10/(24*Input!$F$58)*100</f>
        <v>3.6744218899422025E-2</v>
      </c>
      <c r="Q64" s="33">
        <f>Yard!Q$11*$B$45*LAFs!$I$37/LAFs!H$77*(1-Contrib!Q$117)*H10/(24*Input!$F$58)*100</f>
        <v>8.202543292068698E-2</v>
      </c>
      <c r="R64" s="33">
        <f>Yard!R$11*$B$45*LAFs!$I$37/LAFs!I$77*(1-Contrib!R$117)*I10/(24*Input!$F$58)*100</f>
        <v>3.4836547273445567E-2</v>
      </c>
      <c r="S64" s="33">
        <f>Yard!S$11*$B$45*LAFs!$I$37/LAFs!J$77*(1-Contrib!S$117)*J10/(24*Input!$F$58)*100</f>
        <v>0</v>
      </c>
      <c r="T64" s="10"/>
    </row>
    <row r="65" spans="1:20" x14ac:dyDescent="0.25">
      <c r="A65" s="3" t="s">
        <v>186</v>
      </c>
      <c r="B65" s="33">
        <f>Yard!B$11*$B$46*LAFs!$I$38/LAFs!B$77*(1-Contrib!B$118)*B11/(24*Input!$F$58)*100</f>
        <v>0</v>
      </c>
      <c r="C65" s="33">
        <f>Yard!C$11*$B$46*LAFs!$I$38/LAFs!C$77*(1-Contrib!C$118)*C11/(24*Input!$F$58)*100</f>
        <v>7.2894419189373644E-2</v>
      </c>
      <c r="D65" s="33">
        <f>Yard!D$11*$B$46*LAFs!$I$38/LAFs!D$77*(1-Contrib!D$118)*D11/(24*Input!$F$58)*100</f>
        <v>3.9665714921850309E-2</v>
      </c>
      <c r="E65" s="33">
        <f>Yard!E$11*$B$46*LAFs!$I$38/LAFs!E$77*(1-Contrib!E$118)*E11/(24*Input!$F$58)*100</f>
        <v>4.8349007207729493E-2</v>
      </c>
      <c r="F65" s="33">
        <f>Yard!F$11*$B$46*LAFs!$I$38/LAFs!F$77*(1-Contrib!F$118)*F11/(24*Input!$F$58)*100</f>
        <v>7.8342360028315627E-2</v>
      </c>
      <c r="G65" s="33">
        <f>Yard!G$11*$B$46*LAFs!$I$38/LAFs!G$77*(1-Contrib!G$118)*G11/(24*Input!$F$58)*100</f>
        <v>8.1189469685428117E-2</v>
      </c>
      <c r="H65" s="33">
        <f>Yard!H$11*$B$46*LAFs!$I$38/LAFs!H$77*(1-Contrib!H$118)*H11/(24*Input!$F$58)*100</f>
        <v>9.4402963239518231E-2</v>
      </c>
      <c r="I65" s="33">
        <f>Yard!I$11*$B$46*LAFs!$I$38/LAFs!I$77*(1-Contrib!I$118)*I11/(24*Input!$F$58)*100</f>
        <v>2.2405385366660015E-2</v>
      </c>
      <c r="J65" s="33">
        <f>Yard!J$11*$B$46*LAFs!$I$38/LAFs!J$77*(1-Contrib!J$118)*J11/(24*Input!$F$58)*100</f>
        <v>0</v>
      </c>
      <c r="K65" s="33">
        <f>Yard!K$11*$B$46*LAFs!$I$38/LAFs!B$77*(1-Contrib!K$118)*B11/(24*Input!$F$58)*100</f>
        <v>3.1158469869655526E-2</v>
      </c>
      <c r="L65" s="33">
        <f>Yard!L$11*$B$46*LAFs!$I$38/LAFs!C$77*(1-Contrib!L$118)*C11/(24*Input!$F$58)*100</f>
        <v>3.2990097184010837E-2</v>
      </c>
      <c r="M65" s="33">
        <f>Yard!M$11*$B$46*LAFs!$I$38/LAFs!D$77*(1-Contrib!M$118)*D11/(24*Input!$F$58)*100</f>
        <v>1.7951659464430867E-2</v>
      </c>
      <c r="N65" s="33">
        <f>Yard!N$11*$B$46*LAFs!$I$38/LAFs!E$77*(1-Contrib!N$118)*E11/(24*Input!$F$58)*100</f>
        <v>2.1881489204127681E-2</v>
      </c>
      <c r="O65" s="33">
        <f>Yard!O$11*$B$46*LAFs!$I$38/LAFs!F$77*(1-Contrib!O$118)*F11/(24*Input!$F$58)*100</f>
        <v>3.5455691940483473E-2</v>
      </c>
      <c r="P65" s="33">
        <f>Yard!P$11*$B$46*LAFs!$I$38/LAFs!G$77*(1-Contrib!P$118)*G11/(24*Input!$F$58)*100</f>
        <v>3.6744218899422025E-2</v>
      </c>
      <c r="Q65" s="33">
        <f>Yard!Q$11*$B$46*LAFs!$I$38/LAFs!H$77*(1-Contrib!Q$118)*H11/(24*Input!$F$58)*100</f>
        <v>8.202543292068698E-2</v>
      </c>
      <c r="R65" s="33">
        <f>Yard!R$11*$B$46*LAFs!$I$38/LAFs!I$77*(1-Contrib!R$118)*I11/(24*Input!$F$58)*100</f>
        <v>3.4836547273445567E-2</v>
      </c>
      <c r="S65" s="33">
        <f>Yard!S$11*$B$46*LAFs!$I$38/LAFs!J$77*(1-Contrib!S$118)*J11/(24*Input!$F$58)*100</f>
        <v>0</v>
      </c>
      <c r="T65" s="10"/>
    </row>
    <row r="66" spans="1:20" x14ac:dyDescent="0.25">
      <c r="A66" s="3" t="s">
        <v>194</v>
      </c>
      <c r="B66" s="33">
        <f>Yard!B$11*$B$47*LAFs!$I$39/LAFs!B$77*(1-Contrib!B$119)*B12/(24*Input!$F$58)*100</f>
        <v>0</v>
      </c>
      <c r="C66" s="33">
        <f>Yard!C$11*$B$47*LAFs!$I$39/LAFs!C$77*(1-Contrib!C$119)*C12/(24*Input!$F$58)*100</f>
        <v>7.1579135272376415E-2</v>
      </c>
      <c r="D66" s="33">
        <f>Yard!D$11*$B$47*LAFs!$I$39/LAFs!D$77*(1-Contrib!D$119)*D12/(24*Input!$F$58)*100</f>
        <v>3.8949999267989768E-2</v>
      </c>
      <c r="E66" s="33">
        <f>Yard!E$11*$B$47*LAFs!$I$39/LAFs!E$77*(1-Contrib!E$119)*E12/(24*Input!$F$58)*100</f>
        <v>4.4370690592330245E-2</v>
      </c>
      <c r="F66" s="33">
        <f>Yard!F$11*$B$47*LAFs!$I$39/LAFs!F$77*(1-Contrib!F$119)*F12/(24*Input!$F$58)*100</f>
        <v>4.9878338977984604E-2</v>
      </c>
      <c r="G66" s="33">
        <f>Yard!G$11*$B$47*LAFs!$I$39/LAFs!G$77*(1-Contrib!G$119)*G12/(24*Input!$F$58)*100</f>
        <v>5.1691012230789632E-2</v>
      </c>
      <c r="H66" s="33">
        <f>Yard!H$11*$B$47*LAFs!$I$39/LAFs!H$77*(1-Contrib!H$119)*H12/(24*Input!$F$58)*100</f>
        <v>6.4454438474880138E-2</v>
      </c>
      <c r="I66" s="33">
        <f>Yard!I$11*$B$47*LAFs!$I$39/LAFs!I$77*(1-Contrib!I$119)*I12/(24*Input!$F$58)*100</f>
        <v>0</v>
      </c>
      <c r="J66" s="33">
        <f>Yard!J$11*$B$47*LAFs!$I$39/LAFs!J$77*(1-Contrib!J$119)*J12/(24*Input!$F$58)*100</f>
        <v>0</v>
      </c>
      <c r="K66" s="33">
        <f>Yard!K$11*$B$47*LAFs!$I$39/LAFs!B$77*(1-Contrib!K$119)*B12/(24*Input!$F$58)*100</f>
        <v>3.0596256263270481E-2</v>
      </c>
      <c r="L66" s="33">
        <f>Yard!L$11*$B$47*LAFs!$I$39/LAFs!C$77*(1-Contrib!L$119)*C12/(24*Input!$F$58)*100</f>
        <v>3.23948342718587E-2</v>
      </c>
      <c r="M66" s="33">
        <f>Yard!M$11*$B$47*LAFs!$I$39/LAFs!D$77*(1-Contrib!M$119)*D12/(24*Input!$F$58)*100</f>
        <v>1.7627745381027085E-2</v>
      </c>
      <c r="N66" s="33">
        <f>Yard!N$11*$B$47*LAFs!$I$39/LAFs!E$77*(1-Contrib!N$119)*E12/(24*Input!$F$58)*100</f>
        <v>2.1486666511935443E-2</v>
      </c>
      <c r="O66" s="33">
        <f>Yard!O$11*$B$47*LAFs!$I$39/LAFs!F$77*(1-Contrib!O$119)*F12/(24*Input!$F$58)*100</f>
        <v>3.4815940613922042E-2</v>
      </c>
      <c r="P66" s="33">
        <f>Yard!P$11*$B$47*LAFs!$I$39/LAFs!G$77*(1-Contrib!P$119)*G12/(24*Input!$F$58)*100</f>
        <v>3.6081217798672731E-2</v>
      </c>
      <c r="Q66" s="33">
        <f>Yard!Q$11*$B$47*LAFs!$I$39/LAFs!H$77*(1-Contrib!Q$119)*H12/(24*Input!$F$58)*100</f>
        <v>8.0545391870836022E-2</v>
      </c>
      <c r="R66" s="33">
        <f>Yard!R$11*$B$47*LAFs!$I$39/LAFs!I$77*(1-Contrib!R$119)*I12/(24*Input!$F$58)*100</f>
        <v>0</v>
      </c>
      <c r="S66" s="33">
        <f>Yard!S$11*$B$47*LAFs!$I$39/LAFs!J$77*(1-Contrib!S$119)*J12/(24*Input!$F$58)*100</f>
        <v>0</v>
      </c>
      <c r="T66" s="10"/>
    </row>
    <row r="67" spans="1:20" x14ac:dyDescent="0.25">
      <c r="A67" s="3" t="s">
        <v>195</v>
      </c>
      <c r="B67" s="33">
        <f>Yard!B$11*$B$48*LAFs!$I$40/LAFs!B$77*(1-Contrib!B$120)*B13/(24*Input!$F$58)*100</f>
        <v>0</v>
      </c>
      <c r="C67" s="33">
        <f>Yard!C$11*$B$48*LAFs!$I$40/LAFs!C$77*(1-Contrib!C$120)*C13/(24*Input!$F$58)*100</f>
        <v>7.1579135272376415E-2</v>
      </c>
      <c r="D67" s="33">
        <f>Yard!D$11*$B$48*LAFs!$I$40/LAFs!D$77*(1-Contrib!D$120)*D13/(24*Input!$F$58)*100</f>
        <v>3.8949999267989768E-2</v>
      </c>
      <c r="E67" s="33">
        <f>Yard!E$11*$B$48*LAFs!$I$40/LAFs!E$77*(1-Contrib!E$120)*E13/(24*Input!$F$58)*100</f>
        <v>4.4370690592330245E-2</v>
      </c>
      <c r="F67" s="33">
        <f>Yard!F$11*$B$48*LAFs!$I$40/LAFs!F$77*(1-Contrib!F$120)*F13/(24*Input!$F$58)*100</f>
        <v>4.9878338977984604E-2</v>
      </c>
      <c r="G67" s="33">
        <f>Yard!G$11*$B$48*LAFs!$I$40/LAFs!G$77*(1-Contrib!G$120)*G13/(24*Input!$F$58)*100</f>
        <v>5.1691012230789632E-2</v>
      </c>
      <c r="H67" s="33">
        <f>Yard!H$11*$B$48*LAFs!$I$40/LAFs!H$77*(1-Contrib!H$120)*H13/(24*Input!$F$58)*100</f>
        <v>6.4454438474880138E-2</v>
      </c>
      <c r="I67" s="33">
        <f>Yard!I$11*$B$48*LAFs!$I$40/LAFs!I$77*(1-Contrib!I$120)*I13/(24*Input!$F$58)*100</f>
        <v>0</v>
      </c>
      <c r="J67" s="33">
        <f>Yard!J$11*$B$48*LAFs!$I$40/LAFs!J$77*(1-Contrib!J$120)*J13/(24*Input!$F$58)*100</f>
        <v>0</v>
      </c>
      <c r="K67" s="33">
        <f>Yard!K$11*$B$48*LAFs!$I$40/LAFs!B$77*(1-Contrib!K$120)*B13/(24*Input!$F$58)*100</f>
        <v>3.0596256263270481E-2</v>
      </c>
      <c r="L67" s="33">
        <f>Yard!L$11*$B$48*LAFs!$I$40/LAFs!C$77*(1-Contrib!L$120)*C13/(24*Input!$F$58)*100</f>
        <v>3.23948342718587E-2</v>
      </c>
      <c r="M67" s="33">
        <f>Yard!M$11*$B$48*LAFs!$I$40/LAFs!D$77*(1-Contrib!M$120)*D13/(24*Input!$F$58)*100</f>
        <v>1.7627745381027085E-2</v>
      </c>
      <c r="N67" s="33">
        <f>Yard!N$11*$B$48*LAFs!$I$40/LAFs!E$77*(1-Contrib!N$120)*E13/(24*Input!$F$58)*100</f>
        <v>2.1486666511935443E-2</v>
      </c>
      <c r="O67" s="33">
        <f>Yard!O$11*$B$48*LAFs!$I$40/LAFs!F$77*(1-Contrib!O$120)*F13/(24*Input!$F$58)*100</f>
        <v>3.4815940613922042E-2</v>
      </c>
      <c r="P67" s="33">
        <f>Yard!P$11*$B$48*LAFs!$I$40/LAFs!G$77*(1-Contrib!P$120)*G13/(24*Input!$F$58)*100</f>
        <v>3.6081217798672731E-2</v>
      </c>
      <c r="Q67" s="33">
        <f>Yard!Q$11*$B$48*LAFs!$I$40/LAFs!H$77*(1-Contrib!Q$120)*H13/(24*Input!$F$58)*100</f>
        <v>8.0545391870836022E-2</v>
      </c>
      <c r="R67" s="33">
        <f>Yard!R$11*$B$48*LAFs!$I$40/LAFs!I$77*(1-Contrib!R$120)*I13/(24*Input!$F$58)*100</f>
        <v>0</v>
      </c>
      <c r="S67" s="33">
        <f>Yard!S$11*$B$48*LAFs!$I$40/LAFs!J$77*(1-Contrib!S$120)*J13/(24*Input!$F$58)*100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1" t="s">
        <v>1060</v>
      </c>
    </row>
    <row r="72" spans="1:20" x14ac:dyDescent="0.25">
      <c r="A72" s="11" t="s">
        <v>1048</v>
      </c>
    </row>
    <row r="73" spans="1:20" x14ac:dyDescent="0.25">
      <c r="A73" s="11" t="s">
        <v>1031</v>
      </c>
    </row>
    <row r="74" spans="1:20" x14ac:dyDescent="0.25">
      <c r="A74" s="2" t="s">
        <v>699</v>
      </c>
    </row>
    <row r="76" spans="1:20" ht="30" x14ac:dyDescent="0.25">
      <c r="B76" s="12" t="s">
        <v>139</v>
      </c>
      <c r="C76" s="12" t="s">
        <v>311</v>
      </c>
      <c r="D76" s="12" t="s">
        <v>312</v>
      </c>
      <c r="E76" s="12" t="s">
        <v>313</v>
      </c>
      <c r="F76" s="12" t="s">
        <v>314</v>
      </c>
      <c r="G76" s="12" t="s">
        <v>315</v>
      </c>
      <c r="H76" s="12" t="s">
        <v>316</v>
      </c>
      <c r="I76" s="12" t="s">
        <v>317</v>
      </c>
      <c r="J76" s="12" t="s">
        <v>318</v>
      </c>
      <c r="K76" s="12" t="s">
        <v>299</v>
      </c>
      <c r="L76" s="12" t="s">
        <v>882</v>
      </c>
      <c r="M76" s="12" t="s">
        <v>883</v>
      </c>
      <c r="N76" s="12" t="s">
        <v>884</v>
      </c>
      <c r="O76" s="12" t="s">
        <v>885</v>
      </c>
      <c r="P76" s="12" t="s">
        <v>886</v>
      </c>
      <c r="Q76" s="12" t="s">
        <v>887</v>
      </c>
      <c r="R76" s="12" t="s">
        <v>888</v>
      </c>
      <c r="S76" s="12" t="s">
        <v>889</v>
      </c>
    </row>
    <row r="77" spans="1:20" x14ac:dyDescent="0.25">
      <c r="A77" s="3" t="s">
        <v>183</v>
      </c>
      <c r="B77" s="33">
        <f>B62*Input!B$370*Input!$E$58</f>
        <v>0</v>
      </c>
      <c r="C77" s="33">
        <f>C62*Input!C$370*Input!$E$58</f>
        <v>2.0892452771279518E-2</v>
      </c>
      <c r="D77" s="33">
        <f>D62*Input!D$370*Input!$E$58</f>
        <v>1.13686902901423E-2</v>
      </c>
      <c r="E77" s="33">
        <f>E62*Input!E$370*Input!$E$58</f>
        <v>1.3857430525669042E-2</v>
      </c>
      <c r="F77" s="33">
        <f>F62*Input!F$370*Input!$E$58</f>
        <v>2.2453900793557094E-2</v>
      </c>
      <c r="G77" s="33">
        <f>G62*Input!G$370*Input!$E$58</f>
        <v>2.3269918051220462E-2</v>
      </c>
      <c r="H77" s="33">
        <f>H62*Input!H$370*Input!$E$58</f>
        <v>2.7057070663071957E-2</v>
      </c>
      <c r="I77" s="33">
        <f>I62*Input!I$370*Input!$E$58</f>
        <v>6.4216638365574676E-3</v>
      </c>
      <c r="J77" s="33">
        <f>J62*Input!J$370*Input!$E$58</f>
        <v>2.668134464404968E-3</v>
      </c>
      <c r="K77" s="33">
        <f>K62*Input!B$370*Input!$E$58</f>
        <v>8.9304073949190849E-3</v>
      </c>
      <c r="L77" s="33">
        <f>L62*Input!C$370*Input!$E$58</f>
        <v>9.4553747049725325E-3</v>
      </c>
      <c r="M77" s="33">
        <f>M62*Input!D$370*Input!$E$58</f>
        <v>5.1451702571681827E-3</v>
      </c>
      <c r="N77" s="33">
        <f>N62*Input!E$370*Input!$E$58</f>
        <v>6.2715086401174507E-3</v>
      </c>
      <c r="O77" s="33">
        <f>O62*Input!F$370*Input!$E$58</f>
        <v>1.0162045017673619E-2</v>
      </c>
      <c r="P77" s="33">
        <f>P62*Input!G$370*Input!$E$58</f>
        <v>1.0531352969276981E-2</v>
      </c>
      <c r="Q77" s="33">
        <f>Q62*Input!H$370*Input!$E$58</f>
        <v>2.3509515576043291E-2</v>
      </c>
      <c r="R77" s="33">
        <f>R62*Input!I$370*Input!$E$58</f>
        <v>9.9845904078622195E-3</v>
      </c>
      <c r="S77" s="33">
        <f>S62*Input!J$370*Input!$E$58</f>
        <v>1.9703209356094303E-2</v>
      </c>
      <c r="T77" s="10"/>
    </row>
    <row r="78" spans="1:20" x14ac:dyDescent="0.25">
      <c r="A78" s="3" t="s">
        <v>184</v>
      </c>
      <c r="B78" s="33">
        <f>B63*Input!B$370*Input!$E$58</f>
        <v>0</v>
      </c>
      <c r="C78" s="33">
        <f>C63*Input!C$370*Input!$E$58</f>
        <v>2.0892452771279518E-2</v>
      </c>
      <c r="D78" s="33">
        <f>D63*Input!D$370*Input!$E$58</f>
        <v>1.13686902901423E-2</v>
      </c>
      <c r="E78" s="33">
        <f>E63*Input!E$370*Input!$E$58</f>
        <v>1.3857430525669042E-2</v>
      </c>
      <c r="F78" s="33">
        <f>F63*Input!F$370*Input!$E$58</f>
        <v>2.2453900793557094E-2</v>
      </c>
      <c r="G78" s="33">
        <f>G63*Input!G$370*Input!$E$58</f>
        <v>2.3269918051220462E-2</v>
      </c>
      <c r="H78" s="33">
        <f>H63*Input!H$370*Input!$E$58</f>
        <v>2.7057070663071957E-2</v>
      </c>
      <c r="I78" s="33">
        <f>I63*Input!I$370*Input!$E$58</f>
        <v>6.4216638365574676E-3</v>
      </c>
      <c r="J78" s="33">
        <f>J63*Input!J$370*Input!$E$58</f>
        <v>2.668134464404968E-3</v>
      </c>
      <c r="K78" s="33">
        <f>K63*Input!B$370*Input!$E$58</f>
        <v>8.9304073949190849E-3</v>
      </c>
      <c r="L78" s="33">
        <f>L63*Input!C$370*Input!$E$58</f>
        <v>9.4553747049725325E-3</v>
      </c>
      <c r="M78" s="33">
        <f>M63*Input!D$370*Input!$E$58</f>
        <v>5.1451702571681827E-3</v>
      </c>
      <c r="N78" s="33">
        <f>N63*Input!E$370*Input!$E$58</f>
        <v>6.2715086401174507E-3</v>
      </c>
      <c r="O78" s="33">
        <f>O63*Input!F$370*Input!$E$58</f>
        <v>1.0162045017673619E-2</v>
      </c>
      <c r="P78" s="33">
        <f>P63*Input!G$370*Input!$E$58</f>
        <v>1.0531352969276981E-2</v>
      </c>
      <c r="Q78" s="33">
        <f>Q63*Input!H$370*Input!$E$58</f>
        <v>2.3509515576043291E-2</v>
      </c>
      <c r="R78" s="33">
        <f>R63*Input!I$370*Input!$E$58</f>
        <v>9.9845904078622195E-3</v>
      </c>
      <c r="S78" s="33">
        <f>S63*Input!J$370*Input!$E$58</f>
        <v>1.9703209356094303E-2</v>
      </c>
      <c r="T78" s="10"/>
    </row>
    <row r="79" spans="1:20" x14ac:dyDescent="0.25">
      <c r="A79" s="3" t="s">
        <v>185</v>
      </c>
      <c r="B79" s="33">
        <f>B64*Input!B$370*Input!$E$58</f>
        <v>0</v>
      </c>
      <c r="C79" s="33">
        <f>C64*Input!C$370*Input!$E$58</f>
        <v>2.0127861636008538E-2</v>
      </c>
      <c r="D79" s="33">
        <f>D64*Input!D$370*Input!$E$58</f>
        <v>1.0952635750704339E-2</v>
      </c>
      <c r="E79" s="33">
        <f>E64*Input!E$370*Input!$E$58</f>
        <v>1.3350296746138607E-2</v>
      </c>
      <c r="F79" s="33">
        <f>F64*Input!F$370*Input!$E$58</f>
        <v>2.1632166089309807E-2</v>
      </c>
      <c r="G79" s="33">
        <f>G64*Input!G$370*Input!$E$58</f>
        <v>2.2418319952365186E-2</v>
      </c>
      <c r="H79" s="33">
        <f>H64*Input!H$370*Input!$E$58</f>
        <v>2.6066875945301712E-2</v>
      </c>
      <c r="I79" s="33">
        <f>I64*Input!I$370*Input!$E$58</f>
        <v>6.1866532661436551E-3</v>
      </c>
      <c r="J79" s="33">
        <f>J64*Input!J$370*Input!$E$58</f>
        <v>0</v>
      </c>
      <c r="K79" s="33">
        <f>K64*Input!B$370*Input!$E$58</f>
        <v>8.6035855323419903E-3</v>
      </c>
      <c r="L79" s="33">
        <f>L64*Input!C$370*Input!$E$58</f>
        <v>9.1093408639854288E-3</v>
      </c>
      <c r="M79" s="33">
        <f>M64*Input!D$370*Input!$E$58</f>
        <v>4.9568749138134451E-3</v>
      </c>
      <c r="N79" s="33">
        <f>N64*Input!E$370*Input!$E$58</f>
        <v>6.0419932278533177E-3</v>
      </c>
      <c r="O79" s="33">
        <f>O64*Input!F$370*Input!$E$58</f>
        <v>9.7901495001009343E-3</v>
      </c>
      <c r="P79" s="33">
        <f>P64*Input!G$370*Input!$E$58</f>
        <v>1.014594206463738E-2</v>
      </c>
      <c r="Q79" s="33">
        <f>Q64*Input!H$370*Input!$E$58</f>
        <v>2.2649149040780959E-2</v>
      </c>
      <c r="R79" s="33">
        <f>R64*Input!I$370*Input!$E$58</f>
        <v>9.6191891120575631E-3</v>
      </c>
      <c r="S79" s="33">
        <f>S64*Input!J$370*Input!$E$58</f>
        <v>0</v>
      </c>
      <c r="T79" s="10"/>
    </row>
    <row r="80" spans="1:20" x14ac:dyDescent="0.25">
      <c r="A80" s="3" t="s">
        <v>186</v>
      </c>
      <c r="B80" s="33">
        <f>B65*Input!B$370*Input!$E$58</f>
        <v>0</v>
      </c>
      <c r="C80" s="33">
        <f>C65*Input!C$370*Input!$E$58</f>
        <v>2.0127861636008538E-2</v>
      </c>
      <c r="D80" s="33">
        <f>D65*Input!D$370*Input!$E$58</f>
        <v>1.0952635750704339E-2</v>
      </c>
      <c r="E80" s="33">
        <f>E65*Input!E$370*Input!$E$58</f>
        <v>1.3350296746138607E-2</v>
      </c>
      <c r="F80" s="33">
        <f>F65*Input!F$370*Input!$E$58</f>
        <v>2.1632166089309807E-2</v>
      </c>
      <c r="G80" s="33">
        <f>G65*Input!G$370*Input!$E$58</f>
        <v>2.2418319952365186E-2</v>
      </c>
      <c r="H80" s="33">
        <f>H65*Input!H$370*Input!$E$58</f>
        <v>2.6066875945301712E-2</v>
      </c>
      <c r="I80" s="33">
        <f>I65*Input!I$370*Input!$E$58</f>
        <v>6.1866532661436551E-3</v>
      </c>
      <c r="J80" s="33">
        <f>J65*Input!J$370*Input!$E$58</f>
        <v>0</v>
      </c>
      <c r="K80" s="33">
        <f>K65*Input!B$370*Input!$E$58</f>
        <v>8.6035855323419903E-3</v>
      </c>
      <c r="L80" s="33">
        <f>L65*Input!C$370*Input!$E$58</f>
        <v>9.1093408639854288E-3</v>
      </c>
      <c r="M80" s="33">
        <f>M65*Input!D$370*Input!$E$58</f>
        <v>4.9568749138134451E-3</v>
      </c>
      <c r="N80" s="33">
        <f>N65*Input!E$370*Input!$E$58</f>
        <v>6.0419932278533177E-3</v>
      </c>
      <c r="O80" s="33">
        <f>O65*Input!F$370*Input!$E$58</f>
        <v>9.7901495001009343E-3</v>
      </c>
      <c r="P80" s="33">
        <f>P65*Input!G$370*Input!$E$58</f>
        <v>1.014594206463738E-2</v>
      </c>
      <c r="Q80" s="33">
        <f>Q65*Input!H$370*Input!$E$58</f>
        <v>2.2649149040780959E-2</v>
      </c>
      <c r="R80" s="33">
        <f>R65*Input!I$370*Input!$E$58</f>
        <v>9.6191891120575631E-3</v>
      </c>
      <c r="S80" s="33">
        <f>S65*Input!J$370*Input!$E$58</f>
        <v>0</v>
      </c>
      <c r="T80" s="10"/>
    </row>
    <row r="81" spans="1:20" x14ac:dyDescent="0.25">
      <c r="A81" s="3" t="s">
        <v>194</v>
      </c>
      <c r="B81" s="33">
        <f>B66*Input!B$370*Input!$E$58</f>
        <v>0</v>
      </c>
      <c r="C81" s="33">
        <f>C66*Input!C$370*Input!$E$58</f>
        <v>1.9764680846754826E-2</v>
      </c>
      <c r="D81" s="33">
        <f>D66*Input!D$370*Input!$E$58</f>
        <v>1.075500984447131E-2</v>
      </c>
      <c r="E81" s="33">
        <f>E66*Input!E$370*Input!$E$58</f>
        <v>1.2251790066622283E-2</v>
      </c>
      <c r="F81" s="33">
        <f>F66*Input!F$370*Input!$E$58</f>
        <v>1.3772581176271418E-2</v>
      </c>
      <c r="G81" s="33">
        <f>G66*Input!G$370*Input!$E$58</f>
        <v>1.4273102846235858E-2</v>
      </c>
      <c r="H81" s="33">
        <f>H66*Input!H$370*Input!$E$58</f>
        <v>1.7797384681516659E-2</v>
      </c>
      <c r="I81" s="33">
        <f>I66*Input!I$370*Input!$E$58</f>
        <v>0</v>
      </c>
      <c r="J81" s="33">
        <f>J66*Input!J$370*Input!$E$58</f>
        <v>0</v>
      </c>
      <c r="K81" s="33">
        <f>K66*Input!B$370*Input!$E$58</f>
        <v>8.4483451476178705E-3</v>
      </c>
      <c r="L81" s="33">
        <f>L66*Input!C$370*Input!$E$58</f>
        <v>8.9449747895165577E-3</v>
      </c>
      <c r="M81" s="33">
        <f>M66*Input!D$370*Input!$E$58</f>
        <v>4.8674346257199458E-3</v>
      </c>
      <c r="N81" s="33">
        <f>N66*Input!E$370*Input!$E$58</f>
        <v>5.9329734070278544E-3</v>
      </c>
      <c r="O81" s="33">
        <f>O66*Input!F$370*Input!$E$58</f>
        <v>9.613499129253909E-3</v>
      </c>
      <c r="P81" s="33">
        <f>P66*Input!G$370*Input!$E$58</f>
        <v>9.9628718849335759E-3</v>
      </c>
      <c r="Q81" s="33">
        <f>Q66*Input!H$370*Input!$E$58</f>
        <v>2.2240474936531345E-2</v>
      </c>
      <c r="R81" s="33">
        <f>R66*Input!I$370*Input!$E$58</f>
        <v>0</v>
      </c>
      <c r="S81" s="33">
        <f>S66*Input!J$370*Input!$E$58</f>
        <v>0</v>
      </c>
      <c r="T81" s="10"/>
    </row>
    <row r="82" spans="1:20" x14ac:dyDescent="0.25">
      <c r="A82" s="3" t="s">
        <v>195</v>
      </c>
      <c r="B82" s="33">
        <f>B67*Input!B$370*Input!$E$58</f>
        <v>0</v>
      </c>
      <c r="C82" s="33">
        <f>C67*Input!C$370*Input!$E$58</f>
        <v>1.9764680846754826E-2</v>
      </c>
      <c r="D82" s="33">
        <f>D67*Input!D$370*Input!$E$58</f>
        <v>1.075500984447131E-2</v>
      </c>
      <c r="E82" s="33">
        <f>E67*Input!E$370*Input!$E$58</f>
        <v>1.2251790066622283E-2</v>
      </c>
      <c r="F82" s="33">
        <f>F67*Input!F$370*Input!$E$58</f>
        <v>1.3772581176271418E-2</v>
      </c>
      <c r="G82" s="33">
        <f>G67*Input!G$370*Input!$E$58</f>
        <v>1.4273102846235858E-2</v>
      </c>
      <c r="H82" s="33">
        <f>H67*Input!H$370*Input!$E$58</f>
        <v>1.7797384681516659E-2</v>
      </c>
      <c r="I82" s="33">
        <f>I67*Input!I$370*Input!$E$58</f>
        <v>0</v>
      </c>
      <c r="J82" s="33">
        <f>J67*Input!J$370*Input!$E$58</f>
        <v>0</v>
      </c>
      <c r="K82" s="33">
        <f>K67*Input!B$370*Input!$E$58</f>
        <v>8.4483451476178705E-3</v>
      </c>
      <c r="L82" s="33">
        <f>L67*Input!C$370*Input!$E$58</f>
        <v>8.9449747895165577E-3</v>
      </c>
      <c r="M82" s="33">
        <f>M67*Input!D$370*Input!$E$58</f>
        <v>4.8674346257199458E-3</v>
      </c>
      <c r="N82" s="33">
        <f>N67*Input!E$370*Input!$E$58</f>
        <v>5.9329734070278544E-3</v>
      </c>
      <c r="O82" s="33">
        <f>O67*Input!F$370*Input!$E$58</f>
        <v>9.613499129253909E-3</v>
      </c>
      <c r="P82" s="33">
        <f>P67*Input!G$370*Input!$E$58</f>
        <v>9.9628718849335759E-3</v>
      </c>
      <c r="Q82" s="33">
        <f>Q67*Input!H$370*Input!$E$58</f>
        <v>2.2240474936531345E-2</v>
      </c>
      <c r="R82" s="33">
        <f>R67*Input!I$370*Input!$E$58</f>
        <v>0</v>
      </c>
      <c r="S82" s="33">
        <f>S67*Input!J$370*Input!$E$58</f>
        <v>0</v>
      </c>
      <c r="T82" s="10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69" display="x2 = 1092. Average kVAr by kVA, by network level"/>
    <hyperlink ref="A29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7" display="x6 = 3201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East Midlands in April 17 (Final)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1" t="s">
        <v>1063</v>
      </c>
    </row>
    <row r="7" spans="1:24" x14ac:dyDescent="0.25">
      <c r="A7" s="11" t="s">
        <v>1064</v>
      </c>
    </row>
    <row r="8" spans="1:24" x14ac:dyDescent="0.25">
      <c r="A8" s="11" t="s">
        <v>1065</v>
      </c>
    </row>
    <row r="9" spans="1:24" x14ac:dyDescent="0.25">
      <c r="A9" s="11" t="s">
        <v>1066</v>
      </c>
    </row>
    <row r="10" spans="1:24" x14ac:dyDescent="0.25">
      <c r="A10" s="11" t="s">
        <v>1067</v>
      </c>
    </row>
    <row r="11" spans="1:24" x14ac:dyDescent="0.25">
      <c r="A11" s="11" t="s">
        <v>1068</v>
      </c>
    </row>
    <row r="12" spans="1:24" x14ac:dyDescent="0.25">
      <c r="A12" s="2" t="s">
        <v>391</v>
      </c>
    </row>
    <row r="14" spans="1:24" ht="30" x14ac:dyDescent="0.25">
      <c r="B14" s="12" t="s">
        <v>139</v>
      </c>
      <c r="C14" s="12" t="s">
        <v>311</v>
      </c>
      <c r="D14" s="12" t="s">
        <v>312</v>
      </c>
      <c r="E14" s="12" t="s">
        <v>313</v>
      </c>
      <c r="F14" s="12" t="s">
        <v>314</v>
      </c>
      <c r="G14" s="12" t="s">
        <v>315</v>
      </c>
      <c r="H14" s="12" t="s">
        <v>316</v>
      </c>
      <c r="I14" s="12" t="s">
        <v>317</v>
      </c>
      <c r="J14" s="12" t="s">
        <v>318</v>
      </c>
      <c r="K14" s="12" t="s">
        <v>468</v>
      </c>
      <c r="L14" s="12" t="s">
        <v>480</v>
      </c>
      <c r="M14" s="12" t="s">
        <v>299</v>
      </c>
      <c r="N14" s="12" t="s">
        <v>882</v>
      </c>
      <c r="O14" s="12" t="s">
        <v>883</v>
      </c>
      <c r="P14" s="12" t="s">
        <v>884</v>
      </c>
      <c r="Q14" s="12" t="s">
        <v>885</v>
      </c>
      <c r="R14" s="12" t="s">
        <v>886</v>
      </c>
      <c r="S14" s="12" t="s">
        <v>887</v>
      </c>
      <c r="T14" s="12" t="s">
        <v>888</v>
      </c>
      <c r="U14" s="12" t="s">
        <v>889</v>
      </c>
      <c r="V14" s="12" t="s">
        <v>890</v>
      </c>
      <c r="W14" s="12" t="s">
        <v>891</v>
      </c>
    </row>
    <row r="15" spans="1:24" x14ac:dyDescent="0.25">
      <c r="A15" s="3" t="s">
        <v>171</v>
      </c>
      <c r="B15" s="34">
        <f>Standing!$B$79</f>
        <v>0</v>
      </c>
      <c r="C15" s="34">
        <f>Standing!$C$79</f>
        <v>0.14852313018664284</v>
      </c>
      <c r="D15" s="34">
        <f>Standing!$D$79</f>
        <v>7.4754271398667582E-2</v>
      </c>
      <c r="E15" s="34">
        <f>Standing!$E$79</f>
        <v>8.62399448715995E-2</v>
      </c>
      <c r="F15" s="34">
        <f>Standing!$F$79</f>
        <v>0.13973897707816488</v>
      </c>
      <c r="G15" s="34">
        <f>Standing!$G$79</f>
        <v>1.2414163943780492E-2</v>
      </c>
      <c r="H15" s="34">
        <f>Standing!$H$79</f>
        <v>0.18204787888387178</v>
      </c>
      <c r="I15" s="34">
        <f>Standing!$I$79</f>
        <v>4.3206831031642211E-2</v>
      </c>
      <c r="J15" s="34">
        <f>Standing!$J$79</f>
        <v>0</v>
      </c>
      <c r="K15" s="9"/>
      <c r="L15" s="9"/>
      <c r="M15" s="34">
        <f>Standing!$K$79</f>
        <v>6.5046388581286266E-2</v>
      </c>
      <c r="N15" s="34">
        <f>Standing!$L$79</f>
        <v>6.7217662935232222E-2</v>
      </c>
      <c r="O15" s="34">
        <f>Standing!$M$79</f>
        <v>3.3831817384470962E-2</v>
      </c>
      <c r="P15" s="34">
        <f>Standing!$N$79</f>
        <v>3.9029931153804306E-2</v>
      </c>
      <c r="Q15" s="34">
        <f>Standing!$O$79</f>
        <v>6.3242186239614848E-2</v>
      </c>
      <c r="R15" s="34">
        <f>Standing!$P$79</f>
        <v>5.6183241394598283E-3</v>
      </c>
      <c r="S15" s="34">
        <f>Standing!$Q$79</f>
        <v>0.15817889148093411</v>
      </c>
      <c r="T15" s="34">
        <f>Standing!$R$79</f>
        <v>6.7179242273124815E-2</v>
      </c>
      <c r="U15" s="34">
        <f>Standing!$S$79</f>
        <v>0</v>
      </c>
      <c r="V15" s="9"/>
      <c r="W15" s="9"/>
      <c r="X15" s="10"/>
    </row>
    <row r="16" spans="1:24" x14ac:dyDescent="0.25">
      <c r="A16" s="3" t="s">
        <v>172</v>
      </c>
      <c r="B16" s="34">
        <f>Standing!$B$80</f>
        <v>0</v>
      </c>
      <c r="C16" s="34">
        <f>Standing!$C$80</f>
        <v>0.17991228142212476</v>
      </c>
      <c r="D16" s="34">
        <f>Standing!$D$80</f>
        <v>9.0552976472296987E-2</v>
      </c>
      <c r="E16" s="34">
        <f>Standing!$E$80</f>
        <v>0.10456734005644332</v>
      </c>
      <c r="F16" s="34">
        <f>Standing!$F$80</f>
        <v>0.16943578937843298</v>
      </c>
      <c r="G16" s="34">
        <f>Standing!$G$80</f>
        <v>1.5037796161898371E-2</v>
      </c>
      <c r="H16" s="34">
        <f>Standing!$H$80</f>
        <v>0.22073602303603793</v>
      </c>
      <c r="I16" s="34">
        <f>Standing!$I$80</f>
        <v>5.2388987492672803E-2</v>
      </c>
      <c r="J16" s="34">
        <f>Standing!$J$80</f>
        <v>0</v>
      </c>
      <c r="K16" s="9"/>
      <c r="L16" s="9"/>
      <c r="M16" s="34">
        <f>Standing!$K$80</f>
        <v>7.8763349034288277E-2</v>
      </c>
      <c r="N16" s="34">
        <f>Standing!$L$80</f>
        <v>8.1423567328158905E-2</v>
      </c>
      <c r="O16" s="34">
        <f>Standing!$M$80</f>
        <v>4.0981895834324898E-2</v>
      </c>
      <c r="P16" s="34">
        <f>Standing!$N$80</f>
        <v>4.7324428249761838E-2</v>
      </c>
      <c r="Q16" s="34">
        <f>Standing!$O$80</f>
        <v>7.6682182534749496E-2</v>
      </c>
      <c r="R16" s="34">
        <f>Standing!$P$80</f>
        <v>6.8057110864077281E-3</v>
      </c>
      <c r="S16" s="34">
        <f>Standing!$Q$80</f>
        <v>0.19179448641652763</v>
      </c>
      <c r="T16" s="34">
        <f>Standing!$R$80</f>
        <v>8.1455927203652759E-2</v>
      </c>
      <c r="U16" s="34">
        <f>Standing!$S$80</f>
        <v>0</v>
      </c>
      <c r="V16" s="9"/>
      <c r="W16" s="9"/>
      <c r="X16" s="10"/>
    </row>
    <row r="17" spans="1:24" x14ac:dyDescent="0.25">
      <c r="A17" s="3" t="s">
        <v>211</v>
      </c>
      <c r="B17" s="34">
        <f>Standing!$B$81</f>
        <v>0</v>
      </c>
      <c r="C17" s="34">
        <f>Standing!$C$81</f>
        <v>4.3865530937929442E-2</v>
      </c>
      <c r="D17" s="34">
        <f>Standing!$D$81</f>
        <v>2.2078283703419618E-2</v>
      </c>
      <c r="E17" s="34">
        <f>Standing!$E$81</f>
        <v>3.1440106138130808E-2</v>
      </c>
      <c r="F17" s="34">
        <f>Standing!$F$81</f>
        <v>5.0944006023108751E-2</v>
      </c>
      <c r="G17" s="34">
        <f>Standing!$G$81</f>
        <v>3.666458496128604E-3</v>
      </c>
      <c r="H17" s="34">
        <f>Standing!$H$81</f>
        <v>6.6368370745740188E-2</v>
      </c>
      <c r="I17" s="34">
        <f>Standing!$I$81</f>
        <v>1.5751718713986233E-2</v>
      </c>
      <c r="J17" s="34">
        <f>Standing!$J$81</f>
        <v>0</v>
      </c>
      <c r="K17" s="9"/>
      <c r="L17" s="9"/>
      <c r="M17" s="34">
        <f>Standing!$K$81</f>
        <v>1.66826178479994E-2</v>
      </c>
      <c r="N17" s="34">
        <f>Standing!$L$81</f>
        <v>1.9852385748640206E-2</v>
      </c>
      <c r="O17" s="34">
        <f>Standing!$M$81</f>
        <v>9.9920506004683961E-3</v>
      </c>
      <c r="P17" s="34">
        <f>Standing!$N$81</f>
        <v>1.4228965241878947E-2</v>
      </c>
      <c r="Q17" s="34">
        <f>Standing!$O$81</f>
        <v>2.3055917425983025E-2</v>
      </c>
      <c r="R17" s="34">
        <f>Standing!$P$81</f>
        <v>1.6593426966499188E-3</v>
      </c>
      <c r="S17" s="34">
        <f>Standing!$Q$81</f>
        <v>5.7666562106189423E-2</v>
      </c>
      <c r="T17" s="34">
        <f>Standing!$R$81</f>
        <v>2.4491232113969166E-2</v>
      </c>
      <c r="U17" s="34">
        <f>Standing!$S$81</f>
        <v>0</v>
      </c>
      <c r="V17" s="9"/>
      <c r="W17" s="9"/>
      <c r="X17" s="10"/>
    </row>
    <row r="18" spans="1:24" x14ac:dyDescent="0.25">
      <c r="A18" s="3" t="s">
        <v>173</v>
      </c>
      <c r="B18" s="34">
        <f>Standing!$B$82</f>
        <v>0</v>
      </c>
      <c r="C18" s="34">
        <f>Standing!$C$82</f>
        <v>0.13971239054989121</v>
      </c>
      <c r="D18" s="34">
        <f>Standing!$D$82</f>
        <v>7.0319673089292864E-2</v>
      </c>
      <c r="E18" s="34">
        <f>Standing!$E$82</f>
        <v>8.7299173302801791E-2</v>
      </c>
      <c r="F18" s="34">
        <f>Standing!$F$82</f>
        <v>0.1414552988787956</v>
      </c>
      <c r="G18" s="34">
        <f>Standing!$G$82</f>
        <v>1.16777266886597E-2</v>
      </c>
      <c r="H18" s="34">
        <f>Standing!$H$82</f>
        <v>0.18428385305385728</v>
      </c>
      <c r="I18" s="34">
        <f>Standing!$I$82</f>
        <v>4.3737512074156888E-2</v>
      </c>
      <c r="J18" s="34">
        <f>Standing!$J$82</f>
        <v>0</v>
      </c>
      <c r="K18" s="9"/>
      <c r="L18" s="9"/>
      <c r="M18" s="34">
        <f>Standing!$K$82</f>
        <v>5.7353117223506861E-2</v>
      </c>
      <c r="N18" s="34">
        <f>Standing!$L$82</f>
        <v>6.3230153876077458E-2</v>
      </c>
      <c r="O18" s="34">
        <f>Standing!$M$82</f>
        <v>3.182483480850376E-2</v>
      </c>
      <c r="P18" s="34">
        <f>Standing!$N$82</f>
        <v>3.9509310086705184E-2</v>
      </c>
      <c r="Q18" s="34">
        <f>Standing!$O$82</f>
        <v>6.401894835160514E-2</v>
      </c>
      <c r="R18" s="34">
        <f>Standing!$P$82</f>
        <v>5.2850320042519949E-3</v>
      </c>
      <c r="S18" s="34">
        <f>Standing!$Q$82</f>
        <v>0.16012169860264699</v>
      </c>
      <c r="T18" s="34">
        <f>Standing!$R$82</f>
        <v>6.8004360650789214E-2</v>
      </c>
      <c r="U18" s="34">
        <f>Standing!$S$82</f>
        <v>0</v>
      </c>
      <c r="V18" s="9"/>
      <c r="W18" s="9"/>
      <c r="X18" s="10"/>
    </row>
    <row r="19" spans="1:24" x14ac:dyDescent="0.25">
      <c r="A19" s="3" t="s">
        <v>174</v>
      </c>
      <c r="B19" s="34">
        <f>Standing!$B$83</f>
        <v>0</v>
      </c>
      <c r="C19" s="34">
        <f>Standing!$C$83</f>
        <v>0.15219693563171241</v>
      </c>
      <c r="D19" s="34">
        <f>Standing!$D$83</f>
        <v>7.6603361496361558E-2</v>
      </c>
      <c r="E19" s="34">
        <f>Standing!$E$83</f>
        <v>9.4061665440270448E-2</v>
      </c>
      <c r="F19" s="34">
        <f>Standing!$F$83</f>
        <v>0.15241290947555516</v>
      </c>
      <c r="G19" s="34">
        <f>Standing!$G$83</f>
        <v>1.2721235462104503E-2</v>
      </c>
      <c r="H19" s="34">
        <f>Standing!$H$83</f>
        <v>0.19855910973946828</v>
      </c>
      <c r="I19" s="34">
        <f>Standing!$I$83</f>
        <v>4.7125569146450302E-2</v>
      </c>
      <c r="J19" s="34">
        <f>Standing!$J$83</f>
        <v>0</v>
      </c>
      <c r="K19" s="9"/>
      <c r="L19" s="9"/>
      <c r="M19" s="34">
        <f>Standing!$K$83</f>
        <v>6.332863732135241E-2</v>
      </c>
      <c r="N19" s="34">
        <f>Standing!$L$83</f>
        <v>6.8880330667766429E-2</v>
      </c>
      <c r="O19" s="34">
        <f>Standing!$M$83</f>
        <v>3.4668666936237602E-2</v>
      </c>
      <c r="P19" s="34">
        <f>Standing!$N$83</f>
        <v>4.2569836191476217E-2</v>
      </c>
      <c r="Q19" s="34">
        <f>Standing!$O$83</f>
        <v>6.8978074749917184E-2</v>
      </c>
      <c r="R19" s="34">
        <f>Standing!$P$83</f>
        <v>5.7572966334395546E-3</v>
      </c>
      <c r="S19" s="34">
        <f>Standing!$Q$83</f>
        <v>0.17252527227776876</v>
      </c>
      <c r="T19" s="34">
        <f>Standing!$R$83</f>
        <v>7.3272210698113599E-2</v>
      </c>
      <c r="U19" s="34">
        <f>Standing!$S$83</f>
        <v>0</v>
      </c>
      <c r="V19" s="9"/>
      <c r="W19" s="9"/>
      <c r="X19" s="10"/>
    </row>
    <row r="20" spans="1:24" x14ac:dyDescent="0.25">
      <c r="A20" s="3" t="s">
        <v>212</v>
      </c>
      <c r="B20" s="34">
        <f>Standing!$B$84</f>
        <v>0</v>
      </c>
      <c r="C20" s="34">
        <f>Standing!$C$84</f>
        <v>1.9343188680648545E-2</v>
      </c>
      <c r="D20" s="34">
        <f>Standing!$D$84</f>
        <v>9.7357628709529992E-3</v>
      </c>
      <c r="E20" s="34">
        <f>Standing!$E$84</f>
        <v>1.6551333310514577E-2</v>
      </c>
      <c r="F20" s="34">
        <f>Standing!$F$84</f>
        <v>2.6818968745105674E-2</v>
      </c>
      <c r="G20" s="34">
        <f>Standing!$G$84</f>
        <v>1.616781946187704E-3</v>
      </c>
      <c r="H20" s="34">
        <f>Standing!$H$84</f>
        <v>3.4938973191197327E-2</v>
      </c>
      <c r="I20" s="34">
        <f>Standing!$I$84</f>
        <v>8.2923367212320784E-3</v>
      </c>
      <c r="J20" s="34">
        <f>Standing!$J$84</f>
        <v>0</v>
      </c>
      <c r="K20" s="9"/>
      <c r="L20" s="9"/>
      <c r="M20" s="34">
        <f>Standing!$K$84</f>
        <v>6.7807840477061669E-3</v>
      </c>
      <c r="N20" s="34">
        <f>Standing!$L$84</f>
        <v>8.7542185193277364E-3</v>
      </c>
      <c r="O20" s="34">
        <f>Standing!$M$84</f>
        <v>4.4061502491543987E-3</v>
      </c>
      <c r="P20" s="34">
        <f>Standing!$N$84</f>
        <v>7.4906981976259543E-3</v>
      </c>
      <c r="Q20" s="34">
        <f>Standing!$O$84</f>
        <v>1.2137559982163398E-2</v>
      </c>
      <c r="R20" s="34">
        <f>Standing!$P$84</f>
        <v>7.3171299151886205E-4</v>
      </c>
      <c r="S20" s="34">
        <f>Standing!$Q$84</f>
        <v>3.0357991989519911E-2</v>
      </c>
      <c r="T20" s="34">
        <f>Standing!$R$84</f>
        <v>1.289316722159075E-2</v>
      </c>
      <c r="U20" s="34">
        <f>Standing!$S$84</f>
        <v>0</v>
      </c>
      <c r="V20" s="9"/>
      <c r="W20" s="9"/>
      <c r="X20" s="10"/>
    </row>
    <row r="21" spans="1:24" x14ac:dyDescent="0.25">
      <c r="A21" s="3" t="s">
        <v>175</v>
      </c>
      <c r="B21" s="34">
        <f>Standing!$B$85</f>
        <v>0</v>
      </c>
      <c r="C21" s="34">
        <f>Standing!$C$85</f>
        <v>0.11593612936548527</v>
      </c>
      <c r="D21" s="34">
        <f>Standing!$D$85</f>
        <v>5.8352667820880236E-2</v>
      </c>
      <c r="E21" s="34">
        <f>Standing!$E$85</f>
        <v>7.0909749478431025E-2</v>
      </c>
      <c r="F21" s="34">
        <f>Standing!$F$85</f>
        <v>0.11489868032427357</v>
      </c>
      <c r="G21" s="34">
        <f>Standing!$G$85</f>
        <v>9.6904106124199793E-3</v>
      </c>
      <c r="H21" s="34">
        <f>Standing!$H$85</f>
        <v>0.14968666206773373</v>
      </c>
      <c r="I21" s="34">
        <f>Standing!$I$85</f>
        <v>3.5526293166956935E-2</v>
      </c>
      <c r="J21" s="34">
        <f>Standing!$J$85</f>
        <v>0</v>
      </c>
      <c r="K21" s="9"/>
      <c r="L21" s="9"/>
      <c r="M21" s="34">
        <f>Standing!$K$85</f>
        <v>4.8582025379594426E-2</v>
      </c>
      <c r="N21" s="34">
        <f>Standing!$L$85</f>
        <v>5.2469643320280042E-2</v>
      </c>
      <c r="O21" s="34">
        <f>Standing!$M$85</f>
        <v>2.6408882926359484E-2</v>
      </c>
      <c r="P21" s="34">
        <f>Standing!$N$85</f>
        <v>3.2091887864692963E-2</v>
      </c>
      <c r="Q21" s="34">
        <f>Standing!$O$85</f>
        <v>5.2000121166545364E-2</v>
      </c>
      <c r="R21" s="34">
        <f>Standing!$P$85</f>
        <v>4.3856250095934404E-3</v>
      </c>
      <c r="S21" s="34">
        <f>Standing!$Q$85</f>
        <v>0.1300606764578621</v>
      </c>
      <c r="T21" s="34">
        <f>Standing!$R$85</f>
        <v>5.5237317774618287E-2</v>
      </c>
      <c r="U21" s="34">
        <f>Standing!$S$85</f>
        <v>0</v>
      </c>
      <c r="V21" s="9"/>
      <c r="W21" s="9"/>
      <c r="X21" s="10"/>
    </row>
    <row r="22" spans="1:24" x14ac:dyDescent="0.25">
      <c r="A22" s="3" t="s">
        <v>176</v>
      </c>
      <c r="B22" s="34">
        <f>Standing!$B$86</f>
        <v>0</v>
      </c>
      <c r="C22" s="34">
        <f>Standing!$C$86</f>
        <v>0.11073904393608351</v>
      </c>
      <c r="D22" s="34">
        <f>Standing!$D$86</f>
        <v>5.5736884446375923E-2</v>
      </c>
      <c r="E22" s="34">
        <f>Standing!$E$86</f>
        <v>6.7891203075617287E-2</v>
      </c>
      <c r="F22" s="34">
        <f>Standing!$F$86</f>
        <v>0.11000757577614115</v>
      </c>
      <c r="G22" s="34">
        <f>Standing!$G$86</f>
        <v>9.2560171918844077E-3</v>
      </c>
      <c r="H22" s="34">
        <f>Standing!$H$86</f>
        <v>0.14331467318528546</v>
      </c>
      <c r="I22" s="34">
        <f>Standing!$I$86</f>
        <v>0</v>
      </c>
      <c r="J22" s="34">
        <f>Standing!$J$86</f>
        <v>0</v>
      </c>
      <c r="K22" s="9"/>
      <c r="L22" s="9"/>
      <c r="M22" s="34">
        <f>Standing!$K$86</f>
        <v>4.6317224033925117E-2</v>
      </c>
      <c r="N22" s="34">
        <f>Standing!$L$86</f>
        <v>5.0117579125294798E-2</v>
      </c>
      <c r="O22" s="34">
        <f>Standing!$M$86</f>
        <v>2.5225048159626114E-2</v>
      </c>
      <c r="P22" s="34">
        <f>Standing!$N$86</f>
        <v>3.0725773143008089E-2</v>
      </c>
      <c r="Q22" s="34">
        <f>Standing!$O$86</f>
        <v>4.9786535871889935E-2</v>
      </c>
      <c r="R22" s="34">
        <f>Standing!$P$86</f>
        <v>4.1890299709206793E-3</v>
      </c>
      <c r="S22" s="34">
        <f>Standing!$Q$86</f>
        <v>0.12452414318906496</v>
      </c>
      <c r="T22" s="34">
        <f>Standing!$R$86</f>
        <v>0</v>
      </c>
      <c r="U22" s="34">
        <f>Standing!$S$86</f>
        <v>0</v>
      </c>
      <c r="V22" s="9"/>
      <c r="W22" s="9"/>
      <c r="X22" s="10"/>
    </row>
    <row r="23" spans="1:24" x14ac:dyDescent="0.25">
      <c r="A23" s="3" t="s">
        <v>192</v>
      </c>
      <c r="B23" s="34">
        <f>Standing!$B$87</f>
        <v>0</v>
      </c>
      <c r="C23" s="34">
        <f>Standing!$C$87</f>
        <v>0.10748507088859664</v>
      </c>
      <c r="D23" s="34">
        <f>Standing!$D$87</f>
        <v>5.4923442008228775E-2</v>
      </c>
      <c r="E23" s="34">
        <f>Standing!$E$87</f>
        <v>5.0169075618935965E-2</v>
      </c>
      <c r="F23" s="34">
        <f>Standing!$F$87</f>
        <v>0</v>
      </c>
      <c r="G23" s="34">
        <f>Standing!$G$87</f>
        <v>0</v>
      </c>
      <c r="H23" s="34">
        <f>Standing!$H$87</f>
        <v>0</v>
      </c>
      <c r="I23" s="34">
        <f>Standing!$I$87</f>
        <v>0</v>
      </c>
      <c r="J23" s="34">
        <f>Standing!$J$87</f>
        <v>0</v>
      </c>
      <c r="K23" s="9"/>
      <c r="L23" s="9"/>
      <c r="M23" s="34">
        <f>Standing!$K$87</f>
        <v>4.5503599669899641E-2</v>
      </c>
      <c r="N23" s="34">
        <f>Standing!$L$87</f>
        <v>4.8644916495363406E-2</v>
      </c>
      <c r="O23" s="34">
        <f>Standing!$M$87</f>
        <v>2.485690550362446E-2</v>
      </c>
      <c r="P23" s="34">
        <f>Standing!$N$87</f>
        <v>2.4294555316713536E-2</v>
      </c>
      <c r="Q23" s="34">
        <f>Standing!$O$87</f>
        <v>0</v>
      </c>
      <c r="R23" s="34">
        <f>Standing!$P$87</f>
        <v>0</v>
      </c>
      <c r="S23" s="34">
        <f>Standing!$Q$87</f>
        <v>0</v>
      </c>
      <c r="T23" s="34">
        <f>Standing!$R$87</f>
        <v>0</v>
      </c>
      <c r="U23" s="34">
        <f>Standing!$S$87</f>
        <v>0</v>
      </c>
      <c r="V23" s="9"/>
      <c r="W23" s="9"/>
      <c r="X23" s="10"/>
    </row>
    <row r="24" spans="1:24" x14ac:dyDescent="0.25">
      <c r="A24" s="3" t="s">
        <v>177</v>
      </c>
      <c r="B24" s="34">
        <f>Standing!$B$88</f>
        <v>0</v>
      </c>
      <c r="C24" s="34">
        <f>Standing!$C$88</f>
        <v>0.93377092976896503</v>
      </c>
      <c r="D24" s="34">
        <f>Standing!$D$88</f>
        <v>0.46998312936454006</v>
      </c>
      <c r="E24" s="34">
        <f>Standing!$E$88</f>
        <v>0.44811790711782873</v>
      </c>
      <c r="F24" s="34">
        <f>Standing!$F$88</f>
        <v>0.72610827899166841</v>
      </c>
      <c r="G24" s="34">
        <f>Standing!$G$88</f>
        <v>7.8048351078522982E-2</v>
      </c>
      <c r="H24" s="34">
        <f>Standing!$H$88</f>
        <v>0.94595276704016173</v>
      </c>
      <c r="I24" s="34">
        <f>Standing!$I$88</f>
        <v>0.22451028608518239</v>
      </c>
      <c r="J24" s="34">
        <f>Standing!$J$88</f>
        <v>0</v>
      </c>
      <c r="K24" s="9"/>
      <c r="L24" s="9"/>
      <c r="M24" s="34">
        <f>Standing!$K$88</f>
        <v>0.45747033706892454</v>
      </c>
      <c r="N24" s="34">
        <f>Standing!$L$88</f>
        <v>0.42260016697098562</v>
      </c>
      <c r="O24" s="34">
        <f>Standing!$M$88</f>
        <v>0.21270200496833042</v>
      </c>
      <c r="P24" s="34">
        <f>Standing!$N$88</f>
        <v>0.20280638038018425</v>
      </c>
      <c r="Q24" s="34">
        <f>Standing!$O$88</f>
        <v>0.32861751223805624</v>
      </c>
      <c r="R24" s="34">
        <f>Standing!$P$88</f>
        <v>3.5322631221508118E-2</v>
      </c>
      <c r="S24" s="34">
        <f>Standing!$Q$88</f>
        <v>0.8219253143794325</v>
      </c>
      <c r="T24" s="34">
        <f>Standing!$R$88</f>
        <v>0.34907514718400712</v>
      </c>
      <c r="U24" s="34">
        <f>Standing!$S$88</f>
        <v>0</v>
      </c>
      <c r="V24" s="9"/>
      <c r="W24" s="9"/>
      <c r="X24" s="10"/>
    </row>
    <row r="25" spans="1:24" x14ac:dyDescent="0.25">
      <c r="A25" s="3" t="s">
        <v>178</v>
      </c>
      <c r="B25" s="34">
        <f>Standing!$B$89</f>
        <v>0</v>
      </c>
      <c r="C25" s="34">
        <f>Standing!$C$89</f>
        <v>0.96169595080774972</v>
      </c>
      <c r="D25" s="34">
        <f>Standing!$D$89</f>
        <v>0.48403827753522227</v>
      </c>
      <c r="E25" s="34">
        <f>Standing!$E$89</f>
        <v>0.46126715498732113</v>
      </c>
      <c r="F25" s="34">
        <f>Standing!$F$89</f>
        <v>0.74741467534159478</v>
      </c>
      <c r="G25" s="34">
        <f>Standing!$G$89</f>
        <v>8.0382437283636948E-2</v>
      </c>
      <c r="H25" s="34">
        <f>Standing!$H$89</f>
        <v>0.97371012109602784</v>
      </c>
      <c r="I25" s="34">
        <f>Standing!$I$89</f>
        <v>0.23109815359525815</v>
      </c>
      <c r="J25" s="34">
        <f>Standing!$J$89</f>
        <v>0</v>
      </c>
      <c r="K25" s="9"/>
      <c r="L25" s="9"/>
      <c r="M25" s="34">
        <f>Standing!$K$89</f>
        <v>0.47128298126904355</v>
      </c>
      <c r="N25" s="34">
        <f>Standing!$L$89</f>
        <v>0.43523829713485612</v>
      </c>
      <c r="O25" s="34">
        <f>Standing!$M$89</f>
        <v>0.21906299541510083</v>
      </c>
      <c r="P25" s="34">
        <f>Standing!$N$89</f>
        <v>0.20875738417355061</v>
      </c>
      <c r="Q25" s="34">
        <f>Standing!$O$89</f>
        <v>0.33826022692104241</v>
      </c>
      <c r="R25" s="34">
        <f>Standing!$P$89</f>
        <v>3.6378977257307168E-2</v>
      </c>
      <c r="S25" s="34">
        <f>Standing!$Q$89</f>
        <v>0.8460432965384086</v>
      </c>
      <c r="T25" s="34">
        <f>Standing!$R$89</f>
        <v>0.35931815591562455</v>
      </c>
      <c r="U25" s="34">
        <f>Standing!$S$89</f>
        <v>0</v>
      </c>
      <c r="V25" s="9"/>
      <c r="W25" s="9"/>
      <c r="X25" s="10"/>
    </row>
    <row r="26" spans="1:24" x14ac:dyDescent="0.25">
      <c r="A26" s="3" t="s">
        <v>179</v>
      </c>
      <c r="B26" s="34">
        <f>Standing!$B$90</f>
        <v>0</v>
      </c>
      <c r="C26" s="34">
        <f>Standing!$C$90</f>
        <v>0.88985804321683715</v>
      </c>
      <c r="D26" s="34">
        <f>Standing!$D$90</f>
        <v>0.44788101075788617</v>
      </c>
      <c r="E26" s="34">
        <f>Standing!$E$90</f>
        <v>0.42681396705614877</v>
      </c>
      <c r="F26" s="34">
        <f>Standing!$F$90</f>
        <v>0.69158841935601967</v>
      </c>
      <c r="G26" s="34">
        <f>Standing!$G$90</f>
        <v>7.437793440862317E-2</v>
      </c>
      <c r="H26" s="34">
        <f>Standing!$H$90</f>
        <v>0.72078503757180312</v>
      </c>
      <c r="I26" s="34">
        <f>Standing!$I$90</f>
        <v>0</v>
      </c>
      <c r="J26" s="34">
        <f>Standing!$J$90</f>
        <v>0</v>
      </c>
      <c r="K26" s="9"/>
      <c r="L26" s="9"/>
      <c r="M26" s="34">
        <f>Standing!$K$90</f>
        <v>0.43582587192933281</v>
      </c>
      <c r="N26" s="34">
        <f>Standing!$L$90</f>
        <v>0.40272634931669349</v>
      </c>
      <c r="O26" s="34">
        <f>Standing!$M$90</f>
        <v>0.2026991673174566</v>
      </c>
      <c r="P26" s="34">
        <f>Standing!$N$90</f>
        <v>0.19316477734866411</v>
      </c>
      <c r="Q26" s="34">
        <f>Standing!$O$90</f>
        <v>0.31299473155302304</v>
      </c>
      <c r="R26" s="34">
        <f>Standing!$P$90</f>
        <v>3.3661497159499433E-2</v>
      </c>
      <c r="S26" s="34">
        <f>Standing!$Q$90</f>
        <v>0.62628017935809133</v>
      </c>
      <c r="T26" s="34">
        <f>Standing!$R$90</f>
        <v>0</v>
      </c>
      <c r="U26" s="34">
        <f>Standing!$S$90</f>
        <v>0</v>
      </c>
      <c r="V26" s="9"/>
      <c r="W26" s="9"/>
      <c r="X26" s="10"/>
    </row>
    <row r="27" spans="1:24" x14ac:dyDescent="0.25">
      <c r="A27" s="3" t="s">
        <v>180</v>
      </c>
      <c r="B27" s="34">
        <f>Standing!$B$91</f>
        <v>0</v>
      </c>
      <c r="C27" s="34">
        <f>Standing!$C$91</f>
        <v>0.863179008773996</v>
      </c>
      <c r="D27" s="34">
        <f>Standing!$D$91</f>
        <v>0.4344529892848113</v>
      </c>
      <c r="E27" s="34">
        <f>Standing!$E$91</f>
        <v>0.41401756136585172</v>
      </c>
      <c r="F27" s="34">
        <f>Standing!$F$91</f>
        <v>0.67085375116830626</v>
      </c>
      <c r="G27" s="34">
        <f>Standing!$G$91</f>
        <v>7.2147992802766972E-2</v>
      </c>
      <c r="H27" s="34">
        <f>Standing!$H$91</f>
        <v>0</v>
      </c>
      <c r="I27" s="34">
        <f>Standing!$I$91</f>
        <v>0</v>
      </c>
      <c r="J27" s="34">
        <f>Standing!$J$91</f>
        <v>0</v>
      </c>
      <c r="K27" s="9"/>
      <c r="L27" s="9"/>
      <c r="M27" s="34">
        <f>Standing!$K$91</f>
        <v>0.42275927828901377</v>
      </c>
      <c r="N27" s="34">
        <f>Standing!$L$91</f>
        <v>0.39065211991981252</v>
      </c>
      <c r="O27" s="34">
        <f>Standing!$M$91</f>
        <v>0.19662199792215804</v>
      </c>
      <c r="P27" s="34">
        <f>Standing!$N$91</f>
        <v>0.1873734606467338</v>
      </c>
      <c r="Q27" s="34">
        <f>Standing!$O$91</f>
        <v>0.30361076600123216</v>
      </c>
      <c r="R27" s="34">
        <f>Standing!$P$91</f>
        <v>3.2652284230581696E-2</v>
      </c>
      <c r="S27" s="34">
        <f>Standing!$Q$91</f>
        <v>0</v>
      </c>
      <c r="T27" s="34">
        <f>Standing!$R$91</f>
        <v>0</v>
      </c>
      <c r="U27" s="34">
        <f>Standing!$S$91</f>
        <v>0</v>
      </c>
      <c r="V27" s="9"/>
      <c r="W27" s="9"/>
      <c r="X27" s="10"/>
    </row>
    <row r="28" spans="1:24" x14ac:dyDescent="0.25">
      <c r="A28" s="3" t="s">
        <v>193</v>
      </c>
      <c r="B28" s="34">
        <f>Standing!$B$92</f>
        <v>0</v>
      </c>
      <c r="C28" s="34">
        <f>Standing!$C$92</f>
        <v>0.74055805623110982</v>
      </c>
      <c r="D28" s="34">
        <f>Standing!$D$92</f>
        <v>0.37841531962418035</v>
      </c>
      <c r="E28" s="34">
        <f>Standing!$E$92</f>
        <v>0.26961939506591909</v>
      </c>
      <c r="F28" s="34">
        <f>Standing!$F$92</f>
        <v>0</v>
      </c>
      <c r="G28" s="34">
        <f>Standing!$G$92</f>
        <v>0</v>
      </c>
      <c r="H28" s="34">
        <f>Standing!$H$92</f>
        <v>0</v>
      </c>
      <c r="I28" s="34">
        <f>Standing!$I$92</f>
        <v>0</v>
      </c>
      <c r="J28" s="34">
        <f>Standing!$J$92</f>
        <v>0</v>
      </c>
      <c r="K28" s="9"/>
      <c r="L28" s="9"/>
      <c r="M28" s="34">
        <f>Standing!$K$92</f>
        <v>0.3682299152347388</v>
      </c>
      <c r="N28" s="34">
        <f>Standing!$L$92</f>
        <v>0.33515710142358851</v>
      </c>
      <c r="O28" s="34">
        <f>Standing!$M$92</f>
        <v>0.1712608222844598</v>
      </c>
      <c r="P28" s="34">
        <f>Standing!$N$92</f>
        <v>0.13056416182831668</v>
      </c>
      <c r="Q28" s="34">
        <f>Standing!$O$92</f>
        <v>0</v>
      </c>
      <c r="R28" s="34">
        <f>Standing!$P$92</f>
        <v>0</v>
      </c>
      <c r="S28" s="34">
        <f>Standing!$Q$92</f>
        <v>0</v>
      </c>
      <c r="T28" s="34">
        <f>Standing!$R$92</f>
        <v>0</v>
      </c>
      <c r="U28" s="34">
        <f>Standing!$S$92</f>
        <v>0</v>
      </c>
      <c r="V28" s="9"/>
      <c r="W28" s="9"/>
      <c r="X28" s="10"/>
    </row>
    <row r="29" spans="1:24" x14ac:dyDescent="0.25">
      <c r="A29" s="3" t="s">
        <v>213</v>
      </c>
      <c r="B29" s="34">
        <f>Yard!$B$75</f>
        <v>0</v>
      </c>
      <c r="C29" s="34">
        <f>Yard!$C$75</f>
        <v>8.7327567060378752E-2</v>
      </c>
      <c r="D29" s="34">
        <f>Yard!$D$75</f>
        <v>4.395348145715279E-2</v>
      </c>
      <c r="E29" s="34">
        <f>Yard!$E$75</f>
        <v>5.3638828597786042E-2</v>
      </c>
      <c r="F29" s="34">
        <f>Yard!$F$75</f>
        <v>8.6913727172314451E-2</v>
      </c>
      <c r="G29" s="34">
        <f>Yard!$G$75</f>
        <v>7.2991912635875979E-3</v>
      </c>
      <c r="H29" s="34">
        <f>Yard!$H$75</f>
        <v>0.11322867827178149</v>
      </c>
      <c r="I29" s="34">
        <f>Yard!$I$75</f>
        <v>2.687343791105528E-2</v>
      </c>
      <c r="J29" s="34">
        <f>Yard!$J$75</f>
        <v>1.1165633657019903E-2</v>
      </c>
      <c r="K29" s="9"/>
      <c r="L29" s="9"/>
      <c r="M29" s="34">
        <f>Yard!$K$75</f>
        <v>3.7293785971893846E-2</v>
      </c>
      <c r="N29" s="34">
        <f>Yard!$L$75</f>
        <v>3.9522160354699624E-2</v>
      </c>
      <c r="O29" s="34">
        <f>Yard!$M$75</f>
        <v>1.9892189840761781E-2</v>
      </c>
      <c r="P29" s="34">
        <f>Yard!$N$75</f>
        <v>2.4275523256181212E-2</v>
      </c>
      <c r="Q29" s="34">
        <f>Yard!$O$75</f>
        <v>3.933486730431681E-2</v>
      </c>
      <c r="R29" s="34">
        <f>Yard!$P$75</f>
        <v>3.3034220154063731E-3</v>
      </c>
      <c r="S29" s="34">
        <f>Yard!$Q$75</f>
        <v>9.8382837101369108E-2</v>
      </c>
      <c r="T29" s="34">
        <f>Yard!$R$75</f>
        <v>4.1783605810304277E-2</v>
      </c>
      <c r="U29" s="34">
        <f>Yard!$S$75</f>
        <v>8.2454171809057952E-2</v>
      </c>
      <c r="V29" s="34">
        <f>Otex!$B$156</f>
        <v>0.57156617717465663</v>
      </c>
      <c r="W29" s="9"/>
      <c r="X29" s="10"/>
    </row>
    <row r="30" spans="1:24" x14ac:dyDescent="0.25">
      <c r="A30" s="3" t="s">
        <v>214</v>
      </c>
      <c r="B30" s="34">
        <f>Yard!$B$76</f>
        <v>0</v>
      </c>
      <c r="C30" s="34">
        <f>Yard!$C$76</f>
        <v>0.13010750724123898</v>
      </c>
      <c r="D30" s="34">
        <f>Yard!$D$76</f>
        <v>6.5485368474885411E-2</v>
      </c>
      <c r="E30" s="34">
        <f>Yard!$E$76</f>
        <v>6.7050419693824317E-2</v>
      </c>
      <c r="F30" s="34">
        <f>Yard!$F$76</f>
        <v>0.10864521162005319</v>
      </c>
      <c r="G30" s="34">
        <f>Yard!$G$76</f>
        <v>1.0874911693415184E-2</v>
      </c>
      <c r="H30" s="34">
        <f>Yard!$H$76</f>
        <v>0.14153982474951582</v>
      </c>
      <c r="I30" s="34">
        <f>Yard!$I$76</f>
        <v>3.3592741259576259E-2</v>
      </c>
      <c r="J30" s="34">
        <f>Yard!$J$76</f>
        <v>1.3957434239747291E-2</v>
      </c>
      <c r="K30" s="9"/>
      <c r="L30" s="9"/>
      <c r="M30" s="34">
        <f>Yard!$K$76</f>
        <v>6.2730152491812935E-2</v>
      </c>
      <c r="N30" s="34">
        <f>Yard!$L$76</f>
        <v>5.8883236275014877E-2</v>
      </c>
      <c r="O30" s="34">
        <f>Yard!$M$76</f>
        <v>2.9636955670155916E-2</v>
      </c>
      <c r="P30" s="34">
        <f>Yard!$N$76</f>
        <v>3.0345256694910856E-2</v>
      </c>
      <c r="Q30" s="34">
        <f>Yard!$O$76</f>
        <v>4.9169965681617994E-2</v>
      </c>
      <c r="R30" s="34">
        <f>Yard!$P$76</f>
        <v>4.9216990494328891E-3</v>
      </c>
      <c r="S30" s="34">
        <f>Yard!$Q$76</f>
        <v>0.12298200185878452</v>
      </c>
      <c r="T30" s="34">
        <f>Yard!$R$76</f>
        <v>5.223097482068903E-2</v>
      </c>
      <c r="U30" s="34">
        <f>Yard!$S$76</f>
        <v>0.10307061078384971</v>
      </c>
      <c r="V30" s="34">
        <f>Otex!$B$157</f>
        <v>0.57156617717465663</v>
      </c>
      <c r="W30" s="9"/>
      <c r="X30" s="10"/>
    </row>
    <row r="31" spans="1:24" x14ac:dyDescent="0.25">
      <c r="A31" s="3" t="s">
        <v>215</v>
      </c>
      <c r="B31" s="34">
        <f>Yard!$B$77</f>
        <v>0</v>
      </c>
      <c r="C31" s="34">
        <f>Yard!$C$77</f>
        <v>0.23521502486975984</v>
      </c>
      <c r="D31" s="34">
        <f>Yard!$D$77</f>
        <v>0.11838780790616341</v>
      </c>
      <c r="E31" s="34">
        <f>Yard!$E$77</f>
        <v>0.1184972189773822</v>
      </c>
      <c r="F31" s="34">
        <f>Yard!$F$77</f>
        <v>0.19200708199849273</v>
      </c>
      <c r="G31" s="34">
        <f>Yard!$G$77</f>
        <v>1.9660223139009829E-2</v>
      </c>
      <c r="H31" s="34">
        <f>Yard!$H$77</f>
        <v>0.25014124719801678</v>
      </c>
      <c r="I31" s="34">
        <f>Yard!$I$77</f>
        <v>5.9367956759459148E-2</v>
      </c>
      <c r="J31" s="34">
        <f>Yard!$J$77</f>
        <v>2.466676791915862E-2</v>
      </c>
      <c r="K31" s="9"/>
      <c r="L31" s="9"/>
      <c r="M31" s="34">
        <f>Yard!$K$77</f>
        <v>0.11321690668879686</v>
      </c>
      <c r="N31" s="34">
        <f>Yard!$L$77</f>
        <v>0.10645213468857849</v>
      </c>
      <c r="O31" s="34">
        <f>Yard!$M$77</f>
        <v>5.3579208554770802E-2</v>
      </c>
      <c r="P31" s="34">
        <f>Yard!$N$77</f>
        <v>5.3628725128366632E-2</v>
      </c>
      <c r="Q31" s="34">
        <f>Yard!$O$77</f>
        <v>8.6897356005986456E-2</v>
      </c>
      <c r="R31" s="34">
        <f>Yard!$P$77</f>
        <v>8.8976999779678996E-3</v>
      </c>
      <c r="S31" s="34">
        <f>Yard!$Q$77</f>
        <v>0.21734428018620541</v>
      </c>
      <c r="T31" s="34">
        <f>Yard!$R$77</f>
        <v>9.2307032364472782E-2</v>
      </c>
      <c r="U31" s="34">
        <f>Yard!$S$77</f>
        <v>0.1821551720624249</v>
      </c>
      <c r="V31" s="34">
        <f>Otex!$B$158</f>
        <v>0.57156617717465663</v>
      </c>
      <c r="W31" s="9"/>
      <c r="X31" s="10"/>
    </row>
    <row r="32" spans="1:24" x14ac:dyDescent="0.25">
      <c r="A32" s="3" t="s">
        <v>216</v>
      </c>
      <c r="B32" s="34">
        <f>Yard!$B$78</f>
        <v>0</v>
      </c>
      <c r="C32" s="34">
        <f>Yard!$C$78</f>
        <v>4.4924836489167251E-2</v>
      </c>
      <c r="D32" s="34">
        <f>Yard!$D$78</f>
        <v>2.2611450588414798E-2</v>
      </c>
      <c r="E32" s="34">
        <f>Yard!$E$78</f>
        <v>3.9900592221258156E-2</v>
      </c>
      <c r="F32" s="34">
        <f>Yard!$F$78</f>
        <v>6.465296273221266E-2</v>
      </c>
      <c r="G32" s="34">
        <f>Yard!$G$78</f>
        <v>3.7549995386120024E-3</v>
      </c>
      <c r="H32" s="34">
        <f>Yard!$H$78</f>
        <v>8.4228001199505381E-2</v>
      </c>
      <c r="I32" s="34">
        <f>Yard!$I$78</f>
        <v>1.9990482933786035E-2</v>
      </c>
      <c r="J32" s="34">
        <f>Yard!$J$78</f>
        <v>8.3058375264200932E-3</v>
      </c>
      <c r="K32" s="9"/>
      <c r="L32" s="9"/>
      <c r="M32" s="34">
        <f>Yard!$K$78</f>
        <v>1.2370569658954847E-2</v>
      </c>
      <c r="N32" s="34">
        <f>Yard!$L$78</f>
        <v>2.0331799584041091E-2</v>
      </c>
      <c r="O32" s="34">
        <f>Yard!$M$78</f>
        <v>1.0233347911660246E-2</v>
      </c>
      <c r="P32" s="34">
        <f>Yard!$N$78</f>
        <v>1.8057958753456727E-2</v>
      </c>
      <c r="Q32" s="34">
        <f>Yard!$O$78</f>
        <v>2.9260230721213507E-2</v>
      </c>
      <c r="R32" s="34">
        <f>Yard!$P$78</f>
        <v>1.6994140440697056E-3</v>
      </c>
      <c r="S32" s="34">
        <f>Yard!$Q$78</f>
        <v>7.318454871913857E-2</v>
      </c>
      <c r="T32" s="34">
        <f>Yard!$R$78</f>
        <v>3.1081786469877474E-2</v>
      </c>
      <c r="U32" s="34">
        <f>Yard!$S$78</f>
        <v>6.133561027152213E-2</v>
      </c>
      <c r="V32" s="34">
        <f>Otex!$B$159</f>
        <v>0.57156617717465663</v>
      </c>
      <c r="W32" s="9"/>
      <c r="X32" s="10"/>
    </row>
    <row r="33" spans="1:24" x14ac:dyDescent="0.25">
      <c r="A33" s="3" t="s">
        <v>217</v>
      </c>
      <c r="B33" s="34">
        <f>Yard!$B$79</f>
        <v>0</v>
      </c>
      <c r="C33" s="34">
        <f>Yard!$C$79</f>
        <v>2.5477790888535994</v>
      </c>
      <c r="D33" s="34">
        <f>Yard!$D$79</f>
        <v>1.2823414725549624</v>
      </c>
      <c r="E33" s="34">
        <f>Yard!$E$79</f>
        <v>1.2119240928152448</v>
      </c>
      <c r="F33" s="34">
        <f>Yard!$F$79</f>
        <v>1.9637423618316403</v>
      </c>
      <c r="G33" s="34">
        <f>Yard!$G$79</f>
        <v>0.21295368109881599</v>
      </c>
      <c r="H33" s="34">
        <f>Yard!$H$79</f>
        <v>2.5583064877159147</v>
      </c>
      <c r="I33" s="34">
        <f>Yard!$I$79</f>
        <v>0.60718266436054791</v>
      </c>
      <c r="J33" s="34">
        <f>Yard!$J$79</f>
        <v>0.25227807530923124</v>
      </c>
      <c r="K33" s="9"/>
      <c r="L33" s="9"/>
      <c r="M33" s="34">
        <f>Yard!$K$79</f>
        <v>1.2490182758222481</v>
      </c>
      <c r="N33" s="34">
        <f>Yard!$L$79</f>
        <v>1.153057815390669</v>
      </c>
      <c r="O33" s="34">
        <f>Yard!$M$79</f>
        <v>0.58035402810154801</v>
      </c>
      <c r="P33" s="34">
        <f>Yard!$N$79</f>
        <v>0.54848497383250305</v>
      </c>
      <c r="Q33" s="34">
        <f>Yard!$O$79</f>
        <v>0.88873815144724866</v>
      </c>
      <c r="R33" s="34">
        <f>Yard!$P$79</f>
        <v>9.6377235915571027E-2</v>
      </c>
      <c r="S33" s="34">
        <f>Yard!$Q$79</f>
        <v>2.2228772275535507</v>
      </c>
      <c r="T33" s="34">
        <f>Yard!$R$79</f>
        <v>0.94406533270737591</v>
      </c>
      <c r="U33" s="34">
        <f>Yard!$S$79</f>
        <v>1.8629824696180901</v>
      </c>
      <c r="V33" s="34">
        <f>Otex!$B$160</f>
        <v>0.57156617717465663</v>
      </c>
      <c r="W33" s="9"/>
      <c r="X33" s="10"/>
    </row>
    <row r="34" spans="1:24" x14ac:dyDescent="0.25">
      <c r="A34" s="3" t="s">
        <v>181</v>
      </c>
      <c r="B34" s="34">
        <f>Yard!$B$42</f>
        <v>0</v>
      </c>
      <c r="C34" s="34">
        <f>Yard!$C$42</f>
        <v>-7.5663437961999452E-2</v>
      </c>
      <c r="D34" s="34">
        <f>Yard!$D$42</f>
        <v>-3.8082722665888372E-2</v>
      </c>
      <c r="E34" s="34">
        <f>Yard!$E$42</f>
        <v>-4.6419479298196654E-2</v>
      </c>
      <c r="F34" s="34">
        <f>Yard!$F$42</f>
        <v>-7.5215847636368544E-2</v>
      </c>
      <c r="G34" s="34">
        <f>Yard!$G$42</f>
        <v>-6.3242561763272066E-3</v>
      </c>
      <c r="H34" s="34">
        <f>Yard!$H$42</f>
        <v>-9.7989020722500902E-2</v>
      </c>
      <c r="I34" s="34">
        <f>Yard!$I$42</f>
        <v>-2.3256492123228292E-2</v>
      </c>
      <c r="J34" s="34">
        <f>Yard!$J$42</f>
        <v>0</v>
      </c>
      <c r="K34" s="9"/>
      <c r="L34" s="9"/>
      <c r="M34" s="34">
        <f>Yard!$K$42</f>
        <v>-3.2342077462045107E-2</v>
      </c>
      <c r="N34" s="34">
        <f>Yard!$L$42</f>
        <v>-3.424328226222588E-2</v>
      </c>
      <c r="O34" s="34">
        <f>Yard!$M$42</f>
        <v>-1.7235238798123761E-2</v>
      </c>
      <c r="P34" s="34">
        <f>Yard!$N$42</f>
        <v>-2.1008235614036256E-2</v>
      </c>
      <c r="Q34" s="34">
        <f>Yard!$O$42</f>
        <v>-3.404071465135261E-2</v>
      </c>
      <c r="R34" s="34">
        <f>Yard!$P$42</f>
        <v>-2.8621920332692623E-3</v>
      </c>
      <c r="S34" s="34">
        <f>Yard!$Q$42</f>
        <v>-8.5141308815110034E-2</v>
      </c>
      <c r="T34" s="34">
        <f>Yard!$R$42</f>
        <v>-3.6159872905865156E-2</v>
      </c>
      <c r="U34" s="34">
        <f>Yard!$S$42</f>
        <v>0</v>
      </c>
      <c r="V34" s="9"/>
      <c r="W34" s="9"/>
      <c r="X34" s="10"/>
    </row>
    <row r="35" spans="1:24" x14ac:dyDescent="0.25">
      <c r="A35" s="3" t="s">
        <v>182</v>
      </c>
      <c r="B35" s="34">
        <f>Yard!$B$43</f>
        <v>0</v>
      </c>
      <c r="C35" s="34">
        <f>Yard!$C$43</f>
        <v>-7.2894419189373644E-2</v>
      </c>
      <c r="D35" s="34">
        <f>Yard!$D$43</f>
        <v>-3.6689027417365468E-2</v>
      </c>
      <c r="E35" s="34">
        <f>Yard!$E$43</f>
        <v>-4.4720687741080595E-2</v>
      </c>
      <c r="F35" s="34">
        <f>Yard!$F$43</f>
        <v>-7.2463209113537125E-2</v>
      </c>
      <c r="G35" s="34">
        <f>Yard!$G$43</f>
        <v>-6.0928103876235562E-3</v>
      </c>
      <c r="H35" s="34">
        <f>Yard!$H$43</f>
        <v>-9.4402963239518217E-2</v>
      </c>
      <c r="I35" s="34">
        <f>Yard!$I$43</f>
        <v>0</v>
      </c>
      <c r="J35" s="34">
        <f>Yard!$J$43</f>
        <v>0</v>
      </c>
      <c r="K35" s="9"/>
      <c r="L35" s="9"/>
      <c r="M35" s="34">
        <f>Yard!$K$43</f>
        <v>-3.1158469869655526E-2</v>
      </c>
      <c r="N35" s="34">
        <f>Yard!$L$43</f>
        <v>-3.2990097184010837E-2</v>
      </c>
      <c r="O35" s="34">
        <f>Yard!$M$43</f>
        <v>-1.6604488979345213E-2</v>
      </c>
      <c r="P35" s="34">
        <f>Yard!$N$43</f>
        <v>-2.0239407229259085E-2</v>
      </c>
      <c r="Q35" s="34">
        <f>Yard!$O$43</f>
        <v>-3.2794942843434857E-2</v>
      </c>
      <c r="R35" s="34">
        <f>Yard!$P$43</f>
        <v>-2.7574457557479719E-3</v>
      </c>
      <c r="S35" s="34">
        <f>Yard!$Q$43</f>
        <v>-8.2025432920686953E-2</v>
      </c>
      <c r="T35" s="34">
        <f>Yard!$R$43</f>
        <v>0</v>
      </c>
      <c r="U35" s="34">
        <f>Yard!$S$43</f>
        <v>0</v>
      </c>
      <c r="V35" s="9"/>
      <c r="W35" s="9"/>
      <c r="X35" s="10"/>
    </row>
    <row r="36" spans="1:24" x14ac:dyDescent="0.25">
      <c r="A36" s="3" t="s">
        <v>183</v>
      </c>
      <c r="B36" s="34">
        <f>Yard!$B$44</f>
        <v>0</v>
      </c>
      <c r="C36" s="34">
        <f>Yard!$C$44</f>
        <v>-7.5663437961999452E-2</v>
      </c>
      <c r="D36" s="34">
        <f>Yard!$D$44</f>
        <v>-3.8082722665888372E-2</v>
      </c>
      <c r="E36" s="34">
        <f>Yard!$E$44</f>
        <v>-4.6419479298196654E-2</v>
      </c>
      <c r="F36" s="34">
        <f>Yard!$F$44</f>
        <v>-7.5215847636368544E-2</v>
      </c>
      <c r="G36" s="34">
        <f>Yard!$G$44</f>
        <v>-6.3242561763272066E-3</v>
      </c>
      <c r="H36" s="34">
        <f>Yard!$H$44</f>
        <v>-9.7989020722500902E-2</v>
      </c>
      <c r="I36" s="34">
        <f>Yard!$I$44</f>
        <v>-2.3256492123228292E-2</v>
      </c>
      <c r="J36" s="34">
        <f>Yard!$J$44</f>
        <v>0</v>
      </c>
      <c r="K36" s="9"/>
      <c r="L36" s="9"/>
      <c r="M36" s="34">
        <f>Yard!$K$44</f>
        <v>-3.2342077462045107E-2</v>
      </c>
      <c r="N36" s="34">
        <f>Yard!$L$44</f>
        <v>-3.424328226222588E-2</v>
      </c>
      <c r="O36" s="34">
        <f>Yard!$M$44</f>
        <v>-1.7235238798123761E-2</v>
      </c>
      <c r="P36" s="34">
        <f>Yard!$N$44</f>
        <v>-2.1008235614036256E-2</v>
      </c>
      <c r="Q36" s="34">
        <f>Yard!$O$44</f>
        <v>-3.404071465135261E-2</v>
      </c>
      <c r="R36" s="34">
        <f>Yard!$P$44</f>
        <v>-2.8621920332692623E-3</v>
      </c>
      <c r="S36" s="34">
        <f>Yard!$Q$44</f>
        <v>-8.5141308815110034E-2</v>
      </c>
      <c r="T36" s="34">
        <f>Yard!$R$44</f>
        <v>-3.6159872905865156E-2</v>
      </c>
      <c r="U36" s="34">
        <f>Yard!$S$44</f>
        <v>0</v>
      </c>
      <c r="V36" s="9"/>
      <c r="W36" s="9"/>
      <c r="X36" s="10"/>
    </row>
    <row r="37" spans="1:24" x14ac:dyDescent="0.25">
      <c r="A37" s="3" t="s">
        <v>184</v>
      </c>
      <c r="B37" s="34">
        <f>Yard!$B$80</f>
        <v>0</v>
      </c>
      <c r="C37" s="34">
        <f>Yard!$C$80</f>
        <v>-0.72872366215227724</v>
      </c>
      <c r="D37" s="34">
        <f>Yard!$D$80</f>
        <v>-0.36677927772398516</v>
      </c>
      <c r="E37" s="34">
        <f>Yard!$E$80</f>
        <v>-0.34952702793641849</v>
      </c>
      <c r="F37" s="34">
        <f>Yard!$F$80</f>
        <v>-0.5663564537028255</v>
      </c>
      <c r="G37" s="34">
        <f>Yard!$G$80</f>
        <v>-6.0909671108480702E-2</v>
      </c>
      <c r="H37" s="34">
        <f>Yard!$H$80</f>
        <v>-0.73783273102907088</v>
      </c>
      <c r="I37" s="34">
        <f>Yard!$I$80</f>
        <v>-0.17511554836364798</v>
      </c>
      <c r="J37" s="34">
        <f>Yard!$J$80</f>
        <v>0</v>
      </c>
      <c r="K37" s="9"/>
      <c r="L37" s="9"/>
      <c r="M37" s="34">
        <f>Yard!$K$80</f>
        <v>-0.35690706835097069</v>
      </c>
      <c r="N37" s="34">
        <f>Yard!$L$80</f>
        <v>-0.32980116587850516</v>
      </c>
      <c r="O37" s="34">
        <f>Yard!$M$80</f>
        <v>-0.165994655719261</v>
      </c>
      <c r="P37" s="34">
        <f>Yard!$N$80</f>
        <v>-0.15818674115647344</v>
      </c>
      <c r="Q37" s="34">
        <f>Yard!$O$80</f>
        <v>-0.25631803718619484</v>
      </c>
      <c r="R37" s="34">
        <f>Yard!$P$80</f>
        <v>-2.7566115371529601E-2</v>
      </c>
      <c r="S37" s="34">
        <f>Yard!$Q$80</f>
        <v>-0.64109268511157791</v>
      </c>
      <c r="T37" s="34">
        <f>Yard!$R$80</f>
        <v>-0.27227476693898794</v>
      </c>
      <c r="U37" s="34">
        <f>Yard!$S$80</f>
        <v>0</v>
      </c>
      <c r="V37" s="9"/>
      <c r="W37" s="9"/>
      <c r="X37" s="10"/>
    </row>
    <row r="38" spans="1:24" x14ac:dyDescent="0.25">
      <c r="A38" s="3" t="s">
        <v>185</v>
      </c>
      <c r="B38" s="34">
        <f>Yard!$B$46</f>
        <v>0</v>
      </c>
      <c r="C38" s="34">
        <f>Yard!$C$46</f>
        <v>-7.2894419189373644E-2</v>
      </c>
      <c r="D38" s="34">
        <f>Yard!$D$46</f>
        <v>-3.6689027417365468E-2</v>
      </c>
      <c r="E38" s="34">
        <f>Yard!$E$46</f>
        <v>-4.4720687741080595E-2</v>
      </c>
      <c r="F38" s="34">
        <f>Yard!$F$46</f>
        <v>-7.2463209113537125E-2</v>
      </c>
      <c r="G38" s="34">
        <f>Yard!$G$46</f>
        <v>-6.0928103876235562E-3</v>
      </c>
      <c r="H38" s="34">
        <f>Yard!$H$46</f>
        <v>-9.4402963239518217E-2</v>
      </c>
      <c r="I38" s="34">
        <f>Yard!$I$46</f>
        <v>0</v>
      </c>
      <c r="J38" s="34">
        <f>Yard!$J$46</f>
        <v>0</v>
      </c>
      <c r="K38" s="9"/>
      <c r="L38" s="9"/>
      <c r="M38" s="34">
        <f>Yard!$K$46</f>
        <v>-3.1158469869655526E-2</v>
      </c>
      <c r="N38" s="34">
        <f>Yard!$L$46</f>
        <v>-3.2990097184010837E-2</v>
      </c>
      <c r="O38" s="34">
        <f>Yard!$M$46</f>
        <v>-1.6604488979345213E-2</v>
      </c>
      <c r="P38" s="34">
        <f>Yard!$N$46</f>
        <v>-2.0239407229259085E-2</v>
      </c>
      <c r="Q38" s="34">
        <f>Yard!$O$46</f>
        <v>-3.2794942843434857E-2</v>
      </c>
      <c r="R38" s="34">
        <f>Yard!$P$46</f>
        <v>-2.7574457557479719E-3</v>
      </c>
      <c r="S38" s="34">
        <f>Yard!$Q$46</f>
        <v>-8.2025432920686953E-2</v>
      </c>
      <c r="T38" s="34">
        <f>Yard!$R$46</f>
        <v>0</v>
      </c>
      <c r="U38" s="34">
        <f>Yard!$S$46</f>
        <v>0</v>
      </c>
      <c r="V38" s="9"/>
      <c r="W38" s="9"/>
      <c r="X38" s="10"/>
    </row>
    <row r="39" spans="1:24" x14ac:dyDescent="0.25">
      <c r="A39" s="3" t="s">
        <v>186</v>
      </c>
      <c r="B39" s="34">
        <f>Yard!$B$81</f>
        <v>0</v>
      </c>
      <c r="C39" s="34">
        <f>Yard!$C$81</f>
        <v>-0.70205490964899153</v>
      </c>
      <c r="D39" s="34">
        <f>Yard!$D$81</f>
        <v>-0.35335643132969469</v>
      </c>
      <c r="E39" s="34">
        <f>Yard!$E$81</f>
        <v>-0.33673555390397869</v>
      </c>
      <c r="F39" s="34">
        <f>Yard!$F$81</f>
        <v>-0.54562977653163336</v>
      </c>
      <c r="G39" s="34">
        <f>Yard!$G$81</f>
        <v>-5.8680588908719286E-2</v>
      </c>
      <c r="H39" s="34">
        <f>Yard!$H$81</f>
        <v>-0.71083061827411842</v>
      </c>
      <c r="I39" s="34">
        <f>Yard!$I$81</f>
        <v>0</v>
      </c>
      <c r="J39" s="34">
        <f>Yard!$J$81</f>
        <v>0</v>
      </c>
      <c r="K39" s="9"/>
      <c r="L39" s="9"/>
      <c r="M39" s="34">
        <f>Yard!$K$81</f>
        <v>-0.34384551049732126</v>
      </c>
      <c r="N39" s="34">
        <f>Yard!$L$81</f>
        <v>-0.31773158981707766</v>
      </c>
      <c r="O39" s="34">
        <f>Yard!$M$81</f>
        <v>-0.15991982842852864</v>
      </c>
      <c r="P39" s="34">
        <f>Yard!$N$81</f>
        <v>-0.15239765639319902</v>
      </c>
      <c r="Q39" s="34">
        <f>Yard!$O$81</f>
        <v>-0.24693768815833775</v>
      </c>
      <c r="R39" s="34">
        <f>Yard!$P$81</f>
        <v>-2.6557291387210132E-2</v>
      </c>
      <c r="S39" s="34">
        <f>Yard!$Q$81</f>
        <v>-0.61763092170401768</v>
      </c>
      <c r="T39" s="34">
        <f>Yard!$R$81</f>
        <v>0</v>
      </c>
      <c r="U39" s="34">
        <f>Yard!$S$81</f>
        <v>0</v>
      </c>
      <c r="V39" s="9"/>
      <c r="W39" s="9"/>
      <c r="X39" s="10"/>
    </row>
    <row r="40" spans="1:24" x14ac:dyDescent="0.25">
      <c r="A40" s="3" t="s">
        <v>194</v>
      </c>
      <c r="B40" s="34">
        <f>Yard!$B$48</f>
        <v>0</v>
      </c>
      <c r="C40" s="34">
        <f>Yard!$C$48</f>
        <v>-7.1579135272376401E-2</v>
      </c>
      <c r="D40" s="34">
        <f>Yard!$D$48</f>
        <v>-3.6027022174317094E-2</v>
      </c>
      <c r="E40" s="34">
        <f>Yard!$E$48</f>
        <v>-4.1040921281181503E-2</v>
      </c>
      <c r="F40" s="34">
        <f>Yard!$F$48</f>
        <v>-4.6135251813849358E-2</v>
      </c>
      <c r="G40" s="34">
        <f>Yard!$G$48</f>
        <v>-3.8791180369423888E-3</v>
      </c>
      <c r="H40" s="34">
        <f>Yard!$H$48</f>
        <v>0</v>
      </c>
      <c r="I40" s="34">
        <f>Yard!$I$48</f>
        <v>0</v>
      </c>
      <c r="J40" s="34">
        <f>Yard!$J$48</f>
        <v>0</v>
      </c>
      <c r="K40" s="9"/>
      <c r="L40" s="9"/>
      <c r="M40" s="34">
        <f>Yard!$K$48</f>
        <v>-3.0596256263270481E-2</v>
      </c>
      <c r="N40" s="34">
        <f>Yard!$L$48</f>
        <v>-3.23948342718587E-2</v>
      </c>
      <c r="O40" s="34">
        <f>Yard!$M$48</f>
        <v>-1.6304882815425407E-2</v>
      </c>
      <c r="P40" s="34">
        <f>Yard!$N$48</f>
        <v>-1.9874213746489927E-2</v>
      </c>
      <c r="Q40" s="34">
        <f>Yard!$O$48</f>
        <v>-3.2203201234673927E-2</v>
      </c>
      <c r="R40" s="34">
        <f>Yard!$P$48</f>
        <v>-2.7076912739253589E-3</v>
      </c>
      <c r="S40" s="34">
        <f>Yard!$Q$48</f>
        <v>0</v>
      </c>
      <c r="T40" s="34">
        <f>Yard!$R$48</f>
        <v>0</v>
      </c>
      <c r="U40" s="34">
        <f>Yard!$S$48</f>
        <v>0</v>
      </c>
      <c r="V40" s="9"/>
      <c r="W40" s="9"/>
      <c r="X40" s="10"/>
    </row>
    <row r="41" spans="1:24" x14ac:dyDescent="0.25">
      <c r="A41" s="3" t="s">
        <v>195</v>
      </c>
      <c r="B41" s="34">
        <f>Yard!$B$82</f>
        <v>0</v>
      </c>
      <c r="C41" s="34">
        <f>Yard!$C$82</f>
        <v>-0.68938725220993102</v>
      </c>
      <c r="D41" s="34">
        <f>Yard!$D$82</f>
        <v>-0.34698057929240683</v>
      </c>
      <c r="E41" s="34">
        <f>Yard!$E$82</f>
        <v>-0.30902783607357615</v>
      </c>
      <c r="F41" s="34">
        <f>Yard!$F$82</f>
        <v>-0.3473868663197065</v>
      </c>
      <c r="G41" s="34">
        <f>Yard!$G$82</f>
        <v>-3.7360251898959709E-2</v>
      </c>
      <c r="H41" s="34">
        <f>Yard!$H$82</f>
        <v>0</v>
      </c>
      <c r="I41" s="34">
        <f>Yard!$I$82</f>
        <v>0</v>
      </c>
      <c r="J41" s="34">
        <f>Yard!$J$82</f>
        <v>0</v>
      </c>
      <c r="K41" s="9"/>
      <c r="L41" s="9"/>
      <c r="M41" s="34">
        <f>Yard!$K$82</f>
        <v>-0.33764127051683784</v>
      </c>
      <c r="N41" s="34">
        <f>Yard!$L$82</f>
        <v>-0.31199854118789966</v>
      </c>
      <c r="O41" s="34">
        <f>Yard!$M$82</f>
        <v>-0.15703428546543083</v>
      </c>
      <c r="P41" s="34">
        <f>Yard!$N$82</f>
        <v>-0.14964784113064372</v>
      </c>
      <c r="Q41" s="34">
        <f>Yard!$O$82</f>
        <v>-0.24248202237010569</v>
      </c>
      <c r="R41" s="34">
        <f>Yard!$P$82</f>
        <v>-2.6078099994658384E-2</v>
      </c>
      <c r="S41" s="34">
        <f>Yard!$Q$82</f>
        <v>0</v>
      </c>
      <c r="T41" s="34">
        <f>Yard!$R$82</f>
        <v>0</v>
      </c>
      <c r="U41" s="34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1" t="s">
        <v>1070</v>
      </c>
    </row>
    <row r="46" spans="1:24" x14ac:dyDescent="0.25">
      <c r="A46" s="11" t="s">
        <v>1071</v>
      </c>
    </row>
    <row r="47" spans="1:24" x14ac:dyDescent="0.25">
      <c r="A47" s="11" t="s">
        <v>1072</v>
      </c>
    </row>
    <row r="48" spans="1:24" x14ac:dyDescent="0.25">
      <c r="A48" s="11" t="s">
        <v>1073</v>
      </c>
    </row>
    <row r="49" spans="1:24" x14ac:dyDescent="0.25">
      <c r="A49" s="11" t="s">
        <v>1074</v>
      </c>
    </row>
    <row r="50" spans="1:24" x14ac:dyDescent="0.25">
      <c r="A50" s="2" t="s">
        <v>445</v>
      </c>
    </row>
    <row r="52" spans="1:24" ht="30" x14ac:dyDescent="0.25">
      <c r="B52" s="12" t="s">
        <v>139</v>
      </c>
      <c r="C52" s="12" t="s">
        <v>311</v>
      </c>
      <c r="D52" s="12" t="s">
        <v>312</v>
      </c>
      <c r="E52" s="12" t="s">
        <v>313</v>
      </c>
      <c r="F52" s="12" t="s">
        <v>314</v>
      </c>
      <c r="G52" s="12" t="s">
        <v>315</v>
      </c>
      <c r="H52" s="12" t="s">
        <v>316</v>
      </c>
      <c r="I52" s="12" t="s">
        <v>317</v>
      </c>
      <c r="J52" s="12" t="s">
        <v>318</v>
      </c>
      <c r="K52" s="12" t="s">
        <v>468</v>
      </c>
      <c r="L52" s="12" t="s">
        <v>480</v>
      </c>
      <c r="M52" s="12" t="s">
        <v>299</v>
      </c>
      <c r="N52" s="12" t="s">
        <v>882</v>
      </c>
      <c r="O52" s="12" t="s">
        <v>883</v>
      </c>
      <c r="P52" s="12" t="s">
        <v>884</v>
      </c>
      <c r="Q52" s="12" t="s">
        <v>885</v>
      </c>
      <c r="R52" s="12" t="s">
        <v>886</v>
      </c>
      <c r="S52" s="12" t="s">
        <v>887</v>
      </c>
      <c r="T52" s="12" t="s">
        <v>888</v>
      </c>
      <c r="U52" s="12" t="s">
        <v>889</v>
      </c>
      <c r="V52" s="12" t="s">
        <v>890</v>
      </c>
      <c r="W52" s="12" t="s">
        <v>891</v>
      </c>
    </row>
    <row r="53" spans="1:24" x14ac:dyDescent="0.25">
      <c r="A53" s="3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3" t="s">
        <v>172</v>
      </c>
      <c r="B54" s="34">
        <f>Standing!$B$106</f>
        <v>0</v>
      </c>
      <c r="C54" s="34">
        <f>Standing!$C$106</f>
        <v>1.838487587674956E-3</v>
      </c>
      <c r="D54" s="34">
        <f>Standing!$D$106</f>
        <v>9.2534273900251576E-4</v>
      </c>
      <c r="E54" s="34">
        <f>Standing!$E$106</f>
        <v>4.854092270510907E-3</v>
      </c>
      <c r="F54" s="34">
        <f>Standing!$F$106</f>
        <v>7.8653330487877E-3</v>
      </c>
      <c r="G54" s="34">
        <f>Standing!$G$106</f>
        <v>1.5366822860063168E-4</v>
      </c>
      <c r="H54" s="34">
        <f>Standing!$H$106</f>
        <v>1.0246727349707755E-2</v>
      </c>
      <c r="I54" s="34">
        <f>Standing!$I$106</f>
        <v>2.4319350488480355E-3</v>
      </c>
      <c r="J54" s="34">
        <f>Standing!$J$106</f>
        <v>0</v>
      </c>
      <c r="K54" s="9"/>
      <c r="L54" s="9"/>
      <c r="M54" s="34">
        <f>Standing!$K$106</f>
        <v>1.3718400495433404E-3</v>
      </c>
      <c r="N54" s="34">
        <f>Standing!$L$106</f>
        <v>8.3205113455154763E-4</v>
      </c>
      <c r="O54" s="34">
        <f>Standing!$M$106</f>
        <v>4.1878578947045014E-4</v>
      </c>
      <c r="P54" s="34">
        <f>Standing!$N$106</f>
        <v>2.1968345111343587E-3</v>
      </c>
      <c r="Q54" s="34">
        <f>Standing!$O$106</f>
        <v>3.5596428992734812E-3</v>
      </c>
      <c r="R54" s="34">
        <f>Standing!$P$106</f>
        <v>6.9546199174170173E-5</v>
      </c>
      <c r="S54" s="34">
        <f>Standing!$Q$106</f>
        <v>8.9032400894825045E-3</v>
      </c>
      <c r="T54" s="34">
        <f>Standing!$R$106</f>
        <v>3.781243612136677E-3</v>
      </c>
      <c r="U54" s="34">
        <f>Standing!$S$106</f>
        <v>0</v>
      </c>
      <c r="V54" s="9"/>
      <c r="W54" s="9"/>
      <c r="X54" s="10"/>
    </row>
    <row r="55" spans="1:24" x14ac:dyDescent="0.25">
      <c r="A55" s="3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3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3" t="s">
        <v>174</v>
      </c>
      <c r="B57" s="34">
        <f>Standing!$B$107</f>
        <v>0</v>
      </c>
      <c r="C57" s="34">
        <f>Standing!$C$107</f>
        <v>1.7643742470313029E-3</v>
      </c>
      <c r="D57" s="34">
        <f>Standing!$D$107</f>
        <v>8.8804020724348723E-4</v>
      </c>
      <c r="E57" s="34">
        <f>Standing!$E$107</f>
        <v>4.6583460618654197E-3</v>
      </c>
      <c r="F57" s="34">
        <f>Standing!$F$107</f>
        <v>7.5481554925662161E-3</v>
      </c>
      <c r="G57" s="34">
        <f>Standing!$G$107</f>
        <v>1.4747353582775946E-4</v>
      </c>
      <c r="H57" s="34">
        <f>Standing!$H$107</f>
        <v>9.8335176458225412E-3</v>
      </c>
      <c r="I57" s="34">
        <f>Standing!$I$107</f>
        <v>2.3338647941114122E-3</v>
      </c>
      <c r="J57" s="34">
        <f>Standing!$J$107</f>
        <v>0</v>
      </c>
      <c r="K57" s="9"/>
      <c r="L57" s="9"/>
      <c r="M57" s="34">
        <f>Standing!$K$107</f>
        <v>1.3165208097886349E-3</v>
      </c>
      <c r="N57" s="34">
        <f>Standing!$L$107</f>
        <v>7.9850938557191856E-4</v>
      </c>
      <c r="O57" s="34">
        <f>Standing!$M$107</f>
        <v>4.0190364455969956E-4</v>
      </c>
      <c r="P57" s="34">
        <f>Standing!$N$107</f>
        <v>2.1082449247376315E-3</v>
      </c>
      <c r="Q57" s="34">
        <f>Standing!$O$107</f>
        <v>3.4160966783049057E-3</v>
      </c>
      <c r="R57" s="34">
        <f>Standing!$P$107</f>
        <v>6.6742644130110841E-5</v>
      </c>
      <c r="S57" s="34">
        <f>Standing!$Q$107</f>
        <v>8.5442078760315492E-3</v>
      </c>
      <c r="T57" s="34">
        <f>Standing!$R$107</f>
        <v>3.6287611169980301E-3</v>
      </c>
      <c r="U57" s="34">
        <f>Standing!$S$107</f>
        <v>0</v>
      </c>
      <c r="V57" s="9"/>
      <c r="W57" s="9"/>
      <c r="X57" s="10"/>
    </row>
    <row r="58" spans="1:24" x14ac:dyDescent="0.25">
      <c r="A58" s="3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3" t="s">
        <v>175</v>
      </c>
      <c r="B59" s="34">
        <f>Standing!$B$108</f>
        <v>0</v>
      </c>
      <c r="C59" s="34">
        <f>Standing!$C$108</f>
        <v>1.2582422121076972E-3</v>
      </c>
      <c r="D59" s="34">
        <f>Standing!$D$108</f>
        <v>6.3329516211352841E-4</v>
      </c>
      <c r="E59" s="34">
        <f>Standing!$E$108</f>
        <v>3.3220913957578194E-3</v>
      </c>
      <c r="F59" s="34">
        <f>Standing!$F$108</f>
        <v>5.3829539674978295E-3</v>
      </c>
      <c r="G59" s="34">
        <f>Standing!$G$108</f>
        <v>1.0516897322633148E-4</v>
      </c>
      <c r="H59" s="34">
        <f>Standing!$H$108</f>
        <v>7.0127560141244692E-3</v>
      </c>
      <c r="I59" s="34">
        <f>Standing!$I$108</f>
        <v>1.664391620633446E-3</v>
      </c>
      <c r="J59" s="34">
        <f>Standing!$J$108</f>
        <v>0</v>
      </c>
      <c r="K59" s="9"/>
      <c r="L59" s="9"/>
      <c r="M59" s="34">
        <f>Standing!$K$108</f>
        <v>9.3887338166817212E-4</v>
      </c>
      <c r="N59" s="34">
        <f>Standing!$L$108</f>
        <v>5.6944733657345427E-4</v>
      </c>
      <c r="O59" s="34">
        <f>Standing!$M$108</f>
        <v>2.8661273629209256E-4</v>
      </c>
      <c r="P59" s="34">
        <f>Standing!$N$108</f>
        <v>1.5034912030164487E-3</v>
      </c>
      <c r="Q59" s="34">
        <f>Standing!$O$108</f>
        <v>2.4361834074493574E-3</v>
      </c>
      <c r="R59" s="34">
        <f>Standing!$P$108</f>
        <v>4.7596711601003996E-5</v>
      </c>
      <c r="S59" s="34">
        <f>Standing!$Q$108</f>
        <v>6.0932869931874627E-3</v>
      </c>
      <c r="T59" s="34">
        <f>Standing!$R$108</f>
        <v>2.5878446821987009E-3</v>
      </c>
      <c r="U59" s="34">
        <f>Standing!$S$108</f>
        <v>0</v>
      </c>
      <c r="V59" s="9"/>
      <c r="W59" s="9"/>
      <c r="X59" s="10"/>
    </row>
    <row r="60" spans="1:24" x14ac:dyDescent="0.25">
      <c r="A60" s="3" t="s">
        <v>176</v>
      </c>
      <c r="B60" s="34">
        <f>Standing!$B$109</f>
        <v>0</v>
      </c>
      <c r="C60" s="34">
        <f>Standing!$C$109</f>
        <v>1.2121949216371503E-3</v>
      </c>
      <c r="D60" s="34">
        <f>Standing!$D$109</f>
        <v>6.1011876093828492E-4</v>
      </c>
      <c r="E60" s="34">
        <f>Standing!$E$109</f>
        <v>3.2005144004876337E-3</v>
      </c>
      <c r="F60" s="34">
        <f>Standing!$F$109</f>
        <v>5.1859565670404522E-3</v>
      </c>
      <c r="G60" s="34">
        <f>Standing!$G$109</f>
        <v>1.0132015444403205E-4</v>
      </c>
      <c r="H60" s="34">
        <f>Standing!$H$109</f>
        <v>6.7561135250439729E-3</v>
      </c>
      <c r="I60" s="34">
        <f>Standing!$I$109</f>
        <v>0</v>
      </c>
      <c r="J60" s="34">
        <f>Standing!$J$109</f>
        <v>0</v>
      </c>
      <c r="K60" s="9"/>
      <c r="L60" s="9"/>
      <c r="M60" s="34">
        <f>Standing!$K$109</f>
        <v>9.0451388005177052E-4</v>
      </c>
      <c r="N60" s="34">
        <f>Standing!$L$109</f>
        <v>5.486075438351759E-4</v>
      </c>
      <c r="O60" s="34">
        <f>Standing!$M$109</f>
        <v>2.7612370660162251E-4</v>
      </c>
      <c r="P60" s="34">
        <f>Standing!$N$109</f>
        <v>1.4484686521283811E-3</v>
      </c>
      <c r="Q60" s="34">
        <f>Standing!$O$109</f>
        <v>2.3470275645417868E-3</v>
      </c>
      <c r="R60" s="34">
        <f>Standing!$P$109</f>
        <v>4.5854837434453066E-5</v>
      </c>
      <c r="S60" s="34">
        <f>Standing!$Q$109</f>
        <v>5.8702938735831637E-3</v>
      </c>
      <c r="T60" s="34">
        <f>Standing!$R$109</f>
        <v>0</v>
      </c>
      <c r="U60" s="34">
        <f>Standing!$S$109</f>
        <v>0</v>
      </c>
      <c r="V60" s="9"/>
      <c r="W60" s="9"/>
      <c r="X60" s="10"/>
    </row>
    <row r="61" spans="1:24" x14ac:dyDescent="0.25">
      <c r="A61" s="3" t="s">
        <v>192</v>
      </c>
      <c r="B61" s="34">
        <f>Standing!$B$110</f>
        <v>0</v>
      </c>
      <c r="C61" s="34">
        <f>Standing!$C$110</f>
        <v>1.1724570653586532E-3</v>
      </c>
      <c r="D61" s="34">
        <f>Standing!$D$110</f>
        <v>5.9910997038004445E-4</v>
      </c>
      <c r="E61" s="34">
        <f>Standing!$E$110</f>
        <v>2.3497323713837313E-3</v>
      </c>
      <c r="F61" s="34">
        <f>Standing!$F$110</f>
        <v>0</v>
      </c>
      <c r="G61" s="34">
        <f>Standing!$G$110</f>
        <v>0</v>
      </c>
      <c r="H61" s="34">
        <f>Standing!$H$110</f>
        <v>0</v>
      </c>
      <c r="I61" s="34">
        <f>Standing!$I$110</f>
        <v>0</v>
      </c>
      <c r="J61" s="34">
        <f>Standing!$J$110</f>
        <v>0</v>
      </c>
      <c r="K61" s="9"/>
      <c r="L61" s="9"/>
      <c r="M61" s="34">
        <f>Standing!$K$110</f>
        <v>8.8819311678398007E-4</v>
      </c>
      <c r="N61" s="34">
        <f>Standing!$L$110</f>
        <v>5.3062323508986427E-4</v>
      </c>
      <c r="O61" s="34">
        <f>Standing!$M$110</f>
        <v>2.7114141749864934E-4</v>
      </c>
      <c r="P61" s="34">
        <f>Standing!$N$110</f>
        <v>1.1378663523652394E-3</v>
      </c>
      <c r="Q61" s="34">
        <f>Standing!$O$110</f>
        <v>0</v>
      </c>
      <c r="R61" s="34">
        <f>Standing!$P$110</f>
        <v>0</v>
      </c>
      <c r="S61" s="34">
        <f>Standing!$Q$110</f>
        <v>0</v>
      </c>
      <c r="T61" s="34">
        <f>Standing!$R$110</f>
        <v>0</v>
      </c>
      <c r="U61" s="34">
        <f>Standing!$S$110</f>
        <v>0</v>
      </c>
      <c r="V61" s="9"/>
      <c r="W61" s="9"/>
      <c r="X61" s="10"/>
    </row>
    <row r="62" spans="1:24" x14ac:dyDescent="0.25">
      <c r="A62" s="3" t="s">
        <v>177</v>
      </c>
      <c r="B62" s="34">
        <f>Standing!$B$111</f>
        <v>0</v>
      </c>
      <c r="C62" s="34">
        <f>Standing!$C$111</f>
        <v>4.1211337442663934E-2</v>
      </c>
      <c r="D62" s="34">
        <f>Standing!$D$111</f>
        <v>2.0742382011606903E-2</v>
      </c>
      <c r="E62" s="34">
        <f>Standing!$E$111</f>
        <v>5.474040778134593E-2</v>
      </c>
      <c r="F62" s="34">
        <f>Standing!$F$111</f>
        <v>8.8698672054995528E-2</v>
      </c>
      <c r="G62" s="34">
        <f>Standing!$G$111</f>
        <v>3.4446102685337806E-3</v>
      </c>
      <c r="H62" s="34">
        <f>Standing!$H$111</f>
        <v>0.11555405259905276</v>
      </c>
      <c r="I62" s="34">
        <f>Standing!$I$111</f>
        <v>2.7425336984308522E-2</v>
      </c>
      <c r="J62" s="34">
        <f>Standing!$J$111</f>
        <v>0</v>
      </c>
      <c r="K62" s="9"/>
      <c r="L62" s="9"/>
      <c r="M62" s="34">
        <f>Standing!$K$111</f>
        <v>0</v>
      </c>
      <c r="N62" s="34">
        <f>Standing!$L$111</f>
        <v>1.8651167571340516E-2</v>
      </c>
      <c r="O62" s="34">
        <f>Standing!$M$111</f>
        <v>9.3874566256307371E-3</v>
      </c>
      <c r="P62" s="34">
        <f>Standing!$N$111</f>
        <v>2.4774069025880155E-2</v>
      </c>
      <c r="Q62" s="34">
        <f>Standing!$O$111</f>
        <v>4.0142686418627491E-2</v>
      </c>
      <c r="R62" s="34">
        <f>Standing!$P$111</f>
        <v>1.5589400228946055E-3</v>
      </c>
      <c r="S62" s="34">
        <f>Standing!$Q$111</f>
        <v>0.10040332278689923</v>
      </c>
      <c r="T62" s="34">
        <f>Standing!$R$111</f>
        <v>4.2641714601602571E-2</v>
      </c>
      <c r="U62" s="34">
        <f>Standing!$S$111</f>
        <v>0</v>
      </c>
      <c r="V62" s="9"/>
      <c r="W62" s="9"/>
      <c r="X62" s="10"/>
    </row>
    <row r="63" spans="1:24" x14ac:dyDescent="0.25">
      <c r="A63" s="3" t="s">
        <v>178</v>
      </c>
      <c r="B63" s="34">
        <f>Standing!$B$112</f>
        <v>0</v>
      </c>
      <c r="C63" s="34">
        <f>Standing!$C$112</f>
        <v>4.2443789030557739E-2</v>
      </c>
      <c r="D63" s="34">
        <f>Standing!$D$112</f>
        <v>2.1362696304548043E-2</v>
      </c>
      <c r="E63" s="34">
        <f>Standing!$E$112</f>
        <v>5.6346670729023093E-2</v>
      </c>
      <c r="F63" s="34">
        <f>Standing!$F$112</f>
        <v>9.1301381757108085E-2</v>
      </c>
      <c r="G63" s="34">
        <f>Standing!$G$112</f>
        <v>3.5476235570744926E-3</v>
      </c>
      <c r="H63" s="34">
        <f>Standing!$H$112</f>
        <v>0.11894478717094691</v>
      </c>
      <c r="I63" s="34">
        <f>Standing!$I$112</f>
        <v>2.8230086243784567E-2</v>
      </c>
      <c r="J63" s="34">
        <f>Standing!$J$112</f>
        <v>0</v>
      </c>
      <c r="K63" s="9"/>
      <c r="L63" s="9"/>
      <c r="M63" s="34">
        <f>Standing!$K$112</f>
        <v>0</v>
      </c>
      <c r="N63" s="34">
        <f>Standing!$L$112</f>
        <v>1.9208942749623748E-2</v>
      </c>
      <c r="O63" s="34">
        <f>Standing!$M$112</f>
        <v>9.668194561899832E-3</v>
      </c>
      <c r="P63" s="34">
        <f>Standing!$N$112</f>
        <v>2.5501021395296527E-2</v>
      </c>
      <c r="Q63" s="34">
        <f>Standing!$O$112</f>
        <v>4.132060438504128E-2</v>
      </c>
      <c r="R63" s="34">
        <f>Standing!$P$112</f>
        <v>1.6055611282960187E-3</v>
      </c>
      <c r="S63" s="34">
        <f>Standing!$Q$112</f>
        <v>0.10334948529742449</v>
      </c>
      <c r="T63" s="34">
        <f>Standing!$R$112</f>
        <v>4.3892962244177117E-2</v>
      </c>
      <c r="U63" s="34">
        <f>Standing!$S$112</f>
        <v>0</v>
      </c>
      <c r="V63" s="9"/>
      <c r="W63" s="9"/>
      <c r="X63" s="10"/>
    </row>
    <row r="64" spans="1:24" x14ac:dyDescent="0.25">
      <c r="A64" s="3" t="s">
        <v>179</v>
      </c>
      <c r="B64" s="34">
        <f>Standing!$B$113</f>
        <v>0</v>
      </c>
      <c r="C64" s="34">
        <f>Standing!$C$113</f>
        <v>3.9273272411844293E-2</v>
      </c>
      <c r="D64" s="34">
        <f>Standing!$D$113</f>
        <v>1.976692021572302E-2</v>
      </c>
      <c r="E64" s="34">
        <f>Standing!$E$113</f>
        <v>5.2137998130220187E-2</v>
      </c>
      <c r="F64" s="34">
        <f>Standing!$F$113</f>
        <v>8.4481855090094898E-2</v>
      </c>
      <c r="G64" s="34">
        <f>Standing!$G$113</f>
        <v>3.2826189544800811E-3</v>
      </c>
      <c r="H64" s="34">
        <f>Standing!$H$113</f>
        <v>8.8048404789587309E-2</v>
      </c>
      <c r="I64" s="34">
        <f>Standing!$I$113</f>
        <v>0</v>
      </c>
      <c r="J64" s="34">
        <f>Standing!$J$113</f>
        <v>0</v>
      </c>
      <c r="K64" s="9"/>
      <c r="L64" s="9"/>
      <c r="M64" s="34">
        <f>Standing!$K$113</f>
        <v>0</v>
      </c>
      <c r="N64" s="34">
        <f>Standing!$L$113</f>
        <v>1.7774050304659651E-2</v>
      </c>
      <c r="O64" s="34">
        <f>Standing!$M$113</f>
        <v>8.9459882690217547E-3</v>
      </c>
      <c r="P64" s="34">
        <f>Standing!$N$113</f>
        <v>2.3596286854652405E-2</v>
      </c>
      <c r="Q64" s="34">
        <f>Standing!$O$113</f>
        <v>3.8234265952064014E-2</v>
      </c>
      <c r="R64" s="34">
        <f>Standing!$P$113</f>
        <v>1.4856270141207287E-3</v>
      </c>
      <c r="S64" s="34">
        <f>Standing!$Q$113</f>
        <v>7.6504044714334571E-2</v>
      </c>
      <c r="T64" s="34">
        <f>Standing!$R$113</f>
        <v>0</v>
      </c>
      <c r="U64" s="34">
        <f>Standing!$S$113</f>
        <v>0</v>
      </c>
      <c r="V64" s="9"/>
      <c r="W64" s="9"/>
      <c r="X64" s="10"/>
    </row>
    <row r="65" spans="1:24" x14ac:dyDescent="0.25">
      <c r="A65" s="3" t="s">
        <v>180</v>
      </c>
      <c r="B65" s="34">
        <f>Standing!$B$114</f>
        <v>0</v>
      </c>
      <c r="C65" s="34">
        <f>Standing!$C$114</f>
        <v>3.8095811584979176E-2</v>
      </c>
      <c r="D65" s="34">
        <f>Standing!$D$114</f>
        <v>1.9174283728044885E-2</v>
      </c>
      <c r="E65" s="34">
        <f>Standing!$E$114</f>
        <v>5.0574837063688156E-2</v>
      </c>
      <c r="F65" s="34">
        <f>Standing!$F$114</f>
        <v>8.1948985562281279E-2</v>
      </c>
      <c r="G65" s="34">
        <f>Standing!$G$114</f>
        <v>3.1842020161640498E-3</v>
      </c>
      <c r="H65" s="34">
        <f>Standing!$H$114</f>
        <v>0</v>
      </c>
      <c r="I65" s="34">
        <f>Standing!$I$114</f>
        <v>0</v>
      </c>
      <c r="J65" s="34">
        <f>Standing!$J$114</f>
        <v>0</v>
      </c>
      <c r="K65" s="9"/>
      <c r="L65" s="9"/>
      <c r="M65" s="34">
        <f>Standing!$K$114</f>
        <v>0</v>
      </c>
      <c r="N65" s="34">
        <f>Standing!$L$114</f>
        <v>1.7241162498698386E-2</v>
      </c>
      <c r="O65" s="34">
        <f>Standing!$M$114</f>
        <v>8.6777765795575668E-3</v>
      </c>
      <c r="P65" s="34">
        <f>Standing!$N$114</f>
        <v>2.2888841263170541E-2</v>
      </c>
      <c r="Q65" s="34">
        <f>Standing!$O$114</f>
        <v>3.708795581191586E-2</v>
      </c>
      <c r="R65" s="34">
        <f>Standing!$P$114</f>
        <v>1.441086095958478E-3</v>
      </c>
      <c r="S65" s="34">
        <f>Standing!$Q$114</f>
        <v>0</v>
      </c>
      <c r="T65" s="34">
        <f>Standing!$R$114</f>
        <v>0</v>
      </c>
      <c r="U65" s="34">
        <f>Standing!$S$114</f>
        <v>0</v>
      </c>
      <c r="V65" s="9"/>
      <c r="W65" s="9"/>
      <c r="X65" s="10"/>
    </row>
    <row r="66" spans="1:24" x14ac:dyDescent="0.25">
      <c r="A66" s="3" t="s">
        <v>193</v>
      </c>
      <c r="B66" s="34">
        <f>Standing!$B$115</f>
        <v>0</v>
      </c>
      <c r="C66" s="34">
        <f>Standing!$C$115</f>
        <v>3.2684020221934618E-2</v>
      </c>
      <c r="D66" s="34">
        <f>Standing!$D$115</f>
        <v>1.6701099737988369E-2</v>
      </c>
      <c r="E66" s="34">
        <f>Standing!$E$115</f>
        <v>3.2935697050346734E-2</v>
      </c>
      <c r="F66" s="34">
        <f>Standing!$F$115</f>
        <v>0</v>
      </c>
      <c r="G66" s="34">
        <f>Standing!$G$115</f>
        <v>0</v>
      </c>
      <c r="H66" s="34">
        <f>Standing!$H$115</f>
        <v>0</v>
      </c>
      <c r="I66" s="34">
        <f>Standing!$I$115</f>
        <v>0</v>
      </c>
      <c r="J66" s="34">
        <f>Standing!$J$115</f>
        <v>0</v>
      </c>
      <c r="K66" s="9"/>
      <c r="L66" s="9"/>
      <c r="M66" s="34">
        <f>Standing!$K$115</f>
        <v>0</v>
      </c>
      <c r="N66" s="34">
        <f>Standing!$L$115</f>
        <v>1.4791928044376037E-2</v>
      </c>
      <c r="O66" s="34">
        <f>Standing!$M$115</f>
        <v>7.5584785442177364E-3</v>
      </c>
      <c r="P66" s="34">
        <f>Standing!$N$115</f>
        <v>1.5949229759819487E-2</v>
      </c>
      <c r="Q66" s="34">
        <f>Standing!$O$115</f>
        <v>0</v>
      </c>
      <c r="R66" s="34">
        <f>Standing!$P$115</f>
        <v>0</v>
      </c>
      <c r="S66" s="34">
        <f>Standing!$Q$115</f>
        <v>0</v>
      </c>
      <c r="T66" s="34">
        <f>Standing!$R$115</f>
        <v>0</v>
      </c>
      <c r="U66" s="34">
        <f>Standing!$S$115</f>
        <v>0</v>
      </c>
      <c r="V66" s="9"/>
      <c r="W66" s="9"/>
      <c r="X66" s="10"/>
    </row>
    <row r="67" spans="1:24" x14ac:dyDescent="0.25">
      <c r="A67" s="3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3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3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3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3" t="s">
        <v>217</v>
      </c>
      <c r="B71" s="34">
        <f>Yard!$B$104</f>
        <v>0</v>
      </c>
      <c r="C71" s="34">
        <f>Yard!$C$104</f>
        <v>3.1446007594553259E-2</v>
      </c>
      <c r="D71" s="34">
        <f>Yard!$D$104</f>
        <v>1.5827321866794346E-2</v>
      </c>
      <c r="E71" s="34">
        <f>Yard!$E$104</f>
        <v>4.238427247308018E-2</v>
      </c>
      <c r="F71" s="34">
        <f>Yard!$F$104</f>
        <v>6.867739640150114E-2</v>
      </c>
      <c r="G71" s="34">
        <f>Yard!$G$104</f>
        <v>2.6283845025726394E-3</v>
      </c>
      <c r="H71" s="34">
        <f>Yard!$H$104</f>
        <v>8.9470916444211901E-2</v>
      </c>
      <c r="I71" s="34">
        <f>Yard!$I$104</f>
        <v>2.1234824556880468E-2</v>
      </c>
      <c r="J71" s="34">
        <f>Yard!$J$104</f>
        <v>8.822848515250007E-3</v>
      </c>
      <c r="K71" s="9"/>
      <c r="L71" s="9"/>
      <c r="M71" s="34">
        <f>Yard!$K$104</f>
        <v>0</v>
      </c>
      <c r="N71" s="34">
        <f>Yard!$L$104</f>
        <v>1.4231636085862186E-2</v>
      </c>
      <c r="O71" s="34">
        <f>Yard!$M$104</f>
        <v>7.1630296578902219E-3</v>
      </c>
      <c r="P71" s="34">
        <f>Yard!$N$104</f>
        <v>1.9182007120846164E-2</v>
      </c>
      <c r="Q71" s="34">
        <f>Yard!$O$104</f>
        <v>3.1081583567382932E-2</v>
      </c>
      <c r="R71" s="34">
        <f>Yard!$P$104</f>
        <v>1.189537705918916E-3</v>
      </c>
      <c r="S71" s="34">
        <f>Yard!$Q$104</f>
        <v>7.7740045474281705E-2</v>
      </c>
      <c r="T71" s="34">
        <f>Yard!$R$104</f>
        <v>3.3016525152915234E-2</v>
      </c>
      <c r="U71" s="34">
        <f>Yard!$S$104</f>
        <v>6.5153549692573365E-2</v>
      </c>
      <c r="V71" s="34">
        <f>Otex!$B$160</f>
        <v>0.57156617717465663</v>
      </c>
      <c r="W71" s="9"/>
      <c r="X71" s="10"/>
    </row>
    <row r="72" spans="1:24" x14ac:dyDescent="0.25">
      <c r="A72" s="3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3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3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3" t="s">
        <v>184</v>
      </c>
      <c r="B75" s="34">
        <f>Yard!$B$105</f>
        <v>0</v>
      </c>
      <c r="C75" s="34">
        <f>Yard!$C$105</f>
        <v>-3.2161717382700912E-2</v>
      </c>
      <c r="D75" s="34">
        <f>Yard!$D$105</f>
        <v>-1.6187551035669517E-2</v>
      </c>
      <c r="E75" s="34">
        <f>Yard!$E$105</f>
        <v>-4.2696914664493685E-2</v>
      </c>
      <c r="F75" s="34">
        <f>Yard!$F$105</f>
        <v>-6.9183986475099241E-2</v>
      </c>
      <c r="G75" s="34">
        <f>Yard!$G$105</f>
        <v>-2.6882064214553618E-3</v>
      </c>
      <c r="H75" s="34">
        <f>Yard!$H$105</f>
        <v>-9.0130887271897095E-2</v>
      </c>
      <c r="I75" s="34">
        <f>Yard!$I$105</f>
        <v>-2.1391460537549031E-2</v>
      </c>
      <c r="J75" s="34">
        <f>Yard!$J$105</f>
        <v>0</v>
      </c>
      <c r="K75" s="9"/>
      <c r="L75" s="9"/>
      <c r="M75" s="34">
        <f>Yard!$K$105</f>
        <v>0</v>
      </c>
      <c r="N75" s="34">
        <f>Yard!$L$105</f>
        <v>-1.4555547514598571E-2</v>
      </c>
      <c r="O75" s="34">
        <f>Yard!$M$105</f>
        <v>-7.3260599065960033E-3</v>
      </c>
      <c r="P75" s="34">
        <f>Yard!$N$105</f>
        <v>-1.9323500754971416E-2</v>
      </c>
      <c r="Q75" s="34">
        <f>Yard!$O$105</f>
        <v>-3.13108529126402E-2</v>
      </c>
      <c r="R75" s="34">
        <f>Yard!$P$105</f>
        <v>-1.2166115332382336E-3</v>
      </c>
      <c r="S75" s="34">
        <f>Yard!$Q$105</f>
        <v>-7.8313485025310978E-2</v>
      </c>
      <c r="T75" s="34">
        <f>Yard!$R$105</f>
        <v>-3.3260067348507311E-2</v>
      </c>
      <c r="U75" s="34">
        <f>Yard!$S$105</f>
        <v>0</v>
      </c>
      <c r="V75" s="9"/>
      <c r="W75" s="9"/>
      <c r="X75" s="10"/>
    </row>
    <row r="76" spans="1:24" x14ac:dyDescent="0.25">
      <c r="A76" s="3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3" t="s">
        <v>186</v>
      </c>
      <c r="B77" s="34">
        <f>Yard!$B$106</f>
        <v>0</v>
      </c>
      <c r="C77" s="34">
        <f>Yard!$C$106</f>
        <v>-3.0984710342162908E-2</v>
      </c>
      <c r="D77" s="34">
        <f>Yard!$D$106</f>
        <v>-1.559514294653248E-2</v>
      </c>
      <c r="E77" s="34">
        <f>Yard!$E$106</f>
        <v>-4.1134356030843415E-2</v>
      </c>
      <c r="F77" s="34">
        <f>Yard!$F$106</f>
        <v>-6.6652093099981241E-2</v>
      </c>
      <c r="G77" s="34">
        <f>Yard!$G$106</f>
        <v>-2.5898274124359529E-3</v>
      </c>
      <c r="H77" s="34">
        <f>Yard!$H$106</f>
        <v>-8.6832410153071943E-2</v>
      </c>
      <c r="I77" s="34">
        <f>Yard!$I$106</f>
        <v>0</v>
      </c>
      <c r="J77" s="34">
        <f>Yard!$J$106</f>
        <v>0</v>
      </c>
      <c r="K77" s="9"/>
      <c r="L77" s="9"/>
      <c r="M77" s="34">
        <f>Yard!$K$106</f>
        <v>0</v>
      </c>
      <c r="N77" s="34">
        <f>Yard!$L$106</f>
        <v>-1.4022865080395509E-2</v>
      </c>
      <c r="O77" s="34">
        <f>Yard!$M$106</f>
        <v>-7.0579515843052065E-3</v>
      </c>
      <c r="P77" s="34">
        <f>Yard!$N$106</f>
        <v>-1.8616327808769349E-2</v>
      </c>
      <c r="Q77" s="34">
        <f>Yard!$O$106</f>
        <v>-3.0164984553531681E-2</v>
      </c>
      <c r="R77" s="34">
        <f>Yard!$P$106</f>
        <v>-1.1720877808781883E-3</v>
      </c>
      <c r="S77" s="34">
        <f>Yard!$Q$106</f>
        <v>-7.5447483743506349E-2</v>
      </c>
      <c r="T77" s="34">
        <f>Yard!$R$106</f>
        <v>0</v>
      </c>
      <c r="U77" s="34">
        <f>Yard!$S$106</f>
        <v>0</v>
      </c>
      <c r="V77" s="9"/>
      <c r="W77" s="9"/>
      <c r="X77" s="10"/>
    </row>
    <row r="78" spans="1:24" x14ac:dyDescent="0.25">
      <c r="A78" s="3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3" t="s">
        <v>195</v>
      </c>
      <c r="B79" s="34">
        <f>Yard!$B$107</f>
        <v>0</v>
      </c>
      <c r="C79" s="34">
        <f>Yard!$C$107</f>
        <v>-3.0425631997907359E-2</v>
      </c>
      <c r="D79" s="34">
        <f>Yard!$D$107</f>
        <v>-1.5313749104192392E-2</v>
      </c>
      <c r="E79" s="34">
        <f>Yard!$E$107</f>
        <v>-3.774968483463547E-2</v>
      </c>
      <c r="F79" s="34">
        <f>Yard!$F$107</f>
        <v>-4.2435480524603372E-2</v>
      </c>
      <c r="G79" s="34">
        <f>Yard!$G$107</f>
        <v>-1.6488690093746016E-3</v>
      </c>
      <c r="H79" s="34">
        <f>Yard!$H$107</f>
        <v>0</v>
      </c>
      <c r="I79" s="34">
        <f>Yard!$I$107</f>
        <v>0</v>
      </c>
      <c r="J79" s="34">
        <f>Yard!$J$107</f>
        <v>0</v>
      </c>
      <c r="K79" s="9"/>
      <c r="L79" s="9"/>
      <c r="M79" s="34">
        <f>Yard!$K$107</f>
        <v>0</v>
      </c>
      <c r="N79" s="34">
        <f>Yard!$L$107</f>
        <v>-1.376984092414906E-2</v>
      </c>
      <c r="O79" s="34">
        <f>Yard!$M$107</f>
        <v>-6.9306001312170792E-3</v>
      </c>
      <c r="P79" s="34">
        <f>Yard!$N$107</f>
        <v>-1.8280420659323376E-2</v>
      </c>
      <c r="Q79" s="34">
        <f>Yard!$O$107</f>
        <v>-2.9620697082955144E-2</v>
      </c>
      <c r="R79" s="34">
        <f>Yard!$P$107</f>
        <v>-1.1509389985071669E-3</v>
      </c>
      <c r="S79" s="34">
        <f>Yard!$Q$107</f>
        <v>0</v>
      </c>
      <c r="T79" s="34">
        <f>Yard!$R$107</f>
        <v>0</v>
      </c>
      <c r="U79" s="34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1" t="s">
        <v>1076</v>
      </c>
    </row>
    <row r="84" spans="1:24" x14ac:dyDescent="0.25">
      <c r="A84" s="11" t="s">
        <v>1077</v>
      </c>
    </row>
    <row r="85" spans="1:24" x14ac:dyDescent="0.25">
      <c r="A85" s="11" t="s">
        <v>1078</v>
      </c>
    </row>
    <row r="86" spans="1:24" x14ac:dyDescent="0.25">
      <c r="A86" s="11" t="s">
        <v>1079</v>
      </c>
    </row>
    <row r="87" spans="1:24" x14ac:dyDescent="0.25">
      <c r="A87" s="11" t="s">
        <v>1080</v>
      </c>
    </row>
    <row r="88" spans="1:24" x14ac:dyDescent="0.25">
      <c r="A88" s="2" t="s">
        <v>445</v>
      </c>
    </row>
    <row r="90" spans="1:24" ht="30" x14ac:dyDescent="0.25">
      <c r="B90" s="12" t="s">
        <v>139</v>
      </c>
      <c r="C90" s="12" t="s">
        <v>311</v>
      </c>
      <c r="D90" s="12" t="s">
        <v>312</v>
      </c>
      <c r="E90" s="12" t="s">
        <v>313</v>
      </c>
      <c r="F90" s="12" t="s">
        <v>314</v>
      </c>
      <c r="G90" s="12" t="s">
        <v>315</v>
      </c>
      <c r="H90" s="12" t="s">
        <v>316</v>
      </c>
      <c r="I90" s="12" t="s">
        <v>317</v>
      </c>
      <c r="J90" s="12" t="s">
        <v>318</v>
      </c>
      <c r="K90" s="12" t="s">
        <v>468</v>
      </c>
      <c r="L90" s="12" t="s">
        <v>480</v>
      </c>
      <c r="M90" s="12" t="s">
        <v>299</v>
      </c>
      <c r="N90" s="12" t="s">
        <v>882</v>
      </c>
      <c r="O90" s="12" t="s">
        <v>883</v>
      </c>
      <c r="P90" s="12" t="s">
        <v>884</v>
      </c>
      <c r="Q90" s="12" t="s">
        <v>885</v>
      </c>
      <c r="R90" s="12" t="s">
        <v>886</v>
      </c>
      <c r="S90" s="12" t="s">
        <v>887</v>
      </c>
      <c r="T90" s="12" t="s">
        <v>888</v>
      </c>
      <c r="U90" s="12" t="s">
        <v>889</v>
      </c>
      <c r="V90" s="12" t="s">
        <v>890</v>
      </c>
      <c r="W90" s="12" t="s">
        <v>891</v>
      </c>
    </row>
    <row r="91" spans="1:24" x14ac:dyDescent="0.25">
      <c r="A91" s="3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3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3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3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3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3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3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3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3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3" t="s">
        <v>177</v>
      </c>
      <c r="B100" s="34">
        <f>Standing!$B$125</f>
        <v>0</v>
      </c>
      <c r="C100" s="34">
        <f>Standing!$C$125</f>
        <v>1.6122846852595408E-3</v>
      </c>
      <c r="D100" s="34">
        <f>Standing!$D$125</f>
        <v>8.1149088887601587E-4</v>
      </c>
      <c r="E100" s="34">
        <f>Standing!$E$125</f>
        <v>4.2591517237171818E-3</v>
      </c>
      <c r="F100" s="34">
        <f>Standing!$F$125</f>
        <v>6.9013205653027099E-3</v>
      </c>
      <c r="G100" s="34">
        <f>Standing!$G$125</f>
        <v>1.3476127510715833E-4</v>
      </c>
      <c r="H100" s="34">
        <f>Standing!$H$125</f>
        <v>8.9908398979350861E-3</v>
      </c>
      <c r="I100" s="34">
        <f>Standing!$I$125</f>
        <v>2.1338655670381668E-3</v>
      </c>
      <c r="J100" s="34">
        <f>Standing!$J$125</f>
        <v>0</v>
      </c>
      <c r="K100" s="9"/>
      <c r="L100" s="9"/>
      <c r="M100" s="34">
        <f>Standing!$K$125</f>
        <v>1.2034133265032929E-3</v>
      </c>
      <c r="N100" s="34">
        <f>Standing!$L$125</f>
        <v>7.2967764948950143E-4</v>
      </c>
      <c r="O100" s="34">
        <f>Standing!$M$125</f>
        <v>3.6725943612239844E-4</v>
      </c>
      <c r="P100" s="34">
        <f>Standing!$N$125</f>
        <v>1.9275800651054544E-3</v>
      </c>
      <c r="Q100" s="34">
        <f>Standing!$O$125</f>
        <v>3.123356200367927E-3</v>
      </c>
      <c r="R100" s="34">
        <f>Standing!$P$125</f>
        <v>6.098940922866244E-5</v>
      </c>
      <c r="S100" s="34">
        <f>Standing!$Q$125</f>
        <v>7.8120168016081225E-3</v>
      </c>
      <c r="T100" s="34">
        <f>Standing!$R$125</f>
        <v>3.3177964799444206E-3</v>
      </c>
      <c r="U100" s="34">
        <f>Standing!$S$125</f>
        <v>0</v>
      </c>
      <c r="V100" s="9"/>
      <c r="W100" s="9"/>
      <c r="X100" s="10"/>
    </row>
    <row r="101" spans="1:24" x14ac:dyDescent="0.25">
      <c r="A101" s="3" t="s">
        <v>178</v>
      </c>
      <c r="B101" s="34">
        <f>Standing!$B$126</f>
        <v>0</v>
      </c>
      <c r="C101" s="34">
        <f>Standing!$C$126</f>
        <v>1.6605010971449722E-3</v>
      </c>
      <c r="D101" s="34">
        <f>Standing!$D$126</f>
        <v>8.3575904653889323E-4</v>
      </c>
      <c r="E101" s="34">
        <f>Standing!$E$126</f>
        <v>4.384129192457808E-3</v>
      </c>
      <c r="F101" s="34">
        <f>Standing!$F$126</f>
        <v>7.1038279261971937E-3</v>
      </c>
      <c r="G101" s="34">
        <f>Standing!$G$126</f>
        <v>1.3879139783063178E-4</v>
      </c>
      <c r="H101" s="34">
        <f>Standing!$H$126</f>
        <v>9.2546606033678293E-3</v>
      </c>
      <c r="I101" s="34">
        <f>Standing!$I$126</f>
        <v>2.1964801754157381E-3</v>
      </c>
      <c r="J101" s="34">
        <f>Standing!$J$126</f>
        <v>0</v>
      </c>
      <c r="K101" s="9"/>
      <c r="L101" s="9"/>
      <c r="M101" s="34">
        <f>Standing!$K$126</f>
        <v>1.2397486224946638E-3</v>
      </c>
      <c r="N101" s="34">
        <f>Standing!$L$126</f>
        <v>7.5149912953768286E-4</v>
      </c>
      <c r="O101" s="34">
        <f>Standing!$M$126</f>
        <v>3.7824256608870352E-4</v>
      </c>
      <c r="P101" s="34">
        <f>Standing!$N$126</f>
        <v>1.9841415808622867E-3</v>
      </c>
      <c r="Q101" s="34">
        <f>Standing!$O$126</f>
        <v>3.2150057064711389E-3</v>
      </c>
      <c r="R101" s="34">
        <f>Standing!$P$126</f>
        <v>6.2813336791148067E-5</v>
      </c>
      <c r="S101" s="34">
        <f>Standing!$Q$126</f>
        <v>8.041246974411673E-3</v>
      </c>
      <c r="T101" s="34">
        <f>Standing!$R$126</f>
        <v>3.4151515010278498E-3</v>
      </c>
      <c r="U101" s="34">
        <f>Standing!$S$126</f>
        <v>0</v>
      </c>
      <c r="V101" s="9"/>
      <c r="W101" s="9"/>
      <c r="X101" s="10"/>
    </row>
    <row r="102" spans="1:24" x14ac:dyDescent="0.25">
      <c r="A102" s="3" t="s">
        <v>179</v>
      </c>
      <c r="B102" s="34">
        <f>Standing!$B$127</f>
        <v>0</v>
      </c>
      <c r="C102" s="34">
        <f>Standing!$C$127</f>
        <v>1.5364630118529232E-3</v>
      </c>
      <c r="D102" s="34">
        <f>Standing!$D$127</f>
        <v>7.7332852356216432E-4</v>
      </c>
      <c r="E102" s="34">
        <f>Standing!$E$127</f>
        <v>4.0566677086969708E-3</v>
      </c>
      <c r="F102" s="34">
        <f>Standing!$F$127</f>
        <v>6.573225398083719E-3</v>
      </c>
      <c r="G102" s="34">
        <f>Standing!$G$127</f>
        <v>1.2842379297236435E-4</v>
      </c>
      <c r="H102" s="34">
        <f>Standing!$H$127</f>
        <v>6.8507256381439051E-3</v>
      </c>
      <c r="I102" s="34">
        <f>Standing!$I$127</f>
        <v>0</v>
      </c>
      <c r="J102" s="34">
        <f>Standing!$J$127</f>
        <v>0</v>
      </c>
      <c r="K102" s="9"/>
      <c r="L102" s="9"/>
      <c r="M102" s="34">
        <f>Standing!$K$127</f>
        <v>1.1464757817415735E-3</v>
      </c>
      <c r="N102" s="34">
        <f>Standing!$L$127</f>
        <v>6.9536275402623841E-4</v>
      </c>
      <c r="O102" s="34">
        <f>Standing!$M$127</f>
        <v>3.499881531562092E-4</v>
      </c>
      <c r="P102" s="34">
        <f>Standing!$N$127</f>
        <v>1.8359411247310005E-3</v>
      </c>
      <c r="Q102" s="34">
        <f>Standing!$O$127</f>
        <v>2.9748689557677712E-3</v>
      </c>
      <c r="R102" s="34">
        <f>Standing!$P$127</f>
        <v>5.8121231474400792E-5</v>
      </c>
      <c r="S102" s="34">
        <f>Standing!$Q$127</f>
        <v>5.9525010339333412E-3</v>
      </c>
      <c r="T102" s="34">
        <f>Standing!$R$127</f>
        <v>0</v>
      </c>
      <c r="U102" s="34">
        <f>Standing!$S$127</f>
        <v>0</v>
      </c>
      <c r="V102" s="9"/>
      <c r="W102" s="9"/>
      <c r="X102" s="10"/>
    </row>
    <row r="103" spans="1:24" x14ac:dyDescent="0.25">
      <c r="A103" s="3" t="s">
        <v>180</v>
      </c>
      <c r="B103" s="34">
        <f>Standing!$B$128</f>
        <v>0</v>
      </c>
      <c r="C103" s="34">
        <f>Standing!$C$128</f>
        <v>1.4903979681913616E-3</v>
      </c>
      <c r="D103" s="34">
        <f>Standing!$D$128</f>
        <v>7.5014318689749487E-4</v>
      </c>
      <c r="E103" s="34">
        <f>Standing!$E$128</f>
        <v>3.9350438403187703E-3</v>
      </c>
      <c r="F103" s="34">
        <f>Standing!$F$128</f>
        <v>6.3761520467409804E-3</v>
      </c>
      <c r="G103" s="34">
        <f>Standing!$G$128</f>
        <v>1.2457349030655466E-4</v>
      </c>
      <c r="H103" s="34">
        <f>Standing!$H$128</f>
        <v>0</v>
      </c>
      <c r="I103" s="34">
        <f>Standing!$I$128</f>
        <v>0</v>
      </c>
      <c r="J103" s="34">
        <f>Standing!$J$128</f>
        <v>0</v>
      </c>
      <c r="K103" s="9"/>
      <c r="L103" s="9"/>
      <c r="M103" s="34">
        <f>Standing!$K$128</f>
        <v>1.1121030330743871E-3</v>
      </c>
      <c r="N103" s="34">
        <f>Standing!$L$128</f>
        <v>6.7451492666057149E-4</v>
      </c>
      <c r="O103" s="34">
        <f>Standing!$M$128</f>
        <v>3.3949507949820607E-4</v>
      </c>
      <c r="P103" s="34">
        <f>Standing!$N$128</f>
        <v>1.7808973603068909E-3</v>
      </c>
      <c r="Q103" s="34">
        <f>Standing!$O$128</f>
        <v>2.8856787394868056E-3</v>
      </c>
      <c r="R103" s="34">
        <f>Standing!$P$128</f>
        <v>5.6378685741195539E-5</v>
      </c>
      <c r="S103" s="34">
        <f>Standing!$Q$128</f>
        <v>0</v>
      </c>
      <c r="T103" s="34">
        <f>Standing!$R$128</f>
        <v>0</v>
      </c>
      <c r="U103" s="34">
        <f>Standing!$S$128</f>
        <v>0</v>
      </c>
      <c r="V103" s="9"/>
      <c r="W103" s="9"/>
      <c r="X103" s="10"/>
    </row>
    <row r="104" spans="1:24" x14ac:dyDescent="0.25">
      <c r="A104" s="3" t="s">
        <v>193</v>
      </c>
      <c r="B104" s="34">
        <f>Standing!$B$129</f>
        <v>0</v>
      </c>
      <c r="C104" s="34">
        <f>Standing!$C$129</f>
        <v>1.2786759306186697E-3</v>
      </c>
      <c r="D104" s="34">
        <f>Standing!$D$129</f>
        <v>6.5338639814864995E-4</v>
      </c>
      <c r="E104" s="34">
        <f>Standing!$E$129</f>
        <v>2.562606610899494E-3</v>
      </c>
      <c r="F104" s="34">
        <f>Standing!$F$129</f>
        <v>0</v>
      </c>
      <c r="G104" s="34">
        <f>Standing!$G$129</f>
        <v>0</v>
      </c>
      <c r="H104" s="34">
        <f>Standing!$H$129</f>
        <v>0</v>
      </c>
      <c r="I104" s="34">
        <f>Standing!$I$129</f>
        <v>0</v>
      </c>
      <c r="J104" s="34">
        <f>Standing!$J$129</f>
        <v>0</v>
      </c>
      <c r="K104" s="9"/>
      <c r="L104" s="9"/>
      <c r="M104" s="34">
        <f>Standing!$K$129</f>
        <v>9.6865906115328792E-4</v>
      </c>
      <c r="N104" s="34">
        <f>Standing!$L$129</f>
        <v>5.786951002157766E-4</v>
      </c>
      <c r="O104" s="34">
        <f>Standing!$M$129</f>
        <v>2.9570550137227833E-4</v>
      </c>
      <c r="P104" s="34">
        <f>Standing!$N$129</f>
        <v>1.24095146851729E-3</v>
      </c>
      <c r="Q104" s="34">
        <f>Standing!$O$129</f>
        <v>0</v>
      </c>
      <c r="R104" s="34">
        <f>Standing!$P$129</f>
        <v>0</v>
      </c>
      <c r="S104" s="34">
        <f>Standing!$Q$129</f>
        <v>0</v>
      </c>
      <c r="T104" s="34">
        <f>Standing!$R$129</f>
        <v>0</v>
      </c>
      <c r="U104" s="34">
        <f>Standing!$S$129</f>
        <v>0</v>
      </c>
      <c r="V104" s="9"/>
      <c r="W104" s="9"/>
      <c r="X104" s="10"/>
    </row>
    <row r="105" spans="1:24" x14ac:dyDescent="0.25">
      <c r="A105" s="3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3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3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3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3" t="s">
        <v>217</v>
      </c>
      <c r="B109" s="34">
        <f>Yard!$B$124</f>
        <v>0</v>
      </c>
      <c r="C109" s="34">
        <f>Yard!$C$124</f>
        <v>1.4564748788609306E-3</v>
      </c>
      <c r="D109" s="34">
        <f>Yard!$D$124</f>
        <v>7.330691067639727E-4</v>
      </c>
      <c r="E109" s="34">
        <f>Yard!$E$124</f>
        <v>3.845477934726259E-3</v>
      </c>
      <c r="F109" s="34">
        <f>Yard!$F$124</f>
        <v>6.231023846030608E-3</v>
      </c>
      <c r="G109" s="34">
        <f>Yard!$G$124</f>
        <v>1.2173806129359035E-4</v>
      </c>
      <c r="H109" s="34">
        <f>Yard!$H$124</f>
        <v>8.1175968091578773E-3</v>
      </c>
      <c r="I109" s="34">
        <f>Yard!$I$124</f>
        <v>1.9266120312229314E-3</v>
      </c>
      <c r="J109" s="34">
        <f>Yard!$J$124</f>
        <v>8.0048723989246755E-4</v>
      </c>
      <c r="K109" s="9"/>
      <c r="L109" s="9"/>
      <c r="M109" s="34">
        <f>Yard!$K$124</f>
        <v>1.0867903505957554E-3</v>
      </c>
      <c r="N109" s="34">
        <f>Yard!$L$124</f>
        <v>6.5916222852211174E-4</v>
      </c>
      <c r="O109" s="34">
        <f>Yard!$M$124</f>
        <v>3.3176779983542213E-4</v>
      </c>
      <c r="P109" s="34">
        <f>Yard!$N$124</f>
        <v>1.740362186795259E-3</v>
      </c>
      <c r="Q109" s="34">
        <f>Yard!$O$124</f>
        <v>2.8199975323543701E-3</v>
      </c>
      <c r="R109" s="34">
        <f>Yard!$P$124</f>
        <v>5.5095445134626675E-5</v>
      </c>
      <c r="S109" s="34">
        <f>Yard!$Q$124</f>
        <v>7.0532679239885283E-3</v>
      </c>
      <c r="T109" s="34">
        <f>Yard!$R$124</f>
        <v>2.9955526318756523E-3</v>
      </c>
      <c r="U109" s="34">
        <f>Yard!$S$124</f>
        <v>5.9113091506056434E-3</v>
      </c>
      <c r="V109" s="34">
        <f>Otex!$B$160</f>
        <v>0.57156617717465663</v>
      </c>
      <c r="W109" s="9"/>
      <c r="X109" s="10"/>
    </row>
    <row r="110" spans="1:24" x14ac:dyDescent="0.25">
      <c r="A110" s="3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3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3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3" t="s">
        <v>184</v>
      </c>
      <c r="B113" s="34">
        <f>Yard!$B$125</f>
        <v>0</v>
      </c>
      <c r="C113" s="34">
        <f>Yard!$C$125</f>
        <v>-1.2582422121076972E-3</v>
      </c>
      <c r="D113" s="34">
        <f>Yard!$D$125</f>
        <v>-6.3329516211352841E-4</v>
      </c>
      <c r="E113" s="34">
        <f>Yard!$E$125</f>
        <v>-3.3220913957578194E-3</v>
      </c>
      <c r="F113" s="34">
        <f>Yard!$F$125</f>
        <v>-5.3829539674978295E-3</v>
      </c>
      <c r="G113" s="34">
        <f>Yard!$G$125</f>
        <v>-1.0516897322633148E-4</v>
      </c>
      <c r="H113" s="34">
        <f>Yard!$H$125</f>
        <v>-7.0127560141244692E-3</v>
      </c>
      <c r="I113" s="34">
        <f>Yard!$I$125</f>
        <v>-1.664391620633446E-3</v>
      </c>
      <c r="J113" s="34">
        <f>Yard!$J$125</f>
        <v>0</v>
      </c>
      <c r="K113" s="9"/>
      <c r="L113" s="9"/>
      <c r="M113" s="34">
        <f>Yard!$K$125</f>
        <v>-9.3887338166817212E-4</v>
      </c>
      <c r="N113" s="34">
        <f>Yard!$L$125</f>
        <v>-5.6944733657345427E-4</v>
      </c>
      <c r="O113" s="34">
        <f>Yard!$M$125</f>
        <v>-2.8661273629209256E-4</v>
      </c>
      <c r="P113" s="34">
        <f>Yard!$N$125</f>
        <v>-1.5034912030164487E-3</v>
      </c>
      <c r="Q113" s="34">
        <f>Yard!$O$125</f>
        <v>-2.4361834074493574E-3</v>
      </c>
      <c r="R113" s="34">
        <f>Yard!$P$125</f>
        <v>-4.7596711601003996E-5</v>
      </c>
      <c r="S113" s="34">
        <f>Yard!$Q$125</f>
        <v>-6.0932869931874627E-3</v>
      </c>
      <c r="T113" s="34">
        <f>Yard!$R$125</f>
        <v>-2.5878446821987009E-3</v>
      </c>
      <c r="U113" s="34">
        <f>Yard!$S$125</f>
        <v>0</v>
      </c>
      <c r="V113" s="9"/>
      <c r="W113" s="9"/>
      <c r="X113" s="10"/>
    </row>
    <row r="114" spans="1:24" x14ac:dyDescent="0.25">
      <c r="A114" s="3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3" t="s">
        <v>186</v>
      </c>
      <c r="B115" s="34">
        <f>Yard!$B$126</f>
        <v>0</v>
      </c>
      <c r="C115" s="34">
        <f>Yard!$C$126</f>
        <v>-1.2121949216371503E-3</v>
      </c>
      <c r="D115" s="34">
        <f>Yard!$D$126</f>
        <v>-6.1011876093828492E-4</v>
      </c>
      <c r="E115" s="34">
        <f>Yard!$E$126</f>
        <v>-3.2005144004876337E-3</v>
      </c>
      <c r="F115" s="34">
        <f>Yard!$F$126</f>
        <v>-5.1859565670404522E-3</v>
      </c>
      <c r="G115" s="34">
        <f>Yard!$G$126</f>
        <v>-1.0132015444403205E-4</v>
      </c>
      <c r="H115" s="34">
        <f>Yard!$H$126</f>
        <v>-6.7561135250439729E-3</v>
      </c>
      <c r="I115" s="34">
        <f>Yard!$I$126</f>
        <v>0</v>
      </c>
      <c r="J115" s="34">
        <f>Yard!$J$126</f>
        <v>0</v>
      </c>
      <c r="K115" s="9"/>
      <c r="L115" s="9"/>
      <c r="M115" s="34">
        <f>Yard!$K$126</f>
        <v>-9.0451388005177052E-4</v>
      </c>
      <c r="N115" s="34">
        <f>Yard!$L$126</f>
        <v>-5.486075438351759E-4</v>
      </c>
      <c r="O115" s="34">
        <f>Yard!$M$126</f>
        <v>-2.7612370660162251E-4</v>
      </c>
      <c r="P115" s="34">
        <f>Yard!$N$126</f>
        <v>-1.4484686521283811E-3</v>
      </c>
      <c r="Q115" s="34">
        <f>Yard!$O$126</f>
        <v>-2.3470275645417868E-3</v>
      </c>
      <c r="R115" s="34">
        <f>Yard!$P$126</f>
        <v>-4.5854837434453066E-5</v>
      </c>
      <c r="S115" s="34">
        <f>Yard!$Q$126</f>
        <v>-5.8702938735831637E-3</v>
      </c>
      <c r="T115" s="34">
        <f>Yard!$R$126</f>
        <v>0</v>
      </c>
      <c r="U115" s="34">
        <f>Yard!$S$126</f>
        <v>0</v>
      </c>
      <c r="V115" s="9"/>
      <c r="W115" s="9"/>
      <c r="X115" s="10"/>
    </row>
    <row r="116" spans="1:24" x14ac:dyDescent="0.25">
      <c r="A116" s="3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3" t="s">
        <v>195</v>
      </c>
      <c r="B117" s="34">
        <f>Yard!$B$127</f>
        <v>0</v>
      </c>
      <c r="C117" s="34">
        <f>Yard!$C$127</f>
        <v>-1.1903224586636402E-3</v>
      </c>
      <c r="D117" s="34">
        <f>Yard!$D$127</f>
        <v>-5.9910997038004445E-4</v>
      </c>
      <c r="E117" s="34">
        <f>Yard!$E$127</f>
        <v>-2.9371654642296637E-3</v>
      </c>
      <c r="F117" s="34">
        <f>Yard!$F$127</f>
        <v>-3.3017501576727824E-3</v>
      </c>
      <c r="G117" s="34">
        <f>Yard!$G$127</f>
        <v>-6.4507643206492758E-5</v>
      </c>
      <c r="H117" s="34">
        <f>Yard!$H$127</f>
        <v>0</v>
      </c>
      <c r="I117" s="34">
        <f>Yard!$I$127</f>
        <v>0</v>
      </c>
      <c r="J117" s="34">
        <f>Yard!$J$127</f>
        <v>0</v>
      </c>
      <c r="K117" s="9"/>
      <c r="L117" s="9"/>
      <c r="M117" s="34">
        <f>Yard!$K$127</f>
        <v>-8.8819311678398007E-4</v>
      </c>
      <c r="N117" s="34">
        <f>Yard!$L$127</f>
        <v>-5.3870864228449376E-4</v>
      </c>
      <c r="O117" s="34">
        <f>Yard!$M$127</f>
        <v>-2.7114141749864934E-4</v>
      </c>
      <c r="P117" s="34">
        <f>Yard!$N$127</f>
        <v>-1.4223329404565491E-3</v>
      </c>
      <c r="Q117" s="34">
        <f>Yard!$O$127</f>
        <v>-2.3046785391606915E-3</v>
      </c>
      <c r="R117" s="34">
        <f>Yard!$P$127</f>
        <v>-4.5027447205341383E-5</v>
      </c>
      <c r="S117" s="34">
        <f>Yard!$Q$127</f>
        <v>0</v>
      </c>
      <c r="T117" s="34">
        <f>Yard!$R$127</f>
        <v>0</v>
      </c>
      <c r="U117" s="34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1" t="s">
        <v>1082</v>
      </c>
    </row>
    <row r="122" spans="1:24" x14ac:dyDescent="0.25">
      <c r="A122" s="11" t="s">
        <v>1083</v>
      </c>
    </row>
    <row r="123" spans="1:24" x14ac:dyDescent="0.25">
      <c r="A123" s="11" t="s">
        <v>1084</v>
      </c>
    </row>
    <row r="124" spans="1:24" x14ac:dyDescent="0.25">
      <c r="A124" s="11" t="s">
        <v>1085</v>
      </c>
    </row>
    <row r="125" spans="1:24" x14ac:dyDescent="0.25">
      <c r="A125" s="11" t="s">
        <v>1086</v>
      </c>
    </row>
    <row r="126" spans="1:24" x14ac:dyDescent="0.25">
      <c r="A126" s="2" t="s">
        <v>445</v>
      </c>
    </row>
    <row r="128" spans="1:24" ht="30" x14ac:dyDescent="0.25">
      <c r="B128" s="12" t="s">
        <v>139</v>
      </c>
      <c r="C128" s="12" t="s">
        <v>311</v>
      </c>
      <c r="D128" s="12" t="s">
        <v>312</v>
      </c>
      <c r="E128" s="12" t="s">
        <v>313</v>
      </c>
      <c r="F128" s="12" t="s">
        <v>314</v>
      </c>
      <c r="G128" s="12" t="s">
        <v>315</v>
      </c>
      <c r="H128" s="12" t="s">
        <v>316</v>
      </c>
      <c r="I128" s="12" t="s">
        <v>317</v>
      </c>
      <c r="J128" s="12" t="s">
        <v>318</v>
      </c>
      <c r="K128" s="12" t="s">
        <v>468</v>
      </c>
      <c r="L128" s="12" t="s">
        <v>480</v>
      </c>
      <c r="M128" s="12" t="s">
        <v>299</v>
      </c>
      <c r="N128" s="12" t="s">
        <v>882</v>
      </c>
      <c r="O128" s="12" t="s">
        <v>883</v>
      </c>
      <c r="P128" s="12" t="s">
        <v>884</v>
      </c>
      <c r="Q128" s="12" t="s">
        <v>885</v>
      </c>
      <c r="R128" s="12" t="s">
        <v>886</v>
      </c>
      <c r="S128" s="12" t="s">
        <v>887</v>
      </c>
      <c r="T128" s="12" t="s">
        <v>888</v>
      </c>
      <c r="U128" s="12" t="s">
        <v>889</v>
      </c>
      <c r="V128" s="12" t="s">
        <v>890</v>
      </c>
      <c r="W128" s="12" t="s">
        <v>891</v>
      </c>
    </row>
    <row r="129" spans="1:24" x14ac:dyDescent="0.25">
      <c r="A129" s="3" t="s">
        <v>171</v>
      </c>
      <c r="B129" s="34">
        <f>AggCap!$B$89</f>
        <v>0</v>
      </c>
      <c r="C129" s="34">
        <f>AggCap!$C$89</f>
        <v>0</v>
      </c>
      <c r="D129" s="34">
        <f>AggCap!$D$89</f>
        <v>0</v>
      </c>
      <c r="E129" s="34">
        <f>AggCap!$E$89</f>
        <v>0</v>
      </c>
      <c r="F129" s="34">
        <f>AggCap!$F$89</f>
        <v>0</v>
      </c>
      <c r="G129" s="34">
        <f>AggCap!$G$89</f>
        <v>0</v>
      </c>
      <c r="H129" s="34">
        <f>AggCap!$H$89</f>
        <v>0</v>
      </c>
      <c r="I129" s="34">
        <f>AggCap!$I$89</f>
        <v>0</v>
      </c>
      <c r="J129" s="34">
        <f>AggCap!$J$89</f>
        <v>0.16643941058449349</v>
      </c>
      <c r="K129" s="34">
        <f>SM!$B$106</f>
        <v>0</v>
      </c>
      <c r="L129" s="34">
        <f>SM!$C$106</f>
        <v>0</v>
      </c>
      <c r="M129" s="34">
        <f>AggCap!$K$89</f>
        <v>0</v>
      </c>
      <c r="N129" s="34">
        <f>AggCap!$L$89</f>
        <v>0</v>
      </c>
      <c r="O129" s="34">
        <f>AggCap!$M$89</f>
        <v>0</v>
      </c>
      <c r="P129" s="34">
        <f>AggCap!$N$89</f>
        <v>0</v>
      </c>
      <c r="Q129" s="34">
        <f>AggCap!$O$89</f>
        <v>0</v>
      </c>
      <c r="R129" s="34">
        <f>AggCap!$P$89</f>
        <v>0</v>
      </c>
      <c r="S129" s="34">
        <f>AggCap!$Q$89</f>
        <v>0</v>
      </c>
      <c r="T129" s="34">
        <f>AggCap!$R$89</f>
        <v>0</v>
      </c>
      <c r="U129" s="34">
        <f>AggCap!$S$89</f>
        <v>1.2290949334079249</v>
      </c>
      <c r="V129" s="34">
        <f>Otex!$B$121</f>
        <v>1.725053976857601</v>
      </c>
      <c r="W129" s="34">
        <f>Otex!$C$121</f>
        <v>0</v>
      </c>
      <c r="X129" s="10"/>
    </row>
    <row r="130" spans="1:24" x14ac:dyDescent="0.25">
      <c r="A130" s="3" t="s">
        <v>172</v>
      </c>
      <c r="B130" s="34">
        <f>AggCap!$B$90</f>
        <v>0</v>
      </c>
      <c r="C130" s="34">
        <f>AggCap!$C$90</f>
        <v>0</v>
      </c>
      <c r="D130" s="34">
        <f>AggCap!$D$90</f>
        <v>0</v>
      </c>
      <c r="E130" s="34">
        <f>AggCap!$E$90</f>
        <v>0</v>
      </c>
      <c r="F130" s="34">
        <f>AggCap!$F$90</f>
        <v>0</v>
      </c>
      <c r="G130" s="34">
        <f>AggCap!$G$90</f>
        <v>0</v>
      </c>
      <c r="H130" s="34">
        <f>AggCap!$H$90</f>
        <v>0</v>
      </c>
      <c r="I130" s="34">
        <f>AggCap!$I$90</f>
        <v>0</v>
      </c>
      <c r="J130" s="34">
        <f>AggCap!$J$90</f>
        <v>0.16643941058449349</v>
      </c>
      <c r="K130" s="34">
        <f>SM!$B$107</f>
        <v>0</v>
      </c>
      <c r="L130" s="34">
        <f>SM!$C$107</f>
        <v>0</v>
      </c>
      <c r="M130" s="34">
        <f>AggCap!$K$90</f>
        <v>0</v>
      </c>
      <c r="N130" s="34">
        <f>AggCap!$L$90</f>
        <v>0</v>
      </c>
      <c r="O130" s="34">
        <f>AggCap!$M$90</f>
        <v>0</v>
      </c>
      <c r="P130" s="34">
        <f>AggCap!$N$90</f>
        <v>0</v>
      </c>
      <c r="Q130" s="34">
        <f>AggCap!$O$90</f>
        <v>0</v>
      </c>
      <c r="R130" s="34">
        <f>AggCap!$P$90</f>
        <v>0</v>
      </c>
      <c r="S130" s="34">
        <f>AggCap!$Q$90</f>
        <v>0</v>
      </c>
      <c r="T130" s="34">
        <f>AggCap!$R$90</f>
        <v>0</v>
      </c>
      <c r="U130" s="34">
        <f>AggCap!$S$90</f>
        <v>1.2290949334079249</v>
      </c>
      <c r="V130" s="34">
        <f>Otex!$B$122</f>
        <v>1.725053976857601</v>
      </c>
      <c r="W130" s="34">
        <f>Otex!$C$122</f>
        <v>0</v>
      </c>
      <c r="X130" s="10"/>
    </row>
    <row r="131" spans="1:24" x14ac:dyDescent="0.25">
      <c r="A131" s="3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3" t="s">
        <v>173</v>
      </c>
      <c r="B132" s="34">
        <f>AggCap!$B$91</f>
        <v>0</v>
      </c>
      <c r="C132" s="34">
        <f>AggCap!$C$91</f>
        <v>0</v>
      </c>
      <c r="D132" s="34">
        <f>AggCap!$D$91</f>
        <v>0</v>
      </c>
      <c r="E132" s="34">
        <f>AggCap!$E$91</f>
        <v>0</v>
      </c>
      <c r="F132" s="34">
        <f>AggCap!$F$91</f>
        <v>0</v>
      </c>
      <c r="G132" s="34">
        <f>AggCap!$G$91</f>
        <v>0</v>
      </c>
      <c r="H132" s="34">
        <f>AggCap!$H$91</f>
        <v>0</v>
      </c>
      <c r="I132" s="34">
        <f>AggCap!$I$91</f>
        <v>0</v>
      </c>
      <c r="J132" s="34">
        <f>AggCap!$J$91</f>
        <v>0.16643941058449349</v>
      </c>
      <c r="K132" s="34">
        <f>SM!$B$109</f>
        <v>0</v>
      </c>
      <c r="L132" s="34">
        <f>SM!$C$109</f>
        <v>0</v>
      </c>
      <c r="M132" s="34">
        <f>AggCap!$K$91</f>
        <v>0</v>
      </c>
      <c r="N132" s="34">
        <f>AggCap!$L$91</f>
        <v>0</v>
      </c>
      <c r="O132" s="34">
        <f>AggCap!$M$91</f>
        <v>0</v>
      </c>
      <c r="P132" s="34">
        <f>AggCap!$N$91</f>
        <v>0</v>
      </c>
      <c r="Q132" s="34">
        <f>AggCap!$O$91</f>
        <v>0</v>
      </c>
      <c r="R132" s="34">
        <f>AggCap!$P$91</f>
        <v>0</v>
      </c>
      <c r="S132" s="34">
        <f>AggCap!$Q$91</f>
        <v>0</v>
      </c>
      <c r="T132" s="34">
        <f>AggCap!$R$91</f>
        <v>0</v>
      </c>
      <c r="U132" s="34">
        <f>AggCap!$S$91</f>
        <v>1.2290949334079249</v>
      </c>
      <c r="V132" s="34">
        <f>Otex!$B$124</f>
        <v>3.8810265098995917</v>
      </c>
      <c r="W132" s="34">
        <f>Otex!$C$124</f>
        <v>0</v>
      </c>
      <c r="X132" s="10"/>
    </row>
    <row r="133" spans="1:24" x14ac:dyDescent="0.25">
      <c r="A133" s="3" t="s">
        <v>174</v>
      </c>
      <c r="B133" s="34">
        <f>AggCap!$B$92</f>
        <v>0</v>
      </c>
      <c r="C133" s="34">
        <f>AggCap!$C$92</f>
        <v>0</v>
      </c>
      <c r="D133" s="34">
        <f>AggCap!$D$92</f>
        <v>0</v>
      </c>
      <c r="E133" s="34">
        <f>AggCap!$E$92</f>
        <v>0</v>
      </c>
      <c r="F133" s="34">
        <f>AggCap!$F$92</f>
        <v>0</v>
      </c>
      <c r="G133" s="34">
        <f>AggCap!$G$92</f>
        <v>0</v>
      </c>
      <c r="H133" s="34">
        <f>AggCap!$H$92</f>
        <v>0</v>
      </c>
      <c r="I133" s="34">
        <f>AggCap!$I$92</f>
        <v>0</v>
      </c>
      <c r="J133" s="34">
        <f>AggCap!$J$92</f>
        <v>0.16643941058449349</v>
      </c>
      <c r="K133" s="34">
        <f>SM!$B$110</f>
        <v>0</v>
      </c>
      <c r="L133" s="34">
        <f>SM!$C$110</f>
        <v>0</v>
      </c>
      <c r="M133" s="34">
        <f>AggCap!$K$92</f>
        <v>0</v>
      </c>
      <c r="N133" s="34">
        <f>AggCap!$L$92</f>
        <v>0</v>
      </c>
      <c r="O133" s="34">
        <f>AggCap!$M$92</f>
        <v>0</v>
      </c>
      <c r="P133" s="34">
        <f>AggCap!$N$92</f>
        <v>0</v>
      </c>
      <c r="Q133" s="34">
        <f>AggCap!$O$92</f>
        <v>0</v>
      </c>
      <c r="R133" s="34">
        <f>AggCap!$P$92</f>
        <v>0</v>
      </c>
      <c r="S133" s="34">
        <f>AggCap!$Q$92</f>
        <v>0</v>
      </c>
      <c r="T133" s="34">
        <f>AggCap!$R$92</f>
        <v>0</v>
      </c>
      <c r="U133" s="34">
        <f>AggCap!$S$92</f>
        <v>1.2290949334079249</v>
      </c>
      <c r="V133" s="34">
        <f>Otex!$B$125</f>
        <v>3.8810265098995917</v>
      </c>
      <c r="W133" s="34">
        <f>Otex!$C$125</f>
        <v>0</v>
      </c>
      <c r="X133" s="10"/>
    </row>
    <row r="134" spans="1:24" x14ac:dyDescent="0.25">
      <c r="A134" s="3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3" t="s">
        <v>175</v>
      </c>
      <c r="B135" s="34">
        <f>AggCap!$B$93</f>
        <v>0</v>
      </c>
      <c r="C135" s="34">
        <f>AggCap!$C$93</f>
        <v>0</v>
      </c>
      <c r="D135" s="34">
        <f>AggCap!$D$93</f>
        <v>0</v>
      </c>
      <c r="E135" s="34">
        <f>AggCap!$E$93</f>
        <v>0</v>
      </c>
      <c r="F135" s="34">
        <f>AggCap!$F$93</f>
        <v>0</v>
      </c>
      <c r="G135" s="34">
        <f>AggCap!$G$93</f>
        <v>0</v>
      </c>
      <c r="H135" s="34">
        <f>AggCap!$H$93</f>
        <v>0</v>
      </c>
      <c r="I135" s="34">
        <f>AggCap!$I$93</f>
        <v>0</v>
      </c>
      <c r="J135" s="34">
        <f>AggCap!$J$93</f>
        <v>0</v>
      </c>
      <c r="K135" s="34">
        <f>SM!$B$112</f>
        <v>0</v>
      </c>
      <c r="L135" s="34">
        <f>SM!$C$112</f>
        <v>0</v>
      </c>
      <c r="M135" s="34">
        <f>AggCap!$K$93</f>
        <v>0</v>
      </c>
      <c r="N135" s="34">
        <f>AggCap!$L$93</f>
        <v>0</v>
      </c>
      <c r="O135" s="34">
        <f>AggCap!$M$93</f>
        <v>0</v>
      </c>
      <c r="P135" s="34">
        <f>AggCap!$N$93</f>
        <v>0</v>
      </c>
      <c r="Q135" s="34">
        <f>AggCap!$O$93</f>
        <v>0</v>
      </c>
      <c r="R135" s="34">
        <f>AggCap!$P$93</f>
        <v>0</v>
      </c>
      <c r="S135" s="34">
        <f>AggCap!$Q$93</f>
        <v>0</v>
      </c>
      <c r="T135" s="34">
        <f>AggCap!$R$93</f>
        <v>0</v>
      </c>
      <c r="U135" s="34">
        <f>AggCap!$S$93</f>
        <v>0</v>
      </c>
      <c r="V135" s="34">
        <f>Otex!$B$127</f>
        <v>4.7251221255470179</v>
      </c>
      <c r="W135" s="34">
        <f>Otex!$C$127</f>
        <v>0</v>
      </c>
      <c r="X135" s="10"/>
    </row>
    <row r="136" spans="1:24" x14ac:dyDescent="0.25">
      <c r="A136" s="3" t="s">
        <v>176</v>
      </c>
      <c r="B136" s="34">
        <f>AggCap!$B$94</f>
        <v>0</v>
      </c>
      <c r="C136" s="34">
        <f>AggCap!$C$94</f>
        <v>0</v>
      </c>
      <c r="D136" s="34">
        <f>AggCap!$D$94</f>
        <v>0</v>
      </c>
      <c r="E136" s="34">
        <f>AggCap!$E$94</f>
        <v>0</v>
      </c>
      <c r="F136" s="34">
        <f>AggCap!$F$94</f>
        <v>0</v>
      </c>
      <c r="G136" s="34">
        <f>AggCap!$G$94</f>
        <v>0</v>
      </c>
      <c r="H136" s="34">
        <f>AggCap!$H$94</f>
        <v>0</v>
      </c>
      <c r="I136" s="34">
        <f>AggCap!$I$94</f>
        <v>0</v>
      </c>
      <c r="J136" s="34">
        <f>AggCap!$J$94</f>
        <v>0</v>
      </c>
      <c r="K136" s="34">
        <f>SM!$B$113</f>
        <v>0</v>
      </c>
      <c r="L136" s="34">
        <f>SM!$C$113</f>
        <v>0</v>
      </c>
      <c r="M136" s="34">
        <f>AggCap!$K$94</f>
        <v>0</v>
      </c>
      <c r="N136" s="34">
        <f>AggCap!$L$94</f>
        <v>0</v>
      </c>
      <c r="O136" s="34">
        <f>AggCap!$M$94</f>
        <v>0</v>
      </c>
      <c r="P136" s="34">
        <f>AggCap!$N$94</f>
        <v>0</v>
      </c>
      <c r="Q136" s="34">
        <f>AggCap!$O$94</f>
        <v>0</v>
      </c>
      <c r="R136" s="34">
        <f>AggCap!$P$94</f>
        <v>0</v>
      </c>
      <c r="S136" s="34">
        <f>AggCap!$Q$94</f>
        <v>0</v>
      </c>
      <c r="T136" s="34">
        <f>AggCap!$R$94</f>
        <v>0</v>
      </c>
      <c r="U136" s="34">
        <f>AggCap!$S$94</f>
        <v>0</v>
      </c>
      <c r="V136" s="34">
        <f>Otex!$B$128</f>
        <v>3.5042449168482803</v>
      </c>
      <c r="W136" s="34">
        <f>Otex!$C$128</f>
        <v>0</v>
      </c>
      <c r="X136" s="10"/>
    </row>
    <row r="137" spans="1:24" x14ac:dyDescent="0.25">
      <c r="A137" s="3" t="s">
        <v>192</v>
      </c>
      <c r="B137" s="34">
        <f>AggCap!$B$95</f>
        <v>0</v>
      </c>
      <c r="C137" s="34">
        <f>AggCap!$C$95</f>
        <v>0</v>
      </c>
      <c r="D137" s="34">
        <f>AggCap!$D$95</f>
        <v>0</v>
      </c>
      <c r="E137" s="34">
        <f>AggCap!$E$95</f>
        <v>0</v>
      </c>
      <c r="F137" s="34">
        <f>AggCap!$F$95</f>
        <v>0</v>
      </c>
      <c r="G137" s="34">
        <f>AggCap!$G$95</f>
        <v>0</v>
      </c>
      <c r="H137" s="34">
        <f>AggCap!$H$95</f>
        <v>0</v>
      </c>
      <c r="I137" s="34">
        <f>AggCap!$I$95</f>
        <v>0</v>
      </c>
      <c r="J137" s="34">
        <f>AggCap!$J$95</f>
        <v>0</v>
      </c>
      <c r="K137" s="34">
        <f>SM!$B$114</f>
        <v>0</v>
      </c>
      <c r="L137" s="34">
        <f>SM!$C$114</f>
        <v>0</v>
      </c>
      <c r="M137" s="34">
        <f>AggCap!$K$95</f>
        <v>0</v>
      </c>
      <c r="N137" s="34">
        <f>AggCap!$L$95</f>
        <v>0</v>
      </c>
      <c r="O137" s="34">
        <f>AggCap!$M$95</f>
        <v>0</v>
      </c>
      <c r="P137" s="34">
        <f>AggCap!$N$95</f>
        <v>0</v>
      </c>
      <c r="Q137" s="34">
        <f>AggCap!$O$95</f>
        <v>0</v>
      </c>
      <c r="R137" s="34">
        <f>AggCap!$P$95</f>
        <v>0</v>
      </c>
      <c r="S137" s="34">
        <f>AggCap!$Q$95</f>
        <v>0</v>
      </c>
      <c r="T137" s="34">
        <f>AggCap!$R$95</f>
        <v>0</v>
      </c>
      <c r="U137" s="34">
        <f>AggCap!$S$95</f>
        <v>0</v>
      </c>
      <c r="V137" s="34">
        <f>Otex!$B$129</f>
        <v>0</v>
      </c>
      <c r="W137" s="34">
        <f>Otex!$C$129</f>
        <v>60.870906704991079</v>
      </c>
      <c r="X137" s="10"/>
    </row>
    <row r="138" spans="1:24" x14ac:dyDescent="0.25">
      <c r="A138" s="3" t="s">
        <v>177</v>
      </c>
      <c r="B138" s="34">
        <f>AggCap!$B$96</f>
        <v>0</v>
      </c>
      <c r="C138" s="34">
        <f>AggCap!$C$96</f>
        <v>0</v>
      </c>
      <c r="D138" s="34">
        <f>AggCap!$D$96</f>
        <v>0</v>
      </c>
      <c r="E138" s="34">
        <f>AggCap!$E$96</f>
        <v>0</v>
      </c>
      <c r="F138" s="34">
        <f>AggCap!$F$96</f>
        <v>0</v>
      </c>
      <c r="G138" s="34">
        <f>AggCap!$G$96</f>
        <v>0</v>
      </c>
      <c r="H138" s="34">
        <f>AggCap!$H$96</f>
        <v>0</v>
      </c>
      <c r="I138" s="34">
        <f>AggCap!$I$96</f>
        <v>0</v>
      </c>
      <c r="J138" s="34">
        <f>AggCap!$J$96</f>
        <v>0.16643941058449349</v>
      </c>
      <c r="K138" s="34">
        <f>SM!$B$115</f>
        <v>0</v>
      </c>
      <c r="L138" s="34">
        <f>SM!$C$115</f>
        <v>0</v>
      </c>
      <c r="M138" s="34">
        <f>AggCap!$K$96</f>
        <v>0</v>
      </c>
      <c r="N138" s="34">
        <f>AggCap!$L$96</f>
        <v>0</v>
      </c>
      <c r="O138" s="34">
        <f>AggCap!$M$96</f>
        <v>0</v>
      </c>
      <c r="P138" s="34">
        <f>AggCap!$N$96</f>
        <v>0</v>
      </c>
      <c r="Q138" s="34">
        <f>AggCap!$O$96</f>
        <v>0</v>
      </c>
      <c r="R138" s="34">
        <f>AggCap!$P$96</f>
        <v>0</v>
      </c>
      <c r="S138" s="34">
        <f>AggCap!$Q$96</f>
        <v>0</v>
      </c>
      <c r="T138" s="34">
        <f>AggCap!$R$96</f>
        <v>0</v>
      </c>
      <c r="U138" s="34">
        <f>AggCap!$S$96</f>
        <v>1.2290949334079249</v>
      </c>
      <c r="V138" s="34">
        <f>Otex!$B$130</f>
        <v>1.725053976857601</v>
      </c>
      <c r="W138" s="34">
        <f>Otex!$C$130</f>
        <v>0</v>
      </c>
      <c r="X138" s="10"/>
    </row>
    <row r="139" spans="1:24" x14ac:dyDescent="0.25">
      <c r="A139" s="3" t="s">
        <v>178</v>
      </c>
      <c r="B139" s="34">
        <f>AggCap!$B$97</f>
        <v>0</v>
      </c>
      <c r="C139" s="34">
        <f>AggCap!$C$97</f>
        <v>0</v>
      </c>
      <c r="D139" s="34">
        <f>AggCap!$D$97</f>
        <v>0</v>
      </c>
      <c r="E139" s="34">
        <f>AggCap!$E$97</f>
        <v>0</v>
      </c>
      <c r="F139" s="34">
        <f>AggCap!$F$97</f>
        <v>0</v>
      </c>
      <c r="G139" s="34">
        <f>AggCap!$G$97</f>
        <v>0</v>
      </c>
      <c r="H139" s="34">
        <f>AggCap!$H$97</f>
        <v>0</v>
      </c>
      <c r="I139" s="34">
        <f>AggCap!$I$97</f>
        <v>0</v>
      </c>
      <c r="J139" s="34">
        <f>AggCap!$J$97</f>
        <v>0.16643941058449349</v>
      </c>
      <c r="K139" s="34">
        <f>SM!$B$116</f>
        <v>0</v>
      </c>
      <c r="L139" s="34">
        <f>SM!$C$116</f>
        <v>0</v>
      </c>
      <c r="M139" s="34">
        <f>AggCap!$K$97</f>
        <v>0</v>
      </c>
      <c r="N139" s="34">
        <f>AggCap!$L$97</f>
        <v>0</v>
      </c>
      <c r="O139" s="34">
        <f>AggCap!$M$97</f>
        <v>0</v>
      </c>
      <c r="P139" s="34">
        <f>AggCap!$N$97</f>
        <v>0</v>
      </c>
      <c r="Q139" s="34">
        <f>AggCap!$O$97</f>
        <v>0</v>
      </c>
      <c r="R139" s="34">
        <f>AggCap!$P$97</f>
        <v>0</v>
      </c>
      <c r="S139" s="34">
        <f>AggCap!$Q$97</f>
        <v>0</v>
      </c>
      <c r="T139" s="34">
        <f>AggCap!$R$97</f>
        <v>0</v>
      </c>
      <c r="U139" s="34">
        <f>AggCap!$S$97</f>
        <v>1.2290949334079249</v>
      </c>
      <c r="V139" s="34">
        <f>Otex!$B$131</f>
        <v>3.8810265098995917</v>
      </c>
      <c r="W139" s="34">
        <f>Otex!$C$131</f>
        <v>0</v>
      </c>
      <c r="X139" s="10"/>
    </row>
    <row r="140" spans="1:24" x14ac:dyDescent="0.25">
      <c r="A140" s="3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34">
        <f>SM!$B$117</f>
        <v>0</v>
      </c>
      <c r="L140" s="34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34">
        <f>Otex!$B$132</f>
        <v>7.9659285407285259</v>
      </c>
      <c r="W140" s="34">
        <f>Otex!$C$132</f>
        <v>0</v>
      </c>
      <c r="X140" s="10"/>
    </row>
    <row r="141" spans="1:24" x14ac:dyDescent="0.25">
      <c r="A141" s="3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34">
        <f>SM!$B$118</f>
        <v>0</v>
      </c>
      <c r="L141" s="34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34">
        <f>Otex!$B$133</f>
        <v>6.1354624318082642</v>
      </c>
      <c r="W141" s="34">
        <f>Otex!$C$133</f>
        <v>0</v>
      </c>
      <c r="X141" s="10"/>
    </row>
    <row r="142" spans="1:24" x14ac:dyDescent="0.25">
      <c r="A142" s="3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34">
        <f>SM!$B$119</f>
        <v>0</v>
      </c>
      <c r="L142" s="34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34">
        <f>Otex!$B$134</f>
        <v>0</v>
      </c>
      <c r="W142" s="34">
        <f>Otex!$C$134</f>
        <v>60.870906704991079</v>
      </c>
      <c r="X142" s="10"/>
    </row>
    <row r="143" spans="1:24" x14ac:dyDescent="0.25">
      <c r="A143" s="3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3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3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3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3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3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34">
        <f>SM!$B$125</f>
        <v>0</v>
      </c>
      <c r="L148" s="34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34">
        <f>Otex!$B$140</f>
        <v>0</v>
      </c>
      <c r="W148" s="34">
        <f>Otex!$C$140</f>
        <v>0</v>
      </c>
      <c r="X148" s="10"/>
    </row>
    <row r="149" spans="1:24" x14ac:dyDescent="0.25">
      <c r="A149" s="3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34">
        <f>SM!$B$126</f>
        <v>0</v>
      </c>
      <c r="L149" s="34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34">
        <f>Otex!$B$141</f>
        <v>0</v>
      </c>
      <c r="W149" s="34">
        <f>Otex!$C$141</f>
        <v>0</v>
      </c>
      <c r="X149" s="10"/>
    </row>
    <row r="150" spans="1:24" x14ac:dyDescent="0.25">
      <c r="A150" s="3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34">
        <f>SM!$B$127</f>
        <v>0</v>
      </c>
      <c r="L150" s="34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34">
        <f>Otex!$B$142</f>
        <v>0</v>
      </c>
      <c r="W150" s="34">
        <f>Otex!$C$142</f>
        <v>0</v>
      </c>
      <c r="X150" s="10"/>
    </row>
    <row r="151" spans="1:24" x14ac:dyDescent="0.25">
      <c r="A151" s="3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34">
        <f>SM!$B$128</f>
        <v>0</v>
      </c>
      <c r="L151" s="34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34">
        <f>Otex!$B$143</f>
        <v>0</v>
      </c>
      <c r="W151" s="34">
        <f>Otex!$C$143</f>
        <v>0</v>
      </c>
      <c r="X151" s="10"/>
    </row>
    <row r="152" spans="1:24" x14ac:dyDescent="0.25">
      <c r="A152" s="3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34">
        <f>SM!$B$129</f>
        <v>0</v>
      </c>
      <c r="L152" s="34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34">
        <f>Otex!$B$144</f>
        <v>0</v>
      </c>
      <c r="W152" s="34">
        <f>Otex!$C$144</f>
        <v>0</v>
      </c>
      <c r="X152" s="10"/>
    </row>
    <row r="153" spans="1:24" x14ac:dyDescent="0.25">
      <c r="A153" s="3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34">
        <f>SM!$B$130</f>
        <v>0</v>
      </c>
      <c r="L153" s="34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34">
        <f>Otex!$B$145</f>
        <v>0</v>
      </c>
      <c r="W153" s="34">
        <f>Otex!$C$145</f>
        <v>0</v>
      </c>
      <c r="X153" s="10"/>
    </row>
    <row r="154" spans="1:24" x14ac:dyDescent="0.25">
      <c r="A154" s="3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34">
        <f>SM!$B$131</f>
        <v>0</v>
      </c>
      <c r="L154" s="34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34">
        <f>Otex!$B$146</f>
        <v>0</v>
      </c>
      <c r="W154" s="34">
        <f>Otex!$C$146</f>
        <v>29.347920410185225</v>
      </c>
      <c r="X154" s="10"/>
    </row>
    <row r="155" spans="1:24" x14ac:dyDescent="0.25">
      <c r="A155" s="3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34">
        <f>SM!$B$132</f>
        <v>0</v>
      </c>
      <c r="L155" s="34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34">
        <f>Otex!$B$147</f>
        <v>0</v>
      </c>
      <c r="W155" s="34">
        <f>Otex!$C$147</f>
        <v>29.347920410185225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1" t="s">
        <v>1088</v>
      </c>
    </row>
    <row r="160" spans="1:24" x14ac:dyDescent="0.25">
      <c r="A160" s="2" t="s">
        <v>638</v>
      </c>
    </row>
    <row r="162" spans="1:24" ht="30" x14ac:dyDescent="0.25">
      <c r="B162" s="12" t="s">
        <v>139</v>
      </c>
      <c r="C162" s="12" t="s">
        <v>311</v>
      </c>
      <c r="D162" s="12" t="s">
        <v>312</v>
      </c>
      <c r="E162" s="12" t="s">
        <v>313</v>
      </c>
      <c r="F162" s="12" t="s">
        <v>314</v>
      </c>
      <c r="G162" s="12" t="s">
        <v>315</v>
      </c>
      <c r="H162" s="12" t="s">
        <v>316</v>
      </c>
      <c r="I162" s="12" t="s">
        <v>317</v>
      </c>
      <c r="J162" s="12" t="s">
        <v>318</v>
      </c>
      <c r="K162" s="12" t="s">
        <v>468</v>
      </c>
      <c r="L162" s="12" t="s">
        <v>480</v>
      </c>
      <c r="M162" s="12" t="s">
        <v>299</v>
      </c>
      <c r="N162" s="12" t="s">
        <v>882</v>
      </c>
      <c r="O162" s="12" t="s">
        <v>883</v>
      </c>
      <c r="P162" s="12" t="s">
        <v>884</v>
      </c>
      <c r="Q162" s="12" t="s">
        <v>885</v>
      </c>
      <c r="R162" s="12" t="s">
        <v>886</v>
      </c>
      <c r="S162" s="12" t="s">
        <v>887</v>
      </c>
      <c r="T162" s="12" t="s">
        <v>888</v>
      </c>
      <c r="U162" s="12" t="s">
        <v>889</v>
      </c>
      <c r="V162" s="12" t="s">
        <v>890</v>
      </c>
      <c r="W162" s="12" t="s">
        <v>891</v>
      </c>
    </row>
    <row r="163" spans="1:24" x14ac:dyDescent="0.25">
      <c r="A163" s="3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3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3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3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3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3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3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3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3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3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3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3" t="s">
        <v>179</v>
      </c>
      <c r="B174" s="34">
        <f>Standing!$B$36</f>
        <v>0</v>
      </c>
      <c r="C174" s="34">
        <f>Standing!$C$36</f>
        <v>0</v>
      </c>
      <c r="D174" s="34">
        <f>Standing!$D$36</f>
        <v>0</v>
      </c>
      <c r="E174" s="34">
        <f>Standing!$E$36</f>
        <v>0</v>
      </c>
      <c r="F174" s="34">
        <f>Standing!$F$36</f>
        <v>0</v>
      </c>
      <c r="G174" s="34">
        <f>Standing!$G$36</f>
        <v>0</v>
      </c>
      <c r="H174" s="34">
        <f>Standing!$H$36</f>
        <v>0.28859211670763896</v>
      </c>
      <c r="I174" s="34">
        <f>Standing!$I$36</f>
        <v>0.34246899497260802</v>
      </c>
      <c r="J174" s="34">
        <f>Standing!$J$36</f>
        <v>0.135593203487892</v>
      </c>
      <c r="K174" s="9"/>
      <c r="L174" s="9"/>
      <c r="M174" s="34">
        <f>Standing!$K$36</f>
        <v>0</v>
      </c>
      <c r="N174" s="34">
        <f>Standing!$L$36</f>
        <v>0</v>
      </c>
      <c r="O174" s="34">
        <f>Standing!$M$36</f>
        <v>0</v>
      </c>
      <c r="P174" s="34">
        <f>Standing!$N$36</f>
        <v>0</v>
      </c>
      <c r="Q174" s="34">
        <f>Standing!$O$36</f>
        <v>0</v>
      </c>
      <c r="R174" s="34">
        <f>Standing!$P$36</f>
        <v>0</v>
      </c>
      <c r="S174" s="34">
        <f>Standing!$Q$36</f>
        <v>0.25075371045696332</v>
      </c>
      <c r="T174" s="34">
        <f>Standing!$R$36</f>
        <v>0.53248079146210758</v>
      </c>
      <c r="U174" s="34">
        <f>Standing!$S$36</f>
        <v>1.001306834879194</v>
      </c>
      <c r="V174" s="9"/>
      <c r="W174" s="9"/>
      <c r="X174" s="10"/>
    </row>
    <row r="175" spans="1:24" x14ac:dyDescent="0.25">
      <c r="A175" s="3" t="s">
        <v>180</v>
      </c>
      <c r="B175" s="34">
        <f>Standing!$B$37</f>
        <v>0</v>
      </c>
      <c r="C175" s="34">
        <f>Standing!$C$37</f>
        <v>0</v>
      </c>
      <c r="D175" s="34">
        <f>Standing!$D$37</f>
        <v>0</v>
      </c>
      <c r="E175" s="34">
        <f>Standing!$E$37</f>
        <v>0</v>
      </c>
      <c r="F175" s="34">
        <f>Standing!$F$37</f>
        <v>0</v>
      </c>
      <c r="G175" s="34">
        <f>Standing!$G$37</f>
        <v>0</v>
      </c>
      <c r="H175" s="34">
        <f>Standing!$H$37</f>
        <v>1.3901532428780592</v>
      </c>
      <c r="I175" s="34">
        <f>Standing!$I$37</f>
        <v>0.32993582040819414</v>
      </c>
      <c r="J175" s="34">
        <f>Standing!$J$37</f>
        <v>0</v>
      </c>
      <c r="K175" s="9"/>
      <c r="L175" s="9"/>
      <c r="M175" s="34">
        <f>Standing!$K$37</f>
        <v>0</v>
      </c>
      <c r="N175" s="34">
        <f>Standing!$L$37</f>
        <v>0</v>
      </c>
      <c r="O175" s="34">
        <f>Standing!$M$37</f>
        <v>0</v>
      </c>
      <c r="P175" s="34">
        <f>Standing!$N$37</f>
        <v>0</v>
      </c>
      <c r="Q175" s="34">
        <f>Standing!$O$37</f>
        <v>0</v>
      </c>
      <c r="R175" s="34">
        <f>Standing!$P$37</f>
        <v>0</v>
      </c>
      <c r="S175" s="34">
        <f>Standing!$Q$37</f>
        <v>1.207884982210349</v>
      </c>
      <c r="T175" s="34">
        <f>Standing!$R$37</f>
        <v>0.51299384575443674</v>
      </c>
      <c r="U175" s="34">
        <f>Standing!$S$37</f>
        <v>0</v>
      </c>
      <c r="V175" s="9"/>
      <c r="W175" s="9"/>
      <c r="X175" s="10"/>
    </row>
    <row r="176" spans="1:24" x14ac:dyDescent="0.25">
      <c r="A176" s="3" t="s">
        <v>193</v>
      </c>
      <c r="B176" s="34">
        <f>Standing!$B$38</f>
        <v>0</v>
      </c>
      <c r="C176" s="34">
        <f>Standing!$C$38</f>
        <v>2.2874141104867473E-2</v>
      </c>
      <c r="D176" s="34">
        <f>Standing!$D$38</f>
        <v>0</v>
      </c>
      <c r="E176" s="34">
        <f>Standing!$E$38</f>
        <v>0.16196789787430105</v>
      </c>
      <c r="F176" s="34">
        <f>Standing!$F$38</f>
        <v>0.91036330580827507</v>
      </c>
      <c r="G176" s="34">
        <f>Standing!$G$38</f>
        <v>8.2593028200273338E-2</v>
      </c>
      <c r="H176" s="34">
        <f>Standing!$H$38</f>
        <v>0.94913913280881723</v>
      </c>
      <c r="I176" s="34">
        <f>Standing!$I$38</f>
        <v>0</v>
      </c>
      <c r="J176" s="34">
        <f>Standing!$J$38</f>
        <v>0</v>
      </c>
      <c r="K176" s="9"/>
      <c r="L176" s="9"/>
      <c r="M176" s="34">
        <f>Standing!$K$38</f>
        <v>0</v>
      </c>
      <c r="N176" s="34">
        <f>Standing!$L$38</f>
        <v>1.0352234731302468E-2</v>
      </c>
      <c r="O176" s="34">
        <f>Standing!$M$38</f>
        <v>0</v>
      </c>
      <c r="P176" s="34">
        <f>Standing!$N$38</f>
        <v>7.8433537112128943E-2</v>
      </c>
      <c r="Q176" s="34">
        <f>Standing!$O$38</f>
        <v>0.63544928402897149</v>
      </c>
      <c r="R176" s="34">
        <f>Standing!$P$38</f>
        <v>5.7651357761009686E-2</v>
      </c>
      <c r="S176" s="34">
        <f>Standing!$Q$38</f>
        <v>1.1860902864249774</v>
      </c>
      <c r="T176" s="34">
        <f>Standing!$R$38</f>
        <v>0</v>
      </c>
      <c r="U176" s="34">
        <f>Standing!$S$38</f>
        <v>0</v>
      </c>
      <c r="V176" s="9"/>
      <c r="W176" s="9"/>
      <c r="X176" s="10"/>
    </row>
    <row r="177" spans="1:24" x14ac:dyDescent="0.25">
      <c r="A177" s="3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3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3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3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3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3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3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3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3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3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3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3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3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1" t="s">
        <v>1090</v>
      </c>
    </row>
    <row r="194" spans="1:24" x14ac:dyDescent="0.25">
      <c r="A194" s="11" t="s">
        <v>1091</v>
      </c>
    </row>
    <row r="195" spans="1:24" x14ac:dyDescent="0.25">
      <c r="A195" s="2" t="s">
        <v>374</v>
      </c>
    </row>
    <row r="197" spans="1:24" ht="30" x14ac:dyDescent="0.25">
      <c r="B197" s="12" t="s">
        <v>139</v>
      </c>
      <c r="C197" s="12" t="s">
        <v>311</v>
      </c>
      <c r="D197" s="12" t="s">
        <v>312</v>
      </c>
      <c r="E197" s="12" t="s">
        <v>313</v>
      </c>
      <c r="F197" s="12" t="s">
        <v>314</v>
      </c>
      <c r="G197" s="12" t="s">
        <v>315</v>
      </c>
      <c r="H197" s="12" t="s">
        <v>316</v>
      </c>
      <c r="I197" s="12" t="s">
        <v>317</v>
      </c>
      <c r="J197" s="12" t="s">
        <v>318</v>
      </c>
      <c r="K197" s="12" t="s">
        <v>468</v>
      </c>
      <c r="L197" s="12" t="s">
        <v>480</v>
      </c>
      <c r="M197" s="12" t="s">
        <v>299</v>
      </c>
      <c r="N197" s="12" t="s">
        <v>882</v>
      </c>
      <c r="O197" s="12" t="s">
        <v>883</v>
      </c>
      <c r="P197" s="12" t="s">
        <v>884</v>
      </c>
      <c r="Q197" s="12" t="s">
        <v>885</v>
      </c>
      <c r="R197" s="12" t="s">
        <v>886</v>
      </c>
      <c r="S197" s="12" t="s">
        <v>887</v>
      </c>
      <c r="T197" s="12" t="s">
        <v>888</v>
      </c>
      <c r="U197" s="12" t="s">
        <v>889</v>
      </c>
      <c r="V197" s="12" t="s">
        <v>890</v>
      </c>
      <c r="W197" s="12" t="s">
        <v>891</v>
      </c>
    </row>
    <row r="198" spans="1:24" x14ac:dyDescent="0.25">
      <c r="A198" s="3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3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3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3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3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3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3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3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3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3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3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3" t="s">
        <v>179</v>
      </c>
      <c r="B209" s="34">
        <f>Reactive!$B$33</f>
        <v>0</v>
      </c>
      <c r="C209" s="34">
        <f>Reactive!$C$33</f>
        <v>3.0856861255435034E-2</v>
      </c>
      <c r="D209" s="34">
        <f>Reactive!$D$33</f>
        <v>1.55307942803327E-2</v>
      </c>
      <c r="E209" s="34">
        <f>Reactive!$E$33</f>
        <v>1.8930668111768453E-2</v>
      </c>
      <c r="F209" s="34">
        <f>Reactive!$F$33</f>
        <v>3.0674326163860108E-2</v>
      </c>
      <c r="G209" s="34">
        <f>Reactive!$G$33</f>
        <v>2.579141268663545E-3</v>
      </c>
      <c r="H209" s="34">
        <f>Reactive!$H$33</f>
        <v>3.1969296647701602E-2</v>
      </c>
      <c r="I209" s="34">
        <f>Reactive!$I$33</f>
        <v>0</v>
      </c>
      <c r="J209" s="34">
        <f>Reactive!$J$33</f>
        <v>0</v>
      </c>
      <c r="K209" s="9"/>
      <c r="L209" s="9"/>
      <c r="M209" s="34">
        <f>Reactive!$K$33</f>
        <v>1.3189659680281414E-2</v>
      </c>
      <c r="N209" s="34">
        <f>Reactive!$L$33</f>
        <v>1.3965003945854027E-2</v>
      </c>
      <c r="O209" s="34">
        <f>Reactive!$M$33</f>
        <v>7.0288290701923332E-3</v>
      </c>
      <c r="P209" s="34">
        <f>Reactive!$N$33</f>
        <v>8.5675225581128955E-3</v>
      </c>
      <c r="Q209" s="34">
        <f>Reactive!$O$33</f>
        <v>1.3882393363624066E-2</v>
      </c>
      <c r="R209" s="34">
        <f>Reactive!$P$33</f>
        <v>1.1672515132256788E-3</v>
      </c>
      <c r="S209" s="34">
        <f>Reactive!$Q$33</f>
        <v>2.7777680993385023E-2</v>
      </c>
      <c r="T209" s="34">
        <f>Reactive!$R$33</f>
        <v>0</v>
      </c>
      <c r="U209" s="34">
        <f>Reactive!$S$33</f>
        <v>0</v>
      </c>
      <c r="V209" s="9"/>
      <c r="W209" s="9"/>
      <c r="X209" s="10"/>
    </row>
    <row r="210" spans="1:24" x14ac:dyDescent="0.25">
      <c r="A210" s="3" t="s">
        <v>180</v>
      </c>
      <c r="B210" s="34">
        <f>Reactive!$B$34</f>
        <v>0</v>
      </c>
      <c r="C210" s="34">
        <f>Reactive!$C$34</f>
        <v>2.9253536082296996E-2</v>
      </c>
      <c r="D210" s="34">
        <f>Reactive!$D$34</f>
        <v>1.4723812869541938E-2</v>
      </c>
      <c r="E210" s="34">
        <f>Reactive!$E$34</f>
        <v>1.7947028963357863E-2</v>
      </c>
      <c r="F210" s="34">
        <f>Reactive!$F$34</f>
        <v>2.9080485529829284E-2</v>
      </c>
      <c r="G210" s="34">
        <f>Reactive!$G$34</f>
        <v>2.4451288658175149E-3</v>
      </c>
      <c r="H210" s="34">
        <f>Reactive!$H$34</f>
        <v>0</v>
      </c>
      <c r="I210" s="34">
        <f>Reactive!$I$34</f>
        <v>0</v>
      </c>
      <c r="J210" s="34">
        <f>Reactive!$J$34</f>
        <v>0</v>
      </c>
      <c r="K210" s="9"/>
      <c r="L210" s="9"/>
      <c r="M210" s="34">
        <f>Reactive!$K$34</f>
        <v>1.2504323825300565E-2</v>
      </c>
      <c r="N210" s="34">
        <f>Reactive!$L$34</f>
        <v>1.3239381135937934E-2</v>
      </c>
      <c r="O210" s="34">
        <f>Reactive!$M$34</f>
        <v>6.6636105052633159E-3</v>
      </c>
      <c r="P210" s="34">
        <f>Reactive!$N$34</f>
        <v>8.1223533467942657E-3</v>
      </c>
      <c r="Q210" s="34">
        <f>Reactive!$O$34</f>
        <v>1.3161063006688215E-2</v>
      </c>
      <c r="R210" s="34">
        <f>Reactive!$P$34</f>
        <v>1.1066010238889334E-3</v>
      </c>
      <c r="S210" s="34">
        <f>Reactive!$Q$34</f>
        <v>0</v>
      </c>
      <c r="T210" s="34">
        <f>Reactive!$R$34</f>
        <v>0</v>
      </c>
      <c r="U210" s="34">
        <f>Reactive!$S$34</f>
        <v>0</v>
      </c>
      <c r="V210" s="9"/>
      <c r="W210" s="9"/>
      <c r="X210" s="10"/>
    </row>
    <row r="211" spans="1:24" x14ac:dyDescent="0.25">
      <c r="A211" s="3" t="s">
        <v>193</v>
      </c>
      <c r="B211" s="34">
        <f>Reactive!$B$35</f>
        <v>0</v>
      </c>
      <c r="C211" s="34">
        <f>Reactive!$C$35</f>
        <v>2.3410937682352632E-2</v>
      </c>
      <c r="D211" s="34">
        <f>Reactive!$D$35</f>
        <v>1.196267786330657E-2</v>
      </c>
      <c r="E211" s="34">
        <f>Reactive!$E$35</f>
        <v>1.0902023889170435E-2</v>
      </c>
      <c r="F211" s="34">
        <f>Reactive!$F$35</f>
        <v>0</v>
      </c>
      <c r="G211" s="34">
        <f>Reactive!$G$35</f>
        <v>0</v>
      </c>
      <c r="H211" s="34">
        <f>Reactive!$H$35</f>
        <v>0</v>
      </c>
      <c r="I211" s="34">
        <f>Reactive!$I$35</f>
        <v>0</v>
      </c>
      <c r="J211" s="34">
        <f>Reactive!$J$35</f>
        <v>0</v>
      </c>
      <c r="K211" s="9"/>
      <c r="L211" s="9"/>
      <c r="M211" s="34">
        <f>Reactive!$K$35</f>
        <v>1.0159406340322068E-2</v>
      </c>
      <c r="N211" s="34">
        <f>Reactive!$L$35</f>
        <v>1.0595174745863439E-2</v>
      </c>
      <c r="O211" s="34">
        <f>Reactive!$M$35</f>
        <v>5.41399341239322E-3</v>
      </c>
      <c r="P211" s="34">
        <f>Reactive!$N$35</f>
        <v>5.2793442807547797E-3</v>
      </c>
      <c r="Q211" s="34">
        <f>Reactive!$O$35</f>
        <v>0</v>
      </c>
      <c r="R211" s="34">
        <f>Reactive!$P$35</f>
        <v>0</v>
      </c>
      <c r="S211" s="34">
        <f>Reactive!$Q$35</f>
        <v>0</v>
      </c>
      <c r="T211" s="34">
        <f>Reactive!$R$35</f>
        <v>0</v>
      </c>
      <c r="U211" s="34">
        <f>Reactive!$S$35</f>
        <v>0</v>
      </c>
      <c r="V211" s="9"/>
      <c r="W211" s="9"/>
      <c r="X211" s="10"/>
    </row>
    <row r="212" spans="1:24" x14ac:dyDescent="0.25">
      <c r="A212" s="3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3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3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3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3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3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3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3" t="s">
        <v>183</v>
      </c>
      <c r="B219" s="34">
        <f>Reactive!$B$77</f>
        <v>0</v>
      </c>
      <c r="C219" s="34">
        <f>Reactive!$C$77</f>
        <v>2.0892452771279518E-2</v>
      </c>
      <c r="D219" s="34">
        <f>Reactive!$D$77</f>
        <v>1.13686902901423E-2</v>
      </c>
      <c r="E219" s="34">
        <f>Reactive!$E$77</f>
        <v>1.3857430525669042E-2</v>
      </c>
      <c r="F219" s="34">
        <f>Reactive!$F$77</f>
        <v>2.2453900793557094E-2</v>
      </c>
      <c r="G219" s="34">
        <f>Reactive!$G$77</f>
        <v>2.3269918051220462E-2</v>
      </c>
      <c r="H219" s="34">
        <f>Reactive!$H$77</f>
        <v>2.7057070663071957E-2</v>
      </c>
      <c r="I219" s="34">
        <f>Reactive!$I$77</f>
        <v>6.4216638365574676E-3</v>
      </c>
      <c r="J219" s="34">
        <f>Reactive!$J$77</f>
        <v>2.668134464404968E-3</v>
      </c>
      <c r="K219" s="9"/>
      <c r="L219" s="9"/>
      <c r="M219" s="34">
        <f>Reactive!$K$77</f>
        <v>8.9304073949190849E-3</v>
      </c>
      <c r="N219" s="34">
        <f>Reactive!$L$77</f>
        <v>9.4553747049725325E-3</v>
      </c>
      <c r="O219" s="34">
        <f>Reactive!$M$77</f>
        <v>5.1451702571681827E-3</v>
      </c>
      <c r="P219" s="34">
        <f>Reactive!$N$77</f>
        <v>6.2715086401174507E-3</v>
      </c>
      <c r="Q219" s="34">
        <f>Reactive!$O$77</f>
        <v>1.0162045017673619E-2</v>
      </c>
      <c r="R219" s="34">
        <f>Reactive!$P$77</f>
        <v>1.0531352969276981E-2</v>
      </c>
      <c r="S219" s="34">
        <f>Reactive!$Q$77</f>
        <v>2.3509515576043291E-2</v>
      </c>
      <c r="T219" s="34">
        <f>Reactive!$R$77</f>
        <v>9.9845904078622195E-3</v>
      </c>
      <c r="U219" s="34">
        <f>Reactive!$S$77</f>
        <v>1.9703209356094303E-2</v>
      </c>
      <c r="V219" s="9"/>
      <c r="W219" s="9"/>
      <c r="X219" s="10"/>
    </row>
    <row r="220" spans="1:24" x14ac:dyDescent="0.25">
      <c r="A220" s="3" t="s">
        <v>184</v>
      </c>
      <c r="B220" s="34">
        <f>Reactive!$B$78</f>
        <v>0</v>
      </c>
      <c r="C220" s="34">
        <f>Reactive!$C$78</f>
        <v>2.0892452771279518E-2</v>
      </c>
      <c r="D220" s="34">
        <f>Reactive!$D$78</f>
        <v>1.13686902901423E-2</v>
      </c>
      <c r="E220" s="34">
        <f>Reactive!$E$78</f>
        <v>1.3857430525669042E-2</v>
      </c>
      <c r="F220" s="34">
        <f>Reactive!$F$78</f>
        <v>2.2453900793557094E-2</v>
      </c>
      <c r="G220" s="34">
        <f>Reactive!$G$78</f>
        <v>2.3269918051220462E-2</v>
      </c>
      <c r="H220" s="34">
        <f>Reactive!$H$78</f>
        <v>2.7057070663071957E-2</v>
      </c>
      <c r="I220" s="34">
        <f>Reactive!$I$78</f>
        <v>6.4216638365574676E-3</v>
      </c>
      <c r="J220" s="34">
        <f>Reactive!$J$78</f>
        <v>2.668134464404968E-3</v>
      </c>
      <c r="K220" s="9"/>
      <c r="L220" s="9"/>
      <c r="M220" s="34">
        <f>Reactive!$K$78</f>
        <v>8.9304073949190849E-3</v>
      </c>
      <c r="N220" s="34">
        <f>Reactive!$L$78</f>
        <v>9.4553747049725325E-3</v>
      </c>
      <c r="O220" s="34">
        <f>Reactive!$M$78</f>
        <v>5.1451702571681827E-3</v>
      </c>
      <c r="P220" s="34">
        <f>Reactive!$N$78</f>
        <v>6.2715086401174507E-3</v>
      </c>
      <c r="Q220" s="34">
        <f>Reactive!$O$78</f>
        <v>1.0162045017673619E-2</v>
      </c>
      <c r="R220" s="34">
        <f>Reactive!$P$78</f>
        <v>1.0531352969276981E-2</v>
      </c>
      <c r="S220" s="34">
        <f>Reactive!$Q$78</f>
        <v>2.3509515576043291E-2</v>
      </c>
      <c r="T220" s="34">
        <f>Reactive!$R$78</f>
        <v>9.9845904078622195E-3</v>
      </c>
      <c r="U220" s="34">
        <f>Reactive!$S$78</f>
        <v>1.9703209356094303E-2</v>
      </c>
      <c r="V220" s="9"/>
      <c r="W220" s="9"/>
      <c r="X220" s="10"/>
    </row>
    <row r="221" spans="1:24" x14ac:dyDescent="0.25">
      <c r="A221" s="3" t="s">
        <v>185</v>
      </c>
      <c r="B221" s="34">
        <f>Reactive!$B$79</f>
        <v>0</v>
      </c>
      <c r="C221" s="34">
        <f>Reactive!$C$79</f>
        <v>2.0127861636008538E-2</v>
      </c>
      <c r="D221" s="34">
        <f>Reactive!$D$79</f>
        <v>1.0952635750704339E-2</v>
      </c>
      <c r="E221" s="34">
        <f>Reactive!$E$79</f>
        <v>1.3350296746138607E-2</v>
      </c>
      <c r="F221" s="34">
        <f>Reactive!$F$79</f>
        <v>2.1632166089309807E-2</v>
      </c>
      <c r="G221" s="34">
        <f>Reactive!$G$79</f>
        <v>2.2418319952365186E-2</v>
      </c>
      <c r="H221" s="34">
        <f>Reactive!$H$79</f>
        <v>2.6066875945301712E-2</v>
      </c>
      <c r="I221" s="34">
        <f>Reactive!$I$79</f>
        <v>6.1866532661436551E-3</v>
      </c>
      <c r="J221" s="34">
        <f>Reactive!$J$79</f>
        <v>0</v>
      </c>
      <c r="K221" s="9"/>
      <c r="L221" s="9"/>
      <c r="M221" s="34">
        <f>Reactive!$K$79</f>
        <v>8.6035855323419903E-3</v>
      </c>
      <c r="N221" s="34">
        <f>Reactive!$L$79</f>
        <v>9.1093408639854288E-3</v>
      </c>
      <c r="O221" s="34">
        <f>Reactive!$M$79</f>
        <v>4.9568749138134451E-3</v>
      </c>
      <c r="P221" s="34">
        <f>Reactive!$N$79</f>
        <v>6.0419932278533177E-3</v>
      </c>
      <c r="Q221" s="34">
        <f>Reactive!$O$79</f>
        <v>9.7901495001009343E-3</v>
      </c>
      <c r="R221" s="34">
        <f>Reactive!$P$79</f>
        <v>1.014594206463738E-2</v>
      </c>
      <c r="S221" s="34">
        <f>Reactive!$Q$79</f>
        <v>2.2649149040780959E-2</v>
      </c>
      <c r="T221" s="34">
        <f>Reactive!$R$79</f>
        <v>9.6191891120575631E-3</v>
      </c>
      <c r="U221" s="34">
        <f>Reactive!$S$79</f>
        <v>0</v>
      </c>
      <c r="V221" s="9"/>
      <c r="W221" s="9"/>
      <c r="X221" s="10"/>
    </row>
    <row r="222" spans="1:24" x14ac:dyDescent="0.25">
      <c r="A222" s="3" t="s">
        <v>186</v>
      </c>
      <c r="B222" s="34">
        <f>Reactive!$B$80</f>
        <v>0</v>
      </c>
      <c r="C222" s="34">
        <f>Reactive!$C$80</f>
        <v>2.0127861636008538E-2</v>
      </c>
      <c r="D222" s="34">
        <f>Reactive!$D$80</f>
        <v>1.0952635750704339E-2</v>
      </c>
      <c r="E222" s="34">
        <f>Reactive!$E$80</f>
        <v>1.3350296746138607E-2</v>
      </c>
      <c r="F222" s="34">
        <f>Reactive!$F$80</f>
        <v>2.1632166089309807E-2</v>
      </c>
      <c r="G222" s="34">
        <f>Reactive!$G$80</f>
        <v>2.2418319952365186E-2</v>
      </c>
      <c r="H222" s="34">
        <f>Reactive!$H$80</f>
        <v>2.6066875945301712E-2</v>
      </c>
      <c r="I222" s="34">
        <f>Reactive!$I$80</f>
        <v>6.1866532661436551E-3</v>
      </c>
      <c r="J222" s="34">
        <f>Reactive!$J$80</f>
        <v>0</v>
      </c>
      <c r="K222" s="9"/>
      <c r="L222" s="9"/>
      <c r="M222" s="34">
        <f>Reactive!$K$80</f>
        <v>8.6035855323419903E-3</v>
      </c>
      <c r="N222" s="34">
        <f>Reactive!$L$80</f>
        <v>9.1093408639854288E-3</v>
      </c>
      <c r="O222" s="34">
        <f>Reactive!$M$80</f>
        <v>4.9568749138134451E-3</v>
      </c>
      <c r="P222" s="34">
        <f>Reactive!$N$80</f>
        <v>6.0419932278533177E-3</v>
      </c>
      <c r="Q222" s="34">
        <f>Reactive!$O$80</f>
        <v>9.7901495001009343E-3</v>
      </c>
      <c r="R222" s="34">
        <f>Reactive!$P$80</f>
        <v>1.014594206463738E-2</v>
      </c>
      <c r="S222" s="34">
        <f>Reactive!$Q$80</f>
        <v>2.2649149040780959E-2</v>
      </c>
      <c r="T222" s="34">
        <f>Reactive!$R$80</f>
        <v>9.6191891120575631E-3</v>
      </c>
      <c r="U222" s="34">
        <f>Reactive!$S$80</f>
        <v>0</v>
      </c>
      <c r="V222" s="9"/>
      <c r="W222" s="9"/>
      <c r="X222" s="10"/>
    </row>
    <row r="223" spans="1:24" x14ac:dyDescent="0.25">
      <c r="A223" s="3" t="s">
        <v>194</v>
      </c>
      <c r="B223" s="34">
        <f>Reactive!$B$81</f>
        <v>0</v>
      </c>
      <c r="C223" s="34">
        <f>Reactive!$C$81</f>
        <v>1.9764680846754826E-2</v>
      </c>
      <c r="D223" s="34">
        <f>Reactive!$D$81</f>
        <v>1.075500984447131E-2</v>
      </c>
      <c r="E223" s="34">
        <f>Reactive!$E$81</f>
        <v>1.2251790066622283E-2</v>
      </c>
      <c r="F223" s="34">
        <f>Reactive!$F$81</f>
        <v>1.3772581176271418E-2</v>
      </c>
      <c r="G223" s="34">
        <f>Reactive!$G$81</f>
        <v>1.4273102846235858E-2</v>
      </c>
      <c r="H223" s="34">
        <f>Reactive!$H$81</f>
        <v>1.7797384681516659E-2</v>
      </c>
      <c r="I223" s="34">
        <f>Reactive!$I$81</f>
        <v>0</v>
      </c>
      <c r="J223" s="34">
        <f>Reactive!$J$81</f>
        <v>0</v>
      </c>
      <c r="K223" s="9"/>
      <c r="L223" s="9"/>
      <c r="M223" s="34">
        <f>Reactive!$K$81</f>
        <v>8.4483451476178705E-3</v>
      </c>
      <c r="N223" s="34">
        <f>Reactive!$L$81</f>
        <v>8.9449747895165577E-3</v>
      </c>
      <c r="O223" s="34">
        <f>Reactive!$M$81</f>
        <v>4.8674346257199458E-3</v>
      </c>
      <c r="P223" s="34">
        <f>Reactive!$N$81</f>
        <v>5.9329734070278544E-3</v>
      </c>
      <c r="Q223" s="34">
        <f>Reactive!$O$81</f>
        <v>9.613499129253909E-3</v>
      </c>
      <c r="R223" s="34">
        <f>Reactive!$P$81</f>
        <v>9.9628718849335759E-3</v>
      </c>
      <c r="S223" s="34">
        <f>Reactive!$Q$81</f>
        <v>2.2240474936531345E-2</v>
      </c>
      <c r="T223" s="34">
        <f>Reactive!$R$81</f>
        <v>0</v>
      </c>
      <c r="U223" s="34">
        <f>Reactive!$S$81</f>
        <v>0</v>
      </c>
      <c r="V223" s="9"/>
      <c r="W223" s="9"/>
      <c r="X223" s="10"/>
    </row>
    <row r="224" spans="1:24" x14ac:dyDescent="0.25">
      <c r="A224" s="3" t="s">
        <v>195</v>
      </c>
      <c r="B224" s="34">
        <f>Reactive!$B$82</f>
        <v>0</v>
      </c>
      <c r="C224" s="34">
        <f>Reactive!$C$82</f>
        <v>1.9764680846754826E-2</v>
      </c>
      <c r="D224" s="34">
        <f>Reactive!$D$82</f>
        <v>1.075500984447131E-2</v>
      </c>
      <c r="E224" s="34">
        <f>Reactive!$E$82</f>
        <v>1.2251790066622283E-2</v>
      </c>
      <c r="F224" s="34">
        <f>Reactive!$F$82</f>
        <v>1.3772581176271418E-2</v>
      </c>
      <c r="G224" s="34">
        <f>Reactive!$G$82</f>
        <v>1.4273102846235858E-2</v>
      </c>
      <c r="H224" s="34">
        <f>Reactive!$H$82</f>
        <v>1.7797384681516659E-2</v>
      </c>
      <c r="I224" s="34">
        <f>Reactive!$I$82</f>
        <v>0</v>
      </c>
      <c r="J224" s="34">
        <f>Reactive!$J$82</f>
        <v>0</v>
      </c>
      <c r="K224" s="9"/>
      <c r="L224" s="9"/>
      <c r="M224" s="34">
        <f>Reactive!$K$82</f>
        <v>8.4483451476178705E-3</v>
      </c>
      <c r="N224" s="34">
        <f>Reactive!$L$82</f>
        <v>8.9449747895165577E-3</v>
      </c>
      <c r="O224" s="34">
        <f>Reactive!$M$82</f>
        <v>4.8674346257199458E-3</v>
      </c>
      <c r="P224" s="34">
        <f>Reactive!$N$82</f>
        <v>5.9329734070278544E-3</v>
      </c>
      <c r="Q224" s="34">
        <f>Reactive!$O$82</f>
        <v>9.613499129253909E-3</v>
      </c>
      <c r="R224" s="34">
        <f>Reactive!$P$82</f>
        <v>9.9628718849335759E-3</v>
      </c>
      <c r="S224" s="34">
        <f>Reactive!$Q$82</f>
        <v>2.2240474936531345E-2</v>
      </c>
      <c r="T224" s="34">
        <f>Reactive!$R$82</f>
        <v>0</v>
      </c>
      <c r="U224" s="34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1" t="s">
        <v>1093</v>
      </c>
    </row>
    <row r="229" spans="1:8" x14ac:dyDescent="0.25">
      <c r="A229" s="11" t="s">
        <v>1094</v>
      </c>
    </row>
    <row r="230" spans="1:8" x14ac:dyDescent="0.25">
      <c r="A230" s="11" t="s">
        <v>1095</v>
      </c>
    </row>
    <row r="231" spans="1:8" x14ac:dyDescent="0.25">
      <c r="A231" s="11" t="s">
        <v>1096</v>
      </c>
    </row>
    <row r="232" spans="1:8" x14ac:dyDescent="0.25">
      <c r="A232" s="11" t="s">
        <v>1097</v>
      </c>
    </row>
    <row r="233" spans="1:8" x14ac:dyDescent="0.25">
      <c r="A233" s="11" t="s">
        <v>1098</v>
      </c>
    </row>
    <row r="234" spans="1:8" x14ac:dyDescent="0.25">
      <c r="A234" s="29" t="s">
        <v>359</v>
      </c>
      <c r="B234" s="29" t="s">
        <v>490</v>
      </c>
      <c r="C234" s="29" t="s">
        <v>490</v>
      </c>
      <c r="D234" s="29" t="s">
        <v>490</v>
      </c>
      <c r="E234" s="29" t="s">
        <v>490</v>
      </c>
      <c r="F234" s="29" t="s">
        <v>490</v>
      </c>
      <c r="G234" s="29" t="s">
        <v>490</v>
      </c>
    </row>
    <row r="235" spans="1:8" x14ac:dyDescent="0.25">
      <c r="A235" s="29" t="s">
        <v>362</v>
      </c>
      <c r="B235" s="29" t="s">
        <v>540</v>
      </c>
      <c r="C235" s="29" t="s">
        <v>541</v>
      </c>
      <c r="D235" s="29" t="s">
        <v>542</v>
      </c>
      <c r="E235" s="29" t="s">
        <v>543</v>
      </c>
      <c r="F235" s="29" t="s">
        <v>492</v>
      </c>
      <c r="G235" s="29" t="s">
        <v>544</v>
      </c>
    </row>
    <row r="237" spans="1:8" ht="45" x14ac:dyDescent="0.25">
      <c r="B237" s="12" t="s">
        <v>1099</v>
      </c>
      <c r="C237" s="12" t="s">
        <v>1100</v>
      </c>
      <c r="D237" s="12" t="s">
        <v>1101</v>
      </c>
      <c r="E237" s="12" t="s">
        <v>1102</v>
      </c>
      <c r="F237" s="12" t="s">
        <v>1103</v>
      </c>
      <c r="G237" s="12" t="s">
        <v>1104</v>
      </c>
    </row>
    <row r="238" spans="1:8" x14ac:dyDescent="0.25">
      <c r="A238" s="3" t="s">
        <v>171</v>
      </c>
      <c r="B238" s="33">
        <f t="shared" ref="B238:B264" si="0">SUM($B15:$W15)</f>
        <v>1.1862696415822966</v>
      </c>
      <c r="C238" s="33">
        <f t="shared" ref="C238:C264" si="1">SUM($B53:$W53)</f>
        <v>0</v>
      </c>
      <c r="D238" s="33">
        <f t="shared" ref="D238:D264" si="2">SUM($B91:$W91)</f>
        <v>0</v>
      </c>
      <c r="E238" s="33">
        <f t="shared" ref="E238:E264" si="3">SUM($B129:$W129)</f>
        <v>3.1205883208500191</v>
      </c>
      <c r="F238" s="33">
        <f t="shared" ref="F238:F264" si="4">SUM($B163:$W163)</f>
        <v>0</v>
      </c>
      <c r="G238" s="33">
        <f t="shared" ref="G238:G264" si="5">SUM($B198:$W198)</f>
        <v>0</v>
      </c>
      <c r="H238" s="10"/>
    </row>
    <row r="239" spans="1:8" x14ac:dyDescent="0.25">
      <c r="A239" s="3" t="s">
        <v>172</v>
      </c>
      <c r="B239" s="33">
        <f t="shared" si="0"/>
        <v>1.4378627417077785</v>
      </c>
      <c r="C239" s="33">
        <f t="shared" si="1"/>
        <v>4.9448770557899036E-2</v>
      </c>
      <c r="D239" s="33">
        <f t="shared" si="2"/>
        <v>0</v>
      </c>
      <c r="E239" s="33">
        <f t="shared" si="3"/>
        <v>3.1205883208500191</v>
      </c>
      <c r="F239" s="33">
        <f t="shared" si="4"/>
        <v>0</v>
      </c>
      <c r="G239" s="33">
        <f t="shared" si="5"/>
        <v>0</v>
      </c>
      <c r="H239" s="10"/>
    </row>
    <row r="240" spans="1:8" x14ac:dyDescent="0.25">
      <c r="A240" s="3" t="s">
        <v>211</v>
      </c>
      <c r="B240" s="33">
        <f t="shared" si="0"/>
        <v>0.40174354854022204</v>
      </c>
      <c r="C240" s="33">
        <f t="shared" si="1"/>
        <v>0</v>
      </c>
      <c r="D240" s="33">
        <f t="shared" si="2"/>
        <v>0</v>
      </c>
      <c r="E240" s="33">
        <f t="shared" si="3"/>
        <v>0</v>
      </c>
      <c r="F240" s="33">
        <f t="shared" si="4"/>
        <v>0</v>
      </c>
      <c r="G240" s="33">
        <f t="shared" si="5"/>
        <v>0</v>
      </c>
      <c r="H240" s="10"/>
    </row>
    <row r="241" spans="1:8" x14ac:dyDescent="0.25">
      <c r="A241" s="3" t="s">
        <v>173</v>
      </c>
      <c r="B241" s="33">
        <f t="shared" si="0"/>
        <v>1.167833083241542</v>
      </c>
      <c r="C241" s="33">
        <f t="shared" si="1"/>
        <v>0</v>
      </c>
      <c r="D241" s="33">
        <f t="shared" si="2"/>
        <v>0</v>
      </c>
      <c r="E241" s="33">
        <f t="shared" si="3"/>
        <v>5.2765608538920103</v>
      </c>
      <c r="F241" s="33">
        <f t="shared" si="4"/>
        <v>0</v>
      </c>
      <c r="G241" s="33">
        <f t="shared" si="5"/>
        <v>0</v>
      </c>
      <c r="H241" s="10"/>
    </row>
    <row r="242" spans="1:8" x14ac:dyDescent="0.25">
      <c r="A242" s="3" t="s">
        <v>174</v>
      </c>
      <c r="B242" s="33">
        <f t="shared" si="0"/>
        <v>1.2636611118679946</v>
      </c>
      <c r="C242" s="33">
        <f t="shared" si="1"/>
        <v>4.7454759064590617E-2</v>
      </c>
      <c r="D242" s="33">
        <f t="shared" si="2"/>
        <v>0</v>
      </c>
      <c r="E242" s="33">
        <f t="shared" si="3"/>
        <v>5.2765608538920103</v>
      </c>
      <c r="F242" s="33">
        <f t="shared" si="4"/>
        <v>0</v>
      </c>
      <c r="G242" s="33">
        <f t="shared" si="5"/>
        <v>0</v>
      </c>
      <c r="H242" s="10"/>
    </row>
    <row r="243" spans="1:8" x14ac:dyDescent="0.25">
      <c r="A243" s="3" t="s">
        <v>212</v>
      </c>
      <c r="B243" s="33">
        <f t="shared" si="0"/>
        <v>0.20084962866444611</v>
      </c>
      <c r="C243" s="33">
        <f t="shared" si="1"/>
        <v>0</v>
      </c>
      <c r="D243" s="33">
        <f t="shared" si="2"/>
        <v>0</v>
      </c>
      <c r="E243" s="33">
        <f t="shared" si="3"/>
        <v>0</v>
      </c>
      <c r="F243" s="33">
        <f t="shared" si="4"/>
        <v>0</v>
      </c>
      <c r="G243" s="33">
        <f t="shared" si="5"/>
        <v>0</v>
      </c>
      <c r="H243" s="10"/>
    </row>
    <row r="244" spans="1:8" x14ac:dyDescent="0.25">
      <c r="A244" s="3" t="s">
        <v>175</v>
      </c>
      <c r="B244" s="33">
        <f t="shared" si="0"/>
        <v>0.95623677273572683</v>
      </c>
      <c r="C244" s="33">
        <f t="shared" si="1"/>
        <v>3.3842235797447807E-2</v>
      </c>
      <c r="D244" s="33">
        <f t="shared" si="2"/>
        <v>0</v>
      </c>
      <c r="E244" s="33">
        <f t="shared" si="3"/>
        <v>4.7251221255470179</v>
      </c>
      <c r="F244" s="33">
        <f t="shared" si="4"/>
        <v>0</v>
      </c>
      <c r="G244" s="33">
        <f t="shared" si="5"/>
        <v>0</v>
      </c>
      <c r="H244" s="10"/>
    </row>
    <row r="245" spans="1:8" x14ac:dyDescent="0.25">
      <c r="A245" s="3" t="s">
        <v>176</v>
      </c>
      <c r="B245" s="33">
        <f t="shared" si="0"/>
        <v>0.8278307311051174</v>
      </c>
      <c r="C245" s="33">
        <f t="shared" si="1"/>
        <v>2.850710838776788E-2</v>
      </c>
      <c r="D245" s="33">
        <f t="shared" si="2"/>
        <v>0</v>
      </c>
      <c r="E245" s="33">
        <f t="shared" si="3"/>
        <v>3.5042449168482803</v>
      </c>
      <c r="F245" s="33">
        <f t="shared" si="4"/>
        <v>0</v>
      </c>
      <c r="G245" s="33">
        <f t="shared" si="5"/>
        <v>0</v>
      </c>
      <c r="H245" s="10"/>
    </row>
    <row r="246" spans="1:8" x14ac:dyDescent="0.25">
      <c r="A246" s="3" t="s">
        <v>192</v>
      </c>
      <c r="B246" s="33">
        <f t="shared" si="0"/>
        <v>0.35587756550136246</v>
      </c>
      <c r="C246" s="33">
        <f t="shared" si="1"/>
        <v>6.949123528860162E-3</v>
      </c>
      <c r="D246" s="33">
        <f t="shared" si="2"/>
        <v>0</v>
      </c>
      <c r="E246" s="33">
        <f t="shared" si="3"/>
        <v>60.870906704991079</v>
      </c>
      <c r="F246" s="33">
        <f t="shared" si="4"/>
        <v>0</v>
      </c>
      <c r="G246" s="33">
        <f t="shared" si="5"/>
        <v>0</v>
      </c>
      <c r="H246" s="10"/>
    </row>
    <row r="247" spans="1:8" x14ac:dyDescent="0.25">
      <c r="A247" s="3" t="s">
        <v>177</v>
      </c>
      <c r="B247" s="33">
        <f t="shared" si="0"/>
        <v>6.6570111438582975</v>
      </c>
      <c r="C247" s="33">
        <f t="shared" si="1"/>
        <v>0.58937615619538264</v>
      </c>
      <c r="D247" s="33">
        <f t="shared" si="2"/>
        <v>4.3385803971605644E-2</v>
      </c>
      <c r="E247" s="33">
        <f t="shared" si="3"/>
        <v>3.1205883208500191</v>
      </c>
      <c r="F247" s="33">
        <f t="shared" si="4"/>
        <v>0</v>
      </c>
      <c r="G247" s="33">
        <f t="shared" si="5"/>
        <v>0</v>
      </c>
      <c r="H247" s="10"/>
    </row>
    <row r="248" spans="1:8" x14ac:dyDescent="0.25">
      <c r="A248" s="3" t="s">
        <v>178</v>
      </c>
      <c r="B248" s="33">
        <f t="shared" si="0"/>
        <v>6.8539490852717435</v>
      </c>
      <c r="C248" s="33">
        <f t="shared" si="1"/>
        <v>0.60672380655480207</v>
      </c>
      <c r="D248" s="33">
        <f t="shared" si="2"/>
        <v>4.4661998856638206E-2</v>
      </c>
      <c r="E248" s="33">
        <f t="shared" si="3"/>
        <v>5.2765608538920103</v>
      </c>
      <c r="F248" s="33">
        <f t="shared" si="4"/>
        <v>0</v>
      </c>
      <c r="G248" s="33">
        <f t="shared" si="5"/>
        <v>0</v>
      </c>
      <c r="H248" s="10"/>
    </row>
    <row r="249" spans="1:8" x14ac:dyDescent="0.25">
      <c r="A249" s="3" t="s">
        <v>179</v>
      </c>
      <c r="B249" s="33">
        <f t="shared" si="0"/>
        <v>5.4586569863500793</v>
      </c>
      <c r="C249" s="33">
        <f t="shared" si="1"/>
        <v>0.45353133270080298</v>
      </c>
      <c r="D249" s="33">
        <f t="shared" si="2"/>
        <v>3.2932093108142588E-2</v>
      </c>
      <c r="E249" s="33">
        <f t="shared" si="3"/>
        <v>7.9659285407285259</v>
      </c>
      <c r="F249" s="33">
        <f t="shared" si="4"/>
        <v>2.5511956519664034</v>
      </c>
      <c r="G249" s="33">
        <f t="shared" si="5"/>
        <v>0.21611942885243687</v>
      </c>
      <c r="H249" s="10"/>
    </row>
    <row r="250" spans="1:8" x14ac:dyDescent="0.25">
      <c r="A250" s="3" t="s">
        <v>180</v>
      </c>
      <c r="B250" s="33">
        <f t="shared" si="0"/>
        <v>3.9883212104052643</v>
      </c>
      <c r="C250" s="33">
        <f t="shared" si="1"/>
        <v>0.28031494220445841</v>
      </c>
      <c r="D250" s="33">
        <f t="shared" si="2"/>
        <v>1.9525378357223219E-2</v>
      </c>
      <c r="E250" s="33">
        <f t="shared" si="3"/>
        <v>6.1354624318082642</v>
      </c>
      <c r="F250" s="33">
        <f t="shared" si="4"/>
        <v>3.4409678912510389</v>
      </c>
      <c r="G250" s="33">
        <f t="shared" si="5"/>
        <v>0.14824732515471681</v>
      </c>
      <c r="H250" s="10"/>
    </row>
    <row r="251" spans="1:8" x14ac:dyDescent="0.25">
      <c r="A251" s="3" t="s">
        <v>193</v>
      </c>
      <c r="B251" s="33">
        <f t="shared" si="0"/>
        <v>2.393804771692313</v>
      </c>
      <c r="C251" s="33">
        <f t="shared" si="1"/>
        <v>0.12062045335868299</v>
      </c>
      <c r="D251" s="33">
        <f t="shared" si="2"/>
        <v>7.5786800709254452E-3</v>
      </c>
      <c r="E251" s="33">
        <f t="shared" si="3"/>
        <v>60.870906704991079</v>
      </c>
      <c r="F251" s="33">
        <f t="shared" si="4"/>
        <v>4.0949142058549244</v>
      </c>
      <c r="G251" s="33">
        <f t="shared" si="5"/>
        <v>7.7723558214163158E-2</v>
      </c>
      <c r="H251" s="10"/>
    </row>
    <row r="252" spans="1:8" x14ac:dyDescent="0.25">
      <c r="A252" s="3" t="s">
        <v>213</v>
      </c>
      <c r="B252" s="33">
        <f t="shared" si="0"/>
        <v>1.3882092860297237</v>
      </c>
      <c r="C252" s="33">
        <f t="shared" si="1"/>
        <v>0</v>
      </c>
      <c r="D252" s="33">
        <f t="shared" si="2"/>
        <v>0</v>
      </c>
      <c r="E252" s="33">
        <f t="shared" si="3"/>
        <v>0</v>
      </c>
      <c r="F252" s="33">
        <f t="shared" si="4"/>
        <v>0</v>
      </c>
      <c r="G252" s="33">
        <f t="shared" si="5"/>
        <v>0</v>
      </c>
      <c r="H252" s="10"/>
    </row>
    <row r="253" spans="1:8" x14ac:dyDescent="0.25">
      <c r="A253" s="3" t="s">
        <v>214</v>
      </c>
      <c r="B253" s="33">
        <f t="shared" si="0"/>
        <v>1.6567904494731818</v>
      </c>
      <c r="C253" s="33">
        <f t="shared" si="1"/>
        <v>0</v>
      </c>
      <c r="D253" s="33">
        <f t="shared" si="2"/>
        <v>0</v>
      </c>
      <c r="E253" s="33">
        <f t="shared" si="3"/>
        <v>0</v>
      </c>
      <c r="F253" s="33">
        <f t="shared" si="4"/>
        <v>0</v>
      </c>
      <c r="G253" s="33">
        <f t="shared" si="5"/>
        <v>0</v>
      </c>
      <c r="H253" s="10"/>
    </row>
    <row r="254" spans="1:8" x14ac:dyDescent="0.25">
      <c r="A254" s="3" t="s">
        <v>215</v>
      </c>
      <c r="B254" s="33">
        <f t="shared" si="0"/>
        <v>2.5039880215996697</v>
      </c>
      <c r="C254" s="33">
        <f t="shared" si="1"/>
        <v>0</v>
      </c>
      <c r="D254" s="33">
        <f t="shared" si="2"/>
        <v>0</v>
      </c>
      <c r="E254" s="33">
        <f t="shared" si="3"/>
        <v>0</v>
      </c>
      <c r="F254" s="33">
        <f t="shared" si="4"/>
        <v>0</v>
      </c>
      <c r="G254" s="33">
        <f t="shared" si="5"/>
        <v>0</v>
      </c>
      <c r="H254" s="10"/>
    </row>
    <row r="255" spans="1:8" x14ac:dyDescent="0.25">
      <c r="A255" s="3" t="s">
        <v>216</v>
      </c>
      <c r="B255" s="33">
        <f t="shared" si="0"/>
        <v>1.1174906065379673</v>
      </c>
      <c r="C255" s="33">
        <f t="shared" si="1"/>
        <v>0</v>
      </c>
      <c r="D255" s="33">
        <f t="shared" si="2"/>
        <v>0</v>
      </c>
      <c r="E255" s="33">
        <f t="shared" si="3"/>
        <v>0</v>
      </c>
      <c r="F255" s="33">
        <f t="shared" si="4"/>
        <v>0</v>
      </c>
      <c r="G255" s="33">
        <f t="shared" si="5"/>
        <v>0</v>
      </c>
      <c r="H255" s="10"/>
    </row>
    <row r="256" spans="1:8" x14ac:dyDescent="0.25">
      <c r="A256" s="3" t="s">
        <v>217</v>
      </c>
      <c r="B256" s="33">
        <f t="shared" si="0"/>
        <v>20.754029612103416</v>
      </c>
      <c r="C256" s="33">
        <f t="shared" si="1"/>
        <v>1.1008160639871711</v>
      </c>
      <c r="D256" s="33">
        <f t="shared" si="2"/>
        <v>0.61745196233231259</v>
      </c>
      <c r="E256" s="33">
        <f t="shared" si="3"/>
        <v>0</v>
      </c>
      <c r="F256" s="33">
        <f t="shared" si="4"/>
        <v>0</v>
      </c>
      <c r="G256" s="33">
        <f t="shared" si="5"/>
        <v>0</v>
      </c>
      <c r="H256" s="10"/>
    </row>
    <row r="257" spans="1:8" x14ac:dyDescent="0.25">
      <c r="A257" s="3" t="s">
        <v>181</v>
      </c>
      <c r="B257" s="33">
        <f t="shared" si="0"/>
        <v>-0.62598417912653759</v>
      </c>
      <c r="C257" s="33">
        <f t="shared" si="1"/>
        <v>0</v>
      </c>
      <c r="D257" s="33">
        <f t="shared" si="2"/>
        <v>0</v>
      </c>
      <c r="E257" s="33">
        <f t="shared" si="3"/>
        <v>0</v>
      </c>
      <c r="F257" s="33">
        <f t="shared" si="4"/>
        <v>0</v>
      </c>
      <c r="G257" s="33">
        <f t="shared" si="5"/>
        <v>0</v>
      </c>
      <c r="H257" s="10"/>
    </row>
    <row r="258" spans="1:8" x14ac:dyDescent="0.25">
      <c r="A258" s="3" t="s">
        <v>182</v>
      </c>
      <c r="B258" s="33">
        <f t="shared" si="0"/>
        <v>-0.54583340187063911</v>
      </c>
      <c r="C258" s="33">
        <f t="shared" si="1"/>
        <v>0</v>
      </c>
      <c r="D258" s="33">
        <f t="shared" si="2"/>
        <v>0</v>
      </c>
      <c r="E258" s="33">
        <f t="shared" si="3"/>
        <v>0</v>
      </c>
      <c r="F258" s="33">
        <f t="shared" si="4"/>
        <v>0</v>
      </c>
      <c r="G258" s="33">
        <f t="shared" si="5"/>
        <v>0</v>
      </c>
      <c r="H258" s="10"/>
    </row>
    <row r="259" spans="1:8" x14ac:dyDescent="0.25">
      <c r="A259" s="3" t="s">
        <v>183</v>
      </c>
      <c r="B259" s="33">
        <f t="shared" si="0"/>
        <v>-0.62598417912653759</v>
      </c>
      <c r="C259" s="33">
        <f t="shared" si="1"/>
        <v>0</v>
      </c>
      <c r="D259" s="33">
        <f t="shared" si="2"/>
        <v>0</v>
      </c>
      <c r="E259" s="33">
        <f t="shared" si="3"/>
        <v>0</v>
      </c>
      <c r="F259" s="33">
        <f t="shared" si="4"/>
        <v>0</v>
      </c>
      <c r="G259" s="33">
        <f t="shared" si="5"/>
        <v>0.2316824357200305</v>
      </c>
      <c r="H259" s="10"/>
    </row>
    <row r="260" spans="1:8" x14ac:dyDescent="0.25">
      <c r="A260" s="3" t="s">
        <v>184</v>
      </c>
      <c r="B260" s="33">
        <f t="shared" si="0"/>
        <v>-5.1933856077302067</v>
      </c>
      <c r="C260" s="33">
        <f t="shared" si="1"/>
        <v>-0.4597468487847276</v>
      </c>
      <c r="D260" s="33">
        <f t="shared" si="2"/>
        <v>-3.3842235797447807E-2</v>
      </c>
      <c r="E260" s="33">
        <f t="shared" si="3"/>
        <v>0</v>
      </c>
      <c r="F260" s="33">
        <f t="shared" si="4"/>
        <v>0</v>
      </c>
      <c r="G260" s="33">
        <f t="shared" si="5"/>
        <v>0.2316824357200305</v>
      </c>
      <c r="H260" s="10"/>
    </row>
    <row r="261" spans="1:8" x14ac:dyDescent="0.25">
      <c r="A261" s="3" t="s">
        <v>185</v>
      </c>
      <c r="B261" s="33">
        <f t="shared" si="0"/>
        <v>-0.54583340187063911</v>
      </c>
      <c r="C261" s="33">
        <f t="shared" si="1"/>
        <v>0</v>
      </c>
      <c r="D261" s="33">
        <f t="shared" si="2"/>
        <v>0</v>
      </c>
      <c r="E261" s="33">
        <f t="shared" si="3"/>
        <v>0</v>
      </c>
      <c r="F261" s="33">
        <f t="shared" si="4"/>
        <v>0</v>
      </c>
      <c r="G261" s="33">
        <f t="shared" si="5"/>
        <v>0.20165103364154285</v>
      </c>
      <c r="H261" s="10"/>
    </row>
    <row r="262" spans="1:8" x14ac:dyDescent="0.25">
      <c r="A262" s="3" t="s">
        <v>186</v>
      </c>
      <c r="B262" s="33">
        <f t="shared" si="0"/>
        <v>-4.5723083649828284</v>
      </c>
      <c r="C262" s="33">
        <f t="shared" si="1"/>
        <v>-0.39027024053641424</v>
      </c>
      <c r="D262" s="33">
        <f t="shared" si="2"/>
        <v>-2.850710838776788E-2</v>
      </c>
      <c r="E262" s="33">
        <f t="shared" si="3"/>
        <v>0</v>
      </c>
      <c r="F262" s="33">
        <f t="shared" si="4"/>
        <v>0</v>
      </c>
      <c r="G262" s="33">
        <f t="shared" si="5"/>
        <v>0.20165103364154285</v>
      </c>
      <c r="H262" s="10"/>
    </row>
    <row r="263" spans="1:8" x14ac:dyDescent="0.25">
      <c r="A263" s="3" t="s">
        <v>194</v>
      </c>
      <c r="B263" s="33">
        <f t="shared" si="0"/>
        <v>-0.33274252818431049</v>
      </c>
      <c r="C263" s="33">
        <f t="shared" si="1"/>
        <v>0</v>
      </c>
      <c r="D263" s="33">
        <f t="shared" si="2"/>
        <v>0</v>
      </c>
      <c r="E263" s="33">
        <f t="shared" si="3"/>
        <v>29.347920410185225</v>
      </c>
      <c r="F263" s="33">
        <f t="shared" si="4"/>
        <v>0</v>
      </c>
      <c r="G263" s="33">
        <f t="shared" si="5"/>
        <v>0.15862512338247342</v>
      </c>
      <c r="H263" s="10"/>
    </row>
    <row r="264" spans="1:8" x14ac:dyDescent="0.25">
      <c r="A264" s="3" t="s">
        <v>195</v>
      </c>
      <c r="B264" s="33">
        <f t="shared" si="0"/>
        <v>-2.9550248464601561</v>
      </c>
      <c r="C264" s="33">
        <f t="shared" si="1"/>
        <v>-0.19732591326686502</v>
      </c>
      <c r="D264" s="33">
        <f t="shared" si="2"/>
        <v>-1.356293779754233E-2</v>
      </c>
      <c r="E264" s="33">
        <f t="shared" si="3"/>
        <v>29.347920410185225</v>
      </c>
      <c r="F264" s="33">
        <f t="shared" si="4"/>
        <v>0</v>
      </c>
      <c r="G264" s="33">
        <f t="shared" si="5"/>
        <v>0.15862512338247342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LV unmetered service model asset charge (p/kWh)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LV unmetered service model asset charge (p/kWh)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LV unmetered service model asset charge (p/kWh)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32" display="x2 = 3203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East Midlands in April 17 (Final)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1" t="s">
        <v>485</v>
      </c>
    </row>
    <row r="6" spans="1:1" x14ac:dyDescent="0.25">
      <c r="A6" s="11" t="s">
        <v>1106</v>
      </c>
    </row>
    <row r="7" spans="1:1" x14ac:dyDescent="0.25">
      <c r="A7" s="11" t="s">
        <v>1107</v>
      </c>
    </row>
    <row r="8" spans="1:1" x14ac:dyDescent="0.25">
      <c r="A8" s="11" t="s">
        <v>1108</v>
      </c>
    </row>
    <row r="9" spans="1:1" x14ac:dyDescent="0.25">
      <c r="A9" s="11" t="s">
        <v>1109</v>
      </c>
    </row>
    <row r="10" spans="1:1" x14ac:dyDescent="0.25">
      <c r="A10" s="11" t="s">
        <v>1110</v>
      </c>
    </row>
    <row r="11" spans="1:1" x14ac:dyDescent="0.25">
      <c r="A11" s="11" t="s">
        <v>1111</v>
      </c>
    </row>
    <row r="12" spans="1:1" x14ac:dyDescent="0.25">
      <c r="A12" s="11" t="s">
        <v>1112</v>
      </c>
    </row>
    <row r="13" spans="1:1" x14ac:dyDescent="0.25">
      <c r="A13" s="11" t="s">
        <v>1113</v>
      </c>
    </row>
    <row r="14" spans="1:1" x14ac:dyDescent="0.25">
      <c r="A14" s="11" t="s">
        <v>1114</v>
      </c>
    </row>
    <row r="15" spans="1:1" x14ac:dyDescent="0.25">
      <c r="A15" s="11" t="s">
        <v>1115</v>
      </c>
    </row>
    <row r="16" spans="1:1" x14ac:dyDescent="0.25">
      <c r="A16" s="11" t="s">
        <v>1116</v>
      </c>
    </row>
    <row r="17" spans="1:3" x14ac:dyDescent="0.25">
      <c r="A17" s="11" t="s">
        <v>1117</v>
      </c>
    </row>
    <row r="18" spans="1:3" x14ac:dyDescent="0.25">
      <c r="A18" s="2" t="s">
        <v>1118</v>
      </c>
    </row>
    <row r="20" spans="1:3" x14ac:dyDescent="0.25">
      <c r="B20" s="12" t="s">
        <v>1119</v>
      </c>
    </row>
    <row r="21" spans="1:3" x14ac:dyDescent="0.25">
      <c r="A21" s="3" t="s">
        <v>171</v>
      </c>
      <c r="B21" s="17">
        <f>0.01*Input!F$58*(Aggreg!E238*Loads!E302+Aggreg!F238*Loads!F302)+10*(Aggreg!B238*Loads!B302+Aggreg!C238*Loads!C302+Aggreg!D238*Loads!D302+Aggreg!G238*Loads!G302)</f>
        <v>79844466.929043651</v>
      </c>
      <c r="C21" s="10"/>
    </row>
    <row r="22" spans="1:3" x14ac:dyDescent="0.25">
      <c r="A22" s="3" t="s">
        <v>172</v>
      </c>
      <c r="B22" s="17">
        <f>0.01*Input!F$58*(Aggreg!E239*Loads!E303+Aggreg!F239*Loads!F303)+10*(Aggreg!B239*Loads!B303+Aggreg!C239*Loads!C303+Aggreg!D239*Loads!D303+Aggreg!G239*Loads!G303)</f>
        <v>49316202.183446594</v>
      </c>
      <c r="C22" s="10"/>
    </row>
    <row r="23" spans="1:3" x14ac:dyDescent="0.25">
      <c r="A23" s="3" t="s">
        <v>211</v>
      </c>
      <c r="B23" s="17">
        <f>0.01*Input!F$58*(Aggreg!E240*Loads!E304+Aggreg!F240*Loads!F304)+10*(Aggreg!B240*Loads!B304+Aggreg!C240*Loads!C304+Aggreg!D240*Loads!D304+Aggreg!G240*Loads!G304)</f>
        <v>507185.73402580054</v>
      </c>
      <c r="C23" s="10"/>
    </row>
    <row r="24" spans="1:3" x14ac:dyDescent="0.25">
      <c r="A24" s="3" t="s">
        <v>173</v>
      </c>
      <c r="B24" s="17">
        <f>0.01*Input!F$58*(Aggreg!E241*Loads!E305+Aggreg!F241*Loads!F305)+10*(Aggreg!B241*Loads!B305+Aggreg!C241*Loads!C305+Aggreg!D241*Loads!D305+Aggreg!G241*Loads!G305)</f>
        <v>14902793.993597869</v>
      </c>
      <c r="C24" s="10"/>
    </row>
    <row r="25" spans="1:3" x14ac:dyDescent="0.25">
      <c r="A25" s="3" t="s">
        <v>174</v>
      </c>
      <c r="B25" s="17">
        <f>0.01*Input!F$58*(Aggreg!E242*Loads!E306+Aggreg!F242*Loads!F306)+10*(Aggreg!B242*Loads!B306+Aggreg!C242*Loads!C306+Aggreg!D242*Loads!D306+Aggreg!G242*Loads!G306)</f>
        <v>21598758.516192988</v>
      </c>
      <c r="C25" s="10"/>
    </row>
    <row r="26" spans="1:3" x14ac:dyDescent="0.25">
      <c r="A26" s="3" t="s">
        <v>212</v>
      </c>
      <c r="B26" s="17">
        <f>0.01*Input!F$58*(Aggreg!E243*Loads!E307+Aggreg!F243*Loads!F307)+10*(Aggreg!B243*Loads!B307+Aggreg!C243*Loads!C307+Aggreg!D243*Loads!D307+Aggreg!G243*Loads!G307)</f>
        <v>8500.7671409348659</v>
      </c>
      <c r="C26" s="10"/>
    </row>
    <row r="27" spans="1:3" x14ac:dyDescent="0.25">
      <c r="A27" s="3" t="s">
        <v>175</v>
      </c>
      <c r="B27" s="17">
        <f>0.01*Input!F$58*(Aggreg!E244*Loads!E308+Aggreg!F244*Loads!F308)+10*(Aggreg!B244*Loads!B308+Aggreg!C244*Loads!C308+Aggreg!D244*Loads!D308+Aggreg!G244*Loads!G308)</f>
        <v>0</v>
      </c>
      <c r="C27" s="10"/>
    </row>
    <row r="28" spans="1:3" x14ac:dyDescent="0.25">
      <c r="A28" s="3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3" t="s">
        <v>192</v>
      </c>
      <c r="B29" s="17">
        <f>0.01*Input!F$58*(Aggreg!E246*Loads!E310+Aggreg!F246*Loads!F310)+10*(Aggreg!B246*Loads!B310+Aggreg!C246*Loads!C310+Aggreg!D246*Loads!D310+Aggreg!G246*Loads!G310)</f>
        <v>0</v>
      </c>
      <c r="C29" s="10"/>
    </row>
    <row r="30" spans="1:3" x14ac:dyDescent="0.25">
      <c r="A30" s="3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3" t="s">
        <v>178</v>
      </c>
      <c r="B31" s="17">
        <f>0.01*Input!F$58*(Aggreg!E248*Loads!E312+Aggreg!F248*Loads!F312)+10*(Aggreg!B248*Loads!B312+Aggreg!C248*Loads!C312+Aggreg!D248*Loads!D312+Aggreg!G248*Loads!G312)</f>
        <v>1618667.8245596078</v>
      </c>
      <c r="C31" s="10"/>
    </row>
    <row r="32" spans="1:3" x14ac:dyDescent="0.25">
      <c r="A32" s="3" t="s">
        <v>179</v>
      </c>
      <c r="B32" s="17">
        <f>0.01*Input!F$58*(Aggreg!E249*Loads!E313+Aggreg!F249*Loads!F313)+10*(Aggreg!B249*Loads!B313+Aggreg!C249*Loads!C313+Aggreg!D249*Loads!D313+Aggreg!G249*Loads!G313)</f>
        <v>49186747.553121522</v>
      </c>
      <c r="C32" s="10"/>
    </row>
    <row r="33" spans="1:3" x14ac:dyDescent="0.25">
      <c r="A33" s="3" t="s">
        <v>180</v>
      </c>
      <c r="B33" s="17">
        <f>0.01*Input!F$58*(Aggreg!E250*Loads!E314+Aggreg!F250*Loads!F314)+10*(Aggreg!B250*Loads!B314+Aggreg!C250*Loads!C314+Aggreg!D250*Loads!D314+Aggreg!G250*Loads!G314)</f>
        <v>1423634.6655420491</v>
      </c>
      <c r="C33" s="10"/>
    </row>
    <row r="34" spans="1:3" x14ac:dyDescent="0.25">
      <c r="A34" s="3" t="s">
        <v>193</v>
      </c>
      <c r="B34" s="17">
        <f>0.01*Input!F$58*(Aggreg!E251*Loads!E315+Aggreg!F251*Loads!F315)+10*(Aggreg!B251*Loads!B315+Aggreg!C251*Loads!C315+Aggreg!D251*Loads!D315+Aggreg!G251*Loads!G315)</f>
        <v>64565874.754457593</v>
      </c>
      <c r="C34" s="10"/>
    </row>
    <row r="35" spans="1:3" x14ac:dyDescent="0.25">
      <c r="A35" s="3" t="s">
        <v>213</v>
      </c>
      <c r="B35" s="17">
        <f>0.01*Input!F$58*(Aggreg!E252*Loads!E316+Aggreg!F252*Loads!F316)+10*(Aggreg!B252*Loads!B316+Aggreg!C252*Loads!C316+Aggreg!D252*Loads!D316+Aggreg!G252*Loads!G316)</f>
        <v>704445.40530499408</v>
      </c>
      <c r="C35" s="10"/>
    </row>
    <row r="36" spans="1:3" x14ac:dyDescent="0.25">
      <c r="A36" s="3" t="s">
        <v>214</v>
      </c>
      <c r="B36" s="17">
        <f>0.01*Input!F$58*(Aggreg!E253*Loads!E317+Aggreg!F253*Loads!F317)+10*(Aggreg!B253*Loads!B317+Aggreg!C253*Loads!C317+Aggreg!D253*Loads!D317+Aggreg!G253*Loads!G317)</f>
        <v>386503.80170050962</v>
      </c>
      <c r="C36" s="10"/>
    </row>
    <row r="37" spans="1:3" x14ac:dyDescent="0.25">
      <c r="A37" s="3" t="s">
        <v>215</v>
      </c>
      <c r="B37" s="17">
        <f>0.01*Input!F$58*(Aggreg!E254*Loads!E318+Aggreg!F254*Loads!F318)+10*(Aggreg!B254*Loads!B318+Aggreg!C254*Loads!C318+Aggreg!D254*Loads!D318+Aggreg!G254*Loads!G318)</f>
        <v>8919.9271576369993</v>
      </c>
      <c r="C37" s="10"/>
    </row>
    <row r="38" spans="1:3" x14ac:dyDescent="0.25">
      <c r="A38" s="3" t="s">
        <v>216</v>
      </c>
      <c r="B38" s="17">
        <f>0.01*Input!F$58*(Aggreg!E255*Loads!E319+Aggreg!F255*Loads!F319)+10*(Aggreg!B255*Loads!B319+Aggreg!C255*Loads!C319+Aggreg!D255*Loads!D319+Aggreg!G255*Loads!G319)</f>
        <v>92945.752924600936</v>
      </c>
      <c r="C38" s="10"/>
    </row>
    <row r="39" spans="1:3" x14ac:dyDescent="0.25">
      <c r="A39" s="3" t="s">
        <v>217</v>
      </c>
      <c r="B39" s="17">
        <f>0.01*Input!F$58*(Aggreg!E256*Loads!E320+Aggreg!F256*Loads!F320)+10*(Aggreg!B256*Loads!B320+Aggreg!C256*Loads!C320+Aggreg!D256*Loads!D320+Aggreg!G256*Loads!G320)</f>
        <v>4230409.2016903507</v>
      </c>
      <c r="C39" s="10"/>
    </row>
    <row r="40" spans="1:3" x14ac:dyDescent="0.25">
      <c r="A40" s="3" t="s">
        <v>181</v>
      </c>
      <c r="B40" s="17">
        <f>0.01*Input!F$58*(Aggreg!E257*Loads!E321+Aggreg!F257*Loads!F321)+10*(Aggreg!B257*Loads!B321+Aggreg!C257*Loads!C321+Aggreg!D257*Loads!D321+Aggreg!G257*Loads!G321)</f>
        <v>-8468.6358675377451</v>
      </c>
      <c r="C40" s="10"/>
    </row>
    <row r="41" spans="1:3" x14ac:dyDescent="0.25">
      <c r="A41" s="3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3" t="s">
        <v>183</v>
      </c>
      <c r="B42" s="17">
        <f>0.01*Input!F$58*(Aggreg!E259*Loads!E323+Aggreg!F259*Loads!F323)+10*(Aggreg!B259*Loads!B323+Aggreg!C259*Loads!C323+Aggreg!D259*Loads!D323+Aggreg!G259*Loads!G323)</f>
        <v>-228974.01688891594</v>
      </c>
      <c r="C42" s="10"/>
    </row>
    <row r="43" spans="1:3" x14ac:dyDescent="0.25">
      <c r="A43" s="3" t="s">
        <v>184</v>
      </c>
      <c r="B43" s="17">
        <f>0.01*Input!F$58*(Aggreg!E260*Loads!E324+Aggreg!F260*Loads!F324)+10*(Aggreg!B260*Loads!B324+Aggreg!C260*Loads!C324+Aggreg!D260*Loads!D324+Aggreg!G260*Loads!G324)</f>
        <v>-52456.91114336226</v>
      </c>
      <c r="C43" s="10"/>
    </row>
    <row r="44" spans="1:3" x14ac:dyDescent="0.25">
      <c r="A44" s="3" t="s">
        <v>185</v>
      </c>
      <c r="B44" s="17">
        <f>0.01*Input!F$58*(Aggreg!E261*Loads!E325+Aggreg!F261*Loads!F325)+10*(Aggreg!B261*Loads!B325+Aggreg!C261*Loads!C325+Aggreg!D261*Loads!D325+Aggreg!G261*Loads!G325)</f>
        <v>-5641.1888699700521</v>
      </c>
      <c r="C44" s="10"/>
    </row>
    <row r="45" spans="1:3" x14ac:dyDescent="0.25">
      <c r="A45" s="3" t="s">
        <v>186</v>
      </c>
      <c r="B45" s="17">
        <f>0.01*Input!F$58*(Aggreg!E262*Loads!E326+Aggreg!F262*Loads!F326)+10*(Aggreg!B262*Loads!B326+Aggreg!C262*Loads!C326+Aggreg!D262*Loads!D326+Aggreg!G262*Loads!G326)</f>
        <v>-23480.715919726426</v>
      </c>
      <c r="C45" s="10"/>
    </row>
    <row r="46" spans="1:3" x14ac:dyDescent="0.25">
      <c r="A46" s="3" t="s">
        <v>194</v>
      </c>
      <c r="B46" s="17">
        <f>0.01*Input!F$58*(Aggreg!E263*Loads!E327+Aggreg!F263*Loads!F327)+10*(Aggreg!B263*Loads!B327+Aggreg!C263*Loads!C327+Aggreg!D263*Loads!D327+Aggreg!G263*Loads!G327)</f>
        <v>-515967.0082484493</v>
      </c>
      <c r="C46" s="10"/>
    </row>
    <row r="47" spans="1:3" x14ac:dyDescent="0.25">
      <c r="A47" s="3" t="s">
        <v>195</v>
      </c>
      <c r="B47" s="17">
        <f>0.01*Input!F$58*(Aggreg!E264*Loads!E328+Aggreg!F264*Loads!F328)+10*(Aggreg!B264*Loads!B328+Aggreg!C264*Loads!C328+Aggreg!D264*Loads!D328+Aggreg!G264*Loads!G328)</f>
        <v>-2410674.6269424031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1" t="s">
        <v>1121</v>
      </c>
    </row>
    <row r="52" spans="1:4" x14ac:dyDescent="0.25">
      <c r="A52" s="11" t="s">
        <v>1122</v>
      </c>
    </row>
    <row r="53" spans="1:4" x14ac:dyDescent="0.25">
      <c r="A53" s="11" t="s">
        <v>1123</v>
      </c>
    </row>
    <row r="54" spans="1:4" x14ac:dyDescent="0.25">
      <c r="A54" s="29" t="s">
        <v>359</v>
      </c>
      <c r="B54" s="29" t="s">
        <v>427</v>
      </c>
      <c r="C54" s="29" t="s">
        <v>489</v>
      </c>
    </row>
    <row r="55" spans="1:4" x14ac:dyDescent="0.25">
      <c r="A55" s="29" t="s">
        <v>362</v>
      </c>
      <c r="B55" s="29" t="s">
        <v>1124</v>
      </c>
      <c r="C55" s="29" t="s">
        <v>1125</v>
      </c>
    </row>
    <row r="57" spans="1:4" ht="30" x14ac:dyDescent="0.25">
      <c r="B57" s="12" t="s">
        <v>1126</v>
      </c>
      <c r="C57" s="12" t="s">
        <v>1127</v>
      </c>
    </row>
    <row r="58" spans="1:4" x14ac:dyDescent="0.25">
      <c r="A58" s="3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450379445.59286934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1" t="s">
        <v>1129</v>
      </c>
    </row>
    <row r="63" spans="1:4" x14ac:dyDescent="0.25">
      <c r="A63" s="11" t="s">
        <v>1130</v>
      </c>
    </row>
    <row r="64" spans="1:4" x14ac:dyDescent="0.25">
      <c r="A64" s="11" t="s">
        <v>1131</v>
      </c>
    </row>
    <row r="65" spans="1:4" x14ac:dyDescent="0.25">
      <c r="A65" s="29" t="s">
        <v>359</v>
      </c>
      <c r="B65" s="29" t="s">
        <v>490</v>
      </c>
      <c r="C65" s="29" t="s">
        <v>489</v>
      </c>
    </row>
    <row r="66" spans="1:4" x14ac:dyDescent="0.25">
      <c r="A66" s="29" t="s">
        <v>362</v>
      </c>
      <c r="B66" s="29" t="s">
        <v>540</v>
      </c>
      <c r="C66" s="29" t="s">
        <v>1125</v>
      </c>
    </row>
    <row r="68" spans="1:4" ht="30" x14ac:dyDescent="0.25">
      <c r="B68" s="12" t="s">
        <v>1132</v>
      </c>
      <c r="C68" s="12" t="s">
        <v>1133</v>
      </c>
    </row>
    <row r="69" spans="1:4" x14ac:dyDescent="0.25">
      <c r="A69" s="3" t="s">
        <v>1134</v>
      </c>
      <c r="B69" s="17">
        <f>SUM(B$21:B$47)</f>
        <v>285150393.90602642</v>
      </c>
      <c r="C69" s="17">
        <f>B$58-B69</f>
        <v>165229051.68684292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 for "&amp;Input!B7&amp;" in "&amp;Input!C7&amp;" ("&amp;Input!D7&amp;")"</f>
        <v>Revenue matching for WPD East Midlands in April 17 (Final)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1" t="s">
        <v>977</v>
      </c>
    </row>
    <row r="7" spans="1:3" x14ac:dyDescent="0.25">
      <c r="A7" s="2" t="s">
        <v>1137</v>
      </c>
    </row>
    <row r="9" spans="1:3" ht="30" x14ac:dyDescent="0.25">
      <c r="B9" s="12" t="s">
        <v>299</v>
      </c>
    </row>
    <row r="10" spans="1:3" x14ac:dyDescent="0.25">
      <c r="A10" s="3" t="s">
        <v>1138</v>
      </c>
      <c r="B10" s="33">
        <f>IF(Yard!$K11,1/Yard!$K11,0)</f>
        <v>0.38578749198823775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1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12" t="s">
        <v>139</v>
      </c>
      <c r="C18" s="12" t="s">
        <v>311</v>
      </c>
      <c r="D18" s="12" t="s">
        <v>312</v>
      </c>
      <c r="E18" s="12" t="s">
        <v>313</v>
      </c>
      <c r="F18" s="12" t="s">
        <v>314</v>
      </c>
      <c r="G18" s="12" t="s">
        <v>315</v>
      </c>
      <c r="H18" s="12" t="s">
        <v>316</v>
      </c>
      <c r="I18" s="12" t="s">
        <v>317</v>
      </c>
      <c r="J18" s="12" t="s">
        <v>318</v>
      </c>
      <c r="K18" s="12" t="s">
        <v>468</v>
      </c>
      <c r="L18" s="12" t="s">
        <v>480</v>
      </c>
      <c r="M18" s="12" t="s">
        <v>299</v>
      </c>
      <c r="N18" s="12" t="s">
        <v>882</v>
      </c>
      <c r="O18" s="12" t="s">
        <v>883</v>
      </c>
      <c r="P18" s="12" t="s">
        <v>884</v>
      </c>
      <c r="Q18" s="12" t="s">
        <v>885</v>
      </c>
      <c r="R18" s="12" t="s">
        <v>886</v>
      </c>
      <c r="S18" s="12" t="s">
        <v>887</v>
      </c>
      <c r="T18" s="12" t="s">
        <v>888</v>
      </c>
      <c r="U18" s="12" t="s">
        <v>889</v>
      </c>
      <c r="V18" s="12" t="s">
        <v>890</v>
      </c>
      <c r="W18" s="12" t="s">
        <v>891</v>
      </c>
    </row>
    <row r="19" spans="1:24" x14ac:dyDescent="0.25">
      <c r="A19" s="3" t="s">
        <v>1142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34">
        <f>$B10</f>
        <v>0.38578749198823775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1" t="s">
        <v>1093</v>
      </c>
    </row>
    <row r="24" spans="1:24" x14ac:dyDescent="0.25">
      <c r="A24" s="11" t="s">
        <v>1144</v>
      </c>
    </row>
    <row r="25" spans="1:24" x14ac:dyDescent="0.25">
      <c r="A25" s="11" t="s">
        <v>1145</v>
      </c>
    </row>
    <row r="26" spans="1:24" x14ac:dyDescent="0.25">
      <c r="A26" s="11" t="s">
        <v>1146</v>
      </c>
    </row>
    <row r="27" spans="1:24" x14ac:dyDescent="0.25">
      <c r="A27" s="11" t="s">
        <v>1147</v>
      </c>
    </row>
    <row r="28" spans="1:24" x14ac:dyDescent="0.25">
      <c r="A28" s="11" t="s">
        <v>1148</v>
      </c>
    </row>
    <row r="29" spans="1:24" x14ac:dyDescent="0.25">
      <c r="A29" s="11" t="s">
        <v>1149</v>
      </c>
    </row>
    <row r="30" spans="1:24" ht="30" x14ac:dyDescent="0.25">
      <c r="A30" s="29" t="s">
        <v>359</v>
      </c>
      <c r="B30" s="29" t="s">
        <v>361</v>
      </c>
      <c r="C30" s="29" t="s">
        <v>361</v>
      </c>
      <c r="D30" s="29" t="s">
        <v>361</v>
      </c>
      <c r="E30" s="29" t="s">
        <v>361</v>
      </c>
      <c r="F30" s="29" t="s">
        <v>361</v>
      </c>
      <c r="G30" s="29" t="s">
        <v>361</v>
      </c>
    </row>
    <row r="31" spans="1:24" x14ac:dyDescent="0.25">
      <c r="A31" s="29" t="s">
        <v>362</v>
      </c>
      <c r="B31" s="29" t="s">
        <v>364</v>
      </c>
      <c r="C31" s="29" t="s">
        <v>1150</v>
      </c>
      <c r="D31" s="29" t="s">
        <v>1151</v>
      </c>
      <c r="E31" s="29" t="s">
        <v>1152</v>
      </c>
      <c r="F31" s="29" t="s">
        <v>1153</v>
      </c>
      <c r="G31" s="29" t="s">
        <v>1154</v>
      </c>
    </row>
    <row r="33" spans="1:8" ht="45" x14ac:dyDescent="0.25">
      <c r="B33" s="12" t="s">
        <v>1155</v>
      </c>
      <c r="C33" s="12" t="s">
        <v>1156</v>
      </c>
      <c r="D33" s="12" t="s">
        <v>1157</v>
      </c>
      <c r="E33" s="12" t="s">
        <v>1158</v>
      </c>
      <c r="F33" s="12" t="s">
        <v>1159</v>
      </c>
      <c r="G33" s="12" t="s">
        <v>1160</v>
      </c>
    </row>
    <row r="34" spans="1:8" x14ac:dyDescent="0.25">
      <c r="A34" s="3" t="s">
        <v>171</v>
      </c>
      <c r="B34" s="33">
        <f>SUMPRODUCT(Aggreg!$B15:$W15,$B$19:$W$19)</f>
        <v>2.5094083113666774E-2</v>
      </c>
      <c r="C34" s="33">
        <f>SUMPRODUCT(Aggreg!$B53:$W53,$B$19:$W$19)</f>
        <v>0</v>
      </c>
      <c r="D34" s="33">
        <f>SUMPRODUCT(Aggreg!$B91:$W91,$B$19:$W$19)</f>
        <v>0</v>
      </c>
      <c r="E34" s="33">
        <f>SUMPRODUCT(Aggreg!$B129:$W129,$B$19:$W$19)</f>
        <v>0</v>
      </c>
      <c r="F34" s="33">
        <f>SUMPRODUCT(Aggreg!$B163:$W163,$B$19:$W$19)</f>
        <v>0</v>
      </c>
      <c r="G34" s="33">
        <f>SUMPRODUCT(Aggreg!$B198:$W198,$B$19:$W$19)</f>
        <v>0</v>
      </c>
      <c r="H34" s="10"/>
    </row>
    <row r="35" spans="1:8" x14ac:dyDescent="0.25">
      <c r="A35" s="3" t="s">
        <v>172</v>
      </c>
      <c r="B35" s="33">
        <f>SUMPRODUCT(Aggreg!$B16:$W16,$B$19:$W$19)</f>
        <v>3.0385914884532263E-2</v>
      </c>
      <c r="C35" s="33">
        <f>SUMPRODUCT(Aggreg!$B54:$W54,$B$19:$W$19)</f>
        <v>5.2923873212234508E-4</v>
      </c>
      <c r="D35" s="33">
        <f>SUMPRODUCT(Aggreg!$B92:$W92,$B$19:$W$19)</f>
        <v>0</v>
      </c>
      <c r="E35" s="33">
        <f>SUMPRODUCT(Aggreg!$B130:$W130,$B$19:$W$19)</f>
        <v>0</v>
      </c>
      <c r="F35" s="33">
        <f>SUMPRODUCT(Aggreg!$B164:$W164,$B$19:$W$19)</f>
        <v>0</v>
      </c>
      <c r="G35" s="33">
        <f>SUMPRODUCT(Aggreg!$B199:$W199,$B$19:$W$19)</f>
        <v>0</v>
      </c>
      <c r="H35" s="10"/>
    </row>
    <row r="36" spans="1:8" x14ac:dyDescent="0.25">
      <c r="A36" s="3" t="s">
        <v>211</v>
      </c>
      <c r="B36" s="33">
        <f>SUMPRODUCT(Aggreg!$B17:$W17,$B$19:$W$19)</f>
        <v>6.4359452993779003E-3</v>
      </c>
      <c r="C36" s="33">
        <f>SUMPRODUCT(Aggreg!$B55:$W55,$B$19:$W$19)</f>
        <v>0</v>
      </c>
      <c r="D36" s="33">
        <f>SUMPRODUCT(Aggreg!$B93:$W93,$B$19:$W$19)</f>
        <v>0</v>
      </c>
      <c r="E36" s="33">
        <f>SUMPRODUCT(Aggreg!$B131:$W131,$B$19:$W$19)</f>
        <v>0</v>
      </c>
      <c r="F36" s="33">
        <f>SUMPRODUCT(Aggreg!$B165:$W165,$B$19:$W$19)</f>
        <v>0</v>
      </c>
      <c r="G36" s="33">
        <f>SUMPRODUCT(Aggreg!$B200:$W200,$B$19:$W$19)</f>
        <v>0</v>
      </c>
      <c r="H36" s="10"/>
    </row>
    <row r="37" spans="1:8" x14ac:dyDescent="0.25">
      <c r="A37" s="3" t="s">
        <v>173</v>
      </c>
      <c r="B37" s="33">
        <f>SUMPRODUCT(Aggreg!$B18:$W18,$B$19:$W$19)</f>
        <v>2.2126115251364115E-2</v>
      </c>
      <c r="C37" s="33">
        <f>SUMPRODUCT(Aggreg!$B56:$W56,$B$19:$W$19)</f>
        <v>0</v>
      </c>
      <c r="D37" s="33">
        <f>SUMPRODUCT(Aggreg!$B94:$W94,$B$19:$W$19)</f>
        <v>0</v>
      </c>
      <c r="E37" s="33">
        <f>SUMPRODUCT(Aggreg!$B132:$W132,$B$19:$W$19)</f>
        <v>0</v>
      </c>
      <c r="F37" s="33">
        <f>SUMPRODUCT(Aggreg!$B166:$W166,$B$19:$W$19)</f>
        <v>0</v>
      </c>
      <c r="G37" s="33">
        <f>SUMPRODUCT(Aggreg!$B201:$W201,$B$19:$W$19)</f>
        <v>0</v>
      </c>
      <c r="H37" s="10"/>
    </row>
    <row r="38" spans="1:8" x14ac:dyDescent="0.25">
      <c r="A38" s="3" t="s">
        <v>174</v>
      </c>
      <c r="B38" s="33">
        <f>SUMPRODUCT(Aggreg!$B19:$W19,$B$19:$W$19)</f>
        <v>2.4431396163237258E-2</v>
      </c>
      <c r="C38" s="33">
        <f>SUMPRODUCT(Aggreg!$B57:$W57,$B$19:$W$19)</f>
        <v>5.0789726135868122E-4</v>
      </c>
      <c r="D38" s="33">
        <f>SUMPRODUCT(Aggreg!$B95:$W95,$B$19:$W$19)</f>
        <v>0</v>
      </c>
      <c r="E38" s="33">
        <f>SUMPRODUCT(Aggreg!$B133:$W133,$B$19:$W$19)</f>
        <v>0</v>
      </c>
      <c r="F38" s="33">
        <f>SUMPRODUCT(Aggreg!$B167:$W167,$B$19:$W$19)</f>
        <v>0</v>
      </c>
      <c r="G38" s="33">
        <f>SUMPRODUCT(Aggreg!$B202:$W202,$B$19:$W$19)</f>
        <v>0</v>
      </c>
      <c r="H38" s="10"/>
    </row>
    <row r="39" spans="1:8" x14ac:dyDescent="0.25">
      <c r="A39" s="3" t="s">
        <v>212</v>
      </c>
      <c r="B39" s="33">
        <f>SUMPRODUCT(Aggreg!$B20:$W20,$B$19:$W$19)</f>
        <v>2.6159416714784133E-3</v>
      </c>
      <c r="C39" s="33">
        <f>SUMPRODUCT(Aggreg!$B58:$W58,$B$19:$W$19)</f>
        <v>0</v>
      </c>
      <c r="D39" s="33">
        <f>SUMPRODUCT(Aggreg!$B96:$W96,$B$19:$W$19)</f>
        <v>0</v>
      </c>
      <c r="E39" s="33">
        <f>SUMPRODUCT(Aggreg!$B134:$W134,$B$19:$W$19)</f>
        <v>0</v>
      </c>
      <c r="F39" s="33">
        <f>SUMPRODUCT(Aggreg!$B168:$W168,$B$19:$W$19)</f>
        <v>0</v>
      </c>
      <c r="G39" s="33">
        <f>SUMPRODUCT(Aggreg!$B203:$W203,$B$19:$W$19)</f>
        <v>0</v>
      </c>
      <c r="H39" s="10"/>
    </row>
    <row r="40" spans="1:8" x14ac:dyDescent="0.25">
      <c r="A40" s="3" t="s">
        <v>175</v>
      </c>
      <c r="B40" s="33">
        <f>SUMPRODUCT(Aggreg!$B21:$W21,$B$19:$W$19)</f>
        <v>1.8742337726902647E-2</v>
      </c>
      <c r="C40" s="33">
        <f>SUMPRODUCT(Aggreg!$B59:$W59,$B$19:$W$19)</f>
        <v>3.6220560720827963E-4</v>
      </c>
      <c r="D40" s="33">
        <f>SUMPRODUCT(Aggreg!$B97:$W97,$B$19:$W$19)</f>
        <v>0</v>
      </c>
      <c r="E40" s="33">
        <f>SUMPRODUCT(Aggreg!$B135:$W135,$B$19:$W$19)</f>
        <v>0</v>
      </c>
      <c r="F40" s="33">
        <f>SUMPRODUCT(Aggreg!$B169:$W169,$B$19:$W$19)</f>
        <v>0</v>
      </c>
      <c r="G40" s="33">
        <f>SUMPRODUCT(Aggreg!$B204:$W204,$B$19:$W$19)</f>
        <v>0</v>
      </c>
      <c r="H40" s="10"/>
    </row>
    <row r="41" spans="1:8" x14ac:dyDescent="0.25">
      <c r="A41" s="3" t="s">
        <v>176</v>
      </c>
      <c r="B41" s="33">
        <f>SUMPRODUCT(Aggreg!$B22:$W22,$B$19:$W$19)</f>
        <v>1.7868605695905298E-2</v>
      </c>
      <c r="C41" s="33">
        <f>SUMPRODUCT(Aggreg!$B60:$W60,$B$19:$W$19)</f>
        <v>3.4895014125372226E-4</v>
      </c>
      <c r="D41" s="33">
        <f>SUMPRODUCT(Aggreg!$B98:$W98,$B$19:$W$19)</f>
        <v>0</v>
      </c>
      <c r="E41" s="33">
        <f>SUMPRODUCT(Aggreg!$B136:$W136,$B$19:$W$19)</f>
        <v>0</v>
      </c>
      <c r="F41" s="33">
        <f>SUMPRODUCT(Aggreg!$B170:$W170,$B$19:$W$19)</f>
        <v>0</v>
      </c>
      <c r="G41" s="33">
        <f>SUMPRODUCT(Aggreg!$B205:$W205,$B$19:$W$19)</f>
        <v>0</v>
      </c>
      <c r="H41" s="10"/>
    </row>
    <row r="42" spans="1:8" x14ac:dyDescent="0.25">
      <c r="A42" s="3" t="s">
        <v>192</v>
      </c>
      <c r="B42" s="33">
        <f>SUMPRODUCT(Aggreg!$B23:$W23,$B$19:$W$19)</f>
        <v>1.7554719593087385E-2</v>
      </c>
      <c r="C42" s="33">
        <f>SUMPRODUCT(Aggreg!$B61:$W61,$B$19:$W$19)</f>
        <v>3.4265379492530765E-4</v>
      </c>
      <c r="D42" s="33">
        <f>SUMPRODUCT(Aggreg!$B99:$W99,$B$19:$W$19)</f>
        <v>0</v>
      </c>
      <c r="E42" s="33">
        <f>SUMPRODUCT(Aggreg!$B137:$W137,$B$19:$W$19)</f>
        <v>0</v>
      </c>
      <c r="F42" s="33">
        <f>SUMPRODUCT(Aggreg!$B171:$W171,$B$19:$W$19)</f>
        <v>0</v>
      </c>
      <c r="G42" s="33">
        <f>SUMPRODUCT(Aggreg!$B206:$W206,$B$19:$W$19)</f>
        <v>0</v>
      </c>
      <c r="H42" s="10"/>
    </row>
    <row r="43" spans="1:8" x14ac:dyDescent="0.25">
      <c r="A43" s="3" t="s">
        <v>177</v>
      </c>
      <c r="B43" s="33">
        <f>SUMPRODUCT(Aggreg!$B24:$W24,$B$19:$W$19)</f>
        <v>0.17648633399683414</v>
      </c>
      <c r="C43" s="33">
        <f>SUMPRODUCT(Aggreg!$B62:$W62,$B$19:$W$19)</f>
        <v>0</v>
      </c>
      <c r="D43" s="33">
        <f>SUMPRODUCT(Aggreg!$B100:$W100,$B$19:$W$19)</f>
        <v>4.6426180905692767E-4</v>
      </c>
      <c r="E43" s="33">
        <f>SUMPRODUCT(Aggreg!$B138:$W138,$B$19:$W$19)</f>
        <v>0</v>
      </c>
      <c r="F43" s="33">
        <f>SUMPRODUCT(Aggreg!$B172:$W172,$B$19:$W$19)</f>
        <v>0</v>
      </c>
      <c r="G43" s="33">
        <f>SUMPRODUCT(Aggreg!$B207:$W207,$B$19:$W$19)</f>
        <v>0</v>
      </c>
      <c r="H43" s="10"/>
    </row>
    <row r="44" spans="1:8" x14ac:dyDescent="0.25">
      <c r="A44" s="3" t="s">
        <v>178</v>
      </c>
      <c r="B44" s="33">
        <f>SUMPRODUCT(Aggreg!$B25:$W25,$B$19:$W$19)</f>
        <v>0.18181507936052393</v>
      </c>
      <c r="C44" s="33">
        <f>SUMPRODUCT(Aggreg!$B63:$W63,$B$19:$W$19)</f>
        <v>0</v>
      </c>
      <c r="D44" s="33">
        <f>SUMPRODUCT(Aggreg!$B101:$W101,$B$19:$W$19)</f>
        <v>4.7827951176808892E-4</v>
      </c>
      <c r="E44" s="33">
        <f>SUMPRODUCT(Aggreg!$B139:$W139,$B$19:$W$19)</f>
        <v>0</v>
      </c>
      <c r="F44" s="33">
        <f>SUMPRODUCT(Aggreg!$B173:$W173,$B$19:$W$19)</f>
        <v>0</v>
      </c>
      <c r="G44" s="33">
        <f>SUMPRODUCT(Aggreg!$B208:$W208,$B$19:$W$19)</f>
        <v>0</v>
      </c>
      <c r="H44" s="10"/>
    </row>
    <row r="45" spans="1:8" x14ac:dyDescent="0.25">
      <c r="A45" s="3" t="s">
        <v>179</v>
      </c>
      <c r="B45" s="33">
        <f>SUMPRODUCT(Aggreg!$B26:$W26,$B$19:$W$19)</f>
        <v>0.16813617007520421</v>
      </c>
      <c r="C45" s="33">
        <f>SUMPRODUCT(Aggreg!$B64:$W64,$B$19:$W$19)</f>
        <v>0</v>
      </c>
      <c r="D45" s="33">
        <f>SUMPRODUCT(Aggreg!$B102:$W102,$B$19:$W$19)</f>
        <v>4.4229601646333591E-4</v>
      </c>
      <c r="E45" s="33">
        <f>SUMPRODUCT(Aggreg!$B140:$W140,$B$19:$W$19)</f>
        <v>0</v>
      </c>
      <c r="F45" s="33">
        <f>SUMPRODUCT(Aggreg!$B174:$W174,$B$19:$W$19)</f>
        <v>0</v>
      </c>
      <c r="G45" s="33">
        <f>SUMPRODUCT(Aggreg!$B209:$W209,$B$19:$W$19)</f>
        <v>5.0884057282341482E-3</v>
      </c>
      <c r="H45" s="10"/>
    </row>
    <row r="46" spans="1:8" x14ac:dyDescent="0.25">
      <c r="A46" s="3" t="s">
        <v>180</v>
      </c>
      <c r="B46" s="33">
        <f>SUMPRODUCT(Aggreg!$B27:$W27,$B$19:$W$19)</f>
        <v>0.16309524168587608</v>
      </c>
      <c r="C46" s="33">
        <f>SUMPRODUCT(Aggreg!$B65:$W65,$B$19:$W$19)</f>
        <v>0</v>
      </c>
      <c r="D46" s="33">
        <f>SUMPRODUCT(Aggreg!$B103:$W103,$B$19:$W$19)</f>
        <v>4.2903543996228001E-4</v>
      </c>
      <c r="E46" s="33">
        <f>SUMPRODUCT(Aggreg!$B141:$W141,$B$19:$W$19)</f>
        <v>0</v>
      </c>
      <c r="F46" s="33">
        <f>SUMPRODUCT(Aggreg!$B175:$W175,$B$19:$W$19)</f>
        <v>0</v>
      </c>
      <c r="G46" s="33">
        <f>SUMPRODUCT(Aggreg!$B210:$W210,$B$19:$W$19)</f>
        <v>4.8240117275714723E-3</v>
      </c>
      <c r="H46" s="10"/>
    </row>
    <row r="47" spans="1:8" x14ac:dyDescent="0.25">
      <c r="A47" s="3" t="s">
        <v>193</v>
      </c>
      <c r="B47" s="33">
        <f>SUMPRODUCT(Aggreg!$B28:$W28,$B$19:$W$19)</f>
        <v>0.14205849547345126</v>
      </c>
      <c r="C47" s="33">
        <f>SUMPRODUCT(Aggreg!$B66:$W66,$B$19:$W$19)</f>
        <v>0</v>
      </c>
      <c r="D47" s="33">
        <f>SUMPRODUCT(Aggreg!$B104:$W104,$B$19:$W$19)</f>
        <v>3.7369654979400798E-4</v>
      </c>
      <c r="E47" s="33">
        <f>SUMPRODUCT(Aggreg!$B142:$W142,$B$19:$W$19)</f>
        <v>0</v>
      </c>
      <c r="F47" s="33">
        <f>SUMPRODUCT(Aggreg!$B176:$W176,$B$19:$W$19)</f>
        <v>0</v>
      </c>
      <c r="G47" s="33">
        <f>SUMPRODUCT(Aggreg!$B211:$W211,$B$19:$W$19)</f>
        <v>3.9193718921222516E-3</v>
      </c>
      <c r="H47" s="10"/>
    </row>
    <row r="48" spans="1:8" x14ac:dyDescent="0.25">
      <c r="A48" s="3" t="s">
        <v>213</v>
      </c>
      <c r="B48" s="33">
        <f>SUMPRODUCT(Aggreg!$B29:$W29,$B$19:$W$19)</f>
        <v>1.438747615684305E-2</v>
      </c>
      <c r="C48" s="33">
        <f>SUMPRODUCT(Aggreg!$B67:$W67,$B$19:$W$19)</f>
        <v>0</v>
      </c>
      <c r="D48" s="33">
        <f>SUMPRODUCT(Aggreg!$B105:$W105,$B$19:$W$19)</f>
        <v>0</v>
      </c>
      <c r="E48" s="33">
        <f>SUMPRODUCT(Aggreg!$B143:$W143,$B$19:$W$19)</f>
        <v>0</v>
      </c>
      <c r="F48" s="33">
        <f>SUMPRODUCT(Aggreg!$B177:$W177,$B$19:$W$19)</f>
        <v>0</v>
      </c>
      <c r="G48" s="33">
        <f>SUMPRODUCT(Aggreg!$B212:$W212,$B$19:$W$19)</f>
        <v>0</v>
      </c>
      <c r="H48" s="10"/>
    </row>
    <row r="49" spans="1:8" x14ac:dyDescent="0.25">
      <c r="A49" s="3" t="s">
        <v>214</v>
      </c>
      <c r="B49" s="33">
        <f>SUMPRODUCT(Aggreg!$B30:$W30,$B$19:$W$19)</f>
        <v>2.4200508201856215E-2</v>
      </c>
      <c r="C49" s="33">
        <f>SUMPRODUCT(Aggreg!$B68:$W68,$B$19:$W$19)</f>
        <v>0</v>
      </c>
      <c r="D49" s="33">
        <f>SUMPRODUCT(Aggreg!$B106:$W106,$B$19:$W$19)</f>
        <v>0</v>
      </c>
      <c r="E49" s="33">
        <f>SUMPRODUCT(Aggreg!$B144:$W144,$B$19:$W$19)</f>
        <v>0</v>
      </c>
      <c r="F49" s="33">
        <f>SUMPRODUCT(Aggreg!$B178:$W178,$B$19:$W$19)</f>
        <v>0</v>
      </c>
      <c r="G49" s="33">
        <f>SUMPRODUCT(Aggreg!$B213:$W213,$B$19:$W$19)</f>
        <v>0</v>
      </c>
      <c r="H49" s="10"/>
    </row>
    <row r="50" spans="1:8" x14ac:dyDescent="0.25">
      <c r="A50" s="3" t="s">
        <v>215</v>
      </c>
      <c r="B50" s="33">
        <f>SUMPRODUCT(Aggreg!$B31:$W31,$B$19:$W$19)</f>
        <v>4.3677666482137278E-2</v>
      </c>
      <c r="C50" s="33">
        <f>SUMPRODUCT(Aggreg!$B69:$W69,$B$19:$W$19)</f>
        <v>0</v>
      </c>
      <c r="D50" s="33">
        <f>SUMPRODUCT(Aggreg!$B107:$W107,$B$19:$W$19)</f>
        <v>0</v>
      </c>
      <c r="E50" s="33">
        <f>SUMPRODUCT(Aggreg!$B145:$W145,$B$19:$W$19)</f>
        <v>0</v>
      </c>
      <c r="F50" s="33">
        <f>SUMPRODUCT(Aggreg!$B179:$W179,$B$19:$W$19)</f>
        <v>0</v>
      </c>
      <c r="G50" s="33">
        <f>SUMPRODUCT(Aggreg!$B214:$W214,$B$19:$W$19)</f>
        <v>0</v>
      </c>
      <c r="H50" s="10"/>
    </row>
    <row r="51" spans="1:8" x14ac:dyDescent="0.25">
      <c r="A51" s="3" t="s">
        <v>216</v>
      </c>
      <c r="B51" s="33">
        <f>SUMPRODUCT(Aggreg!$B32:$W32,$B$19:$W$19)</f>
        <v>4.7724110431939804E-3</v>
      </c>
      <c r="C51" s="33">
        <f>SUMPRODUCT(Aggreg!$B70:$W70,$B$19:$W$19)</f>
        <v>0</v>
      </c>
      <c r="D51" s="33">
        <f>SUMPRODUCT(Aggreg!$B108:$W108,$B$19:$W$19)</f>
        <v>0</v>
      </c>
      <c r="E51" s="33">
        <f>SUMPRODUCT(Aggreg!$B146:$W146,$B$19:$W$19)</f>
        <v>0</v>
      </c>
      <c r="F51" s="33">
        <f>SUMPRODUCT(Aggreg!$B180:$W180,$B$19:$W$19)</f>
        <v>0</v>
      </c>
      <c r="G51" s="33">
        <f>SUMPRODUCT(Aggreg!$B215:$W215,$B$19:$W$19)</f>
        <v>0</v>
      </c>
      <c r="H51" s="10"/>
    </row>
    <row r="52" spans="1:8" x14ac:dyDescent="0.25">
      <c r="A52" s="3" t="s">
        <v>217</v>
      </c>
      <c r="B52" s="33">
        <f>SUMPRODUCT(Aggreg!$B33:$W33,$B$19:$W$19)</f>
        <v>0.48185562807693805</v>
      </c>
      <c r="C52" s="33">
        <f>SUMPRODUCT(Aggreg!$B71:$W71,$B$19:$W$19)</f>
        <v>0</v>
      </c>
      <c r="D52" s="33">
        <f>SUMPRODUCT(Aggreg!$B109:$W109,$B$19:$W$19)</f>
        <v>4.1927012367335407E-4</v>
      </c>
      <c r="E52" s="33">
        <f>SUMPRODUCT(Aggreg!$B147:$W147,$B$19:$W$19)</f>
        <v>0</v>
      </c>
      <c r="F52" s="33">
        <f>SUMPRODUCT(Aggreg!$B181:$W181,$B$19:$W$19)</f>
        <v>0</v>
      </c>
      <c r="G52" s="33">
        <f>SUMPRODUCT(Aggreg!$B216:$W216,$B$19:$W$19)</f>
        <v>0</v>
      </c>
      <c r="H52" s="10"/>
    </row>
    <row r="53" spans="1:8" x14ac:dyDescent="0.25">
      <c r="A53" s="3" t="s">
        <v>181</v>
      </c>
      <c r="B53" s="33">
        <f>SUMPRODUCT(Aggreg!$B34:$W34,$B$19:$W$19)</f>
        <v>-1.2477168949771692E-2</v>
      </c>
      <c r="C53" s="33">
        <f>SUMPRODUCT(Aggreg!$B72:$W72,$B$19:$W$19)</f>
        <v>0</v>
      </c>
      <c r="D53" s="33">
        <f>SUMPRODUCT(Aggreg!$B110:$W110,$B$19:$W$19)</f>
        <v>0</v>
      </c>
      <c r="E53" s="33">
        <f>SUMPRODUCT(Aggreg!$B148:$W148,$B$19:$W$19)</f>
        <v>0</v>
      </c>
      <c r="F53" s="33">
        <f>SUMPRODUCT(Aggreg!$B182:$W182,$B$19:$W$19)</f>
        <v>0</v>
      </c>
      <c r="G53" s="33">
        <f>SUMPRODUCT(Aggreg!$B217:$W217,$B$19:$W$19)</f>
        <v>0</v>
      </c>
      <c r="H53" s="10"/>
    </row>
    <row r="54" spans="1:8" x14ac:dyDescent="0.25">
      <c r="A54" s="3" t="s">
        <v>182</v>
      </c>
      <c r="B54" s="33">
        <f>SUMPRODUCT(Aggreg!$B35:$W35,$B$19:$W$19)</f>
        <v>-1.2020547945205479E-2</v>
      </c>
      <c r="C54" s="33">
        <f>SUMPRODUCT(Aggreg!$B73:$W73,$B$19:$W$19)</f>
        <v>0</v>
      </c>
      <c r="D54" s="33">
        <f>SUMPRODUCT(Aggreg!$B111:$W111,$B$19:$W$19)</f>
        <v>0</v>
      </c>
      <c r="E54" s="33">
        <f>SUMPRODUCT(Aggreg!$B149:$W149,$B$19:$W$19)</f>
        <v>0</v>
      </c>
      <c r="F54" s="33">
        <f>SUMPRODUCT(Aggreg!$B183:$W183,$B$19:$W$19)</f>
        <v>0</v>
      </c>
      <c r="G54" s="33">
        <f>SUMPRODUCT(Aggreg!$B218:$W218,$B$19:$W$19)</f>
        <v>0</v>
      </c>
      <c r="H54" s="10"/>
    </row>
    <row r="55" spans="1:8" x14ac:dyDescent="0.25">
      <c r="A55" s="3" t="s">
        <v>183</v>
      </c>
      <c r="B55" s="33">
        <f>SUMPRODUCT(Aggreg!$B36:$W36,$B$19:$W$19)</f>
        <v>-1.2477168949771692E-2</v>
      </c>
      <c r="C55" s="33">
        <f>SUMPRODUCT(Aggreg!$B74:$W74,$B$19:$W$19)</f>
        <v>0</v>
      </c>
      <c r="D55" s="33">
        <f>SUMPRODUCT(Aggreg!$B112:$W112,$B$19:$W$19)</f>
        <v>0</v>
      </c>
      <c r="E55" s="33">
        <f>SUMPRODUCT(Aggreg!$B150:$W150,$B$19:$W$19)</f>
        <v>0</v>
      </c>
      <c r="F55" s="33">
        <f>SUMPRODUCT(Aggreg!$B184:$W184,$B$19:$W$19)</f>
        <v>0</v>
      </c>
      <c r="G55" s="33">
        <f>SUMPRODUCT(Aggreg!$B219:$W219,$B$19:$W$19)</f>
        <v>3.4452394713190455E-3</v>
      </c>
      <c r="H55" s="10"/>
    </row>
    <row r="56" spans="1:8" x14ac:dyDescent="0.25">
      <c r="A56" s="3" t="s">
        <v>184</v>
      </c>
      <c r="B56" s="33">
        <f>SUMPRODUCT(Aggreg!$B37:$W37,$B$19:$W$19)</f>
        <v>-0.13769028277199552</v>
      </c>
      <c r="C56" s="33">
        <f>SUMPRODUCT(Aggreg!$B75:$W75,$B$19:$W$19)</f>
        <v>0</v>
      </c>
      <c r="D56" s="33">
        <f>SUMPRODUCT(Aggreg!$B113:$W113,$B$19:$W$19)</f>
        <v>-3.6220560720827963E-4</v>
      </c>
      <c r="E56" s="33">
        <f>SUMPRODUCT(Aggreg!$B151:$W151,$B$19:$W$19)</f>
        <v>0</v>
      </c>
      <c r="F56" s="33">
        <f>SUMPRODUCT(Aggreg!$B185:$W185,$B$19:$W$19)</f>
        <v>0</v>
      </c>
      <c r="G56" s="33">
        <f>SUMPRODUCT(Aggreg!$B220:$W220,$B$19:$W$19)</f>
        <v>3.4452394713190455E-3</v>
      </c>
      <c r="H56" s="10"/>
    </row>
    <row r="57" spans="1:8" x14ac:dyDescent="0.25">
      <c r="A57" s="3" t="s">
        <v>185</v>
      </c>
      <c r="B57" s="33">
        <f>SUMPRODUCT(Aggreg!$B38:$W38,$B$19:$W$19)</f>
        <v>-1.2020547945205479E-2</v>
      </c>
      <c r="C57" s="33">
        <f>SUMPRODUCT(Aggreg!$B76:$W76,$B$19:$W$19)</f>
        <v>0</v>
      </c>
      <c r="D57" s="33">
        <f>SUMPRODUCT(Aggreg!$B114:$W114,$B$19:$W$19)</f>
        <v>0</v>
      </c>
      <c r="E57" s="33">
        <f>SUMPRODUCT(Aggreg!$B152:$W152,$B$19:$W$19)</f>
        <v>0</v>
      </c>
      <c r="F57" s="33">
        <f>SUMPRODUCT(Aggreg!$B186:$W186,$B$19:$W$19)</f>
        <v>0</v>
      </c>
      <c r="G57" s="33">
        <f>SUMPRODUCT(Aggreg!$B221:$W221,$B$19:$W$19)</f>
        <v>3.3191556846285039E-3</v>
      </c>
      <c r="H57" s="10"/>
    </row>
    <row r="58" spans="1:8" x14ac:dyDescent="0.25">
      <c r="A58" s="3" t="s">
        <v>186</v>
      </c>
      <c r="B58" s="33">
        <f>SUMPRODUCT(Aggreg!$B39:$W39,$B$19:$W$19)</f>
        <v>-0.13265129712617685</v>
      </c>
      <c r="C58" s="33">
        <f>SUMPRODUCT(Aggreg!$B77:$W77,$B$19:$W$19)</f>
        <v>0</v>
      </c>
      <c r="D58" s="33">
        <f>SUMPRODUCT(Aggreg!$B115:$W115,$B$19:$W$19)</f>
        <v>-3.4895014125372226E-4</v>
      </c>
      <c r="E58" s="33">
        <f>SUMPRODUCT(Aggreg!$B153:$W153,$B$19:$W$19)</f>
        <v>0</v>
      </c>
      <c r="F58" s="33">
        <f>SUMPRODUCT(Aggreg!$B187:$W187,$B$19:$W$19)</f>
        <v>0</v>
      </c>
      <c r="G58" s="33">
        <f>SUMPRODUCT(Aggreg!$B222:$W222,$B$19:$W$19)</f>
        <v>3.3191556846285039E-3</v>
      </c>
      <c r="H58" s="10"/>
    </row>
    <row r="59" spans="1:8" x14ac:dyDescent="0.25">
      <c r="A59" s="3" t="s">
        <v>194</v>
      </c>
      <c r="B59" s="33">
        <f>SUMPRODUCT(Aggreg!$B40:$W40,$B$19:$W$19)</f>
        <v>-1.1803652968036529E-2</v>
      </c>
      <c r="C59" s="33">
        <f>SUMPRODUCT(Aggreg!$B78:$W78,$B$19:$W$19)</f>
        <v>0</v>
      </c>
      <c r="D59" s="33">
        <f>SUMPRODUCT(Aggreg!$B116:$W116,$B$19:$W$19)</f>
        <v>0</v>
      </c>
      <c r="E59" s="33">
        <f>SUMPRODUCT(Aggreg!$B154:$W154,$B$19:$W$19)</f>
        <v>0</v>
      </c>
      <c r="F59" s="33">
        <f>SUMPRODUCT(Aggreg!$B188:$W188,$B$19:$W$19)</f>
        <v>0</v>
      </c>
      <c r="G59" s="33">
        <f>SUMPRODUCT(Aggreg!$B223:$W223,$B$19:$W$19)</f>
        <v>3.2592658859504965E-3</v>
      </c>
      <c r="H59" s="10"/>
    </row>
    <row r="60" spans="1:8" x14ac:dyDescent="0.25">
      <c r="A60" s="3" t="s">
        <v>195</v>
      </c>
      <c r="B60" s="33">
        <f>SUMPRODUCT(Aggreg!$B41:$W41,$B$19:$W$19)</f>
        <v>-0.13025777894441298</v>
      </c>
      <c r="C60" s="33">
        <f>SUMPRODUCT(Aggreg!$B79:$W79,$B$19:$W$19)</f>
        <v>0</v>
      </c>
      <c r="D60" s="33">
        <f>SUMPRODUCT(Aggreg!$B117:$W117,$B$19:$W$19)</f>
        <v>-3.4265379492530765E-4</v>
      </c>
      <c r="E60" s="33">
        <f>SUMPRODUCT(Aggreg!$B155:$W155,$B$19:$W$19)</f>
        <v>0</v>
      </c>
      <c r="F60" s="33">
        <f>SUMPRODUCT(Aggreg!$B189:$W189,$B$19:$W$19)</f>
        <v>0</v>
      </c>
      <c r="G60" s="33">
        <f>SUMPRODUCT(Aggreg!$B224:$W224,$B$19:$W$19)</f>
        <v>3.2592658859504965E-3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1" t="s">
        <v>1050</v>
      </c>
    </row>
    <row r="65" spans="1:7" x14ac:dyDescent="0.25">
      <c r="A65" s="11" t="s">
        <v>1162</v>
      </c>
    </row>
    <row r="66" spans="1:7" x14ac:dyDescent="0.25">
      <c r="A66" s="11" t="s">
        <v>1163</v>
      </c>
    </row>
    <row r="67" spans="1:7" x14ac:dyDescent="0.25">
      <c r="A67" s="11" t="s">
        <v>1164</v>
      </c>
    </row>
    <row r="68" spans="1:7" x14ac:dyDescent="0.25">
      <c r="A68" s="11" t="s">
        <v>1165</v>
      </c>
    </row>
    <row r="69" spans="1:7" x14ac:dyDescent="0.25">
      <c r="A69" s="11" t="s">
        <v>1166</v>
      </c>
    </row>
    <row r="70" spans="1:7" x14ac:dyDescent="0.25">
      <c r="A70" s="11" t="s">
        <v>1167</v>
      </c>
    </row>
    <row r="71" spans="1:7" x14ac:dyDescent="0.25">
      <c r="A71" s="11" t="s">
        <v>1168</v>
      </c>
    </row>
    <row r="72" spans="1:7" x14ac:dyDescent="0.25">
      <c r="A72" s="11" t="s">
        <v>1169</v>
      </c>
    </row>
    <row r="73" spans="1:7" x14ac:dyDescent="0.25">
      <c r="A73" s="11" t="s">
        <v>1170</v>
      </c>
    </row>
    <row r="74" spans="1:7" x14ac:dyDescent="0.25">
      <c r="A74" s="11" t="s">
        <v>1171</v>
      </c>
    </row>
    <row r="75" spans="1:7" x14ac:dyDescent="0.25">
      <c r="A75" s="11" t="s">
        <v>1172</v>
      </c>
    </row>
    <row r="76" spans="1:7" x14ac:dyDescent="0.25">
      <c r="A76" s="11" t="s">
        <v>1173</v>
      </c>
    </row>
    <row r="77" spans="1:7" x14ac:dyDescent="0.25">
      <c r="A77" s="11" t="s">
        <v>1174</v>
      </c>
    </row>
    <row r="78" spans="1:7" x14ac:dyDescent="0.25">
      <c r="A78" s="29" t="s">
        <v>359</v>
      </c>
      <c r="B78" s="29" t="s">
        <v>489</v>
      </c>
      <c r="C78" s="29" t="s">
        <v>489</v>
      </c>
      <c r="D78" s="29" t="s">
        <v>489</v>
      </c>
      <c r="E78" s="29" t="s">
        <v>489</v>
      </c>
      <c r="F78" s="29" t="s">
        <v>489</v>
      </c>
      <c r="G78" s="29" t="s">
        <v>489</v>
      </c>
    </row>
    <row r="79" spans="1:7" x14ac:dyDescent="0.25">
      <c r="A79" s="29" t="s">
        <v>362</v>
      </c>
      <c r="B79" s="29" t="s">
        <v>1175</v>
      </c>
      <c r="C79" s="29" t="s">
        <v>1176</v>
      </c>
      <c r="D79" s="29" t="s">
        <v>1177</v>
      </c>
      <c r="E79" s="29" t="s">
        <v>1178</v>
      </c>
      <c r="F79" s="29" t="s">
        <v>1179</v>
      </c>
      <c r="G79" s="29" t="s">
        <v>1180</v>
      </c>
    </row>
    <row r="81" spans="1:8" ht="45" x14ac:dyDescent="0.25">
      <c r="B81" s="12" t="s">
        <v>1181</v>
      </c>
      <c r="C81" s="12" t="s">
        <v>1182</v>
      </c>
      <c r="D81" s="12" t="s">
        <v>1183</v>
      </c>
      <c r="E81" s="12" t="s">
        <v>1184</v>
      </c>
      <c r="F81" s="12" t="s">
        <v>1185</v>
      </c>
      <c r="G81" s="12" t="s">
        <v>1186</v>
      </c>
    </row>
    <row r="82" spans="1:8" x14ac:dyDescent="0.25">
      <c r="A82" s="3" t="s">
        <v>171</v>
      </c>
      <c r="B82" s="33">
        <f>IF(Loads!B46&lt;0,0,B34*Loads!B302*10)</f>
        <v>1309793.0073530762</v>
      </c>
      <c r="C82" s="33">
        <f>IF(Loads!B46&lt;0,0,C34*Loads!C302*10)</f>
        <v>0</v>
      </c>
      <c r="D82" s="33">
        <f>IF(Loads!B46&lt;0,0,D34*Loads!D302*10)</f>
        <v>0</v>
      </c>
      <c r="E82" s="33">
        <f>E34*Input!F$58*Loads!E302/100</f>
        <v>0</v>
      </c>
      <c r="F82" s="33">
        <f>F34*Input!F$58*Loads!F302/100</f>
        <v>0</v>
      </c>
      <c r="G82" s="33">
        <f>IF(Loads!B46&lt;0,0,G34*Loads!G302*10)</f>
        <v>0</v>
      </c>
      <c r="H82" s="10"/>
    </row>
    <row r="83" spans="1:8" x14ac:dyDescent="0.25">
      <c r="A83" s="3" t="s">
        <v>172</v>
      </c>
      <c r="B83" s="33">
        <f>IF(Loads!B47&lt;0,0,B35*Loads!B303*10)</f>
        <v>814518.51047523739</v>
      </c>
      <c r="C83" s="33">
        <f>IF(Loads!B47&lt;0,0,C35*Loads!C303*10)</f>
        <v>6561.1893609641411</v>
      </c>
      <c r="D83" s="33">
        <f>IF(Loads!B47&lt;0,0,D35*Loads!D303*10)</f>
        <v>0</v>
      </c>
      <c r="E83" s="33">
        <f>E35*Input!F$58*Loads!E303/100</f>
        <v>0</v>
      </c>
      <c r="F83" s="33">
        <f>F35*Input!F$58*Loads!F303/100</f>
        <v>0</v>
      </c>
      <c r="G83" s="33">
        <f>IF(Loads!B47&lt;0,0,G35*Loads!G303*10)</f>
        <v>0</v>
      </c>
      <c r="H83" s="10"/>
    </row>
    <row r="84" spans="1:8" x14ac:dyDescent="0.25">
      <c r="A84" s="3" t="s">
        <v>211</v>
      </c>
      <c r="B84" s="33">
        <f>IF(Loads!B48&lt;0,0,B36*Loads!B304*10)</f>
        <v>8125.1326939182236</v>
      </c>
      <c r="C84" s="33">
        <f>IF(Loads!B48&lt;0,0,C36*Loads!C304*10)</f>
        <v>0</v>
      </c>
      <c r="D84" s="33">
        <f>IF(Loads!B48&lt;0,0,D36*Loads!D304*10)</f>
        <v>0</v>
      </c>
      <c r="E84" s="33">
        <f>E36*Input!F$58*Loads!E304/100</f>
        <v>0</v>
      </c>
      <c r="F84" s="33">
        <f>F36*Input!F$58*Loads!F304/100</f>
        <v>0</v>
      </c>
      <c r="G84" s="33">
        <f>IF(Loads!B48&lt;0,0,G36*Loads!G304*10)</f>
        <v>0</v>
      </c>
      <c r="H84" s="10"/>
    </row>
    <row r="85" spans="1:8" x14ac:dyDescent="0.25">
      <c r="A85" s="3" t="s">
        <v>173</v>
      </c>
      <c r="B85" s="33">
        <f>IF(Loads!B49&lt;0,0,B37*Loads!B305*10)</f>
        <v>247328.24061660137</v>
      </c>
      <c r="C85" s="33">
        <f>IF(Loads!B49&lt;0,0,C37*Loads!C305*10)</f>
        <v>0</v>
      </c>
      <c r="D85" s="33">
        <f>IF(Loads!B49&lt;0,0,D37*Loads!D305*10)</f>
        <v>0</v>
      </c>
      <c r="E85" s="33">
        <f>E37*Input!F$58*Loads!E305/100</f>
        <v>0</v>
      </c>
      <c r="F85" s="33">
        <f>F37*Input!F$58*Loads!F305/100</f>
        <v>0</v>
      </c>
      <c r="G85" s="33">
        <f>IF(Loads!B49&lt;0,0,G37*Loads!G305*10)</f>
        <v>0</v>
      </c>
      <c r="H85" s="10"/>
    </row>
    <row r="86" spans="1:8" x14ac:dyDescent="0.25">
      <c r="A86" s="3" t="s">
        <v>174</v>
      </c>
      <c r="B86" s="33">
        <f>IF(Loads!B50&lt;0,0,B38*Loads!B306*10)</f>
        <v>382047.52711256919</v>
      </c>
      <c r="C86" s="33">
        <f>IF(Loads!B50&lt;0,0,C38*Loads!C306*10)</f>
        <v>2508.6776152114221</v>
      </c>
      <c r="D86" s="33">
        <f>IF(Loads!B50&lt;0,0,D38*Loads!D306*10)</f>
        <v>0</v>
      </c>
      <c r="E86" s="33">
        <f>E38*Input!F$58*Loads!E306/100</f>
        <v>0</v>
      </c>
      <c r="F86" s="33">
        <f>F38*Input!F$58*Loads!F306/100</f>
        <v>0</v>
      </c>
      <c r="G86" s="33">
        <f>IF(Loads!B50&lt;0,0,G38*Loads!G306*10)</f>
        <v>0</v>
      </c>
      <c r="H86" s="10"/>
    </row>
    <row r="87" spans="1:8" x14ac:dyDescent="0.25">
      <c r="A87" s="3" t="s">
        <v>212</v>
      </c>
      <c r="B87" s="33">
        <f>IF(Loads!B51&lt;0,0,B39*Loads!B307*10)</f>
        <v>110.71721243088538</v>
      </c>
      <c r="C87" s="33">
        <f>IF(Loads!B51&lt;0,0,C39*Loads!C307*10)</f>
        <v>0</v>
      </c>
      <c r="D87" s="33">
        <f>IF(Loads!B51&lt;0,0,D39*Loads!D307*10)</f>
        <v>0</v>
      </c>
      <c r="E87" s="33">
        <f>E39*Input!F$58*Loads!E307/100</f>
        <v>0</v>
      </c>
      <c r="F87" s="33">
        <f>F39*Input!F$58*Loads!F307/100</f>
        <v>0</v>
      </c>
      <c r="G87" s="33">
        <f>IF(Loads!B51&lt;0,0,G39*Loads!G307*10)</f>
        <v>0</v>
      </c>
      <c r="H87" s="10"/>
    </row>
    <row r="88" spans="1:8" x14ac:dyDescent="0.25">
      <c r="A88" s="3" t="s">
        <v>175</v>
      </c>
      <c r="B88" s="33">
        <f>IF(Loads!B52&lt;0,0,B40*Loads!B308*10)</f>
        <v>0</v>
      </c>
      <c r="C88" s="33">
        <f>IF(Loads!B52&lt;0,0,C40*Loads!C308*10)</f>
        <v>0</v>
      </c>
      <c r="D88" s="33">
        <f>IF(Loads!B52&lt;0,0,D40*Loads!D308*10)</f>
        <v>0</v>
      </c>
      <c r="E88" s="33">
        <f>E40*Input!F$58*Loads!E308/100</f>
        <v>0</v>
      </c>
      <c r="F88" s="33">
        <f>F40*Input!F$58*Loads!F308/100</f>
        <v>0</v>
      </c>
      <c r="G88" s="33">
        <f>IF(Loads!B52&lt;0,0,G40*Loads!G308*10)</f>
        <v>0</v>
      </c>
      <c r="H88" s="10"/>
    </row>
    <row r="89" spans="1:8" x14ac:dyDescent="0.25">
      <c r="A89" s="3" t="s">
        <v>176</v>
      </c>
      <c r="B89" s="33">
        <f>IF(Loads!B53&lt;0,0,B41*Loads!B309*10)</f>
        <v>0</v>
      </c>
      <c r="C89" s="33">
        <f>IF(Loads!B53&lt;0,0,C41*Loads!C309*10)</f>
        <v>0</v>
      </c>
      <c r="D89" s="33">
        <f>IF(Loads!B53&lt;0,0,D41*Loads!D309*10)</f>
        <v>0</v>
      </c>
      <c r="E89" s="33">
        <f>E41*Input!F$58*Loads!E309/100</f>
        <v>0</v>
      </c>
      <c r="F89" s="33">
        <f>F41*Input!F$58*Loads!F309/100</f>
        <v>0</v>
      </c>
      <c r="G89" s="33">
        <f>IF(Loads!B53&lt;0,0,G41*Loads!G309*10)</f>
        <v>0</v>
      </c>
      <c r="H89" s="10"/>
    </row>
    <row r="90" spans="1:8" x14ac:dyDescent="0.25">
      <c r="A90" s="3" t="s">
        <v>192</v>
      </c>
      <c r="B90" s="33">
        <f>IF(Loads!B54&lt;0,0,B42*Loads!B310*10)</f>
        <v>0</v>
      </c>
      <c r="C90" s="33">
        <f>IF(Loads!B54&lt;0,0,C42*Loads!C310*10)</f>
        <v>0</v>
      </c>
      <c r="D90" s="33">
        <f>IF(Loads!B54&lt;0,0,D42*Loads!D310*10)</f>
        <v>0</v>
      </c>
      <c r="E90" s="33">
        <f>E42*Input!F$58*Loads!E310/100</f>
        <v>0</v>
      </c>
      <c r="F90" s="33">
        <f>F42*Input!F$58*Loads!F310/100</f>
        <v>0</v>
      </c>
      <c r="G90" s="33">
        <f>IF(Loads!B54&lt;0,0,G42*Loads!G310*10)</f>
        <v>0</v>
      </c>
      <c r="H90" s="10"/>
    </row>
    <row r="91" spans="1:8" x14ac:dyDescent="0.25">
      <c r="A91" s="3" t="s">
        <v>177</v>
      </c>
      <c r="B91" s="33">
        <f>IF(Loads!B55&lt;0,0,B43*Loads!B311*10)</f>
        <v>0</v>
      </c>
      <c r="C91" s="33">
        <f>IF(Loads!B55&lt;0,0,C43*Loads!C311*10)</f>
        <v>0</v>
      </c>
      <c r="D91" s="33">
        <f>IF(Loads!B55&lt;0,0,D43*Loads!D311*10)</f>
        <v>0</v>
      </c>
      <c r="E91" s="33">
        <f>E43*Input!F$58*Loads!E311/100</f>
        <v>0</v>
      </c>
      <c r="F91" s="33">
        <f>F43*Input!F$58*Loads!F311/100</f>
        <v>0</v>
      </c>
      <c r="G91" s="33">
        <f>IF(Loads!B55&lt;0,0,G43*Loads!G311*10)</f>
        <v>0</v>
      </c>
      <c r="H91" s="10"/>
    </row>
    <row r="92" spans="1:8" x14ac:dyDescent="0.25">
      <c r="A92" s="3" t="s">
        <v>178</v>
      </c>
      <c r="B92" s="33">
        <f>IF(Loads!B56&lt;0,0,B44*Loads!B312*10)</f>
        <v>30322.262512603666</v>
      </c>
      <c r="C92" s="33">
        <f>IF(Loads!B56&lt;0,0,C44*Loads!C312*10)</f>
        <v>0</v>
      </c>
      <c r="D92" s="33">
        <f>IF(Loads!B56&lt;0,0,D44*Loads!D312*10)</f>
        <v>349.71058130744632</v>
      </c>
      <c r="E92" s="33">
        <f>E44*Input!F$58*Loads!E312/100</f>
        <v>0</v>
      </c>
      <c r="F92" s="33">
        <f>F44*Input!F$58*Loads!F312/100</f>
        <v>0</v>
      </c>
      <c r="G92" s="33">
        <f>IF(Loads!B56&lt;0,0,G44*Loads!G312*10)</f>
        <v>0</v>
      </c>
      <c r="H92" s="10"/>
    </row>
    <row r="93" spans="1:8" x14ac:dyDescent="0.25">
      <c r="A93" s="3" t="s">
        <v>179</v>
      </c>
      <c r="B93" s="33">
        <f>IF(Loads!B57&lt;0,0,B45*Loads!B313*10)</f>
        <v>662353.6460530461</v>
      </c>
      <c r="C93" s="33">
        <f>IF(Loads!B57&lt;0,0,C45*Loads!C313*10)</f>
        <v>0</v>
      </c>
      <c r="D93" s="33">
        <f>IF(Loads!B57&lt;0,0,D45*Loads!D313*10)</f>
        <v>7541.0553029352941</v>
      </c>
      <c r="E93" s="33">
        <f>E45*Input!F$58*Loads!E313/100</f>
        <v>0</v>
      </c>
      <c r="F93" s="33">
        <f>F45*Input!F$58*Loads!F313/100</f>
        <v>0</v>
      </c>
      <c r="G93" s="33">
        <f>IF(Loads!B57&lt;0,0,G45*Loads!G313*10)</f>
        <v>16972.203941430405</v>
      </c>
      <c r="H93" s="10"/>
    </row>
    <row r="94" spans="1:8" x14ac:dyDescent="0.25">
      <c r="A94" s="3" t="s">
        <v>180</v>
      </c>
      <c r="B94" s="33">
        <f>IF(Loads!B58&lt;0,0,B46*Loads!B314*10)</f>
        <v>17606.299669815413</v>
      </c>
      <c r="C94" s="33">
        <f>IF(Loads!B58&lt;0,0,C46*Loads!C314*10)</f>
        <v>0</v>
      </c>
      <c r="D94" s="33">
        <f>IF(Loads!B58&lt;0,0,D46*Loads!D314*10)</f>
        <v>215.19417075400074</v>
      </c>
      <c r="E94" s="33">
        <f>E46*Input!F$58*Loads!E314/100</f>
        <v>0</v>
      </c>
      <c r="F94" s="33">
        <f>F46*Input!F$58*Loads!F314/100</f>
        <v>0</v>
      </c>
      <c r="G94" s="33">
        <f>IF(Loads!B58&lt;0,0,G46*Loads!G314*10)</f>
        <v>575.0855139820593</v>
      </c>
      <c r="H94" s="10"/>
    </row>
    <row r="95" spans="1:8" x14ac:dyDescent="0.25">
      <c r="A95" s="3" t="s">
        <v>193</v>
      </c>
      <c r="B95" s="33">
        <f>IF(Loads!B59&lt;0,0,B47*Loads!B315*10)</f>
        <v>1071669.3789619838</v>
      </c>
      <c r="C95" s="33">
        <f>IF(Loads!B59&lt;0,0,C47*Loads!C315*10)</f>
        <v>0</v>
      </c>
      <c r="D95" s="33">
        <f>IF(Loads!B59&lt;0,0,D47*Loads!D315*10)</f>
        <v>15002.697917177082</v>
      </c>
      <c r="E95" s="33">
        <f>E47*Input!F$58*Loads!E315/100</f>
        <v>0</v>
      </c>
      <c r="F95" s="33">
        <f>F47*Input!F$58*Loads!F315/100</f>
        <v>0</v>
      </c>
      <c r="G95" s="33">
        <f>IF(Loads!B59&lt;0,0,G47*Loads!G315*10)</f>
        <v>27022.845323274665</v>
      </c>
      <c r="H95" s="10"/>
    </row>
    <row r="96" spans="1:8" x14ac:dyDescent="0.25">
      <c r="A96" s="3" t="s">
        <v>213</v>
      </c>
      <c r="B96" s="33">
        <f>IF(Loads!B60&lt;0,0,B48*Loads!B316*10)</f>
        <v>7300.9102983382809</v>
      </c>
      <c r="C96" s="33">
        <f>IF(Loads!B60&lt;0,0,C48*Loads!C316*10)</f>
        <v>0</v>
      </c>
      <c r="D96" s="33">
        <f>IF(Loads!B60&lt;0,0,D48*Loads!D316*10)</f>
        <v>0</v>
      </c>
      <c r="E96" s="33">
        <f>E48*Input!F$58*Loads!E316/100</f>
        <v>0</v>
      </c>
      <c r="F96" s="33">
        <f>F48*Input!F$58*Loads!F316/100</f>
        <v>0</v>
      </c>
      <c r="G96" s="33">
        <f>IF(Loads!B60&lt;0,0,G48*Loads!G316*10)</f>
        <v>0</v>
      </c>
      <c r="H96" s="10"/>
    </row>
    <row r="97" spans="1:8" x14ac:dyDescent="0.25">
      <c r="A97" s="3" t="s">
        <v>214</v>
      </c>
      <c r="B97" s="33">
        <f>IF(Loads!B61&lt;0,0,B49*Loads!B317*10)</f>
        <v>5645.6074007886755</v>
      </c>
      <c r="C97" s="33">
        <f>IF(Loads!B61&lt;0,0,C49*Loads!C317*10)</f>
        <v>0</v>
      </c>
      <c r="D97" s="33">
        <f>IF(Loads!B61&lt;0,0,D49*Loads!D317*10)</f>
        <v>0</v>
      </c>
      <c r="E97" s="33">
        <f>E49*Input!F$58*Loads!E317/100</f>
        <v>0</v>
      </c>
      <c r="F97" s="33">
        <f>F49*Input!F$58*Loads!F317/100</f>
        <v>0</v>
      </c>
      <c r="G97" s="33">
        <f>IF(Loads!B61&lt;0,0,G49*Loads!G317*10)</f>
        <v>0</v>
      </c>
      <c r="H97" s="10"/>
    </row>
    <row r="98" spans="1:8" x14ac:dyDescent="0.25">
      <c r="A98" s="3" t="s">
        <v>215</v>
      </c>
      <c r="B98" s="33">
        <f>IF(Loads!B62&lt;0,0,B50*Loads!B318*10)</f>
        <v>155.5924389715455</v>
      </c>
      <c r="C98" s="33">
        <f>IF(Loads!B62&lt;0,0,C50*Loads!C318*10)</f>
        <v>0</v>
      </c>
      <c r="D98" s="33">
        <f>IF(Loads!B62&lt;0,0,D50*Loads!D318*10)</f>
        <v>0</v>
      </c>
      <c r="E98" s="33">
        <f>E50*Input!F$58*Loads!E318/100</f>
        <v>0</v>
      </c>
      <c r="F98" s="33">
        <f>F50*Input!F$58*Loads!F318/100</f>
        <v>0</v>
      </c>
      <c r="G98" s="33">
        <f>IF(Loads!B62&lt;0,0,G50*Loads!G318*10)</f>
        <v>0</v>
      </c>
      <c r="H98" s="10"/>
    </row>
    <row r="99" spans="1:8" x14ac:dyDescent="0.25">
      <c r="A99" s="3" t="s">
        <v>216</v>
      </c>
      <c r="B99" s="33">
        <f>IF(Loads!B63&lt;0,0,B51*Loads!B319*10)</f>
        <v>396.93876179376548</v>
      </c>
      <c r="C99" s="33">
        <f>IF(Loads!B63&lt;0,0,C51*Loads!C319*10)</f>
        <v>0</v>
      </c>
      <c r="D99" s="33">
        <f>IF(Loads!B63&lt;0,0,D51*Loads!D319*10)</f>
        <v>0</v>
      </c>
      <c r="E99" s="33">
        <f>E51*Input!F$58*Loads!E319/100</f>
        <v>0</v>
      </c>
      <c r="F99" s="33">
        <f>F51*Input!F$58*Loads!F319/100</f>
        <v>0</v>
      </c>
      <c r="G99" s="33">
        <f>IF(Loads!B63&lt;0,0,G51*Loads!G319*10)</f>
        <v>0</v>
      </c>
      <c r="H99" s="10"/>
    </row>
    <row r="100" spans="1:8" x14ac:dyDescent="0.25">
      <c r="A100" s="3" t="s">
        <v>217</v>
      </c>
      <c r="B100" s="33">
        <f>IF(Loads!B64&lt;0,0,B52*Loads!B320*10)</f>
        <v>62142.358950136033</v>
      </c>
      <c r="C100" s="33">
        <f>IF(Loads!B64&lt;0,0,C52*Loads!C320*10)</f>
        <v>0</v>
      </c>
      <c r="D100" s="33">
        <f>IF(Loads!B64&lt;0,0,D52*Loads!D320*10)</f>
        <v>833.82154529427157</v>
      </c>
      <c r="E100" s="33">
        <f>E52*Input!F$58*Loads!E320/100</f>
        <v>0</v>
      </c>
      <c r="F100" s="33">
        <f>F52*Input!F$58*Loads!F320/100</f>
        <v>0</v>
      </c>
      <c r="G100" s="33">
        <f>IF(Loads!B64&lt;0,0,G52*Loads!G320*10)</f>
        <v>0</v>
      </c>
      <c r="H100" s="10"/>
    </row>
    <row r="101" spans="1:8" x14ac:dyDescent="0.25">
      <c r="A101" s="3" t="s">
        <v>181</v>
      </c>
      <c r="B101" s="33">
        <f>IF(Loads!B65&lt;0,0,B53*Loads!B321*10)</f>
        <v>0</v>
      </c>
      <c r="C101" s="33">
        <f>IF(Loads!B65&lt;0,0,C53*Loads!C321*10)</f>
        <v>0</v>
      </c>
      <c r="D101" s="33">
        <f>IF(Loads!B65&lt;0,0,D53*Loads!D321*10)</f>
        <v>0</v>
      </c>
      <c r="E101" s="33">
        <f>E53*Input!F$58*Loads!E321/100</f>
        <v>0</v>
      </c>
      <c r="F101" s="33">
        <f>F53*Input!F$58*Loads!F321/100</f>
        <v>0</v>
      </c>
      <c r="G101" s="33">
        <f>IF(Loads!B65&lt;0,0,G53*Loads!G321*10)</f>
        <v>0</v>
      </c>
      <c r="H101" s="10"/>
    </row>
    <row r="102" spans="1:8" x14ac:dyDescent="0.25">
      <c r="A102" s="3" t="s">
        <v>182</v>
      </c>
      <c r="B102" s="33">
        <f>IF(Loads!B66&lt;0,0,B54*Loads!B322*10)</f>
        <v>0</v>
      </c>
      <c r="C102" s="33">
        <f>IF(Loads!B66&lt;0,0,C54*Loads!C322*10)</f>
        <v>0</v>
      </c>
      <c r="D102" s="33">
        <f>IF(Loads!B66&lt;0,0,D54*Loads!D322*10)</f>
        <v>0</v>
      </c>
      <c r="E102" s="33">
        <f>E54*Input!F$58*Loads!E322/100</f>
        <v>0</v>
      </c>
      <c r="F102" s="33">
        <f>F54*Input!F$58*Loads!F322/100</f>
        <v>0</v>
      </c>
      <c r="G102" s="33">
        <f>IF(Loads!B66&lt;0,0,G54*Loads!G322*10)</f>
        <v>0</v>
      </c>
      <c r="H102" s="10"/>
    </row>
    <row r="103" spans="1:8" x14ac:dyDescent="0.25">
      <c r="A103" s="3" t="s">
        <v>183</v>
      </c>
      <c r="B103" s="33">
        <f>IF(Loads!B67&lt;0,0,B55*Loads!B323*10)</f>
        <v>0</v>
      </c>
      <c r="C103" s="33">
        <f>IF(Loads!B67&lt;0,0,C55*Loads!C323*10)</f>
        <v>0</v>
      </c>
      <c r="D103" s="33">
        <f>IF(Loads!B67&lt;0,0,D55*Loads!D323*10)</f>
        <v>0</v>
      </c>
      <c r="E103" s="33">
        <f>E55*Input!F$58*Loads!E323/100</f>
        <v>0</v>
      </c>
      <c r="F103" s="33">
        <f>F55*Input!F$58*Loads!F323/100</f>
        <v>0</v>
      </c>
      <c r="G103" s="33">
        <f>IF(Loads!B67&lt;0,0,G55*Loads!G323*10)</f>
        <v>0</v>
      </c>
      <c r="H103" s="10"/>
    </row>
    <row r="104" spans="1:8" x14ac:dyDescent="0.25">
      <c r="A104" s="3" t="s">
        <v>184</v>
      </c>
      <c r="B104" s="33">
        <f>IF(Loads!B68&lt;0,0,B56*Loads!B324*10)</f>
        <v>0</v>
      </c>
      <c r="C104" s="33">
        <f>IF(Loads!B68&lt;0,0,C56*Loads!C324*10)</f>
        <v>0</v>
      </c>
      <c r="D104" s="33">
        <f>IF(Loads!B68&lt;0,0,D56*Loads!D324*10)</f>
        <v>0</v>
      </c>
      <c r="E104" s="33">
        <f>E56*Input!F$58*Loads!E324/100</f>
        <v>0</v>
      </c>
      <c r="F104" s="33">
        <f>F56*Input!F$58*Loads!F324/100</f>
        <v>0</v>
      </c>
      <c r="G104" s="33">
        <f>IF(Loads!B68&lt;0,0,G56*Loads!G324*10)</f>
        <v>0</v>
      </c>
      <c r="H104" s="10"/>
    </row>
    <row r="105" spans="1:8" x14ac:dyDescent="0.25">
      <c r="A105" s="3" t="s">
        <v>185</v>
      </c>
      <c r="B105" s="33">
        <f>IF(Loads!B69&lt;0,0,B57*Loads!B325*10)</f>
        <v>0</v>
      </c>
      <c r="C105" s="33">
        <f>IF(Loads!B69&lt;0,0,C57*Loads!C325*10)</f>
        <v>0</v>
      </c>
      <c r="D105" s="33">
        <f>IF(Loads!B69&lt;0,0,D57*Loads!D325*10)</f>
        <v>0</v>
      </c>
      <c r="E105" s="33">
        <f>E57*Input!F$58*Loads!E325/100</f>
        <v>0</v>
      </c>
      <c r="F105" s="33">
        <f>F57*Input!F$58*Loads!F325/100</f>
        <v>0</v>
      </c>
      <c r="G105" s="33">
        <f>IF(Loads!B69&lt;0,0,G57*Loads!G325*10)</f>
        <v>0</v>
      </c>
      <c r="H105" s="10"/>
    </row>
    <row r="106" spans="1:8" x14ac:dyDescent="0.25">
      <c r="A106" s="3" t="s">
        <v>186</v>
      </c>
      <c r="B106" s="33">
        <f>IF(Loads!B70&lt;0,0,B58*Loads!B326*10)</f>
        <v>0</v>
      </c>
      <c r="C106" s="33">
        <f>IF(Loads!B70&lt;0,0,C58*Loads!C326*10)</f>
        <v>0</v>
      </c>
      <c r="D106" s="33">
        <f>IF(Loads!B70&lt;0,0,D58*Loads!D326*10)</f>
        <v>0</v>
      </c>
      <c r="E106" s="33">
        <f>E58*Input!F$58*Loads!E326/100</f>
        <v>0</v>
      </c>
      <c r="F106" s="33">
        <f>F58*Input!F$58*Loads!F326/100</f>
        <v>0</v>
      </c>
      <c r="G106" s="33">
        <f>IF(Loads!B70&lt;0,0,G58*Loads!G326*10)</f>
        <v>0</v>
      </c>
      <c r="H106" s="10"/>
    </row>
    <row r="107" spans="1:8" x14ac:dyDescent="0.25">
      <c r="A107" s="3" t="s">
        <v>194</v>
      </c>
      <c r="B107" s="33">
        <f>IF(Loads!B71&lt;0,0,B59*Loads!B327*10)</f>
        <v>0</v>
      </c>
      <c r="C107" s="33">
        <f>IF(Loads!B71&lt;0,0,C59*Loads!C327*10)</f>
        <v>0</v>
      </c>
      <c r="D107" s="33">
        <f>IF(Loads!B71&lt;0,0,D59*Loads!D327*10)</f>
        <v>0</v>
      </c>
      <c r="E107" s="33">
        <f>E59*Input!F$58*Loads!E327/100</f>
        <v>0</v>
      </c>
      <c r="F107" s="33">
        <f>F59*Input!F$58*Loads!F327/100</f>
        <v>0</v>
      </c>
      <c r="G107" s="33">
        <f>IF(Loads!B71&lt;0,0,G59*Loads!G327*10)</f>
        <v>0</v>
      </c>
      <c r="H107" s="10"/>
    </row>
    <row r="108" spans="1:8" x14ac:dyDescent="0.25">
      <c r="A108" s="3" t="s">
        <v>195</v>
      </c>
      <c r="B108" s="33">
        <f>IF(Loads!B72&lt;0,0,B60*Loads!B328*10)</f>
        <v>0</v>
      </c>
      <c r="C108" s="33">
        <f>IF(Loads!B72&lt;0,0,C60*Loads!C328*10)</f>
        <v>0</v>
      </c>
      <c r="D108" s="33">
        <f>IF(Loads!B72&lt;0,0,D60*Loads!D328*10)</f>
        <v>0</v>
      </c>
      <c r="E108" s="33">
        <f>E60*Input!F$58*Loads!E328/100</f>
        <v>0</v>
      </c>
      <c r="F108" s="33">
        <f>F60*Input!F$58*Loads!F328/100</f>
        <v>0</v>
      </c>
      <c r="G108" s="33">
        <f>IF(Loads!B72&lt;0,0,G60*Loads!G328*10)</f>
        <v>0</v>
      </c>
      <c r="H108" s="10"/>
    </row>
    <row r="110" spans="1:8" ht="21" customHeight="1" x14ac:dyDescent="0.3">
      <c r="A110" s="1" t="s">
        <v>1187</v>
      </c>
    </row>
    <row r="111" spans="1:8" x14ac:dyDescent="0.25">
      <c r="A111" s="2" t="s">
        <v>356</v>
      </c>
    </row>
    <row r="112" spans="1:8" x14ac:dyDescent="0.25">
      <c r="A112" s="11" t="s">
        <v>1188</v>
      </c>
    </row>
    <row r="113" spans="1:8" x14ac:dyDescent="0.25">
      <c r="A113" s="11" t="s">
        <v>1189</v>
      </c>
    </row>
    <row r="114" spans="1:8" x14ac:dyDescent="0.25">
      <c r="A114" s="11" t="s">
        <v>1190</v>
      </c>
    </row>
    <row r="115" spans="1:8" x14ac:dyDescent="0.25">
      <c r="A115" s="11" t="s">
        <v>1191</v>
      </c>
    </row>
    <row r="116" spans="1:8" x14ac:dyDescent="0.25">
      <c r="A116" s="11" t="s">
        <v>1192</v>
      </c>
    </row>
    <row r="117" spans="1:8" x14ac:dyDescent="0.25">
      <c r="A117" s="11" t="s">
        <v>1193</v>
      </c>
    </row>
    <row r="118" spans="1:8" x14ac:dyDescent="0.25">
      <c r="A118" s="11" t="s">
        <v>1194</v>
      </c>
    </row>
    <row r="119" spans="1:8" x14ac:dyDescent="0.25">
      <c r="A119" s="11" t="s">
        <v>1195</v>
      </c>
    </row>
    <row r="120" spans="1:8" x14ac:dyDescent="0.25">
      <c r="A120" s="11" t="s">
        <v>1196</v>
      </c>
    </row>
    <row r="121" spans="1:8" x14ac:dyDescent="0.25">
      <c r="A121" s="11" t="s">
        <v>1197</v>
      </c>
    </row>
    <row r="122" spans="1:8" x14ac:dyDescent="0.25">
      <c r="A122" s="11" t="s">
        <v>1198</v>
      </c>
    </row>
    <row r="123" spans="1:8" x14ac:dyDescent="0.25">
      <c r="A123" s="11" t="s">
        <v>1116</v>
      </c>
    </row>
    <row r="124" spans="1:8" x14ac:dyDescent="0.25">
      <c r="A124" s="29" t="s">
        <v>359</v>
      </c>
      <c r="B124" s="29" t="s">
        <v>489</v>
      </c>
      <c r="C124" s="29" t="s">
        <v>489</v>
      </c>
      <c r="D124" s="29" t="s">
        <v>489</v>
      </c>
      <c r="E124" s="29" t="s">
        <v>489</v>
      </c>
      <c r="F124" s="29" t="s">
        <v>489</v>
      </c>
      <c r="G124" s="29" t="s">
        <v>489</v>
      </c>
    </row>
    <row r="125" spans="1:8" x14ac:dyDescent="0.25">
      <c r="A125" s="29" t="s">
        <v>362</v>
      </c>
      <c r="B125" s="29" t="s">
        <v>1199</v>
      </c>
      <c r="C125" s="29" t="s">
        <v>1200</v>
      </c>
      <c r="D125" s="29" t="s">
        <v>1201</v>
      </c>
      <c r="E125" s="29" t="s">
        <v>1202</v>
      </c>
      <c r="F125" s="29" t="s">
        <v>1203</v>
      </c>
      <c r="G125" s="29" t="s">
        <v>1204</v>
      </c>
    </row>
    <row r="127" spans="1:8" ht="45" x14ac:dyDescent="0.25">
      <c r="B127" s="12" t="s">
        <v>1205</v>
      </c>
      <c r="C127" s="12" t="s">
        <v>1206</v>
      </c>
      <c r="D127" s="12" t="s">
        <v>1207</v>
      </c>
      <c r="E127" s="12" t="s">
        <v>1208</v>
      </c>
      <c r="F127" s="12" t="s">
        <v>1209</v>
      </c>
      <c r="G127" s="12" t="s">
        <v>1210</v>
      </c>
    </row>
    <row r="128" spans="1:8" x14ac:dyDescent="0.25">
      <c r="A128" s="3" t="s">
        <v>171</v>
      </c>
      <c r="B128" s="33">
        <f>IF(B34,0-Aggreg!B238/B34,0)</f>
        <v>-47.272882464321995</v>
      </c>
      <c r="C128" s="9"/>
      <c r="D128" s="9"/>
      <c r="E128" s="33">
        <f>IF(E34,0-Aggreg!E238/E34,0)</f>
        <v>0</v>
      </c>
      <c r="F128" s="9"/>
      <c r="G128" s="9"/>
      <c r="H128" s="10"/>
    </row>
    <row r="129" spans="1:8" x14ac:dyDescent="0.25">
      <c r="A129" s="3" t="s">
        <v>172</v>
      </c>
      <c r="B129" s="33">
        <f>IF(B35,0-Aggreg!B239/B35,0)</f>
        <v>-47.32004111680417</v>
      </c>
      <c r="C129" s="33">
        <f>IF(C35,0-Aggreg!C239/C35,0)</f>
        <v>-93.433771106661695</v>
      </c>
      <c r="D129" s="9"/>
      <c r="E129" s="33">
        <f>IF(E35,0-Aggreg!E239/E35,0)</f>
        <v>0</v>
      </c>
      <c r="F129" s="9"/>
      <c r="G129" s="9"/>
      <c r="H129" s="10"/>
    </row>
    <row r="130" spans="1:8" x14ac:dyDescent="0.25">
      <c r="A130" s="3" t="s">
        <v>211</v>
      </c>
      <c r="B130" s="33">
        <f>IF(B36,0-Aggreg!B240/B36,0)</f>
        <v>-62.421840126430943</v>
      </c>
      <c r="C130" s="9"/>
      <c r="D130" s="9"/>
      <c r="E130" s="9"/>
      <c r="F130" s="9"/>
      <c r="G130" s="9"/>
      <c r="H130" s="10"/>
    </row>
    <row r="131" spans="1:8" x14ac:dyDescent="0.25">
      <c r="A131" s="3" t="s">
        <v>173</v>
      </c>
      <c r="B131" s="33">
        <f>IF(B37,0-Aggreg!B241/B37,0)</f>
        <v>-52.780755680531989</v>
      </c>
      <c r="C131" s="9"/>
      <c r="D131" s="9"/>
      <c r="E131" s="33">
        <f>IF(E37,0-Aggreg!E241/E37,0)</f>
        <v>0</v>
      </c>
      <c r="F131" s="9"/>
      <c r="G131" s="9"/>
      <c r="H131" s="10"/>
    </row>
    <row r="132" spans="1:8" x14ac:dyDescent="0.25">
      <c r="A132" s="3" t="s">
        <v>174</v>
      </c>
      <c r="B132" s="33">
        <f>IF(B38,0-Aggreg!B242/B38,0)</f>
        <v>-51.722836608472988</v>
      </c>
      <c r="C132" s="33">
        <f>IF(C38,0-Aggreg!C242/C38,0)</f>
        <v>-93.43377622797945</v>
      </c>
      <c r="D132" s="9"/>
      <c r="E132" s="33">
        <f>IF(E38,0-Aggreg!E242/E38,0)</f>
        <v>0</v>
      </c>
      <c r="F132" s="9"/>
      <c r="G132" s="9"/>
      <c r="H132" s="10"/>
    </row>
    <row r="133" spans="1:8" x14ac:dyDescent="0.25">
      <c r="A133" s="3" t="s">
        <v>212</v>
      </c>
      <c r="B133" s="33">
        <f>IF(B39,0-Aggreg!B243/B39,0)</f>
        <v>-76.779092918740375</v>
      </c>
      <c r="C133" s="9"/>
      <c r="D133" s="9"/>
      <c r="E133" s="9"/>
      <c r="F133" s="9"/>
      <c r="G133" s="9"/>
      <c r="H133" s="10"/>
    </row>
    <row r="134" spans="1:8" x14ac:dyDescent="0.25">
      <c r="A134" s="3" t="s">
        <v>175</v>
      </c>
      <c r="B134" s="33">
        <f>IF(B40,0-Aggreg!B244/B40,0)</f>
        <v>-51.02014416073348</v>
      </c>
      <c r="C134" s="33">
        <f>IF(C40,0-Aggreg!C244/C40,0)</f>
        <v>-93.433771106661681</v>
      </c>
      <c r="D134" s="9"/>
      <c r="E134" s="33">
        <f>IF(E40,0-Aggreg!E244/E40,0)</f>
        <v>0</v>
      </c>
      <c r="F134" s="9"/>
      <c r="G134" s="9"/>
      <c r="H134" s="10"/>
    </row>
    <row r="135" spans="1:8" x14ac:dyDescent="0.25">
      <c r="A135" s="3" t="s">
        <v>176</v>
      </c>
      <c r="B135" s="33">
        <f>IF(B41,0-Aggreg!B245/B41,0)</f>
        <v>-46.328781618076668</v>
      </c>
      <c r="C135" s="33">
        <f>IF(C41,0-Aggreg!C245/C41,0)</f>
        <v>-81.693929927485868</v>
      </c>
      <c r="D135" s="9"/>
      <c r="E135" s="33">
        <f>IF(E41,0-Aggreg!E245/E41,0)</f>
        <v>0</v>
      </c>
      <c r="F135" s="9"/>
      <c r="G135" s="9"/>
      <c r="H135" s="10"/>
    </row>
    <row r="136" spans="1:8" x14ac:dyDescent="0.25">
      <c r="A136" s="3" t="s">
        <v>192</v>
      </c>
      <c r="B136" s="33">
        <f>IF(B42,0-Aggreg!B246/B42,0)</f>
        <v>-20.272472232566919</v>
      </c>
      <c r="C136" s="33">
        <f>IF(C42,0-Aggreg!C246/C42,0)</f>
        <v>-20.280305170339485</v>
      </c>
      <c r="D136" s="9"/>
      <c r="E136" s="33">
        <f>IF(E42,0-Aggreg!E246/E42,0)</f>
        <v>0</v>
      </c>
      <c r="F136" s="9"/>
      <c r="G136" s="9"/>
      <c r="H136" s="10"/>
    </row>
    <row r="137" spans="1:8" x14ac:dyDescent="0.25">
      <c r="A137" s="3" t="s">
        <v>177</v>
      </c>
      <c r="B137" s="33">
        <f>IF(B43,0-Aggreg!B247/B43,0)</f>
        <v>-37.719697571471528</v>
      </c>
      <c r="C137" s="33">
        <f>IF(C43,0-Aggreg!C247/C43,0)</f>
        <v>0</v>
      </c>
      <c r="D137" s="33">
        <f>IF(D43,0-Aggreg!D247/D43,0)</f>
        <v>-93.45115864631822</v>
      </c>
      <c r="E137" s="33">
        <f>IF(E43,0-Aggreg!E247/E43,0)</f>
        <v>0</v>
      </c>
      <c r="F137" s="9"/>
      <c r="G137" s="9"/>
      <c r="H137" s="10"/>
    </row>
    <row r="138" spans="1:8" x14ac:dyDescent="0.25">
      <c r="A138" s="3" t="s">
        <v>178</v>
      </c>
      <c r="B138" s="33">
        <f>IF(B44,0-Aggreg!B248/B44,0)</f>
        <v>-37.697363218597189</v>
      </c>
      <c r="C138" s="33">
        <f>IF(C44,0-Aggreg!C248/C44,0)</f>
        <v>0</v>
      </c>
      <c r="D138" s="33">
        <f>IF(D44,0-Aggreg!D248/D44,0)</f>
        <v>-93.380539533322491</v>
      </c>
      <c r="E138" s="33">
        <f>IF(E44,0-Aggreg!E248/E44,0)</f>
        <v>0</v>
      </c>
      <c r="F138" s="9"/>
      <c r="G138" s="9"/>
      <c r="H138" s="10"/>
    </row>
    <row r="139" spans="1:8" x14ac:dyDescent="0.25">
      <c r="A139" s="3" t="s">
        <v>179</v>
      </c>
      <c r="B139" s="33">
        <f>IF(B45,0-Aggreg!B249/B45,0)</f>
        <v>-32.465691254347725</v>
      </c>
      <c r="C139" s="33">
        <f>IF(C45,0-Aggreg!C249/C45,0)</f>
        <v>0</v>
      </c>
      <c r="D139" s="33">
        <f>IF(D45,0-Aggreg!D249/D45,0)</f>
        <v>-74.457132513813832</v>
      </c>
      <c r="E139" s="33">
        <f>IF(E45,0-Aggreg!E249/E45,0)</f>
        <v>0</v>
      </c>
      <c r="F139" s="33">
        <f>IF(F45,0-Aggreg!F249/F45,0)</f>
        <v>0</v>
      </c>
      <c r="G139" s="33">
        <f>IF(G45,0-Aggreg!G249/G45,0)</f>
        <v>-42.472915957399046</v>
      </c>
      <c r="H139" s="10"/>
    </row>
    <row r="140" spans="1:8" x14ac:dyDescent="0.25">
      <c r="A140" s="3" t="s">
        <v>180</v>
      </c>
      <c r="B140" s="33">
        <f>IF(B46,0-Aggreg!B250/B46,0)</f>
        <v>-24.453939729810337</v>
      </c>
      <c r="C140" s="33">
        <f>IF(C46,0-Aggreg!C250/C46,0)</f>
        <v>0</v>
      </c>
      <c r="D140" s="33">
        <f>IF(D46,0-Aggreg!D250/D46,0)</f>
        <v>-45.509942859125701</v>
      </c>
      <c r="E140" s="33">
        <f>IF(E46,0-Aggreg!E250/E46,0)</f>
        <v>0</v>
      </c>
      <c r="F140" s="33">
        <f>IF(F46,0-Aggreg!F250/F46,0)</f>
        <v>0</v>
      </c>
      <c r="G140" s="33">
        <f>IF(G46,0-Aggreg!G250/G46,0)</f>
        <v>-30.731128680184241</v>
      </c>
      <c r="H140" s="10"/>
    </row>
    <row r="141" spans="1:8" x14ac:dyDescent="0.25">
      <c r="A141" s="3" t="s">
        <v>193</v>
      </c>
      <c r="B141" s="33">
        <f>IF(B47,0-Aggreg!B251/B47,0)</f>
        <v>-16.850838548685612</v>
      </c>
      <c r="C141" s="33">
        <f>IF(C47,0-Aggreg!C251/C47,0)</f>
        <v>0</v>
      </c>
      <c r="D141" s="33">
        <f>IF(D47,0-Aggreg!D251/D47,0)</f>
        <v>-20.280305170339481</v>
      </c>
      <c r="E141" s="33">
        <f>IF(E47,0-Aggreg!E251/E47,0)</f>
        <v>0</v>
      </c>
      <c r="F141" s="33">
        <f>IF(F47,0-Aggreg!F251/F47,0)</f>
        <v>0</v>
      </c>
      <c r="G141" s="33">
        <f>IF(G47,0-Aggreg!G251/G47,0)</f>
        <v>-19.830615811269087</v>
      </c>
      <c r="H141" s="10"/>
    </row>
    <row r="142" spans="1:8" x14ac:dyDescent="0.25">
      <c r="A142" s="3" t="s">
        <v>213</v>
      </c>
      <c r="B142" s="33">
        <f>IF(B48,0-Aggreg!B252/B48,0)</f>
        <v>-96.487338772718388</v>
      </c>
      <c r="C142" s="9"/>
      <c r="D142" s="9"/>
      <c r="E142" s="9"/>
      <c r="F142" s="9"/>
      <c r="G142" s="9"/>
      <c r="H142" s="10"/>
    </row>
    <row r="143" spans="1:8" x14ac:dyDescent="0.25">
      <c r="A143" s="3" t="s">
        <v>214</v>
      </c>
      <c r="B143" s="33">
        <f>IF(B49,0-Aggreg!B253/B49,0)</f>
        <v>-68.460977581706459</v>
      </c>
      <c r="C143" s="9"/>
      <c r="D143" s="9"/>
      <c r="E143" s="9"/>
      <c r="F143" s="9"/>
      <c r="G143" s="9"/>
      <c r="H143" s="10"/>
    </row>
    <row r="144" spans="1:8" x14ac:dyDescent="0.25">
      <c r="A144" s="3" t="s">
        <v>215</v>
      </c>
      <c r="B144" s="33">
        <f>IF(B50,0-Aggreg!B254/B50,0)</f>
        <v>-57.328795773091905</v>
      </c>
      <c r="C144" s="9"/>
      <c r="D144" s="9"/>
      <c r="E144" s="9"/>
      <c r="F144" s="9"/>
      <c r="G144" s="9"/>
      <c r="H144" s="10"/>
    </row>
    <row r="145" spans="1:8" x14ac:dyDescent="0.25">
      <c r="A145" s="3" t="s">
        <v>216</v>
      </c>
      <c r="B145" s="33">
        <f>IF(B51,0-Aggreg!B255/B51,0)</f>
        <v>-234.15640363410029</v>
      </c>
      <c r="C145" s="9"/>
      <c r="D145" s="9"/>
      <c r="E145" s="9"/>
      <c r="F145" s="9"/>
      <c r="G145" s="9"/>
      <c r="H145" s="10"/>
    </row>
    <row r="146" spans="1:8" x14ac:dyDescent="0.25">
      <c r="A146" s="3" t="s">
        <v>217</v>
      </c>
      <c r="B146" s="33">
        <f>IF(B52,0-Aggreg!B256/B52,0)</f>
        <v>-43.07105365756901</v>
      </c>
      <c r="C146" s="33">
        <f>IF(C52,0-Aggreg!C256/C52,0)</f>
        <v>0</v>
      </c>
      <c r="D146" s="33">
        <f>IF(D52,0-Aggreg!D256/D52,0)</f>
        <v>-1472.682949413678</v>
      </c>
      <c r="E146" s="9"/>
      <c r="F146" s="9"/>
      <c r="G146" s="9"/>
      <c r="H146" s="10"/>
    </row>
    <row r="147" spans="1:8" x14ac:dyDescent="0.25">
      <c r="A147" s="3" t="s">
        <v>181</v>
      </c>
      <c r="B147" s="33">
        <f>IF(B53,0-Aggreg!B257/B53,0)</f>
        <v>-50.170369708586165</v>
      </c>
      <c r="C147" s="9"/>
      <c r="D147" s="9"/>
      <c r="E147" s="33">
        <f>IF(E53,0-Aggreg!E257/E53,0)</f>
        <v>0</v>
      </c>
      <c r="F147" s="9"/>
      <c r="G147" s="9"/>
      <c r="H147" s="10"/>
    </row>
    <row r="148" spans="1:8" x14ac:dyDescent="0.25">
      <c r="A148" s="3" t="s">
        <v>182</v>
      </c>
      <c r="B148" s="33">
        <f>IF(B54,0-Aggreg!B258/B54,0)</f>
        <v>-45.408362776702738</v>
      </c>
      <c r="C148" s="9"/>
      <c r="D148" s="9"/>
      <c r="E148" s="33">
        <f>IF(E54,0-Aggreg!E258/E54,0)</f>
        <v>0</v>
      </c>
      <c r="F148" s="9"/>
      <c r="G148" s="9"/>
      <c r="H148" s="10"/>
    </row>
    <row r="149" spans="1:8" x14ac:dyDescent="0.25">
      <c r="A149" s="3" t="s">
        <v>183</v>
      </c>
      <c r="B149" s="33">
        <f>IF(B55,0-Aggreg!B259/B55,0)</f>
        <v>-50.170369708586165</v>
      </c>
      <c r="C149" s="9"/>
      <c r="D149" s="9"/>
      <c r="E149" s="33">
        <f>IF(E55,0-Aggreg!E259/E55,0)</f>
        <v>0</v>
      </c>
      <c r="F149" s="9"/>
      <c r="G149" s="33">
        <f>IF(G55,0-Aggreg!G259/G55,0)</f>
        <v>-67.247121034326383</v>
      </c>
      <c r="H149" s="10"/>
    </row>
    <row r="150" spans="1:8" x14ac:dyDescent="0.25">
      <c r="A150" s="3" t="s">
        <v>184</v>
      </c>
      <c r="B150" s="33">
        <f>IF(B56,0-Aggreg!B260/B56,0)</f>
        <v>-37.717880326602661</v>
      </c>
      <c r="C150" s="33">
        <f>IF(C56,0-Aggreg!C260/C56,0)</f>
        <v>0</v>
      </c>
      <c r="D150" s="33">
        <f>IF(D56,0-Aggreg!D260/D56,0)</f>
        <v>-93.433771106661681</v>
      </c>
      <c r="E150" s="33">
        <f>IF(E56,0-Aggreg!E260/E56,0)</f>
        <v>0</v>
      </c>
      <c r="F150" s="9"/>
      <c r="G150" s="33">
        <f>IF(G56,0-Aggreg!G260/G56,0)</f>
        <v>-67.247121034326383</v>
      </c>
      <c r="H150" s="10"/>
    </row>
    <row r="151" spans="1:8" x14ac:dyDescent="0.25">
      <c r="A151" s="3" t="s">
        <v>185</v>
      </c>
      <c r="B151" s="33">
        <f>IF(B57,0-Aggreg!B261/B57,0)</f>
        <v>-45.408362776702738</v>
      </c>
      <c r="C151" s="9"/>
      <c r="D151" s="9"/>
      <c r="E151" s="33">
        <f>IF(E57,0-Aggreg!E261/E57,0)</f>
        <v>0</v>
      </c>
      <c r="F151" s="9"/>
      <c r="G151" s="33">
        <f>IF(G57,0-Aggreg!G261/G57,0)</f>
        <v>-60.753713534866208</v>
      </c>
      <c r="H151" s="10"/>
    </row>
    <row r="152" spans="1:8" x14ac:dyDescent="0.25">
      <c r="A152" s="3" t="s">
        <v>186</v>
      </c>
      <c r="B152" s="33">
        <f>IF(B58,0-Aggreg!B262/B58,0)</f>
        <v>-34.468629135482068</v>
      </c>
      <c r="C152" s="33">
        <f>IF(C58,0-Aggreg!C262/C58,0)</f>
        <v>0</v>
      </c>
      <c r="D152" s="33">
        <f>IF(D58,0-Aggreg!D262/D58,0)</f>
        <v>-81.693929927485868</v>
      </c>
      <c r="E152" s="33">
        <f>IF(E58,0-Aggreg!E262/E58,0)</f>
        <v>0</v>
      </c>
      <c r="F152" s="9"/>
      <c r="G152" s="33">
        <f>IF(G58,0-Aggreg!G262/G58,0)</f>
        <v>-60.753713534866208</v>
      </c>
      <c r="H152" s="10"/>
    </row>
    <row r="153" spans="1:8" x14ac:dyDescent="0.25">
      <c r="A153" s="3" t="s">
        <v>194</v>
      </c>
      <c r="B153" s="33">
        <f>IF(B59,0-Aggreg!B263/B59,0)</f>
        <v>-28.189792523158221</v>
      </c>
      <c r="C153" s="9"/>
      <c r="D153" s="9"/>
      <c r="E153" s="33">
        <f>IF(E59,0-Aggreg!E263/E59,0)</f>
        <v>0</v>
      </c>
      <c r="F153" s="9"/>
      <c r="G153" s="33">
        <f>IF(G59,0-Aggreg!G263/G59,0)</f>
        <v>-48.668972993657356</v>
      </c>
      <c r="H153" s="10"/>
    </row>
    <row r="154" spans="1:8" x14ac:dyDescent="0.25">
      <c r="A154" s="3" t="s">
        <v>195</v>
      </c>
      <c r="B154" s="33">
        <f>IF(B60,0-Aggreg!B264/B60,0)</f>
        <v>-22.685975996268152</v>
      </c>
      <c r="C154" s="33">
        <f>IF(C60,0-Aggreg!C264/C60,0)</f>
        <v>0</v>
      </c>
      <c r="D154" s="33">
        <f>IF(D60,0-Aggreg!D264/D60,0)</f>
        <v>-39.582044612985548</v>
      </c>
      <c r="E154" s="33">
        <f>IF(E60,0-Aggreg!E264/E60,0)</f>
        <v>0</v>
      </c>
      <c r="F154" s="9"/>
      <c r="G154" s="33">
        <f>IF(G60,0-Aggreg!G264/G60,0)</f>
        <v>-48.668972993657356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1" t="s">
        <v>1212</v>
      </c>
    </row>
    <row r="159" spans="1:8" x14ac:dyDescent="0.25">
      <c r="A159" s="11" t="s">
        <v>1213</v>
      </c>
    </row>
    <row r="160" spans="1:8" x14ac:dyDescent="0.25">
      <c r="A160" s="11" t="s">
        <v>1214</v>
      </c>
    </row>
    <row r="161" spans="1:3" x14ac:dyDescent="0.25">
      <c r="A161" s="11" t="s">
        <v>1215</v>
      </c>
    </row>
    <row r="162" spans="1:3" x14ac:dyDescent="0.25">
      <c r="A162" s="11" t="s">
        <v>1216</v>
      </c>
    </row>
    <row r="163" spans="1:3" x14ac:dyDescent="0.25">
      <c r="A163" s="11" t="s">
        <v>1217</v>
      </c>
    </row>
    <row r="164" spans="1:3" x14ac:dyDescent="0.25">
      <c r="A164" s="11" t="s">
        <v>1218</v>
      </c>
    </row>
    <row r="165" spans="1:3" x14ac:dyDescent="0.25">
      <c r="A165" s="2" t="s">
        <v>1219</v>
      </c>
    </row>
    <row r="167" spans="1:3" ht="30" x14ac:dyDescent="0.25">
      <c r="B167" s="12" t="s">
        <v>1220</v>
      </c>
    </row>
    <row r="168" spans="1:3" x14ac:dyDescent="0.25">
      <c r="A168" s="3" t="s">
        <v>1220</v>
      </c>
      <c r="B168" s="33">
        <f>Revenue!C69/SUM($B$82:$B$108,$C$82:$C$108,$D$82:$D$108,$E$82:$E$108,$F$82:$F$108,$G$82:$G$108)</f>
        <v>35.176832624363414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1" t="s">
        <v>1222</v>
      </c>
    </row>
    <row r="173" spans="1:3" x14ac:dyDescent="0.25">
      <c r="A173" s="11" t="s">
        <v>1223</v>
      </c>
    </row>
    <row r="174" spans="1:3" x14ac:dyDescent="0.25">
      <c r="A174" s="11" t="s">
        <v>1224</v>
      </c>
    </row>
    <row r="175" spans="1:3" x14ac:dyDescent="0.25">
      <c r="A175" s="11" t="s">
        <v>1225</v>
      </c>
    </row>
    <row r="176" spans="1:3" x14ac:dyDescent="0.25">
      <c r="A176" s="11" t="s">
        <v>1226</v>
      </c>
    </row>
    <row r="177" spans="1:3" x14ac:dyDescent="0.25">
      <c r="A177" s="11" t="s">
        <v>1227</v>
      </c>
    </row>
    <row r="178" spans="1:3" x14ac:dyDescent="0.25">
      <c r="A178" s="11" t="s">
        <v>1228</v>
      </c>
    </row>
    <row r="179" spans="1:3" x14ac:dyDescent="0.25">
      <c r="A179" s="2" t="s">
        <v>1229</v>
      </c>
    </row>
    <row r="181" spans="1:3" x14ac:dyDescent="0.25">
      <c r="B181" s="12" t="s">
        <v>1230</v>
      </c>
    </row>
    <row r="182" spans="1:3" x14ac:dyDescent="0.25">
      <c r="A182" s="3" t="s">
        <v>1230</v>
      </c>
      <c r="B182" s="33">
        <f>MIN(B168,$B$128:$B$154,$C$128:$C$154,$D$128:$D$154,$E$128:$E$154,$F$128:$F$154,$G$128:$G$154)</f>
        <v>-1472.682949413678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1" t="s">
        <v>1232</v>
      </c>
    </row>
    <row r="187" spans="1:3" x14ac:dyDescent="0.25">
      <c r="A187" s="11" t="s">
        <v>1213</v>
      </c>
    </row>
    <row r="188" spans="1:3" x14ac:dyDescent="0.25">
      <c r="A188" s="11" t="s">
        <v>1214</v>
      </c>
    </row>
    <row r="189" spans="1:3" x14ac:dyDescent="0.25">
      <c r="A189" s="11" t="s">
        <v>1215</v>
      </c>
    </row>
    <row r="190" spans="1:3" x14ac:dyDescent="0.25">
      <c r="A190" s="11" t="s">
        <v>1216</v>
      </c>
    </row>
    <row r="191" spans="1:3" x14ac:dyDescent="0.25">
      <c r="A191" s="11" t="s">
        <v>1217</v>
      </c>
    </row>
    <row r="192" spans="1:3" x14ac:dyDescent="0.25">
      <c r="A192" s="11" t="s">
        <v>1218</v>
      </c>
    </row>
    <row r="193" spans="1:14" x14ac:dyDescent="0.25">
      <c r="A193" s="11" t="s">
        <v>1233</v>
      </c>
    </row>
    <row r="194" spans="1:14" x14ac:dyDescent="0.25">
      <c r="A194" s="11" t="s">
        <v>1234</v>
      </c>
    </row>
    <row r="195" spans="1:14" x14ac:dyDescent="0.25">
      <c r="A195" s="11" t="s">
        <v>1235</v>
      </c>
    </row>
    <row r="196" spans="1:14" x14ac:dyDescent="0.25">
      <c r="A196" s="11" t="s">
        <v>1236</v>
      </c>
    </row>
    <row r="197" spans="1:14" x14ac:dyDescent="0.25">
      <c r="A197" s="11" t="s">
        <v>1237</v>
      </c>
    </row>
    <row r="198" spans="1:14" x14ac:dyDescent="0.25">
      <c r="A198" s="11" t="s">
        <v>1238</v>
      </c>
    </row>
    <row r="199" spans="1:14" x14ac:dyDescent="0.25">
      <c r="A199" s="11" t="s">
        <v>1239</v>
      </c>
    </row>
    <row r="200" spans="1:14" x14ac:dyDescent="0.25">
      <c r="A200" s="11" t="s">
        <v>1240</v>
      </c>
    </row>
    <row r="201" spans="1:14" x14ac:dyDescent="0.25">
      <c r="A201" s="11" t="s">
        <v>1241</v>
      </c>
    </row>
    <row r="202" spans="1:14" x14ac:dyDescent="0.25">
      <c r="A202" s="11" t="s">
        <v>1242</v>
      </c>
    </row>
    <row r="203" spans="1:14" x14ac:dyDescent="0.25">
      <c r="A203" s="11" t="s">
        <v>1243</v>
      </c>
    </row>
    <row r="204" spans="1:14" x14ac:dyDescent="0.25">
      <c r="A204" s="11" t="s">
        <v>1244</v>
      </c>
    </row>
    <row r="205" spans="1:14" x14ac:dyDescent="0.25">
      <c r="A205" s="11" t="s">
        <v>1245</v>
      </c>
    </row>
    <row r="206" spans="1:14" x14ac:dyDescent="0.25">
      <c r="A206" s="11" t="s">
        <v>1246</v>
      </c>
    </row>
    <row r="207" spans="1:14" x14ac:dyDescent="0.25">
      <c r="A207" s="29" t="s">
        <v>359</v>
      </c>
      <c r="B207" s="29" t="s">
        <v>427</v>
      </c>
      <c r="C207" s="29" t="s">
        <v>427</v>
      </c>
      <c r="D207" s="29" t="s">
        <v>427</v>
      </c>
      <c r="E207" s="29" t="s">
        <v>427</v>
      </c>
      <c r="F207" s="29" t="s">
        <v>427</v>
      </c>
      <c r="G207" s="29" t="s">
        <v>360</v>
      </c>
      <c r="H207" s="29" t="s">
        <v>489</v>
      </c>
      <c r="I207" s="29" t="s">
        <v>427</v>
      </c>
      <c r="J207" s="29" t="s">
        <v>427</v>
      </c>
      <c r="K207" s="29" t="s">
        <v>427</v>
      </c>
      <c r="L207" s="29" t="s">
        <v>427</v>
      </c>
      <c r="M207" s="29" t="s">
        <v>427</v>
      </c>
      <c r="N207" s="29" t="s">
        <v>427</v>
      </c>
    </row>
    <row r="208" spans="1:14" ht="30" x14ac:dyDescent="0.25">
      <c r="A208" s="29" t="s">
        <v>362</v>
      </c>
      <c r="B208" s="29" t="s">
        <v>420</v>
      </c>
      <c r="C208" s="29" t="s">
        <v>427</v>
      </c>
      <c r="D208" s="29" t="s">
        <v>1247</v>
      </c>
      <c r="E208" s="29" t="s">
        <v>1248</v>
      </c>
      <c r="F208" s="29" t="s">
        <v>1249</v>
      </c>
      <c r="G208" s="29" t="s">
        <v>363</v>
      </c>
      <c r="H208" s="29" t="s">
        <v>1250</v>
      </c>
      <c r="I208" s="29" t="s">
        <v>1251</v>
      </c>
      <c r="J208" s="29" t="s">
        <v>1252</v>
      </c>
      <c r="K208" s="29" t="s">
        <v>1253</v>
      </c>
      <c r="L208" s="29" t="s">
        <v>427</v>
      </c>
      <c r="M208" s="29" t="s">
        <v>427</v>
      </c>
      <c r="N208" s="29" t="s">
        <v>427</v>
      </c>
    </row>
    <row r="210" spans="1:15" ht="30" x14ac:dyDescent="0.25">
      <c r="B210" s="12" t="s">
        <v>1254</v>
      </c>
      <c r="C210" s="12" t="s">
        <v>1255</v>
      </c>
      <c r="D210" s="12" t="s">
        <v>1256</v>
      </c>
      <c r="E210" s="12" t="s">
        <v>1257</v>
      </c>
      <c r="F210" s="12" t="s">
        <v>1258</v>
      </c>
      <c r="G210" s="12" t="s">
        <v>1259</v>
      </c>
      <c r="H210" s="12" t="s">
        <v>1260</v>
      </c>
      <c r="I210" s="12" t="s">
        <v>1261</v>
      </c>
      <c r="J210" s="12" t="s">
        <v>1262</v>
      </c>
      <c r="K210" s="12" t="s">
        <v>1263</v>
      </c>
      <c r="L210" s="12" t="s">
        <v>1264</v>
      </c>
      <c r="M210" s="12" t="s">
        <v>9</v>
      </c>
      <c r="N210" s="12" t="s">
        <v>1265</v>
      </c>
    </row>
    <row r="211" spans="1:15" x14ac:dyDescent="0.25">
      <c r="A211" s="3" t="s">
        <v>1230</v>
      </c>
      <c r="B211" s="33">
        <f>B182</f>
        <v>-1472.682949413678</v>
      </c>
      <c r="C211" s="9"/>
      <c r="D211" s="9"/>
      <c r="E211" s="9"/>
      <c r="F211" s="9"/>
      <c r="G211" s="32">
        <v>0</v>
      </c>
      <c r="H211" s="17">
        <f t="shared" ref="H211:H242" si="0">F211*162+G211</f>
        <v>0</v>
      </c>
      <c r="I211" s="9"/>
      <c r="J211" s="9"/>
      <c r="K211" s="33">
        <f>B211</f>
        <v>-1472.682949413678</v>
      </c>
      <c r="L211" s="33">
        <f>SUM(D$211:D$372)</f>
        <v>0</v>
      </c>
      <c r="M211" s="33">
        <f>SUM($E$211:$E$372)-Revenue!$C$69</f>
        <v>-348283485.52652615</v>
      </c>
      <c r="N211" s="33">
        <f>IF(M$211&gt;0,K211,IF(M$373&gt;0,"",$B$168))</f>
        <v>35.176832624363414</v>
      </c>
      <c r="O211" s="10"/>
    </row>
    <row r="212" spans="1:15" x14ac:dyDescent="0.25">
      <c r="A212" s="3" t="s">
        <v>1266</v>
      </c>
      <c r="B212" s="33">
        <f t="shared" ref="B212:B238" si="1">B128</f>
        <v>-47.272882464321995</v>
      </c>
      <c r="C212" s="33">
        <f t="shared" ref="C212:C238" si="2">B82</f>
        <v>1309793.0073530762</v>
      </c>
      <c r="D212" s="33">
        <f t="shared" ref="D212:D243" si="3">IF(ISERROR(B212),C212,0)</f>
        <v>0</v>
      </c>
      <c r="E212" s="33">
        <f t="shared" ref="E212:E243" si="4">MAX($B$182,B212)*C212</f>
        <v>-61917690.889192805</v>
      </c>
      <c r="F212" s="17">
        <f t="shared" ref="F212:F243" si="5">RANK(B212,B$212:B$373,1)</f>
        <v>29</v>
      </c>
      <c r="G212" s="32">
        <v>1</v>
      </c>
      <c r="H212" s="17">
        <f t="shared" si="0"/>
        <v>4699</v>
      </c>
      <c r="I212" s="17">
        <f t="shared" ref="I212:I243" si="6">RANK(H212,H$212:H$373,1)</f>
        <v>29</v>
      </c>
      <c r="J212" s="17">
        <f t="shared" ref="J212:J243" si="7">MATCH(G212,I$212:I$373,0)</f>
        <v>73</v>
      </c>
      <c r="K212" s="33">
        <f t="shared" ref="K212:K243" si="8">INDEX(B$212:B$373,J212,1)</f>
        <v>-1472.682949413678</v>
      </c>
      <c r="L212" s="33">
        <f t="shared" ref="L212:L243" si="9">L211+INDEX(C$212:C$373,J212,1)</f>
        <v>833.82154529427157</v>
      </c>
      <c r="M212" s="33">
        <f t="shared" ref="M212:M243" si="10">M211+(K212-K211)*L211</f>
        <v>-348283485.52652615</v>
      </c>
      <c r="N212" s="33" t="str">
        <f t="shared" ref="N212:N243" si="11">IF((M211&gt;0)=(M212&gt;0),"",K212-M212/L211)</f>
        <v/>
      </c>
      <c r="O212" s="10"/>
    </row>
    <row r="213" spans="1:15" x14ac:dyDescent="0.25">
      <c r="A213" s="3" t="s">
        <v>1267</v>
      </c>
      <c r="B213" s="33">
        <f t="shared" si="1"/>
        <v>-47.32004111680417</v>
      </c>
      <c r="C213" s="33">
        <f t="shared" si="2"/>
        <v>814518.51047523739</v>
      </c>
      <c r="D213" s="33">
        <f t="shared" si="3"/>
        <v>0</v>
      </c>
      <c r="E213" s="33">
        <f t="shared" si="4"/>
        <v>-38543049.406086318</v>
      </c>
      <c r="F213" s="17">
        <f t="shared" si="5"/>
        <v>28</v>
      </c>
      <c r="G213" s="32">
        <v>2</v>
      </c>
      <c r="H213" s="17">
        <f t="shared" si="0"/>
        <v>4538</v>
      </c>
      <c r="I213" s="17">
        <f t="shared" si="6"/>
        <v>28</v>
      </c>
      <c r="J213" s="17">
        <f t="shared" si="7"/>
        <v>18</v>
      </c>
      <c r="K213" s="33">
        <f t="shared" si="8"/>
        <v>-234.15640363410029</v>
      </c>
      <c r="L213" s="33">
        <f t="shared" si="9"/>
        <v>1230.7603070880371</v>
      </c>
      <c r="M213" s="33">
        <f t="shared" si="10"/>
        <v>-347250775.40823627</v>
      </c>
      <c r="N213" s="33" t="str">
        <f t="shared" si="11"/>
        <v/>
      </c>
      <c r="O213" s="10"/>
    </row>
    <row r="214" spans="1:15" x14ac:dyDescent="0.25">
      <c r="A214" s="3" t="s">
        <v>1268</v>
      </c>
      <c r="B214" s="33">
        <f t="shared" si="1"/>
        <v>-62.421840126430943</v>
      </c>
      <c r="C214" s="33">
        <f t="shared" si="2"/>
        <v>8125.1326939182236</v>
      </c>
      <c r="D214" s="33">
        <f t="shared" si="3"/>
        <v>0</v>
      </c>
      <c r="E214" s="33">
        <f t="shared" si="4"/>
        <v>-507185.73402580054</v>
      </c>
      <c r="F214" s="17">
        <f t="shared" si="5"/>
        <v>17</v>
      </c>
      <c r="G214" s="32">
        <v>3</v>
      </c>
      <c r="H214" s="17">
        <f t="shared" si="0"/>
        <v>2757</v>
      </c>
      <c r="I214" s="17">
        <f t="shared" si="6"/>
        <v>17</v>
      </c>
      <c r="J214" s="17">
        <f t="shared" si="7"/>
        <v>15</v>
      </c>
      <c r="K214" s="33">
        <f t="shared" si="8"/>
        <v>-96.487338772718388</v>
      </c>
      <c r="L214" s="33">
        <f t="shared" si="9"/>
        <v>8531.6706054263177</v>
      </c>
      <c r="M214" s="33">
        <f t="shared" si="10"/>
        <v>-347081337.78769094</v>
      </c>
      <c r="N214" s="33" t="str">
        <f t="shared" si="11"/>
        <v/>
      </c>
      <c r="O214" s="10"/>
    </row>
    <row r="215" spans="1:15" x14ac:dyDescent="0.25">
      <c r="A215" s="3" t="s">
        <v>1269</v>
      </c>
      <c r="B215" s="33">
        <f t="shared" si="1"/>
        <v>-52.780755680531989</v>
      </c>
      <c r="C215" s="33">
        <f t="shared" si="2"/>
        <v>247328.24061660137</v>
      </c>
      <c r="D215" s="33">
        <f t="shared" si="3"/>
        <v>0</v>
      </c>
      <c r="E215" s="33">
        <f t="shared" si="4"/>
        <v>-13054171.440880666</v>
      </c>
      <c r="F215" s="17">
        <f t="shared" si="5"/>
        <v>21</v>
      </c>
      <c r="G215" s="32">
        <v>4</v>
      </c>
      <c r="H215" s="17">
        <f t="shared" si="0"/>
        <v>3406</v>
      </c>
      <c r="I215" s="17">
        <f t="shared" si="6"/>
        <v>21</v>
      </c>
      <c r="J215" s="17">
        <f t="shared" si="7"/>
        <v>64</v>
      </c>
      <c r="K215" s="33">
        <f t="shared" si="8"/>
        <v>-93.45115864631822</v>
      </c>
      <c r="L215" s="33">
        <f t="shared" si="9"/>
        <v>8531.6706054263177</v>
      </c>
      <c r="M215" s="33">
        <f t="shared" si="10"/>
        <v>-347055434.09895372</v>
      </c>
      <c r="N215" s="33" t="str">
        <f t="shared" si="11"/>
        <v/>
      </c>
      <c r="O215" s="10"/>
    </row>
    <row r="216" spans="1:15" x14ac:dyDescent="0.25">
      <c r="A216" s="3" t="s">
        <v>1270</v>
      </c>
      <c r="B216" s="33">
        <f t="shared" si="1"/>
        <v>-51.722836608472988</v>
      </c>
      <c r="C216" s="33">
        <f t="shared" si="2"/>
        <v>382047.52711256919</v>
      </c>
      <c r="D216" s="33">
        <f t="shared" si="3"/>
        <v>0</v>
      </c>
      <c r="E216" s="33">
        <f t="shared" si="4"/>
        <v>-19760581.821514569</v>
      </c>
      <c r="F216" s="17">
        <f t="shared" si="5"/>
        <v>22</v>
      </c>
      <c r="G216" s="32">
        <v>5</v>
      </c>
      <c r="H216" s="17">
        <f t="shared" si="0"/>
        <v>3569</v>
      </c>
      <c r="I216" s="17">
        <f t="shared" si="6"/>
        <v>22</v>
      </c>
      <c r="J216" s="17">
        <f t="shared" si="7"/>
        <v>32</v>
      </c>
      <c r="K216" s="33">
        <f t="shared" si="8"/>
        <v>-93.43377622797945</v>
      </c>
      <c r="L216" s="33">
        <f t="shared" si="9"/>
        <v>11040.348220637739</v>
      </c>
      <c r="M216" s="33">
        <f t="shared" si="10"/>
        <v>-347055285.79788613</v>
      </c>
      <c r="N216" s="33" t="str">
        <f t="shared" si="11"/>
        <v/>
      </c>
      <c r="O216" s="10"/>
    </row>
    <row r="217" spans="1:15" x14ac:dyDescent="0.25">
      <c r="A217" s="3" t="s">
        <v>1271</v>
      </c>
      <c r="B217" s="33">
        <f t="shared" si="1"/>
        <v>-76.779092918740375</v>
      </c>
      <c r="C217" s="33">
        <f t="shared" si="2"/>
        <v>110.71721243088538</v>
      </c>
      <c r="D217" s="33">
        <f t="shared" si="3"/>
        <v>0</v>
      </c>
      <c r="E217" s="33">
        <f t="shared" si="4"/>
        <v>-8500.7671409348659</v>
      </c>
      <c r="F217" s="17">
        <f t="shared" si="5"/>
        <v>12</v>
      </c>
      <c r="G217" s="32">
        <v>6</v>
      </c>
      <c r="H217" s="17">
        <f t="shared" si="0"/>
        <v>1950</v>
      </c>
      <c r="I217" s="17">
        <f t="shared" si="6"/>
        <v>12</v>
      </c>
      <c r="J217" s="17">
        <f t="shared" si="7"/>
        <v>29</v>
      </c>
      <c r="K217" s="33">
        <f t="shared" si="8"/>
        <v>-93.433771106661695</v>
      </c>
      <c r="L217" s="33">
        <f t="shared" si="9"/>
        <v>17601.537581601879</v>
      </c>
      <c r="M217" s="33">
        <f t="shared" si="10"/>
        <v>-347055285.74134499</v>
      </c>
      <c r="N217" s="33" t="str">
        <f t="shared" si="11"/>
        <v/>
      </c>
      <c r="O217" s="10"/>
    </row>
    <row r="218" spans="1:15" x14ac:dyDescent="0.25">
      <c r="A218" s="3" t="s">
        <v>1272</v>
      </c>
      <c r="B218" s="33">
        <f t="shared" si="1"/>
        <v>-51.02014416073348</v>
      </c>
      <c r="C218" s="33">
        <f t="shared" si="2"/>
        <v>0</v>
      </c>
      <c r="D218" s="33">
        <f t="shared" si="3"/>
        <v>0</v>
      </c>
      <c r="E218" s="33">
        <f t="shared" si="4"/>
        <v>0</v>
      </c>
      <c r="F218" s="17">
        <f t="shared" si="5"/>
        <v>23</v>
      </c>
      <c r="G218" s="32">
        <v>7</v>
      </c>
      <c r="H218" s="17">
        <f t="shared" si="0"/>
        <v>3733</v>
      </c>
      <c r="I218" s="17">
        <f t="shared" si="6"/>
        <v>23</v>
      </c>
      <c r="J218" s="17">
        <f t="shared" si="7"/>
        <v>34</v>
      </c>
      <c r="K218" s="33">
        <f t="shared" si="8"/>
        <v>-93.433771106661681</v>
      </c>
      <c r="L218" s="33">
        <f t="shared" si="9"/>
        <v>17601.537581601879</v>
      </c>
      <c r="M218" s="33">
        <f t="shared" si="10"/>
        <v>-347055285.74134499</v>
      </c>
      <c r="N218" s="33" t="str">
        <f t="shared" si="11"/>
        <v/>
      </c>
      <c r="O218" s="10"/>
    </row>
    <row r="219" spans="1:15" x14ac:dyDescent="0.25">
      <c r="A219" s="3" t="s">
        <v>1273</v>
      </c>
      <c r="B219" s="33">
        <f t="shared" si="1"/>
        <v>-46.328781618076668</v>
      </c>
      <c r="C219" s="33">
        <f t="shared" si="2"/>
        <v>0</v>
      </c>
      <c r="D219" s="33">
        <f t="shared" si="3"/>
        <v>0</v>
      </c>
      <c r="E219" s="33">
        <f t="shared" si="4"/>
        <v>0</v>
      </c>
      <c r="F219" s="17">
        <f t="shared" si="5"/>
        <v>30</v>
      </c>
      <c r="G219" s="32">
        <v>8</v>
      </c>
      <c r="H219" s="17">
        <f t="shared" si="0"/>
        <v>4868</v>
      </c>
      <c r="I219" s="17">
        <f t="shared" si="6"/>
        <v>30</v>
      </c>
      <c r="J219" s="17">
        <f t="shared" si="7"/>
        <v>77</v>
      </c>
      <c r="K219" s="33">
        <f t="shared" si="8"/>
        <v>-93.433771106661681</v>
      </c>
      <c r="L219" s="33">
        <f t="shared" si="9"/>
        <v>17601.537581601879</v>
      </c>
      <c r="M219" s="33">
        <f t="shared" si="10"/>
        <v>-347055285.74134499</v>
      </c>
      <c r="N219" s="33" t="str">
        <f t="shared" si="11"/>
        <v/>
      </c>
      <c r="O219" s="10"/>
    </row>
    <row r="220" spans="1:15" x14ac:dyDescent="0.25">
      <c r="A220" s="3" t="s">
        <v>1274</v>
      </c>
      <c r="B220" s="33">
        <f t="shared" si="1"/>
        <v>-20.272472232566919</v>
      </c>
      <c r="C220" s="33">
        <f t="shared" si="2"/>
        <v>0</v>
      </c>
      <c r="D220" s="33">
        <f t="shared" si="3"/>
        <v>0</v>
      </c>
      <c r="E220" s="33">
        <f t="shared" si="4"/>
        <v>0</v>
      </c>
      <c r="F220" s="17">
        <f t="shared" si="5"/>
        <v>48</v>
      </c>
      <c r="G220" s="32">
        <v>9</v>
      </c>
      <c r="H220" s="17">
        <f t="shared" si="0"/>
        <v>7785</v>
      </c>
      <c r="I220" s="17">
        <f t="shared" si="6"/>
        <v>48</v>
      </c>
      <c r="J220" s="17">
        <f t="shared" si="7"/>
        <v>65</v>
      </c>
      <c r="K220" s="33">
        <f t="shared" si="8"/>
        <v>-93.380539533322491</v>
      </c>
      <c r="L220" s="33">
        <f t="shared" si="9"/>
        <v>17951.248162909324</v>
      </c>
      <c r="M220" s="33">
        <f t="shared" si="10"/>
        <v>-347054348.78380632</v>
      </c>
      <c r="N220" s="33" t="str">
        <f t="shared" si="11"/>
        <v/>
      </c>
      <c r="O220" s="10"/>
    </row>
    <row r="221" spans="1:15" x14ac:dyDescent="0.25">
      <c r="A221" s="3" t="s">
        <v>1275</v>
      </c>
      <c r="B221" s="33">
        <f t="shared" si="1"/>
        <v>-37.719697571471528</v>
      </c>
      <c r="C221" s="33">
        <f t="shared" si="2"/>
        <v>0</v>
      </c>
      <c r="D221" s="33">
        <f t="shared" si="3"/>
        <v>0</v>
      </c>
      <c r="E221" s="33">
        <f t="shared" si="4"/>
        <v>0</v>
      </c>
      <c r="F221" s="17">
        <f t="shared" si="5"/>
        <v>37</v>
      </c>
      <c r="G221" s="32">
        <v>10</v>
      </c>
      <c r="H221" s="17">
        <f t="shared" si="0"/>
        <v>6004</v>
      </c>
      <c r="I221" s="17">
        <f t="shared" si="6"/>
        <v>37</v>
      </c>
      <c r="J221" s="17">
        <f t="shared" si="7"/>
        <v>35</v>
      </c>
      <c r="K221" s="33">
        <f t="shared" si="8"/>
        <v>-81.693929927485868</v>
      </c>
      <c r="L221" s="33">
        <f t="shared" si="9"/>
        <v>17951.248162909324</v>
      </c>
      <c r="M221" s="33">
        <f t="shared" si="10"/>
        <v>-346844559.55458891</v>
      </c>
      <c r="N221" s="33" t="str">
        <f t="shared" si="11"/>
        <v/>
      </c>
      <c r="O221" s="10"/>
    </row>
    <row r="222" spans="1:15" x14ac:dyDescent="0.25">
      <c r="A222" s="3" t="s">
        <v>1276</v>
      </c>
      <c r="B222" s="33">
        <f t="shared" si="1"/>
        <v>-37.697363218597189</v>
      </c>
      <c r="C222" s="33">
        <f t="shared" si="2"/>
        <v>30322.262512603666</v>
      </c>
      <c r="D222" s="33">
        <f t="shared" si="3"/>
        <v>0</v>
      </c>
      <c r="E222" s="33">
        <f t="shared" si="4"/>
        <v>-1143069.3435472739</v>
      </c>
      <c r="F222" s="17">
        <f t="shared" si="5"/>
        <v>39</v>
      </c>
      <c r="G222" s="32">
        <v>11</v>
      </c>
      <c r="H222" s="17">
        <f t="shared" si="0"/>
        <v>6329</v>
      </c>
      <c r="I222" s="17">
        <f t="shared" si="6"/>
        <v>39</v>
      </c>
      <c r="J222" s="17">
        <f t="shared" si="7"/>
        <v>79</v>
      </c>
      <c r="K222" s="33">
        <f t="shared" si="8"/>
        <v>-81.693929927485868</v>
      </c>
      <c r="L222" s="33">
        <f t="shared" si="9"/>
        <v>17951.248162909324</v>
      </c>
      <c r="M222" s="33">
        <f t="shared" si="10"/>
        <v>-346844559.55458891</v>
      </c>
      <c r="N222" s="33" t="str">
        <f t="shared" si="11"/>
        <v/>
      </c>
      <c r="O222" s="10"/>
    </row>
    <row r="223" spans="1:15" x14ac:dyDescent="0.25">
      <c r="A223" s="3" t="s">
        <v>1277</v>
      </c>
      <c r="B223" s="33">
        <f t="shared" si="1"/>
        <v>-32.465691254347725</v>
      </c>
      <c r="C223" s="33">
        <f t="shared" si="2"/>
        <v>662353.6460530461</v>
      </c>
      <c r="D223" s="33">
        <f t="shared" si="3"/>
        <v>0</v>
      </c>
      <c r="E223" s="33">
        <f t="shared" si="4"/>
        <v>-21503768.973949708</v>
      </c>
      <c r="F223" s="17">
        <f t="shared" si="5"/>
        <v>41</v>
      </c>
      <c r="G223" s="32">
        <v>12</v>
      </c>
      <c r="H223" s="17">
        <f t="shared" si="0"/>
        <v>6654</v>
      </c>
      <c r="I223" s="17">
        <f t="shared" si="6"/>
        <v>41</v>
      </c>
      <c r="J223" s="17">
        <f t="shared" si="7"/>
        <v>6</v>
      </c>
      <c r="K223" s="33">
        <f t="shared" si="8"/>
        <v>-76.779092918740375</v>
      </c>
      <c r="L223" s="33">
        <f t="shared" si="9"/>
        <v>18061.965375340209</v>
      </c>
      <c r="M223" s="33">
        <f t="shared" si="10"/>
        <v>-346756332.0957647</v>
      </c>
      <c r="N223" s="33" t="str">
        <f t="shared" si="11"/>
        <v/>
      </c>
      <c r="O223" s="10"/>
    </row>
    <row r="224" spans="1:15" x14ac:dyDescent="0.25">
      <c r="A224" s="3" t="s">
        <v>1278</v>
      </c>
      <c r="B224" s="33">
        <f t="shared" si="1"/>
        <v>-24.453939729810337</v>
      </c>
      <c r="C224" s="33">
        <f t="shared" si="2"/>
        <v>17606.299669815413</v>
      </c>
      <c r="D224" s="33">
        <f t="shared" si="3"/>
        <v>0</v>
      </c>
      <c r="E224" s="33">
        <f t="shared" si="4"/>
        <v>-430543.39099064574</v>
      </c>
      <c r="F224" s="17">
        <f t="shared" si="5"/>
        <v>44</v>
      </c>
      <c r="G224" s="32">
        <v>13</v>
      </c>
      <c r="H224" s="17">
        <f t="shared" si="0"/>
        <v>7141</v>
      </c>
      <c r="I224" s="17">
        <f t="shared" si="6"/>
        <v>44</v>
      </c>
      <c r="J224" s="17">
        <f t="shared" si="7"/>
        <v>66</v>
      </c>
      <c r="K224" s="33">
        <f t="shared" si="8"/>
        <v>-74.457132513813832</v>
      </c>
      <c r="L224" s="33">
        <f t="shared" si="9"/>
        <v>25603.020678275505</v>
      </c>
      <c r="M224" s="33">
        <f t="shared" si="10"/>
        <v>-346714392.92732799</v>
      </c>
      <c r="N224" s="33" t="str">
        <f t="shared" si="11"/>
        <v/>
      </c>
      <c r="O224" s="10"/>
    </row>
    <row r="225" spans="1:15" x14ac:dyDescent="0.25">
      <c r="A225" s="3" t="s">
        <v>1279</v>
      </c>
      <c r="B225" s="33">
        <f t="shared" si="1"/>
        <v>-16.850838548685612</v>
      </c>
      <c r="C225" s="33">
        <f t="shared" si="2"/>
        <v>1071669.3789619838</v>
      </c>
      <c r="D225" s="33">
        <f t="shared" si="3"/>
        <v>0</v>
      </c>
      <c r="E225" s="33">
        <f t="shared" si="4"/>
        <v>-18058527.682458568</v>
      </c>
      <c r="F225" s="17">
        <f t="shared" si="5"/>
        <v>50</v>
      </c>
      <c r="G225" s="32">
        <v>14</v>
      </c>
      <c r="H225" s="17">
        <f t="shared" si="0"/>
        <v>8114</v>
      </c>
      <c r="I225" s="17">
        <f t="shared" si="6"/>
        <v>50</v>
      </c>
      <c r="J225" s="17">
        <f t="shared" si="7"/>
        <v>16</v>
      </c>
      <c r="K225" s="33">
        <f t="shared" si="8"/>
        <v>-68.460977581706459</v>
      </c>
      <c r="L225" s="33">
        <f t="shared" si="9"/>
        <v>31248.628079064179</v>
      </c>
      <c r="M225" s="33">
        <f t="shared" si="10"/>
        <v>-346560873.24861109</v>
      </c>
      <c r="N225" s="33" t="str">
        <f t="shared" si="11"/>
        <v/>
      </c>
      <c r="O225" s="10"/>
    </row>
    <row r="226" spans="1:15" x14ac:dyDescent="0.25">
      <c r="A226" s="3" t="s">
        <v>1280</v>
      </c>
      <c r="B226" s="33">
        <f t="shared" si="1"/>
        <v>-96.487338772718388</v>
      </c>
      <c r="C226" s="33">
        <f t="shared" si="2"/>
        <v>7300.9102983382809</v>
      </c>
      <c r="D226" s="33">
        <f t="shared" si="3"/>
        <v>0</v>
      </c>
      <c r="E226" s="33">
        <f t="shared" si="4"/>
        <v>-704445.4053049942</v>
      </c>
      <c r="F226" s="17">
        <f t="shared" si="5"/>
        <v>3</v>
      </c>
      <c r="G226" s="32">
        <v>15</v>
      </c>
      <c r="H226" s="17">
        <f t="shared" si="0"/>
        <v>501</v>
      </c>
      <c r="I226" s="17">
        <f t="shared" si="6"/>
        <v>3</v>
      </c>
      <c r="J226" s="17">
        <f t="shared" si="7"/>
        <v>157</v>
      </c>
      <c r="K226" s="33">
        <f t="shared" si="8"/>
        <v>-67.247121034326383</v>
      </c>
      <c r="L226" s="33">
        <f t="shared" si="9"/>
        <v>31248.628079064179</v>
      </c>
      <c r="M226" s="33">
        <f t="shared" si="10"/>
        <v>-346522941.89682066</v>
      </c>
      <c r="N226" s="33" t="str">
        <f t="shared" si="11"/>
        <v/>
      </c>
      <c r="O226" s="10"/>
    </row>
    <row r="227" spans="1:15" x14ac:dyDescent="0.25">
      <c r="A227" s="3" t="s">
        <v>1281</v>
      </c>
      <c r="B227" s="33">
        <f t="shared" si="1"/>
        <v>-68.460977581706459</v>
      </c>
      <c r="C227" s="33">
        <f t="shared" si="2"/>
        <v>5645.6074007886755</v>
      </c>
      <c r="D227" s="33">
        <f t="shared" si="3"/>
        <v>0</v>
      </c>
      <c r="E227" s="33">
        <f t="shared" si="4"/>
        <v>-386503.80170050956</v>
      </c>
      <c r="F227" s="17">
        <f t="shared" si="5"/>
        <v>14</v>
      </c>
      <c r="G227" s="32">
        <v>16</v>
      </c>
      <c r="H227" s="17">
        <f t="shared" si="0"/>
        <v>2284</v>
      </c>
      <c r="I227" s="17">
        <f t="shared" si="6"/>
        <v>14</v>
      </c>
      <c r="J227" s="17">
        <f t="shared" si="7"/>
        <v>158</v>
      </c>
      <c r="K227" s="33">
        <f t="shared" si="8"/>
        <v>-67.247121034326383</v>
      </c>
      <c r="L227" s="33">
        <f t="shared" si="9"/>
        <v>31248.628079064179</v>
      </c>
      <c r="M227" s="33">
        <f t="shared" si="10"/>
        <v>-346522941.89682066</v>
      </c>
      <c r="N227" s="33" t="str">
        <f t="shared" si="11"/>
        <v/>
      </c>
      <c r="O227" s="10"/>
    </row>
    <row r="228" spans="1:15" x14ac:dyDescent="0.25">
      <c r="A228" s="3" t="s">
        <v>1282</v>
      </c>
      <c r="B228" s="33">
        <f t="shared" si="1"/>
        <v>-57.328795773091905</v>
      </c>
      <c r="C228" s="33">
        <f t="shared" si="2"/>
        <v>155.5924389715455</v>
      </c>
      <c r="D228" s="33">
        <f t="shared" si="3"/>
        <v>0</v>
      </c>
      <c r="E228" s="33">
        <f t="shared" si="4"/>
        <v>-8919.9271576369974</v>
      </c>
      <c r="F228" s="17">
        <f t="shared" si="5"/>
        <v>20</v>
      </c>
      <c r="G228" s="32">
        <v>17</v>
      </c>
      <c r="H228" s="17">
        <f t="shared" si="0"/>
        <v>3257</v>
      </c>
      <c r="I228" s="17">
        <f t="shared" si="6"/>
        <v>20</v>
      </c>
      <c r="J228" s="17">
        <f t="shared" si="7"/>
        <v>3</v>
      </c>
      <c r="K228" s="33">
        <f t="shared" si="8"/>
        <v>-62.421840126430943</v>
      </c>
      <c r="L228" s="33">
        <f t="shared" si="9"/>
        <v>39373.760772982401</v>
      </c>
      <c r="M228" s="33">
        <f t="shared" si="10"/>
        <v>-346372158.48835284</v>
      </c>
      <c r="N228" s="33" t="str">
        <f t="shared" si="11"/>
        <v/>
      </c>
      <c r="O228" s="10"/>
    </row>
    <row r="229" spans="1:15" x14ac:dyDescent="0.25">
      <c r="A229" s="3" t="s">
        <v>1283</v>
      </c>
      <c r="B229" s="33">
        <f t="shared" si="1"/>
        <v>-234.15640363410029</v>
      </c>
      <c r="C229" s="33">
        <f t="shared" si="2"/>
        <v>396.93876179376548</v>
      </c>
      <c r="D229" s="33">
        <f t="shared" si="3"/>
        <v>0</v>
      </c>
      <c r="E229" s="33">
        <f t="shared" si="4"/>
        <v>-92945.752924600936</v>
      </c>
      <c r="F229" s="17">
        <f t="shared" si="5"/>
        <v>2</v>
      </c>
      <c r="G229" s="32">
        <v>18</v>
      </c>
      <c r="H229" s="17">
        <f t="shared" si="0"/>
        <v>342</v>
      </c>
      <c r="I229" s="17">
        <f t="shared" si="6"/>
        <v>2</v>
      </c>
      <c r="J229" s="17">
        <f t="shared" si="7"/>
        <v>159</v>
      </c>
      <c r="K229" s="33">
        <f t="shared" si="8"/>
        <v>-60.753713534866208</v>
      </c>
      <c r="L229" s="33">
        <f t="shared" si="9"/>
        <v>39373.760772982401</v>
      </c>
      <c r="M229" s="33">
        <f t="shared" si="10"/>
        <v>-346306478.07099754</v>
      </c>
      <c r="N229" s="33" t="str">
        <f t="shared" si="11"/>
        <v/>
      </c>
      <c r="O229" s="10"/>
    </row>
    <row r="230" spans="1:15" x14ac:dyDescent="0.25">
      <c r="A230" s="3" t="s">
        <v>1284</v>
      </c>
      <c r="B230" s="33">
        <f t="shared" si="1"/>
        <v>-43.07105365756901</v>
      </c>
      <c r="C230" s="33">
        <f t="shared" si="2"/>
        <v>62142.358950136033</v>
      </c>
      <c r="D230" s="33">
        <f t="shared" si="3"/>
        <v>0</v>
      </c>
      <c r="E230" s="33">
        <f t="shared" si="4"/>
        <v>-2676536.8767492231</v>
      </c>
      <c r="F230" s="17">
        <f t="shared" si="5"/>
        <v>34</v>
      </c>
      <c r="G230" s="32">
        <v>19</v>
      </c>
      <c r="H230" s="17">
        <f t="shared" si="0"/>
        <v>5527</v>
      </c>
      <c r="I230" s="17">
        <f t="shared" si="6"/>
        <v>34</v>
      </c>
      <c r="J230" s="17">
        <f t="shared" si="7"/>
        <v>160</v>
      </c>
      <c r="K230" s="33">
        <f t="shared" si="8"/>
        <v>-60.753713534866208</v>
      </c>
      <c r="L230" s="33">
        <f t="shared" si="9"/>
        <v>39373.760772982401</v>
      </c>
      <c r="M230" s="33">
        <f t="shared" si="10"/>
        <v>-346306478.07099754</v>
      </c>
      <c r="N230" s="33" t="str">
        <f t="shared" si="11"/>
        <v/>
      </c>
      <c r="O230" s="10"/>
    </row>
    <row r="231" spans="1:15" x14ac:dyDescent="0.25">
      <c r="A231" s="3" t="s">
        <v>1285</v>
      </c>
      <c r="B231" s="33">
        <f t="shared" si="1"/>
        <v>-50.170369708586165</v>
      </c>
      <c r="C231" s="33">
        <f t="shared" si="2"/>
        <v>0</v>
      </c>
      <c r="D231" s="33">
        <f t="shared" si="3"/>
        <v>0</v>
      </c>
      <c r="E231" s="33">
        <f t="shared" si="4"/>
        <v>0</v>
      </c>
      <c r="F231" s="17">
        <f t="shared" si="5"/>
        <v>24</v>
      </c>
      <c r="G231" s="32">
        <v>20</v>
      </c>
      <c r="H231" s="17">
        <f t="shared" si="0"/>
        <v>3908</v>
      </c>
      <c r="I231" s="17">
        <f t="shared" si="6"/>
        <v>24</v>
      </c>
      <c r="J231" s="17">
        <f t="shared" si="7"/>
        <v>17</v>
      </c>
      <c r="K231" s="33">
        <f t="shared" si="8"/>
        <v>-57.328795773091905</v>
      </c>
      <c r="L231" s="33">
        <f t="shared" si="9"/>
        <v>39529.353211953945</v>
      </c>
      <c r="M231" s="33">
        <f t="shared" si="10"/>
        <v>-346171626.17837828</v>
      </c>
      <c r="N231" s="33" t="str">
        <f t="shared" si="11"/>
        <v/>
      </c>
      <c r="O231" s="10"/>
    </row>
    <row r="232" spans="1:15" x14ac:dyDescent="0.25">
      <c r="A232" s="3" t="s">
        <v>1286</v>
      </c>
      <c r="B232" s="33">
        <f t="shared" si="1"/>
        <v>-45.408362776702738</v>
      </c>
      <c r="C232" s="33">
        <f t="shared" si="2"/>
        <v>0</v>
      </c>
      <c r="D232" s="33">
        <f t="shared" si="3"/>
        <v>0</v>
      </c>
      <c r="E232" s="33">
        <f t="shared" si="4"/>
        <v>0</v>
      </c>
      <c r="F232" s="17">
        <f t="shared" si="5"/>
        <v>32</v>
      </c>
      <c r="G232" s="32">
        <v>21</v>
      </c>
      <c r="H232" s="17">
        <f t="shared" si="0"/>
        <v>5205</v>
      </c>
      <c r="I232" s="17">
        <f t="shared" si="6"/>
        <v>32</v>
      </c>
      <c r="J232" s="17">
        <f t="shared" si="7"/>
        <v>4</v>
      </c>
      <c r="K232" s="33">
        <f t="shared" si="8"/>
        <v>-52.780755680531989</v>
      </c>
      <c r="L232" s="33">
        <f t="shared" si="9"/>
        <v>286857.59382855531</v>
      </c>
      <c r="M232" s="33">
        <f t="shared" si="10"/>
        <v>-345991845.09513736</v>
      </c>
      <c r="N232" s="33" t="str">
        <f t="shared" si="11"/>
        <v/>
      </c>
      <c r="O232" s="10"/>
    </row>
    <row r="233" spans="1:15" x14ac:dyDescent="0.25">
      <c r="A233" s="3" t="s">
        <v>1287</v>
      </c>
      <c r="B233" s="33">
        <f t="shared" si="1"/>
        <v>-50.170369708586165</v>
      </c>
      <c r="C233" s="33">
        <f t="shared" si="2"/>
        <v>0</v>
      </c>
      <c r="D233" s="33">
        <f t="shared" si="3"/>
        <v>0</v>
      </c>
      <c r="E233" s="33">
        <f t="shared" si="4"/>
        <v>0</v>
      </c>
      <c r="F233" s="17">
        <f t="shared" si="5"/>
        <v>24</v>
      </c>
      <c r="G233" s="32">
        <v>22</v>
      </c>
      <c r="H233" s="17">
        <f t="shared" si="0"/>
        <v>3910</v>
      </c>
      <c r="I233" s="17">
        <f t="shared" si="6"/>
        <v>25</v>
      </c>
      <c r="J233" s="17">
        <f t="shared" si="7"/>
        <v>5</v>
      </c>
      <c r="K233" s="33">
        <f t="shared" si="8"/>
        <v>-51.722836608472988</v>
      </c>
      <c r="L233" s="33">
        <f t="shared" si="9"/>
        <v>668905.12094112451</v>
      </c>
      <c r="M233" s="33">
        <f t="shared" si="10"/>
        <v>-345688372.97566116</v>
      </c>
      <c r="N233" s="33" t="str">
        <f t="shared" si="11"/>
        <v/>
      </c>
      <c r="O233" s="10"/>
    </row>
    <row r="234" spans="1:15" x14ac:dyDescent="0.25">
      <c r="A234" s="3" t="s">
        <v>1288</v>
      </c>
      <c r="B234" s="33">
        <f t="shared" si="1"/>
        <v>-37.717880326602661</v>
      </c>
      <c r="C234" s="33">
        <f t="shared" si="2"/>
        <v>0</v>
      </c>
      <c r="D234" s="33">
        <f t="shared" si="3"/>
        <v>0</v>
      </c>
      <c r="E234" s="33">
        <f t="shared" si="4"/>
        <v>0</v>
      </c>
      <c r="F234" s="17">
        <f t="shared" si="5"/>
        <v>38</v>
      </c>
      <c r="G234" s="32">
        <v>23</v>
      </c>
      <c r="H234" s="17">
        <f t="shared" si="0"/>
        <v>6179</v>
      </c>
      <c r="I234" s="17">
        <f t="shared" si="6"/>
        <v>38</v>
      </c>
      <c r="J234" s="17">
        <f t="shared" si="7"/>
        <v>7</v>
      </c>
      <c r="K234" s="33">
        <f t="shared" si="8"/>
        <v>-51.02014416073348</v>
      </c>
      <c r="L234" s="33">
        <f t="shared" si="9"/>
        <v>668905.12094112451</v>
      </c>
      <c r="M234" s="33">
        <f t="shared" si="10"/>
        <v>-345218338.39892155</v>
      </c>
      <c r="N234" s="33" t="str">
        <f t="shared" si="11"/>
        <v/>
      </c>
      <c r="O234" s="10"/>
    </row>
    <row r="235" spans="1:15" x14ac:dyDescent="0.25">
      <c r="A235" s="3" t="s">
        <v>1289</v>
      </c>
      <c r="B235" s="33">
        <f t="shared" si="1"/>
        <v>-45.408362776702738</v>
      </c>
      <c r="C235" s="33">
        <f t="shared" si="2"/>
        <v>0</v>
      </c>
      <c r="D235" s="33">
        <f t="shared" si="3"/>
        <v>0</v>
      </c>
      <c r="E235" s="33">
        <f t="shared" si="4"/>
        <v>0</v>
      </c>
      <c r="F235" s="17">
        <f t="shared" si="5"/>
        <v>32</v>
      </c>
      <c r="G235" s="32">
        <v>24</v>
      </c>
      <c r="H235" s="17">
        <f t="shared" si="0"/>
        <v>5208</v>
      </c>
      <c r="I235" s="17">
        <f t="shared" si="6"/>
        <v>33</v>
      </c>
      <c r="J235" s="17">
        <f t="shared" si="7"/>
        <v>20</v>
      </c>
      <c r="K235" s="33">
        <f t="shared" si="8"/>
        <v>-50.170369708586165</v>
      </c>
      <c r="L235" s="33">
        <f t="shared" si="9"/>
        <v>668905.12094112451</v>
      </c>
      <c r="M235" s="33">
        <f t="shared" si="10"/>
        <v>-344649919.91623527</v>
      </c>
      <c r="N235" s="33" t="str">
        <f t="shared" si="11"/>
        <v/>
      </c>
      <c r="O235" s="10"/>
    </row>
    <row r="236" spans="1:15" x14ac:dyDescent="0.25">
      <c r="A236" s="3" t="s">
        <v>1290</v>
      </c>
      <c r="B236" s="33">
        <f t="shared" si="1"/>
        <v>-34.468629135482068</v>
      </c>
      <c r="C236" s="33">
        <f t="shared" si="2"/>
        <v>0</v>
      </c>
      <c r="D236" s="33">
        <f t="shared" si="3"/>
        <v>0</v>
      </c>
      <c r="E236" s="33">
        <f t="shared" si="4"/>
        <v>0</v>
      </c>
      <c r="F236" s="17">
        <f t="shared" si="5"/>
        <v>40</v>
      </c>
      <c r="G236" s="32">
        <v>25</v>
      </c>
      <c r="H236" s="17">
        <f t="shared" si="0"/>
        <v>6505</v>
      </c>
      <c r="I236" s="17">
        <f t="shared" si="6"/>
        <v>40</v>
      </c>
      <c r="J236" s="17">
        <f t="shared" si="7"/>
        <v>22</v>
      </c>
      <c r="K236" s="33">
        <f t="shared" si="8"/>
        <v>-50.170369708586165</v>
      </c>
      <c r="L236" s="33">
        <f t="shared" si="9"/>
        <v>668905.12094112451</v>
      </c>
      <c r="M236" s="33">
        <f t="shared" si="10"/>
        <v>-344649919.91623527</v>
      </c>
      <c r="N236" s="33" t="str">
        <f t="shared" si="11"/>
        <v/>
      </c>
      <c r="O236" s="10"/>
    </row>
    <row r="237" spans="1:15" x14ac:dyDescent="0.25">
      <c r="A237" s="3" t="s">
        <v>1291</v>
      </c>
      <c r="B237" s="33">
        <f t="shared" si="1"/>
        <v>-28.189792523158221</v>
      </c>
      <c r="C237" s="33">
        <f t="shared" si="2"/>
        <v>0</v>
      </c>
      <c r="D237" s="33">
        <f t="shared" si="3"/>
        <v>0</v>
      </c>
      <c r="E237" s="33">
        <f t="shared" si="4"/>
        <v>0</v>
      </c>
      <c r="F237" s="17">
        <f t="shared" si="5"/>
        <v>43</v>
      </c>
      <c r="G237" s="32">
        <v>26</v>
      </c>
      <c r="H237" s="17">
        <f t="shared" si="0"/>
        <v>6992</v>
      </c>
      <c r="I237" s="17">
        <f t="shared" si="6"/>
        <v>43</v>
      </c>
      <c r="J237" s="17">
        <f t="shared" si="7"/>
        <v>161</v>
      </c>
      <c r="K237" s="33">
        <f t="shared" si="8"/>
        <v>-48.668972993657356</v>
      </c>
      <c r="L237" s="33">
        <f t="shared" si="9"/>
        <v>668905.12094112451</v>
      </c>
      <c r="M237" s="33">
        <f t="shared" si="10"/>
        <v>-343645627.96505523</v>
      </c>
      <c r="N237" s="33" t="str">
        <f t="shared" si="11"/>
        <v/>
      </c>
      <c r="O237" s="10"/>
    </row>
    <row r="238" spans="1:15" x14ac:dyDescent="0.25">
      <c r="A238" s="3" t="s">
        <v>1292</v>
      </c>
      <c r="B238" s="33">
        <f t="shared" si="1"/>
        <v>-22.685975996268152</v>
      </c>
      <c r="C238" s="33">
        <f t="shared" si="2"/>
        <v>0</v>
      </c>
      <c r="D238" s="33">
        <f t="shared" si="3"/>
        <v>0</v>
      </c>
      <c r="E238" s="33">
        <f t="shared" si="4"/>
        <v>0</v>
      </c>
      <c r="F238" s="17">
        <f t="shared" si="5"/>
        <v>45</v>
      </c>
      <c r="G238" s="32">
        <v>27</v>
      </c>
      <c r="H238" s="17">
        <f t="shared" si="0"/>
        <v>7317</v>
      </c>
      <c r="I238" s="17">
        <f t="shared" si="6"/>
        <v>45</v>
      </c>
      <c r="J238" s="17">
        <f t="shared" si="7"/>
        <v>162</v>
      </c>
      <c r="K238" s="33">
        <f t="shared" si="8"/>
        <v>-48.668972993657356</v>
      </c>
      <c r="L238" s="33">
        <f t="shared" si="9"/>
        <v>668905.12094112451</v>
      </c>
      <c r="M238" s="33">
        <f t="shared" si="10"/>
        <v>-343645627.96505523</v>
      </c>
      <c r="N238" s="33" t="str">
        <f t="shared" si="11"/>
        <v/>
      </c>
      <c r="O238" s="10"/>
    </row>
    <row r="239" spans="1:15" x14ac:dyDescent="0.25">
      <c r="A239" s="3" t="s">
        <v>1293</v>
      </c>
      <c r="B239" s="33">
        <f t="shared" ref="B239:B265" si="12">C128</f>
        <v>0</v>
      </c>
      <c r="C239" s="33">
        <f t="shared" ref="C239:C265" si="13">C82</f>
        <v>0</v>
      </c>
      <c r="D239" s="33">
        <f t="shared" si="3"/>
        <v>0</v>
      </c>
      <c r="E239" s="33">
        <f t="shared" si="4"/>
        <v>0</v>
      </c>
      <c r="F239" s="17">
        <f t="shared" si="5"/>
        <v>51</v>
      </c>
      <c r="G239" s="32">
        <v>28</v>
      </c>
      <c r="H239" s="17">
        <f t="shared" si="0"/>
        <v>8290</v>
      </c>
      <c r="I239" s="17">
        <f t="shared" si="6"/>
        <v>51</v>
      </c>
      <c r="J239" s="17">
        <f t="shared" si="7"/>
        <v>2</v>
      </c>
      <c r="K239" s="33">
        <f t="shared" si="8"/>
        <v>-47.32004111680417</v>
      </c>
      <c r="L239" s="33">
        <f t="shared" si="9"/>
        <v>1483423.6314163618</v>
      </c>
      <c r="M239" s="33">
        <f t="shared" si="10"/>
        <v>-342743320.52482742</v>
      </c>
      <c r="N239" s="33" t="str">
        <f t="shared" si="11"/>
        <v/>
      </c>
      <c r="O239" s="10"/>
    </row>
    <row r="240" spans="1:15" x14ac:dyDescent="0.25">
      <c r="A240" s="3" t="s">
        <v>1294</v>
      </c>
      <c r="B240" s="33">
        <f t="shared" si="12"/>
        <v>-93.433771106661695</v>
      </c>
      <c r="C240" s="33">
        <f t="shared" si="13"/>
        <v>6561.1893609641411</v>
      </c>
      <c r="D240" s="33">
        <f t="shared" si="3"/>
        <v>0</v>
      </c>
      <c r="E240" s="33">
        <f t="shared" si="4"/>
        <v>-613036.66493978747</v>
      </c>
      <c r="F240" s="17">
        <f t="shared" si="5"/>
        <v>6</v>
      </c>
      <c r="G240" s="32">
        <v>29</v>
      </c>
      <c r="H240" s="17">
        <f t="shared" si="0"/>
        <v>1001</v>
      </c>
      <c r="I240" s="17">
        <f t="shared" si="6"/>
        <v>6</v>
      </c>
      <c r="J240" s="17">
        <f t="shared" si="7"/>
        <v>1</v>
      </c>
      <c r="K240" s="33">
        <f t="shared" si="8"/>
        <v>-47.272882464321995</v>
      </c>
      <c r="L240" s="33">
        <f t="shared" si="9"/>
        <v>2793216.638769438</v>
      </c>
      <c r="M240" s="33">
        <f t="shared" si="10"/>
        <v>-342673364.26530963</v>
      </c>
      <c r="N240" s="33" t="str">
        <f t="shared" si="11"/>
        <v/>
      </c>
      <c r="O240" s="10"/>
    </row>
    <row r="241" spans="1:15" x14ac:dyDescent="0.25">
      <c r="A241" s="3" t="s">
        <v>1295</v>
      </c>
      <c r="B241" s="33">
        <f t="shared" si="12"/>
        <v>0</v>
      </c>
      <c r="C241" s="33">
        <f t="shared" si="13"/>
        <v>0</v>
      </c>
      <c r="D241" s="33">
        <f t="shared" si="3"/>
        <v>0</v>
      </c>
      <c r="E241" s="33">
        <f t="shared" si="4"/>
        <v>0</v>
      </c>
      <c r="F241" s="17">
        <f t="shared" si="5"/>
        <v>51</v>
      </c>
      <c r="G241" s="32">
        <v>30</v>
      </c>
      <c r="H241" s="17">
        <f t="shared" si="0"/>
        <v>8292</v>
      </c>
      <c r="I241" s="17">
        <f t="shared" si="6"/>
        <v>52</v>
      </c>
      <c r="J241" s="17">
        <f t="shared" si="7"/>
        <v>8</v>
      </c>
      <c r="K241" s="33">
        <f t="shared" si="8"/>
        <v>-46.328781618076668</v>
      </c>
      <c r="L241" s="33">
        <f t="shared" si="9"/>
        <v>2793216.638769438</v>
      </c>
      <c r="M241" s="33">
        <f t="shared" si="10"/>
        <v>-340036286.07290089</v>
      </c>
      <c r="N241" s="33" t="str">
        <f t="shared" si="11"/>
        <v/>
      </c>
      <c r="O241" s="10"/>
    </row>
    <row r="242" spans="1:15" x14ac:dyDescent="0.25">
      <c r="A242" s="3" t="s">
        <v>1296</v>
      </c>
      <c r="B242" s="33">
        <f t="shared" si="12"/>
        <v>0</v>
      </c>
      <c r="C242" s="33">
        <f t="shared" si="13"/>
        <v>0</v>
      </c>
      <c r="D242" s="33">
        <f t="shared" si="3"/>
        <v>0</v>
      </c>
      <c r="E242" s="33">
        <f t="shared" si="4"/>
        <v>0</v>
      </c>
      <c r="F242" s="17">
        <f t="shared" si="5"/>
        <v>51</v>
      </c>
      <c r="G242" s="32">
        <v>31</v>
      </c>
      <c r="H242" s="17">
        <f t="shared" si="0"/>
        <v>8293</v>
      </c>
      <c r="I242" s="17">
        <f t="shared" si="6"/>
        <v>53</v>
      </c>
      <c r="J242" s="17">
        <f t="shared" si="7"/>
        <v>67</v>
      </c>
      <c r="K242" s="33">
        <f t="shared" si="8"/>
        <v>-45.509942859125701</v>
      </c>
      <c r="L242" s="33">
        <f t="shared" si="9"/>
        <v>2793431.832940192</v>
      </c>
      <c r="M242" s="33">
        <f t="shared" si="10"/>
        <v>-337749092.02692974</v>
      </c>
      <c r="N242" s="33" t="str">
        <f t="shared" si="11"/>
        <v/>
      </c>
      <c r="O242" s="10"/>
    </row>
    <row r="243" spans="1:15" x14ac:dyDescent="0.25">
      <c r="A243" s="3" t="s">
        <v>1297</v>
      </c>
      <c r="B243" s="33">
        <f t="shared" si="12"/>
        <v>-93.43377622797945</v>
      </c>
      <c r="C243" s="33">
        <f t="shared" si="13"/>
        <v>2508.6776152114221</v>
      </c>
      <c r="D243" s="33">
        <f t="shared" si="3"/>
        <v>0</v>
      </c>
      <c r="E243" s="33">
        <f t="shared" si="4"/>
        <v>-234395.22292780515</v>
      </c>
      <c r="F243" s="17">
        <f t="shared" si="5"/>
        <v>5</v>
      </c>
      <c r="G243" s="32">
        <v>32</v>
      </c>
      <c r="H243" s="17">
        <f t="shared" ref="H243:H274" si="14">F243*162+G243</f>
        <v>842</v>
      </c>
      <c r="I243" s="17">
        <f t="shared" si="6"/>
        <v>5</v>
      </c>
      <c r="J243" s="17">
        <f t="shared" si="7"/>
        <v>21</v>
      </c>
      <c r="K243" s="33">
        <f t="shared" si="8"/>
        <v>-45.408362776702738</v>
      </c>
      <c r="L243" s="33">
        <f t="shared" si="9"/>
        <v>2793431.832940192</v>
      </c>
      <c r="M243" s="33">
        <f t="shared" si="10"/>
        <v>-337465334.99109674</v>
      </c>
      <c r="N243" s="33" t="str">
        <f t="shared" si="11"/>
        <v/>
      </c>
      <c r="O243" s="10"/>
    </row>
    <row r="244" spans="1:15" x14ac:dyDescent="0.25">
      <c r="A244" s="3" t="s">
        <v>1298</v>
      </c>
      <c r="B244" s="33">
        <f t="shared" si="12"/>
        <v>0</v>
      </c>
      <c r="C244" s="33">
        <f t="shared" si="13"/>
        <v>0</v>
      </c>
      <c r="D244" s="33">
        <f t="shared" ref="D244:D275" si="15">IF(ISERROR(B244),C244,0)</f>
        <v>0</v>
      </c>
      <c r="E244" s="33">
        <f t="shared" ref="E244:E275" si="16">MAX($B$182,B244)*C244</f>
        <v>0</v>
      </c>
      <c r="F244" s="17">
        <f t="shared" ref="F244:F275" si="17">RANK(B244,B$212:B$373,1)</f>
        <v>51</v>
      </c>
      <c r="G244" s="32">
        <v>33</v>
      </c>
      <c r="H244" s="17">
        <f t="shared" si="14"/>
        <v>8295</v>
      </c>
      <c r="I244" s="17">
        <f t="shared" ref="I244:I275" si="18">RANK(H244,H$212:H$373,1)</f>
        <v>54</v>
      </c>
      <c r="J244" s="17">
        <f t="shared" ref="J244:J275" si="19">MATCH(G244,I$212:I$373,0)</f>
        <v>24</v>
      </c>
      <c r="K244" s="33">
        <f t="shared" ref="K244:K275" si="20">INDEX(B$212:B$373,J244,1)</f>
        <v>-45.408362776702738</v>
      </c>
      <c r="L244" s="33">
        <f t="shared" ref="L244:L275" si="21">L243+INDEX(C$212:C$373,J244,1)</f>
        <v>2793431.832940192</v>
      </c>
      <c r="M244" s="33">
        <f t="shared" ref="M244:M275" si="22">M243+(K244-K243)*L243</f>
        <v>-337465334.99109674</v>
      </c>
      <c r="N244" s="33" t="str">
        <f t="shared" ref="N244:N275" si="23">IF((M243&gt;0)=(M244&gt;0),"",K244-M244/L243)</f>
        <v/>
      </c>
      <c r="O244" s="10"/>
    </row>
    <row r="245" spans="1:15" x14ac:dyDescent="0.25">
      <c r="A245" s="3" t="s">
        <v>1299</v>
      </c>
      <c r="B245" s="33">
        <f t="shared" si="12"/>
        <v>-93.433771106661681</v>
      </c>
      <c r="C245" s="33">
        <f t="shared" si="13"/>
        <v>0</v>
      </c>
      <c r="D245" s="33">
        <f t="shared" si="15"/>
        <v>0</v>
      </c>
      <c r="E245" s="33">
        <f t="shared" si="16"/>
        <v>0</v>
      </c>
      <c r="F245" s="17">
        <f t="shared" si="17"/>
        <v>7</v>
      </c>
      <c r="G245" s="32">
        <v>34</v>
      </c>
      <c r="H245" s="17">
        <f t="shared" si="14"/>
        <v>1168</v>
      </c>
      <c r="I245" s="17">
        <f t="shared" si="18"/>
        <v>7</v>
      </c>
      <c r="J245" s="17">
        <f t="shared" si="19"/>
        <v>19</v>
      </c>
      <c r="K245" s="33">
        <f t="shared" si="20"/>
        <v>-43.07105365756901</v>
      </c>
      <c r="L245" s="33">
        <f t="shared" si="21"/>
        <v>2855574.1918903282</v>
      </c>
      <c r="M245" s="33">
        <f t="shared" si="22"/>
        <v>-330936221.2942872</v>
      </c>
      <c r="N245" s="33" t="str">
        <f t="shared" si="23"/>
        <v/>
      </c>
      <c r="O245" s="10"/>
    </row>
    <row r="246" spans="1:15" x14ac:dyDescent="0.25">
      <c r="A246" s="3" t="s">
        <v>1300</v>
      </c>
      <c r="B246" s="33">
        <f t="shared" si="12"/>
        <v>-81.693929927485868</v>
      </c>
      <c r="C246" s="33">
        <f t="shared" si="13"/>
        <v>0</v>
      </c>
      <c r="D246" s="33">
        <f t="shared" si="15"/>
        <v>0</v>
      </c>
      <c r="E246" s="33">
        <f t="shared" si="16"/>
        <v>0</v>
      </c>
      <c r="F246" s="17">
        <f t="shared" si="17"/>
        <v>10</v>
      </c>
      <c r="G246" s="32">
        <v>35</v>
      </c>
      <c r="H246" s="17">
        <f t="shared" si="14"/>
        <v>1655</v>
      </c>
      <c r="I246" s="17">
        <f t="shared" si="18"/>
        <v>10</v>
      </c>
      <c r="J246" s="17">
        <f t="shared" si="19"/>
        <v>147</v>
      </c>
      <c r="K246" s="33">
        <f t="shared" si="20"/>
        <v>-42.472915957399046</v>
      </c>
      <c r="L246" s="33">
        <f t="shared" si="21"/>
        <v>2872546.3958317586</v>
      </c>
      <c r="M246" s="33">
        <f t="shared" si="22"/>
        <v>-329228194.71448523</v>
      </c>
      <c r="N246" s="33" t="str">
        <f t="shared" si="23"/>
        <v/>
      </c>
      <c r="O246" s="10"/>
    </row>
    <row r="247" spans="1:15" x14ac:dyDescent="0.25">
      <c r="A247" s="3" t="s">
        <v>1301</v>
      </c>
      <c r="B247" s="33">
        <f t="shared" si="12"/>
        <v>-20.280305170339485</v>
      </c>
      <c r="C247" s="33">
        <f t="shared" si="13"/>
        <v>0</v>
      </c>
      <c r="D247" s="33">
        <f t="shared" si="15"/>
        <v>0</v>
      </c>
      <c r="E247" s="33">
        <f t="shared" si="16"/>
        <v>0</v>
      </c>
      <c r="F247" s="17">
        <f t="shared" si="17"/>
        <v>46</v>
      </c>
      <c r="G247" s="32">
        <v>36</v>
      </c>
      <c r="H247" s="17">
        <f t="shared" si="14"/>
        <v>7488</v>
      </c>
      <c r="I247" s="17">
        <f t="shared" si="18"/>
        <v>46</v>
      </c>
      <c r="J247" s="17">
        <f t="shared" si="19"/>
        <v>81</v>
      </c>
      <c r="K247" s="33">
        <f t="shared" si="20"/>
        <v>-39.582044612985548</v>
      </c>
      <c r="L247" s="33">
        <f t="shared" si="21"/>
        <v>2872546.3958317586</v>
      </c>
      <c r="M247" s="33">
        <f t="shared" si="22"/>
        <v>-320924032.65327692</v>
      </c>
      <c r="N247" s="33" t="str">
        <f t="shared" si="23"/>
        <v/>
      </c>
      <c r="O247" s="10"/>
    </row>
    <row r="248" spans="1:15" x14ac:dyDescent="0.25">
      <c r="A248" s="3" t="s">
        <v>1302</v>
      </c>
      <c r="B248" s="33">
        <f t="shared" si="12"/>
        <v>0</v>
      </c>
      <c r="C248" s="33">
        <f t="shared" si="13"/>
        <v>0</v>
      </c>
      <c r="D248" s="33">
        <f t="shared" si="15"/>
        <v>0</v>
      </c>
      <c r="E248" s="33">
        <f t="shared" si="16"/>
        <v>0</v>
      </c>
      <c r="F248" s="17">
        <f t="shared" si="17"/>
        <v>51</v>
      </c>
      <c r="G248" s="32">
        <v>37</v>
      </c>
      <c r="H248" s="17">
        <f t="shared" si="14"/>
        <v>8299</v>
      </c>
      <c r="I248" s="17">
        <f t="shared" si="18"/>
        <v>55</v>
      </c>
      <c r="J248" s="17">
        <f t="shared" si="19"/>
        <v>10</v>
      </c>
      <c r="K248" s="33">
        <f t="shared" si="20"/>
        <v>-37.719697571471528</v>
      </c>
      <c r="L248" s="33">
        <f t="shared" si="21"/>
        <v>2872546.3958317586</v>
      </c>
      <c r="M248" s="33">
        <f t="shared" si="22"/>
        <v>-315574354.3713879</v>
      </c>
      <c r="N248" s="33" t="str">
        <f t="shared" si="23"/>
        <v/>
      </c>
      <c r="O248" s="10"/>
    </row>
    <row r="249" spans="1:15" x14ac:dyDescent="0.25">
      <c r="A249" s="3" t="s">
        <v>1303</v>
      </c>
      <c r="B249" s="33">
        <f t="shared" si="12"/>
        <v>0</v>
      </c>
      <c r="C249" s="33">
        <f t="shared" si="13"/>
        <v>0</v>
      </c>
      <c r="D249" s="33">
        <f t="shared" si="15"/>
        <v>0</v>
      </c>
      <c r="E249" s="33">
        <f t="shared" si="16"/>
        <v>0</v>
      </c>
      <c r="F249" s="17">
        <f t="shared" si="17"/>
        <v>51</v>
      </c>
      <c r="G249" s="32">
        <v>38</v>
      </c>
      <c r="H249" s="17">
        <f t="shared" si="14"/>
        <v>8300</v>
      </c>
      <c r="I249" s="17">
        <f t="shared" si="18"/>
        <v>56</v>
      </c>
      <c r="J249" s="17">
        <f t="shared" si="19"/>
        <v>23</v>
      </c>
      <c r="K249" s="33">
        <f t="shared" si="20"/>
        <v>-37.717880326602661</v>
      </c>
      <c r="L249" s="33">
        <f t="shared" si="21"/>
        <v>2872546.3958317586</v>
      </c>
      <c r="M249" s="33">
        <f t="shared" si="22"/>
        <v>-315569134.25118947</v>
      </c>
      <c r="N249" s="33" t="str">
        <f t="shared" si="23"/>
        <v/>
      </c>
      <c r="O249" s="10"/>
    </row>
    <row r="250" spans="1:15" x14ac:dyDescent="0.25">
      <c r="A250" s="3" t="s">
        <v>1304</v>
      </c>
      <c r="B250" s="33">
        <f t="shared" si="12"/>
        <v>0</v>
      </c>
      <c r="C250" s="33">
        <f t="shared" si="13"/>
        <v>0</v>
      </c>
      <c r="D250" s="33">
        <f t="shared" si="15"/>
        <v>0</v>
      </c>
      <c r="E250" s="33">
        <f t="shared" si="16"/>
        <v>0</v>
      </c>
      <c r="F250" s="17">
        <f t="shared" si="17"/>
        <v>51</v>
      </c>
      <c r="G250" s="32">
        <v>39</v>
      </c>
      <c r="H250" s="17">
        <f t="shared" si="14"/>
        <v>8301</v>
      </c>
      <c r="I250" s="17">
        <f t="shared" si="18"/>
        <v>57</v>
      </c>
      <c r="J250" s="17">
        <f t="shared" si="19"/>
        <v>11</v>
      </c>
      <c r="K250" s="33">
        <f t="shared" si="20"/>
        <v>-37.697363218597189</v>
      </c>
      <c r="L250" s="33">
        <f t="shared" si="21"/>
        <v>2902868.6583443624</v>
      </c>
      <c r="M250" s="33">
        <f t="shared" si="22"/>
        <v>-315510197.90653545</v>
      </c>
      <c r="N250" s="33" t="str">
        <f t="shared" si="23"/>
        <v/>
      </c>
      <c r="O250" s="10"/>
    </row>
    <row r="251" spans="1:15" x14ac:dyDescent="0.25">
      <c r="A251" s="3" t="s">
        <v>1305</v>
      </c>
      <c r="B251" s="33">
        <f t="shared" si="12"/>
        <v>0</v>
      </c>
      <c r="C251" s="33">
        <f t="shared" si="13"/>
        <v>0</v>
      </c>
      <c r="D251" s="33">
        <f t="shared" si="15"/>
        <v>0</v>
      </c>
      <c r="E251" s="33">
        <f t="shared" si="16"/>
        <v>0</v>
      </c>
      <c r="F251" s="17">
        <f t="shared" si="17"/>
        <v>51</v>
      </c>
      <c r="G251" s="32">
        <v>40</v>
      </c>
      <c r="H251" s="17">
        <f t="shared" si="14"/>
        <v>8302</v>
      </c>
      <c r="I251" s="17">
        <f t="shared" si="18"/>
        <v>58</v>
      </c>
      <c r="J251" s="17">
        <f t="shared" si="19"/>
        <v>25</v>
      </c>
      <c r="K251" s="33">
        <f t="shared" si="20"/>
        <v>-34.468629135482068</v>
      </c>
      <c r="L251" s="33">
        <f t="shared" si="21"/>
        <v>2902868.6583443624</v>
      </c>
      <c r="M251" s="33">
        <f t="shared" si="22"/>
        <v>-306137606.93053234</v>
      </c>
      <c r="N251" s="33" t="str">
        <f t="shared" si="23"/>
        <v/>
      </c>
      <c r="O251" s="10"/>
    </row>
    <row r="252" spans="1:15" x14ac:dyDescent="0.25">
      <c r="A252" s="3" t="s">
        <v>1306</v>
      </c>
      <c r="B252" s="33">
        <f t="shared" si="12"/>
        <v>0</v>
      </c>
      <c r="C252" s="33">
        <f t="shared" si="13"/>
        <v>0</v>
      </c>
      <c r="D252" s="33">
        <f t="shared" si="15"/>
        <v>0</v>
      </c>
      <c r="E252" s="33">
        <f t="shared" si="16"/>
        <v>0</v>
      </c>
      <c r="F252" s="17">
        <f t="shared" si="17"/>
        <v>51</v>
      </c>
      <c r="G252" s="32">
        <v>41</v>
      </c>
      <c r="H252" s="17">
        <f t="shared" si="14"/>
        <v>8303</v>
      </c>
      <c r="I252" s="17">
        <f t="shared" si="18"/>
        <v>59</v>
      </c>
      <c r="J252" s="17">
        <f t="shared" si="19"/>
        <v>12</v>
      </c>
      <c r="K252" s="33">
        <f t="shared" si="20"/>
        <v>-32.465691254347725</v>
      </c>
      <c r="L252" s="33">
        <f t="shared" si="21"/>
        <v>3565222.3043974084</v>
      </c>
      <c r="M252" s="33">
        <f t="shared" si="22"/>
        <v>-300323341.33077681</v>
      </c>
      <c r="N252" s="33" t="str">
        <f t="shared" si="23"/>
        <v/>
      </c>
      <c r="O252" s="10"/>
    </row>
    <row r="253" spans="1:15" x14ac:dyDescent="0.25">
      <c r="A253" s="3" t="s">
        <v>1307</v>
      </c>
      <c r="B253" s="33">
        <f t="shared" si="12"/>
        <v>0</v>
      </c>
      <c r="C253" s="33">
        <f t="shared" si="13"/>
        <v>0</v>
      </c>
      <c r="D253" s="33">
        <f t="shared" si="15"/>
        <v>0</v>
      </c>
      <c r="E253" s="33">
        <f t="shared" si="16"/>
        <v>0</v>
      </c>
      <c r="F253" s="17">
        <f t="shared" si="17"/>
        <v>51</v>
      </c>
      <c r="G253" s="32">
        <v>42</v>
      </c>
      <c r="H253" s="17">
        <f t="shared" si="14"/>
        <v>8304</v>
      </c>
      <c r="I253" s="17">
        <f t="shared" si="18"/>
        <v>60</v>
      </c>
      <c r="J253" s="17">
        <f t="shared" si="19"/>
        <v>148</v>
      </c>
      <c r="K253" s="33">
        <f t="shared" si="20"/>
        <v>-30.731128680184241</v>
      </c>
      <c r="L253" s="33">
        <f t="shared" si="21"/>
        <v>3565797.3899113904</v>
      </c>
      <c r="M253" s="33">
        <f t="shared" si="22"/>
        <v>-294139240.15299618</v>
      </c>
      <c r="N253" s="33" t="str">
        <f t="shared" si="23"/>
        <v/>
      </c>
      <c r="O253" s="10"/>
    </row>
    <row r="254" spans="1:15" x14ac:dyDescent="0.25">
      <c r="A254" s="3" t="s">
        <v>1308</v>
      </c>
      <c r="B254" s="33">
        <f t="shared" si="12"/>
        <v>0</v>
      </c>
      <c r="C254" s="33">
        <f t="shared" si="13"/>
        <v>0</v>
      </c>
      <c r="D254" s="33">
        <f t="shared" si="15"/>
        <v>0</v>
      </c>
      <c r="E254" s="33">
        <f t="shared" si="16"/>
        <v>0</v>
      </c>
      <c r="F254" s="17">
        <f t="shared" si="17"/>
        <v>51</v>
      </c>
      <c r="G254" s="32">
        <v>43</v>
      </c>
      <c r="H254" s="17">
        <f t="shared" si="14"/>
        <v>8305</v>
      </c>
      <c r="I254" s="17">
        <f t="shared" si="18"/>
        <v>61</v>
      </c>
      <c r="J254" s="17">
        <f t="shared" si="19"/>
        <v>26</v>
      </c>
      <c r="K254" s="33">
        <f t="shared" si="20"/>
        <v>-28.189792523158221</v>
      </c>
      <c r="L254" s="33">
        <f t="shared" si="21"/>
        <v>3565797.3899113904</v>
      </c>
      <c r="M254" s="33">
        <f t="shared" si="22"/>
        <v>-285077350.31738538</v>
      </c>
      <c r="N254" s="33" t="str">
        <f t="shared" si="23"/>
        <v/>
      </c>
      <c r="O254" s="10"/>
    </row>
    <row r="255" spans="1:15" x14ac:dyDescent="0.25">
      <c r="A255" s="3" t="s">
        <v>1309</v>
      </c>
      <c r="B255" s="33">
        <f t="shared" si="12"/>
        <v>0</v>
      </c>
      <c r="C255" s="33">
        <f t="shared" si="13"/>
        <v>0</v>
      </c>
      <c r="D255" s="33">
        <f t="shared" si="15"/>
        <v>0</v>
      </c>
      <c r="E255" s="33">
        <f t="shared" si="16"/>
        <v>0</v>
      </c>
      <c r="F255" s="17">
        <f t="shared" si="17"/>
        <v>51</v>
      </c>
      <c r="G255" s="32">
        <v>44</v>
      </c>
      <c r="H255" s="17">
        <f t="shared" si="14"/>
        <v>8306</v>
      </c>
      <c r="I255" s="17">
        <f t="shared" si="18"/>
        <v>62</v>
      </c>
      <c r="J255" s="17">
        <f t="shared" si="19"/>
        <v>13</v>
      </c>
      <c r="K255" s="33">
        <f t="shared" si="20"/>
        <v>-24.453939729810337</v>
      </c>
      <c r="L255" s="33">
        <f t="shared" si="21"/>
        <v>3583403.6895812056</v>
      </c>
      <c r="M255" s="33">
        <f t="shared" si="22"/>
        <v>-271756056.17777228</v>
      </c>
      <c r="N255" s="33" t="str">
        <f t="shared" si="23"/>
        <v/>
      </c>
      <c r="O255" s="10"/>
    </row>
    <row r="256" spans="1:15" x14ac:dyDescent="0.25">
      <c r="A256" s="3" t="s">
        <v>1310</v>
      </c>
      <c r="B256" s="33">
        <f t="shared" si="12"/>
        <v>0</v>
      </c>
      <c r="C256" s="33">
        <f t="shared" si="13"/>
        <v>0</v>
      </c>
      <c r="D256" s="33">
        <f t="shared" si="15"/>
        <v>0</v>
      </c>
      <c r="E256" s="33">
        <f t="shared" si="16"/>
        <v>0</v>
      </c>
      <c r="F256" s="17">
        <f t="shared" si="17"/>
        <v>51</v>
      </c>
      <c r="G256" s="32">
        <v>45</v>
      </c>
      <c r="H256" s="17">
        <f t="shared" si="14"/>
        <v>8307</v>
      </c>
      <c r="I256" s="17">
        <f t="shared" si="18"/>
        <v>63</v>
      </c>
      <c r="J256" s="17">
        <f t="shared" si="19"/>
        <v>27</v>
      </c>
      <c r="K256" s="33">
        <f t="shared" si="20"/>
        <v>-22.685975996268152</v>
      </c>
      <c r="L256" s="33">
        <f t="shared" si="21"/>
        <v>3583403.6895812056</v>
      </c>
      <c r="M256" s="33">
        <f t="shared" si="22"/>
        <v>-265420728.41195145</v>
      </c>
      <c r="N256" s="33" t="str">
        <f t="shared" si="23"/>
        <v/>
      </c>
      <c r="O256" s="10"/>
    </row>
    <row r="257" spans="1:15" x14ac:dyDescent="0.25">
      <c r="A257" s="3" t="s">
        <v>1311</v>
      </c>
      <c r="B257" s="33">
        <f t="shared" si="12"/>
        <v>0</v>
      </c>
      <c r="C257" s="33">
        <f t="shared" si="13"/>
        <v>0</v>
      </c>
      <c r="D257" s="33">
        <f t="shared" si="15"/>
        <v>0</v>
      </c>
      <c r="E257" s="33">
        <f t="shared" si="16"/>
        <v>0</v>
      </c>
      <c r="F257" s="17">
        <f t="shared" si="17"/>
        <v>51</v>
      </c>
      <c r="G257" s="32">
        <v>46</v>
      </c>
      <c r="H257" s="17">
        <f t="shared" si="14"/>
        <v>8308</v>
      </c>
      <c r="I257" s="17">
        <f t="shared" si="18"/>
        <v>64</v>
      </c>
      <c r="J257" s="17">
        <f t="shared" si="19"/>
        <v>36</v>
      </c>
      <c r="K257" s="33">
        <f t="shared" si="20"/>
        <v>-20.280305170339485</v>
      </c>
      <c r="L257" s="33">
        <f t="shared" si="21"/>
        <v>3583403.6895812056</v>
      </c>
      <c r="M257" s="33">
        <f t="shared" si="22"/>
        <v>-256800238.6984008</v>
      </c>
      <c r="N257" s="33" t="str">
        <f t="shared" si="23"/>
        <v/>
      </c>
      <c r="O257" s="10"/>
    </row>
    <row r="258" spans="1:15" x14ac:dyDescent="0.25">
      <c r="A258" s="3" t="s">
        <v>1312</v>
      </c>
      <c r="B258" s="33">
        <f t="shared" si="12"/>
        <v>0</v>
      </c>
      <c r="C258" s="33">
        <f t="shared" si="13"/>
        <v>0</v>
      </c>
      <c r="D258" s="33">
        <f t="shared" si="15"/>
        <v>0</v>
      </c>
      <c r="E258" s="33">
        <f t="shared" si="16"/>
        <v>0</v>
      </c>
      <c r="F258" s="17">
        <f t="shared" si="17"/>
        <v>51</v>
      </c>
      <c r="G258" s="32">
        <v>47</v>
      </c>
      <c r="H258" s="17">
        <f t="shared" si="14"/>
        <v>8309</v>
      </c>
      <c r="I258" s="17">
        <f t="shared" si="18"/>
        <v>65</v>
      </c>
      <c r="J258" s="17">
        <f t="shared" si="19"/>
        <v>68</v>
      </c>
      <c r="K258" s="33">
        <f t="shared" si="20"/>
        <v>-20.280305170339481</v>
      </c>
      <c r="L258" s="33">
        <f t="shared" si="21"/>
        <v>3598406.3874983825</v>
      </c>
      <c r="M258" s="33">
        <f t="shared" si="22"/>
        <v>-256800238.6984008</v>
      </c>
      <c r="N258" s="33" t="str">
        <f t="shared" si="23"/>
        <v/>
      </c>
      <c r="O258" s="10"/>
    </row>
    <row r="259" spans="1:15" x14ac:dyDescent="0.25">
      <c r="A259" s="3" t="s">
        <v>1313</v>
      </c>
      <c r="B259" s="33">
        <f t="shared" si="12"/>
        <v>0</v>
      </c>
      <c r="C259" s="33">
        <f t="shared" si="13"/>
        <v>0</v>
      </c>
      <c r="D259" s="33">
        <f t="shared" si="15"/>
        <v>0</v>
      </c>
      <c r="E259" s="33">
        <f t="shared" si="16"/>
        <v>0</v>
      </c>
      <c r="F259" s="17">
        <f t="shared" si="17"/>
        <v>51</v>
      </c>
      <c r="G259" s="32">
        <v>48</v>
      </c>
      <c r="H259" s="17">
        <f t="shared" si="14"/>
        <v>8310</v>
      </c>
      <c r="I259" s="17">
        <f t="shared" si="18"/>
        <v>66</v>
      </c>
      <c r="J259" s="17">
        <f t="shared" si="19"/>
        <v>9</v>
      </c>
      <c r="K259" s="33">
        <f t="shared" si="20"/>
        <v>-20.272472232566919</v>
      </c>
      <c r="L259" s="33">
        <f t="shared" si="21"/>
        <v>3598406.3874983825</v>
      </c>
      <c r="M259" s="33">
        <f t="shared" si="22"/>
        <v>-256772052.60508713</v>
      </c>
      <c r="N259" s="33" t="str">
        <f t="shared" si="23"/>
        <v/>
      </c>
      <c r="O259" s="10"/>
    </row>
    <row r="260" spans="1:15" x14ac:dyDescent="0.25">
      <c r="A260" s="3" t="s">
        <v>1314</v>
      </c>
      <c r="B260" s="33">
        <f t="shared" si="12"/>
        <v>0</v>
      </c>
      <c r="C260" s="33">
        <f t="shared" si="13"/>
        <v>0</v>
      </c>
      <c r="D260" s="33">
        <f t="shared" si="15"/>
        <v>0</v>
      </c>
      <c r="E260" s="33">
        <f t="shared" si="16"/>
        <v>0</v>
      </c>
      <c r="F260" s="17">
        <f t="shared" si="17"/>
        <v>51</v>
      </c>
      <c r="G260" s="32">
        <v>49</v>
      </c>
      <c r="H260" s="17">
        <f t="shared" si="14"/>
        <v>8311</v>
      </c>
      <c r="I260" s="17">
        <f t="shared" si="18"/>
        <v>67</v>
      </c>
      <c r="J260" s="17">
        <f t="shared" si="19"/>
        <v>149</v>
      </c>
      <c r="K260" s="33">
        <f t="shared" si="20"/>
        <v>-19.830615811269087</v>
      </c>
      <c r="L260" s="33">
        <f t="shared" si="21"/>
        <v>3625429.2328216573</v>
      </c>
      <c r="M260" s="33">
        <f t="shared" si="22"/>
        <v>-255182073.63633183</v>
      </c>
      <c r="N260" s="33" t="str">
        <f t="shared" si="23"/>
        <v/>
      </c>
      <c r="O260" s="10"/>
    </row>
    <row r="261" spans="1:15" x14ac:dyDescent="0.25">
      <c r="A261" s="3" t="s">
        <v>1315</v>
      </c>
      <c r="B261" s="33">
        <f t="shared" si="12"/>
        <v>0</v>
      </c>
      <c r="C261" s="33">
        <f t="shared" si="13"/>
        <v>0</v>
      </c>
      <c r="D261" s="33">
        <f t="shared" si="15"/>
        <v>0</v>
      </c>
      <c r="E261" s="33">
        <f t="shared" si="16"/>
        <v>0</v>
      </c>
      <c r="F261" s="17">
        <f t="shared" si="17"/>
        <v>51</v>
      </c>
      <c r="G261" s="32">
        <v>50</v>
      </c>
      <c r="H261" s="17">
        <f t="shared" si="14"/>
        <v>8312</v>
      </c>
      <c r="I261" s="17">
        <f t="shared" si="18"/>
        <v>68</v>
      </c>
      <c r="J261" s="17">
        <f t="shared" si="19"/>
        <v>14</v>
      </c>
      <c r="K261" s="33">
        <f t="shared" si="20"/>
        <v>-16.850838548685612</v>
      </c>
      <c r="L261" s="33">
        <f t="shared" si="21"/>
        <v>4697098.6117836414</v>
      </c>
      <c r="M261" s="33">
        <f t="shared" si="22"/>
        <v>-244379102.04126441</v>
      </c>
      <c r="N261" s="33" t="str">
        <f t="shared" si="23"/>
        <v/>
      </c>
      <c r="O261" s="10"/>
    </row>
    <row r="262" spans="1:15" x14ac:dyDescent="0.25">
      <c r="A262" s="3" t="s">
        <v>1316</v>
      </c>
      <c r="B262" s="33">
        <f t="shared" si="12"/>
        <v>0</v>
      </c>
      <c r="C262" s="33">
        <f t="shared" si="13"/>
        <v>0</v>
      </c>
      <c r="D262" s="33">
        <f t="shared" si="15"/>
        <v>0</v>
      </c>
      <c r="E262" s="33">
        <f t="shared" si="16"/>
        <v>0</v>
      </c>
      <c r="F262" s="17">
        <f t="shared" si="17"/>
        <v>51</v>
      </c>
      <c r="G262" s="32">
        <v>51</v>
      </c>
      <c r="H262" s="17">
        <f t="shared" si="14"/>
        <v>8313</v>
      </c>
      <c r="I262" s="17">
        <f t="shared" si="18"/>
        <v>69</v>
      </c>
      <c r="J262" s="17">
        <f t="shared" si="19"/>
        <v>28</v>
      </c>
      <c r="K262" s="33">
        <f t="shared" si="20"/>
        <v>0</v>
      </c>
      <c r="L262" s="33">
        <f t="shared" si="21"/>
        <v>4697098.6117836414</v>
      </c>
      <c r="M262" s="33">
        <f t="shared" si="22"/>
        <v>-165229051.68684298</v>
      </c>
      <c r="N262" s="33" t="str">
        <f t="shared" si="23"/>
        <v/>
      </c>
      <c r="O262" s="10"/>
    </row>
    <row r="263" spans="1:15" x14ac:dyDescent="0.25">
      <c r="A263" s="3" t="s">
        <v>1317</v>
      </c>
      <c r="B263" s="33">
        <f t="shared" si="12"/>
        <v>0</v>
      </c>
      <c r="C263" s="33">
        <f t="shared" si="13"/>
        <v>0</v>
      </c>
      <c r="D263" s="33">
        <f t="shared" si="15"/>
        <v>0</v>
      </c>
      <c r="E263" s="33">
        <f t="shared" si="16"/>
        <v>0</v>
      </c>
      <c r="F263" s="17">
        <f t="shared" si="17"/>
        <v>51</v>
      </c>
      <c r="G263" s="32">
        <v>52</v>
      </c>
      <c r="H263" s="17">
        <f t="shared" si="14"/>
        <v>8314</v>
      </c>
      <c r="I263" s="17">
        <f t="shared" si="18"/>
        <v>70</v>
      </c>
      <c r="J263" s="17">
        <f t="shared" si="19"/>
        <v>30</v>
      </c>
      <c r="K263" s="33">
        <f t="shared" si="20"/>
        <v>0</v>
      </c>
      <c r="L263" s="33">
        <f t="shared" si="21"/>
        <v>4697098.6117836414</v>
      </c>
      <c r="M263" s="33">
        <f t="shared" si="22"/>
        <v>-165229051.68684298</v>
      </c>
      <c r="N263" s="33" t="str">
        <f t="shared" si="23"/>
        <v/>
      </c>
      <c r="O263" s="10"/>
    </row>
    <row r="264" spans="1:15" x14ac:dyDescent="0.25">
      <c r="A264" s="3" t="s">
        <v>1318</v>
      </c>
      <c r="B264" s="33">
        <f t="shared" si="12"/>
        <v>0</v>
      </c>
      <c r="C264" s="33">
        <f t="shared" si="13"/>
        <v>0</v>
      </c>
      <c r="D264" s="33">
        <f t="shared" si="15"/>
        <v>0</v>
      </c>
      <c r="E264" s="33">
        <f t="shared" si="16"/>
        <v>0</v>
      </c>
      <c r="F264" s="17">
        <f t="shared" si="17"/>
        <v>51</v>
      </c>
      <c r="G264" s="32">
        <v>53</v>
      </c>
      <c r="H264" s="17">
        <f t="shared" si="14"/>
        <v>8315</v>
      </c>
      <c r="I264" s="17">
        <f t="shared" si="18"/>
        <v>71</v>
      </c>
      <c r="J264" s="17">
        <f t="shared" si="19"/>
        <v>31</v>
      </c>
      <c r="K264" s="33">
        <f t="shared" si="20"/>
        <v>0</v>
      </c>
      <c r="L264" s="33">
        <f t="shared" si="21"/>
        <v>4697098.6117836414</v>
      </c>
      <c r="M264" s="33">
        <f t="shared" si="22"/>
        <v>-165229051.68684298</v>
      </c>
      <c r="N264" s="33" t="str">
        <f t="shared" si="23"/>
        <v/>
      </c>
      <c r="O264" s="10"/>
    </row>
    <row r="265" spans="1:15" x14ac:dyDescent="0.25">
      <c r="A265" s="3" t="s">
        <v>1319</v>
      </c>
      <c r="B265" s="33">
        <f t="shared" si="12"/>
        <v>0</v>
      </c>
      <c r="C265" s="33">
        <f t="shared" si="13"/>
        <v>0</v>
      </c>
      <c r="D265" s="33">
        <f t="shared" si="15"/>
        <v>0</v>
      </c>
      <c r="E265" s="33">
        <f t="shared" si="16"/>
        <v>0</v>
      </c>
      <c r="F265" s="17">
        <f t="shared" si="17"/>
        <v>51</v>
      </c>
      <c r="G265" s="32">
        <v>54</v>
      </c>
      <c r="H265" s="17">
        <f t="shared" si="14"/>
        <v>8316</v>
      </c>
      <c r="I265" s="17">
        <f t="shared" si="18"/>
        <v>72</v>
      </c>
      <c r="J265" s="17">
        <f t="shared" si="19"/>
        <v>33</v>
      </c>
      <c r="K265" s="33">
        <f t="shared" si="20"/>
        <v>0</v>
      </c>
      <c r="L265" s="33">
        <f t="shared" si="21"/>
        <v>4697098.6117836414</v>
      </c>
      <c r="M265" s="33">
        <f t="shared" si="22"/>
        <v>-165229051.68684298</v>
      </c>
      <c r="N265" s="33" t="str">
        <f t="shared" si="23"/>
        <v/>
      </c>
      <c r="O265" s="10"/>
    </row>
    <row r="266" spans="1:15" x14ac:dyDescent="0.25">
      <c r="A266" s="3" t="s">
        <v>1320</v>
      </c>
      <c r="B266" s="33">
        <f t="shared" ref="B266:B292" si="24">D128</f>
        <v>0</v>
      </c>
      <c r="C266" s="33">
        <f t="shared" ref="C266:C292" si="25">D82</f>
        <v>0</v>
      </c>
      <c r="D266" s="33">
        <f t="shared" si="15"/>
        <v>0</v>
      </c>
      <c r="E266" s="33">
        <f t="shared" si="16"/>
        <v>0</v>
      </c>
      <c r="F266" s="17">
        <f t="shared" si="17"/>
        <v>51</v>
      </c>
      <c r="G266" s="32">
        <v>55</v>
      </c>
      <c r="H266" s="17">
        <f t="shared" si="14"/>
        <v>8317</v>
      </c>
      <c r="I266" s="17">
        <f t="shared" si="18"/>
        <v>73</v>
      </c>
      <c r="J266" s="17">
        <f t="shared" si="19"/>
        <v>37</v>
      </c>
      <c r="K266" s="33">
        <f t="shared" si="20"/>
        <v>0</v>
      </c>
      <c r="L266" s="33">
        <f t="shared" si="21"/>
        <v>4697098.6117836414</v>
      </c>
      <c r="M266" s="33">
        <f t="shared" si="22"/>
        <v>-165229051.68684298</v>
      </c>
      <c r="N266" s="33" t="str">
        <f t="shared" si="23"/>
        <v/>
      </c>
      <c r="O266" s="10"/>
    </row>
    <row r="267" spans="1:15" x14ac:dyDescent="0.25">
      <c r="A267" s="3" t="s">
        <v>1321</v>
      </c>
      <c r="B267" s="33">
        <f t="shared" si="24"/>
        <v>0</v>
      </c>
      <c r="C267" s="33">
        <f t="shared" si="25"/>
        <v>0</v>
      </c>
      <c r="D267" s="33">
        <f t="shared" si="15"/>
        <v>0</v>
      </c>
      <c r="E267" s="33">
        <f t="shared" si="16"/>
        <v>0</v>
      </c>
      <c r="F267" s="17">
        <f t="shared" si="17"/>
        <v>51</v>
      </c>
      <c r="G267" s="32">
        <v>56</v>
      </c>
      <c r="H267" s="17">
        <f t="shared" si="14"/>
        <v>8318</v>
      </c>
      <c r="I267" s="17">
        <f t="shared" si="18"/>
        <v>74</v>
      </c>
      <c r="J267" s="17">
        <f t="shared" si="19"/>
        <v>38</v>
      </c>
      <c r="K267" s="33">
        <f t="shared" si="20"/>
        <v>0</v>
      </c>
      <c r="L267" s="33">
        <f t="shared" si="21"/>
        <v>4697098.6117836414</v>
      </c>
      <c r="M267" s="33">
        <f t="shared" si="22"/>
        <v>-165229051.68684298</v>
      </c>
      <c r="N267" s="33" t="str">
        <f t="shared" si="23"/>
        <v/>
      </c>
      <c r="O267" s="10"/>
    </row>
    <row r="268" spans="1:15" x14ac:dyDescent="0.25">
      <c r="A268" s="3" t="s">
        <v>1322</v>
      </c>
      <c r="B268" s="33">
        <f t="shared" si="24"/>
        <v>0</v>
      </c>
      <c r="C268" s="33">
        <f t="shared" si="25"/>
        <v>0</v>
      </c>
      <c r="D268" s="33">
        <f t="shared" si="15"/>
        <v>0</v>
      </c>
      <c r="E268" s="33">
        <f t="shared" si="16"/>
        <v>0</v>
      </c>
      <c r="F268" s="17">
        <f t="shared" si="17"/>
        <v>51</v>
      </c>
      <c r="G268" s="32">
        <v>57</v>
      </c>
      <c r="H268" s="17">
        <f t="shared" si="14"/>
        <v>8319</v>
      </c>
      <c r="I268" s="17">
        <f t="shared" si="18"/>
        <v>75</v>
      </c>
      <c r="J268" s="17">
        <f t="shared" si="19"/>
        <v>39</v>
      </c>
      <c r="K268" s="33">
        <f t="shared" si="20"/>
        <v>0</v>
      </c>
      <c r="L268" s="33">
        <f t="shared" si="21"/>
        <v>4697098.6117836414</v>
      </c>
      <c r="M268" s="33">
        <f t="shared" si="22"/>
        <v>-165229051.68684298</v>
      </c>
      <c r="N268" s="33" t="str">
        <f t="shared" si="23"/>
        <v/>
      </c>
      <c r="O268" s="10"/>
    </row>
    <row r="269" spans="1:15" x14ac:dyDescent="0.25">
      <c r="A269" s="3" t="s">
        <v>1323</v>
      </c>
      <c r="B269" s="33">
        <f t="shared" si="24"/>
        <v>0</v>
      </c>
      <c r="C269" s="33">
        <f t="shared" si="25"/>
        <v>0</v>
      </c>
      <c r="D269" s="33">
        <f t="shared" si="15"/>
        <v>0</v>
      </c>
      <c r="E269" s="33">
        <f t="shared" si="16"/>
        <v>0</v>
      </c>
      <c r="F269" s="17">
        <f t="shared" si="17"/>
        <v>51</v>
      </c>
      <c r="G269" s="32">
        <v>58</v>
      </c>
      <c r="H269" s="17">
        <f t="shared" si="14"/>
        <v>8320</v>
      </c>
      <c r="I269" s="17">
        <f t="shared" si="18"/>
        <v>76</v>
      </c>
      <c r="J269" s="17">
        <f t="shared" si="19"/>
        <v>40</v>
      </c>
      <c r="K269" s="33">
        <f t="shared" si="20"/>
        <v>0</v>
      </c>
      <c r="L269" s="33">
        <f t="shared" si="21"/>
        <v>4697098.6117836414</v>
      </c>
      <c r="M269" s="33">
        <f t="shared" si="22"/>
        <v>-165229051.68684298</v>
      </c>
      <c r="N269" s="33" t="str">
        <f t="shared" si="23"/>
        <v/>
      </c>
      <c r="O269" s="10"/>
    </row>
    <row r="270" spans="1:15" x14ac:dyDescent="0.25">
      <c r="A270" s="3" t="s">
        <v>1324</v>
      </c>
      <c r="B270" s="33">
        <f t="shared" si="24"/>
        <v>0</v>
      </c>
      <c r="C270" s="33">
        <f t="shared" si="25"/>
        <v>0</v>
      </c>
      <c r="D270" s="33">
        <f t="shared" si="15"/>
        <v>0</v>
      </c>
      <c r="E270" s="33">
        <f t="shared" si="16"/>
        <v>0</v>
      </c>
      <c r="F270" s="17">
        <f t="shared" si="17"/>
        <v>51</v>
      </c>
      <c r="G270" s="32">
        <v>59</v>
      </c>
      <c r="H270" s="17">
        <f t="shared" si="14"/>
        <v>8321</v>
      </c>
      <c r="I270" s="17">
        <f t="shared" si="18"/>
        <v>77</v>
      </c>
      <c r="J270" s="17">
        <f t="shared" si="19"/>
        <v>41</v>
      </c>
      <c r="K270" s="33">
        <f t="shared" si="20"/>
        <v>0</v>
      </c>
      <c r="L270" s="33">
        <f t="shared" si="21"/>
        <v>4697098.6117836414</v>
      </c>
      <c r="M270" s="33">
        <f t="shared" si="22"/>
        <v>-165229051.68684298</v>
      </c>
      <c r="N270" s="33" t="str">
        <f t="shared" si="23"/>
        <v/>
      </c>
      <c r="O270" s="10"/>
    </row>
    <row r="271" spans="1:15" x14ac:dyDescent="0.25">
      <c r="A271" s="3" t="s">
        <v>1325</v>
      </c>
      <c r="B271" s="33">
        <f t="shared" si="24"/>
        <v>0</v>
      </c>
      <c r="C271" s="33">
        <f t="shared" si="25"/>
        <v>0</v>
      </c>
      <c r="D271" s="33">
        <f t="shared" si="15"/>
        <v>0</v>
      </c>
      <c r="E271" s="33">
        <f t="shared" si="16"/>
        <v>0</v>
      </c>
      <c r="F271" s="17">
        <f t="shared" si="17"/>
        <v>51</v>
      </c>
      <c r="G271" s="32">
        <v>60</v>
      </c>
      <c r="H271" s="17">
        <f t="shared" si="14"/>
        <v>8322</v>
      </c>
      <c r="I271" s="17">
        <f t="shared" si="18"/>
        <v>78</v>
      </c>
      <c r="J271" s="17">
        <f t="shared" si="19"/>
        <v>42</v>
      </c>
      <c r="K271" s="33">
        <f t="shared" si="20"/>
        <v>0</v>
      </c>
      <c r="L271" s="33">
        <f t="shared" si="21"/>
        <v>4697098.6117836414</v>
      </c>
      <c r="M271" s="33">
        <f t="shared" si="22"/>
        <v>-165229051.68684298</v>
      </c>
      <c r="N271" s="33" t="str">
        <f t="shared" si="23"/>
        <v/>
      </c>
      <c r="O271" s="10"/>
    </row>
    <row r="272" spans="1:15" x14ac:dyDescent="0.25">
      <c r="A272" s="3" t="s">
        <v>1326</v>
      </c>
      <c r="B272" s="33">
        <f t="shared" si="24"/>
        <v>0</v>
      </c>
      <c r="C272" s="33">
        <f t="shared" si="25"/>
        <v>0</v>
      </c>
      <c r="D272" s="33">
        <f t="shared" si="15"/>
        <v>0</v>
      </c>
      <c r="E272" s="33">
        <f t="shared" si="16"/>
        <v>0</v>
      </c>
      <c r="F272" s="17">
        <f t="shared" si="17"/>
        <v>51</v>
      </c>
      <c r="G272" s="32">
        <v>61</v>
      </c>
      <c r="H272" s="17">
        <f t="shared" si="14"/>
        <v>8323</v>
      </c>
      <c r="I272" s="17">
        <f t="shared" si="18"/>
        <v>79</v>
      </c>
      <c r="J272" s="17">
        <f t="shared" si="19"/>
        <v>43</v>
      </c>
      <c r="K272" s="33">
        <f t="shared" si="20"/>
        <v>0</v>
      </c>
      <c r="L272" s="33">
        <f t="shared" si="21"/>
        <v>4697098.6117836414</v>
      </c>
      <c r="M272" s="33">
        <f t="shared" si="22"/>
        <v>-165229051.68684298</v>
      </c>
      <c r="N272" s="33" t="str">
        <f t="shared" si="23"/>
        <v/>
      </c>
      <c r="O272" s="10"/>
    </row>
    <row r="273" spans="1:15" x14ac:dyDescent="0.25">
      <c r="A273" s="3" t="s">
        <v>1327</v>
      </c>
      <c r="B273" s="33">
        <f t="shared" si="24"/>
        <v>0</v>
      </c>
      <c r="C273" s="33">
        <f t="shared" si="25"/>
        <v>0</v>
      </c>
      <c r="D273" s="33">
        <f t="shared" si="15"/>
        <v>0</v>
      </c>
      <c r="E273" s="33">
        <f t="shared" si="16"/>
        <v>0</v>
      </c>
      <c r="F273" s="17">
        <f t="shared" si="17"/>
        <v>51</v>
      </c>
      <c r="G273" s="32">
        <v>62</v>
      </c>
      <c r="H273" s="17">
        <f t="shared" si="14"/>
        <v>8324</v>
      </c>
      <c r="I273" s="17">
        <f t="shared" si="18"/>
        <v>80</v>
      </c>
      <c r="J273" s="17">
        <f t="shared" si="19"/>
        <v>44</v>
      </c>
      <c r="K273" s="33">
        <f t="shared" si="20"/>
        <v>0</v>
      </c>
      <c r="L273" s="33">
        <f t="shared" si="21"/>
        <v>4697098.6117836414</v>
      </c>
      <c r="M273" s="33">
        <f t="shared" si="22"/>
        <v>-165229051.68684298</v>
      </c>
      <c r="N273" s="33" t="str">
        <f t="shared" si="23"/>
        <v/>
      </c>
      <c r="O273" s="10"/>
    </row>
    <row r="274" spans="1:15" x14ac:dyDescent="0.25">
      <c r="A274" s="3" t="s">
        <v>1328</v>
      </c>
      <c r="B274" s="33">
        <f t="shared" si="24"/>
        <v>0</v>
      </c>
      <c r="C274" s="33">
        <f t="shared" si="25"/>
        <v>0</v>
      </c>
      <c r="D274" s="33">
        <f t="shared" si="15"/>
        <v>0</v>
      </c>
      <c r="E274" s="33">
        <f t="shared" si="16"/>
        <v>0</v>
      </c>
      <c r="F274" s="17">
        <f t="shared" si="17"/>
        <v>51</v>
      </c>
      <c r="G274" s="32">
        <v>63</v>
      </c>
      <c r="H274" s="17">
        <f t="shared" si="14"/>
        <v>8325</v>
      </c>
      <c r="I274" s="17">
        <f t="shared" si="18"/>
        <v>81</v>
      </c>
      <c r="J274" s="17">
        <f t="shared" si="19"/>
        <v>45</v>
      </c>
      <c r="K274" s="33">
        <f t="shared" si="20"/>
        <v>0</v>
      </c>
      <c r="L274" s="33">
        <f t="shared" si="21"/>
        <v>4697098.6117836414</v>
      </c>
      <c r="M274" s="33">
        <f t="shared" si="22"/>
        <v>-165229051.68684298</v>
      </c>
      <c r="N274" s="33" t="str">
        <f t="shared" si="23"/>
        <v/>
      </c>
      <c r="O274" s="10"/>
    </row>
    <row r="275" spans="1:15" x14ac:dyDescent="0.25">
      <c r="A275" s="3" t="s">
        <v>1329</v>
      </c>
      <c r="B275" s="33">
        <f t="shared" si="24"/>
        <v>-93.45115864631822</v>
      </c>
      <c r="C275" s="33">
        <f t="shared" si="25"/>
        <v>0</v>
      </c>
      <c r="D275" s="33">
        <f t="shared" si="15"/>
        <v>0</v>
      </c>
      <c r="E275" s="33">
        <f t="shared" si="16"/>
        <v>0</v>
      </c>
      <c r="F275" s="17">
        <f t="shared" si="17"/>
        <v>4</v>
      </c>
      <c r="G275" s="32">
        <v>64</v>
      </c>
      <c r="H275" s="17">
        <f t="shared" ref="H275:H306" si="26">F275*162+G275</f>
        <v>712</v>
      </c>
      <c r="I275" s="17">
        <f t="shared" si="18"/>
        <v>4</v>
      </c>
      <c r="J275" s="17">
        <f t="shared" si="19"/>
        <v>46</v>
      </c>
      <c r="K275" s="33">
        <f t="shared" si="20"/>
        <v>0</v>
      </c>
      <c r="L275" s="33">
        <f t="shared" si="21"/>
        <v>4697098.6117836414</v>
      </c>
      <c r="M275" s="33">
        <f t="shared" si="22"/>
        <v>-165229051.68684298</v>
      </c>
      <c r="N275" s="33" t="str">
        <f t="shared" si="23"/>
        <v/>
      </c>
      <c r="O275" s="10"/>
    </row>
    <row r="276" spans="1:15" x14ac:dyDescent="0.25">
      <c r="A276" s="3" t="s">
        <v>1330</v>
      </c>
      <c r="B276" s="33">
        <f t="shared" si="24"/>
        <v>-93.380539533322491</v>
      </c>
      <c r="C276" s="33">
        <f t="shared" si="25"/>
        <v>349.71058130744632</v>
      </c>
      <c r="D276" s="33">
        <f t="shared" ref="D276:D307" si="27">IF(ISERROR(B276),C276,0)</f>
        <v>0</v>
      </c>
      <c r="E276" s="33">
        <f t="shared" ref="E276:E307" si="28">MAX($B$182,B276)*C276</f>
        <v>-32656.162763001179</v>
      </c>
      <c r="F276" s="17">
        <f t="shared" ref="F276:F307" si="29">RANK(B276,B$212:B$373,1)</f>
        <v>9</v>
      </c>
      <c r="G276" s="32">
        <v>65</v>
      </c>
      <c r="H276" s="17">
        <f t="shared" si="26"/>
        <v>1523</v>
      </c>
      <c r="I276" s="17">
        <f t="shared" ref="I276:I307" si="30">RANK(H276,H$212:H$373,1)</f>
        <v>9</v>
      </c>
      <c r="J276" s="17">
        <f t="shared" ref="J276:J307" si="31">MATCH(G276,I$212:I$373,0)</f>
        <v>47</v>
      </c>
      <c r="K276" s="33">
        <f t="shared" ref="K276:K307" si="32">INDEX(B$212:B$373,J276,1)</f>
        <v>0</v>
      </c>
      <c r="L276" s="33">
        <f t="shared" ref="L276:L307" si="33">L275+INDEX(C$212:C$373,J276,1)</f>
        <v>4697098.6117836414</v>
      </c>
      <c r="M276" s="33">
        <f t="shared" ref="M276:M307" si="34">M275+(K276-K275)*L275</f>
        <v>-165229051.68684298</v>
      </c>
      <c r="N276" s="33" t="str">
        <f t="shared" ref="N276:N307" si="35">IF((M275&gt;0)=(M276&gt;0),"",K276-M276/L275)</f>
        <v/>
      </c>
      <c r="O276" s="10"/>
    </row>
    <row r="277" spans="1:15" x14ac:dyDescent="0.25">
      <c r="A277" s="3" t="s">
        <v>1331</v>
      </c>
      <c r="B277" s="33">
        <f t="shared" si="24"/>
        <v>-74.457132513813832</v>
      </c>
      <c r="C277" s="33">
        <f t="shared" si="25"/>
        <v>7541.0553029352941</v>
      </c>
      <c r="D277" s="33">
        <f t="shared" si="27"/>
        <v>0</v>
      </c>
      <c r="E277" s="33">
        <f t="shared" si="28"/>
        <v>-561485.35398465174</v>
      </c>
      <c r="F277" s="17">
        <f t="shared" si="29"/>
        <v>13</v>
      </c>
      <c r="G277" s="32">
        <v>66</v>
      </c>
      <c r="H277" s="17">
        <f t="shared" si="26"/>
        <v>2172</v>
      </c>
      <c r="I277" s="17">
        <f t="shared" si="30"/>
        <v>13</v>
      </c>
      <c r="J277" s="17">
        <f t="shared" si="31"/>
        <v>48</v>
      </c>
      <c r="K277" s="33">
        <f t="shared" si="32"/>
        <v>0</v>
      </c>
      <c r="L277" s="33">
        <f t="shared" si="33"/>
        <v>4697098.6117836414</v>
      </c>
      <c r="M277" s="33">
        <f t="shared" si="34"/>
        <v>-165229051.68684298</v>
      </c>
      <c r="N277" s="33" t="str">
        <f t="shared" si="35"/>
        <v/>
      </c>
      <c r="O277" s="10"/>
    </row>
    <row r="278" spans="1:15" x14ac:dyDescent="0.25">
      <c r="A278" s="3" t="s">
        <v>1332</v>
      </c>
      <c r="B278" s="33">
        <f t="shared" si="24"/>
        <v>-45.509942859125701</v>
      </c>
      <c r="C278" s="33">
        <f t="shared" si="25"/>
        <v>215.19417075400074</v>
      </c>
      <c r="D278" s="33">
        <f t="shared" si="27"/>
        <v>0</v>
      </c>
      <c r="E278" s="33">
        <f t="shared" si="28"/>
        <v>-9793.4744146315134</v>
      </c>
      <c r="F278" s="17">
        <f t="shared" si="29"/>
        <v>31</v>
      </c>
      <c r="G278" s="32">
        <v>67</v>
      </c>
      <c r="H278" s="17">
        <f t="shared" si="26"/>
        <v>5089</v>
      </c>
      <c r="I278" s="17">
        <f t="shared" si="30"/>
        <v>31</v>
      </c>
      <c r="J278" s="17">
        <f t="shared" si="31"/>
        <v>49</v>
      </c>
      <c r="K278" s="33">
        <f t="shared" si="32"/>
        <v>0</v>
      </c>
      <c r="L278" s="33">
        <f t="shared" si="33"/>
        <v>4697098.6117836414</v>
      </c>
      <c r="M278" s="33">
        <f t="shared" si="34"/>
        <v>-165229051.68684298</v>
      </c>
      <c r="N278" s="33" t="str">
        <f t="shared" si="35"/>
        <v/>
      </c>
      <c r="O278" s="10"/>
    </row>
    <row r="279" spans="1:15" x14ac:dyDescent="0.25">
      <c r="A279" s="3" t="s">
        <v>1333</v>
      </c>
      <c r="B279" s="33">
        <f t="shared" si="24"/>
        <v>-20.280305170339481</v>
      </c>
      <c r="C279" s="33">
        <f t="shared" si="25"/>
        <v>15002.697917177082</v>
      </c>
      <c r="D279" s="33">
        <f t="shared" si="27"/>
        <v>0</v>
      </c>
      <c r="E279" s="33">
        <f t="shared" si="28"/>
        <v>-304259.29213876772</v>
      </c>
      <c r="F279" s="17">
        <f t="shared" si="29"/>
        <v>47</v>
      </c>
      <c r="G279" s="32">
        <v>68</v>
      </c>
      <c r="H279" s="17">
        <f t="shared" si="26"/>
        <v>7682</v>
      </c>
      <c r="I279" s="17">
        <f t="shared" si="30"/>
        <v>47</v>
      </c>
      <c r="J279" s="17">
        <f t="shared" si="31"/>
        <v>50</v>
      </c>
      <c r="K279" s="33">
        <f t="shared" si="32"/>
        <v>0</v>
      </c>
      <c r="L279" s="33">
        <f t="shared" si="33"/>
        <v>4697098.6117836414</v>
      </c>
      <c r="M279" s="33">
        <f t="shared" si="34"/>
        <v>-165229051.68684298</v>
      </c>
      <c r="N279" s="33" t="str">
        <f t="shared" si="35"/>
        <v/>
      </c>
      <c r="O279" s="10"/>
    </row>
    <row r="280" spans="1:15" x14ac:dyDescent="0.25">
      <c r="A280" s="3" t="s">
        <v>1334</v>
      </c>
      <c r="B280" s="33">
        <f t="shared" si="24"/>
        <v>0</v>
      </c>
      <c r="C280" s="33">
        <f t="shared" si="25"/>
        <v>0</v>
      </c>
      <c r="D280" s="33">
        <f t="shared" si="27"/>
        <v>0</v>
      </c>
      <c r="E280" s="33">
        <f t="shared" si="28"/>
        <v>0</v>
      </c>
      <c r="F280" s="17">
        <f t="shared" si="29"/>
        <v>51</v>
      </c>
      <c r="G280" s="32">
        <v>69</v>
      </c>
      <c r="H280" s="17">
        <f t="shared" si="26"/>
        <v>8331</v>
      </c>
      <c r="I280" s="17">
        <f t="shared" si="30"/>
        <v>82</v>
      </c>
      <c r="J280" s="17">
        <f t="shared" si="31"/>
        <v>51</v>
      </c>
      <c r="K280" s="33">
        <f t="shared" si="32"/>
        <v>0</v>
      </c>
      <c r="L280" s="33">
        <f t="shared" si="33"/>
        <v>4697098.6117836414</v>
      </c>
      <c r="M280" s="33">
        <f t="shared" si="34"/>
        <v>-165229051.68684298</v>
      </c>
      <c r="N280" s="33" t="str">
        <f t="shared" si="35"/>
        <v/>
      </c>
      <c r="O280" s="10"/>
    </row>
    <row r="281" spans="1:15" x14ac:dyDescent="0.25">
      <c r="A281" s="3" t="s">
        <v>1335</v>
      </c>
      <c r="B281" s="33">
        <f t="shared" si="24"/>
        <v>0</v>
      </c>
      <c r="C281" s="33">
        <f t="shared" si="25"/>
        <v>0</v>
      </c>
      <c r="D281" s="33">
        <f t="shared" si="27"/>
        <v>0</v>
      </c>
      <c r="E281" s="33">
        <f t="shared" si="28"/>
        <v>0</v>
      </c>
      <c r="F281" s="17">
        <f t="shared" si="29"/>
        <v>51</v>
      </c>
      <c r="G281" s="32">
        <v>70</v>
      </c>
      <c r="H281" s="17">
        <f t="shared" si="26"/>
        <v>8332</v>
      </c>
      <c r="I281" s="17">
        <f t="shared" si="30"/>
        <v>83</v>
      </c>
      <c r="J281" s="17">
        <f t="shared" si="31"/>
        <v>52</v>
      </c>
      <c r="K281" s="33">
        <f t="shared" si="32"/>
        <v>0</v>
      </c>
      <c r="L281" s="33">
        <f t="shared" si="33"/>
        <v>4697098.6117836414</v>
      </c>
      <c r="M281" s="33">
        <f t="shared" si="34"/>
        <v>-165229051.68684298</v>
      </c>
      <c r="N281" s="33" t="str">
        <f t="shared" si="35"/>
        <v/>
      </c>
      <c r="O281" s="10"/>
    </row>
    <row r="282" spans="1:15" x14ac:dyDescent="0.25">
      <c r="A282" s="3" t="s">
        <v>1336</v>
      </c>
      <c r="B282" s="33">
        <f t="shared" si="24"/>
        <v>0</v>
      </c>
      <c r="C282" s="33">
        <f t="shared" si="25"/>
        <v>0</v>
      </c>
      <c r="D282" s="33">
        <f t="shared" si="27"/>
        <v>0</v>
      </c>
      <c r="E282" s="33">
        <f t="shared" si="28"/>
        <v>0</v>
      </c>
      <c r="F282" s="17">
        <f t="shared" si="29"/>
        <v>51</v>
      </c>
      <c r="G282" s="32">
        <v>71</v>
      </c>
      <c r="H282" s="17">
        <f t="shared" si="26"/>
        <v>8333</v>
      </c>
      <c r="I282" s="17">
        <f t="shared" si="30"/>
        <v>84</v>
      </c>
      <c r="J282" s="17">
        <f t="shared" si="31"/>
        <v>53</v>
      </c>
      <c r="K282" s="33">
        <f t="shared" si="32"/>
        <v>0</v>
      </c>
      <c r="L282" s="33">
        <f t="shared" si="33"/>
        <v>4697098.6117836414</v>
      </c>
      <c r="M282" s="33">
        <f t="shared" si="34"/>
        <v>-165229051.68684298</v>
      </c>
      <c r="N282" s="33" t="str">
        <f t="shared" si="35"/>
        <v/>
      </c>
      <c r="O282" s="10"/>
    </row>
    <row r="283" spans="1:15" x14ac:dyDescent="0.25">
      <c r="A283" s="3" t="s">
        <v>1337</v>
      </c>
      <c r="B283" s="33">
        <f t="shared" si="24"/>
        <v>0</v>
      </c>
      <c r="C283" s="33">
        <f t="shared" si="25"/>
        <v>0</v>
      </c>
      <c r="D283" s="33">
        <f t="shared" si="27"/>
        <v>0</v>
      </c>
      <c r="E283" s="33">
        <f t="shared" si="28"/>
        <v>0</v>
      </c>
      <c r="F283" s="17">
        <f t="shared" si="29"/>
        <v>51</v>
      </c>
      <c r="G283" s="32">
        <v>72</v>
      </c>
      <c r="H283" s="17">
        <f t="shared" si="26"/>
        <v>8334</v>
      </c>
      <c r="I283" s="17">
        <f t="shared" si="30"/>
        <v>85</v>
      </c>
      <c r="J283" s="17">
        <f t="shared" si="31"/>
        <v>54</v>
      </c>
      <c r="K283" s="33">
        <f t="shared" si="32"/>
        <v>0</v>
      </c>
      <c r="L283" s="33">
        <f t="shared" si="33"/>
        <v>4697098.6117836414</v>
      </c>
      <c r="M283" s="33">
        <f t="shared" si="34"/>
        <v>-165229051.68684298</v>
      </c>
      <c r="N283" s="33" t="str">
        <f t="shared" si="35"/>
        <v/>
      </c>
      <c r="O283" s="10"/>
    </row>
    <row r="284" spans="1:15" x14ac:dyDescent="0.25">
      <c r="A284" s="3" t="s">
        <v>1338</v>
      </c>
      <c r="B284" s="33">
        <f t="shared" si="24"/>
        <v>-1472.682949413678</v>
      </c>
      <c r="C284" s="33">
        <f t="shared" si="25"/>
        <v>833.82154529427157</v>
      </c>
      <c r="D284" s="33">
        <f t="shared" si="27"/>
        <v>0</v>
      </c>
      <c r="E284" s="33">
        <f t="shared" si="28"/>
        <v>-1227954.7726086385</v>
      </c>
      <c r="F284" s="17">
        <f t="shared" si="29"/>
        <v>1</v>
      </c>
      <c r="G284" s="32">
        <v>73</v>
      </c>
      <c r="H284" s="17">
        <f t="shared" si="26"/>
        <v>235</v>
      </c>
      <c r="I284" s="17">
        <f t="shared" si="30"/>
        <v>1</v>
      </c>
      <c r="J284" s="17">
        <f t="shared" si="31"/>
        <v>55</v>
      </c>
      <c r="K284" s="33">
        <f t="shared" si="32"/>
        <v>0</v>
      </c>
      <c r="L284" s="33">
        <f t="shared" si="33"/>
        <v>4697098.6117836414</v>
      </c>
      <c r="M284" s="33">
        <f t="shared" si="34"/>
        <v>-165229051.68684298</v>
      </c>
      <c r="N284" s="33" t="str">
        <f t="shared" si="35"/>
        <v/>
      </c>
      <c r="O284" s="10"/>
    </row>
    <row r="285" spans="1:15" x14ac:dyDescent="0.25">
      <c r="A285" s="3" t="s">
        <v>1339</v>
      </c>
      <c r="B285" s="33">
        <f t="shared" si="24"/>
        <v>0</v>
      </c>
      <c r="C285" s="33">
        <f t="shared" si="25"/>
        <v>0</v>
      </c>
      <c r="D285" s="33">
        <f t="shared" si="27"/>
        <v>0</v>
      </c>
      <c r="E285" s="33">
        <f t="shared" si="28"/>
        <v>0</v>
      </c>
      <c r="F285" s="17">
        <f t="shared" si="29"/>
        <v>51</v>
      </c>
      <c r="G285" s="32">
        <v>74</v>
      </c>
      <c r="H285" s="17">
        <f t="shared" si="26"/>
        <v>8336</v>
      </c>
      <c r="I285" s="17">
        <f t="shared" si="30"/>
        <v>86</v>
      </c>
      <c r="J285" s="17">
        <f t="shared" si="31"/>
        <v>56</v>
      </c>
      <c r="K285" s="33">
        <f t="shared" si="32"/>
        <v>0</v>
      </c>
      <c r="L285" s="33">
        <f t="shared" si="33"/>
        <v>4697098.6117836414</v>
      </c>
      <c r="M285" s="33">
        <f t="shared" si="34"/>
        <v>-165229051.68684298</v>
      </c>
      <c r="N285" s="33" t="str">
        <f t="shared" si="35"/>
        <v/>
      </c>
      <c r="O285" s="10"/>
    </row>
    <row r="286" spans="1:15" x14ac:dyDescent="0.25">
      <c r="A286" s="3" t="s">
        <v>1340</v>
      </c>
      <c r="B286" s="33">
        <f t="shared" si="24"/>
        <v>0</v>
      </c>
      <c r="C286" s="33">
        <f t="shared" si="25"/>
        <v>0</v>
      </c>
      <c r="D286" s="33">
        <f t="shared" si="27"/>
        <v>0</v>
      </c>
      <c r="E286" s="33">
        <f t="shared" si="28"/>
        <v>0</v>
      </c>
      <c r="F286" s="17">
        <f t="shared" si="29"/>
        <v>51</v>
      </c>
      <c r="G286" s="32">
        <v>75</v>
      </c>
      <c r="H286" s="17">
        <f t="shared" si="26"/>
        <v>8337</v>
      </c>
      <c r="I286" s="17">
        <f t="shared" si="30"/>
        <v>87</v>
      </c>
      <c r="J286" s="17">
        <f t="shared" si="31"/>
        <v>57</v>
      </c>
      <c r="K286" s="33">
        <f t="shared" si="32"/>
        <v>0</v>
      </c>
      <c r="L286" s="33">
        <f t="shared" si="33"/>
        <v>4697098.6117836414</v>
      </c>
      <c r="M286" s="33">
        <f t="shared" si="34"/>
        <v>-165229051.68684298</v>
      </c>
      <c r="N286" s="33" t="str">
        <f t="shared" si="35"/>
        <v/>
      </c>
      <c r="O286" s="10"/>
    </row>
    <row r="287" spans="1:15" x14ac:dyDescent="0.25">
      <c r="A287" s="3" t="s">
        <v>1341</v>
      </c>
      <c r="B287" s="33">
        <f t="shared" si="24"/>
        <v>0</v>
      </c>
      <c r="C287" s="33">
        <f t="shared" si="25"/>
        <v>0</v>
      </c>
      <c r="D287" s="33">
        <f t="shared" si="27"/>
        <v>0</v>
      </c>
      <c r="E287" s="33">
        <f t="shared" si="28"/>
        <v>0</v>
      </c>
      <c r="F287" s="17">
        <f t="shared" si="29"/>
        <v>51</v>
      </c>
      <c r="G287" s="32">
        <v>76</v>
      </c>
      <c r="H287" s="17">
        <f t="shared" si="26"/>
        <v>8338</v>
      </c>
      <c r="I287" s="17">
        <f t="shared" si="30"/>
        <v>88</v>
      </c>
      <c r="J287" s="17">
        <f t="shared" si="31"/>
        <v>58</v>
      </c>
      <c r="K287" s="33">
        <f t="shared" si="32"/>
        <v>0</v>
      </c>
      <c r="L287" s="33">
        <f t="shared" si="33"/>
        <v>4697098.6117836414</v>
      </c>
      <c r="M287" s="33">
        <f t="shared" si="34"/>
        <v>-165229051.68684298</v>
      </c>
      <c r="N287" s="33" t="str">
        <f t="shared" si="35"/>
        <v/>
      </c>
      <c r="O287" s="10"/>
    </row>
    <row r="288" spans="1:15" x14ac:dyDescent="0.25">
      <c r="A288" s="3" t="s">
        <v>1342</v>
      </c>
      <c r="B288" s="33">
        <f t="shared" si="24"/>
        <v>-93.433771106661681</v>
      </c>
      <c r="C288" s="33">
        <f t="shared" si="25"/>
        <v>0</v>
      </c>
      <c r="D288" s="33">
        <f t="shared" si="27"/>
        <v>0</v>
      </c>
      <c r="E288" s="33">
        <f t="shared" si="28"/>
        <v>0</v>
      </c>
      <c r="F288" s="17">
        <f t="shared" si="29"/>
        <v>7</v>
      </c>
      <c r="G288" s="32">
        <v>77</v>
      </c>
      <c r="H288" s="17">
        <f t="shared" si="26"/>
        <v>1211</v>
      </c>
      <c r="I288" s="17">
        <f t="shared" si="30"/>
        <v>8</v>
      </c>
      <c r="J288" s="17">
        <f t="shared" si="31"/>
        <v>59</v>
      </c>
      <c r="K288" s="33">
        <f t="shared" si="32"/>
        <v>0</v>
      </c>
      <c r="L288" s="33">
        <f t="shared" si="33"/>
        <v>4697098.6117836414</v>
      </c>
      <c r="M288" s="33">
        <f t="shared" si="34"/>
        <v>-165229051.68684298</v>
      </c>
      <c r="N288" s="33" t="str">
        <f t="shared" si="35"/>
        <v/>
      </c>
      <c r="O288" s="10"/>
    </row>
    <row r="289" spans="1:15" x14ac:dyDescent="0.25">
      <c r="A289" s="3" t="s">
        <v>1343</v>
      </c>
      <c r="B289" s="33">
        <f t="shared" si="24"/>
        <v>0</v>
      </c>
      <c r="C289" s="33">
        <f t="shared" si="25"/>
        <v>0</v>
      </c>
      <c r="D289" s="33">
        <f t="shared" si="27"/>
        <v>0</v>
      </c>
      <c r="E289" s="33">
        <f t="shared" si="28"/>
        <v>0</v>
      </c>
      <c r="F289" s="17">
        <f t="shared" si="29"/>
        <v>51</v>
      </c>
      <c r="G289" s="32">
        <v>78</v>
      </c>
      <c r="H289" s="17">
        <f t="shared" si="26"/>
        <v>8340</v>
      </c>
      <c r="I289" s="17">
        <f t="shared" si="30"/>
        <v>89</v>
      </c>
      <c r="J289" s="17">
        <f t="shared" si="31"/>
        <v>60</v>
      </c>
      <c r="K289" s="33">
        <f t="shared" si="32"/>
        <v>0</v>
      </c>
      <c r="L289" s="33">
        <f t="shared" si="33"/>
        <v>4697098.6117836414</v>
      </c>
      <c r="M289" s="33">
        <f t="shared" si="34"/>
        <v>-165229051.68684298</v>
      </c>
      <c r="N289" s="33" t="str">
        <f t="shared" si="35"/>
        <v/>
      </c>
      <c r="O289" s="10"/>
    </row>
    <row r="290" spans="1:15" x14ac:dyDescent="0.25">
      <c r="A290" s="3" t="s">
        <v>1344</v>
      </c>
      <c r="B290" s="33">
        <f t="shared" si="24"/>
        <v>-81.693929927485868</v>
      </c>
      <c r="C290" s="33">
        <f t="shared" si="25"/>
        <v>0</v>
      </c>
      <c r="D290" s="33">
        <f t="shared" si="27"/>
        <v>0</v>
      </c>
      <c r="E290" s="33">
        <f t="shared" si="28"/>
        <v>0</v>
      </c>
      <c r="F290" s="17">
        <f t="shared" si="29"/>
        <v>10</v>
      </c>
      <c r="G290" s="32">
        <v>79</v>
      </c>
      <c r="H290" s="17">
        <f t="shared" si="26"/>
        <v>1699</v>
      </c>
      <c r="I290" s="17">
        <f t="shared" si="30"/>
        <v>11</v>
      </c>
      <c r="J290" s="17">
        <f t="shared" si="31"/>
        <v>61</v>
      </c>
      <c r="K290" s="33">
        <f t="shared" si="32"/>
        <v>0</v>
      </c>
      <c r="L290" s="33">
        <f t="shared" si="33"/>
        <v>4697098.6117836414</v>
      </c>
      <c r="M290" s="33">
        <f t="shared" si="34"/>
        <v>-165229051.68684298</v>
      </c>
      <c r="N290" s="33" t="str">
        <f t="shared" si="35"/>
        <v/>
      </c>
      <c r="O290" s="10"/>
    </row>
    <row r="291" spans="1:15" x14ac:dyDescent="0.25">
      <c r="A291" s="3" t="s">
        <v>1345</v>
      </c>
      <c r="B291" s="33">
        <f t="shared" si="24"/>
        <v>0</v>
      </c>
      <c r="C291" s="33">
        <f t="shared" si="25"/>
        <v>0</v>
      </c>
      <c r="D291" s="33">
        <f t="shared" si="27"/>
        <v>0</v>
      </c>
      <c r="E291" s="33">
        <f t="shared" si="28"/>
        <v>0</v>
      </c>
      <c r="F291" s="17">
        <f t="shared" si="29"/>
        <v>51</v>
      </c>
      <c r="G291" s="32">
        <v>80</v>
      </c>
      <c r="H291" s="17">
        <f t="shared" si="26"/>
        <v>8342</v>
      </c>
      <c r="I291" s="17">
        <f t="shared" si="30"/>
        <v>90</v>
      </c>
      <c r="J291" s="17">
        <f t="shared" si="31"/>
        <v>62</v>
      </c>
      <c r="K291" s="33">
        <f t="shared" si="32"/>
        <v>0</v>
      </c>
      <c r="L291" s="33">
        <f t="shared" si="33"/>
        <v>4697098.6117836414</v>
      </c>
      <c r="M291" s="33">
        <f t="shared" si="34"/>
        <v>-165229051.68684298</v>
      </c>
      <c r="N291" s="33" t="str">
        <f t="shared" si="35"/>
        <v/>
      </c>
      <c r="O291" s="10"/>
    </row>
    <row r="292" spans="1:15" x14ac:dyDescent="0.25">
      <c r="A292" s="3" t="s">
        <v>1346</v>
      </c>
      <c r="B292" s="33">
        <f t="shared" si="24"/>
        <v>-39.582044612985548</v>
      </c>
      <c r="C292" s="33">
        <f t="shared" si="25"/>
        <v>0</v>
      </c>
      <c r="D292" s="33">
        <f t="shared" si="27"/>
        <v>0</v>
      </c>
      <c r="E292" s="33">
        <f t="shared" si="28"/>
        <v>0</v>
      </c>
      <c r="F292" s="17">
        <f t="shared" si="29"/>
        <v>36</v>
      </c>
      <c r="G292" s="32">
        <v>81</v>
      </c>
      <c r="H292" s="17">
        <f t="shared" si="26"/>
        <v>5913</v>
      </c>
      <c r="I292" s="17">
        <f t="shared" si="30"/>
        <v>36</v>
      </c>
      <c r="J292" s="17">
        <f t="shared" si="31"/>
        <v>63</v>
      </c>
      <c r="K292" s="33">
        <f t="shared" si="32"/>
        <v>0</v>
      </c>
      <c r="L292" s="33">
        <f t="shared" si="33"/>
        <v>4697098.6117836414</v>
      </c>
      <c r="M292" s="33">
        <f t="shared" si="34"/>
        <v>-165229051.68684298</v>
      </c>
      <c r="N292" s="33" t="str">
        <f t="shared" si="35"/>
        <v/>
      </c>
      <c r="O292" s="10"/>
    </row>
    <row r="293" spans="1:15" x14ac:dyDescent="0.25">
      <c r="A293" s="3" t="s">
        <v>1347</v>
      </c>
      <c r="B293" s="33">
        <f t="shared" ref="B293:B319" si="36">E128</f>
        <v>0</v>
      </c>
      <c r="C293" s="33">
        <f t="shared" ref="C293:C319" si="37">E82</f>
        <v>0</v>
      </c>
      <c r="D293" s="33">
        <f t="shared" si="27"/>
        <v>0</v>
      </c>
      <c r="E293" s="33">
        <f t="shared" si="28"/>
        <v>0</v>
      </c>
      <c r="F293" s="17">
        <f t="shared" si="29"/>
        <v>51</v>
      </c>
      <c r="G293" s="32">
        <v>82</v>
      </c>
      <c r="H293" s="17">
        <f t="shared" si="26"/>
        <v>8344</v>
      </c>
      <c r="I293" s="17">
        <f t="shared" si="30"/>
        <v>91</v>
      </c>
      <c r="J293" s="17">
        <f t="shared" si="31"/>
        <v>69</v>
      </c>
      <c r="K293" s="33">
        <f t="shared" si="32"/>
        <v>0</v>
      </c>
      <c r="L293" s="33">
        <f t="shared" si="33"/>
        <v>4697098.6117836414</v>
      </c>
      <c r="M293" s="33">
        <f t="shared" si="34"/>
        <v>-165229051.68684298</v>
      </c>
      <c r="N293" s="33" t="str">
        <f t="shared" si="35"/>
        <v/>
      </c>
      <c r="O293" s="10"/>
    </row>
    <row r="294" spans="1:15" x14ac:dyDescent="0.25">
      <c r="A294" s="3" t="s">
        <v>1348</v>
      </c>
      <c r="B294" s="33">
        <f t="shared" si="36"/>
        <v>0</v>
      </c>
      <c r="C294" s="33">
        <f t="shared" si="37"/>
        <v>0</v>
      </c>
      <c r="D294" s="33">
        <f t="shared" si="27"/>
        <v>0</v>
      </c>
      <c r="E294" s="33">
        <f t="shared" si="28"/>
        <v>0</v>
      </c>
      <c r="F294" s="17">
        <f t="shared" si="29"/>
        <v>51</v>
      </c>
      <c r="G294" s="32">
        <v>83</v>
      </c>
      <c r="H294" s="17">
        <f t="shared" si="26"/>
        <v>8345</v>
      </c>
      <c r="I294" s="17">
        <f t="shared" si="30"/>
        <v>92</v>
      </c>
      <c r="J294" s="17">
        <f t="shared" si="31"/>
        <v>70</v>
      </c>
      <c r="K294" s="33">
        <f t="shared" si="32"/>
        <v>0</v>
      </c>
      <c r="L294" s="33">
        <f t="shared" si="33"/>
        <v>4697098.6117836414</v>
      </c>
      <c r="M294" s="33">
        <f t="shared" si="34"/>
        <v>-165229051.68684298</v>
      </c>
      <c r="N294" s="33" t="str">
        <f t="shared" si="35"/>
        <v/>
      </c>
      <c r="O294" s="10"/>
    </row>
    <row r="295" spans="1:15" x14ac:dyDescent="0.25">
      <c r="A295" s="3" t="s">
        <v>1349</v>
      </c>
      <c r="B295" s="33">
        <f t="shared" si="36"/>
        <v>0</v>
      </c>
      <c r="C295" s="33">
        <f t="shared" si="37"/>
        <v>0</v>
      </c>
      <c r="D295" s="33">
        <f t="shared" si="27"/>
        <v>0</v>
      </c>
      <c r="E295" s="33">
        <f t="shared" si="28"/>
        <v>0</v>
      </c>
      <c r="F295" s="17">
        <f t="shared" si="29"/>
        <v>51</v>
      </c>
      <c r="G295" s="32">
        <v>84</v>
      </c>
      <c r="H295" s="17">
        <f t="shared" si="26"/>
        <v>8346</v>
      </c>
      <c r="I295" s="17">
        <f t="shared" si="30"/>
        <v>93</v>
      </c>
      <c r="J295" s="17">
        <f t="shared" si="31"/>
        <v>71</v>
      </c>
      <c r="K295" s="33">
        <f t="shared" si="32"/>
        <v>0</v>
      </c>
      <c r="L295" s="33">
        <f t="shared" si="33"/>
        <v>4697098.6117836414</v>
      </c>
      <c r="M295" s="33">
        <f t="shared" si="34"/>
        <v>-165229051.68684298</v>
      </c>
      <c r="N295" s="33" t="str">
        <f t="shared" si="35"/>
        <v/>
      </c>
      <c r="O295" s="10"/>
    </row>
    <row r="296" spans="1:15" x14ac:dyDescent="0.25">
      <c r="A296" s="3" t="s">
        <v>1350</v>
      </c>
      <c r="B296" s="33">
        <f t="shared" si="36"/>
        <v>0</v>
      </c>
      <c r="C296" s="33">
        <f t="shared" si="37"/>
        <v>0</v>
      </c>
      <c r="D296" s="33">
        <f t="shared" si="27"/>
        <v>0</v>
      </c>
      <c r="E296" s="33">
        <f t="shared" si="28"/>
        <v>0</v>
      </c>
      <c r="F296" s="17">
        <f t="shared" si="29"/>
        <v>51</v>
      </c>
      <c r="G296" s="32">
        <v>85</v>
      </c>
      <c r="H296" s="17">
        <f t="shared" si="26"/>
        <v>8347</v>
      </c>
      <c r="I296" s="17">
        <f t="shared" si="30"/>
        <v>94</v>
      </c>
      <c r="J296" s="17">
        <f t="shared" si="31"/>
        <v>72</v>
      </c>
      <c r="K296" s="33">
        <f t="shared" si="32"/>
        <v>0</v>
      </c>
      <c r="L296" s="33">
        <f t="shared" si="33"/>
        <v>4697098.6117836414</v>
      </c>
      <c r="M296" s="33">
        <f t="shared" si="34"/>
        <v>-165229051.68684298</v>
      </c>
      <c r="N296" s="33" t="str">
        <f t="shared" si="35"/>
        <v/>
      </c>
      <c r="O296" s="10"/>
    </row>
    <row r="297" spans="1:15" x14ac:dyDescent="0.25">
      <c r="A297" s="3" t="s">
        <v>1351</v>
      </c>
      <c r="B297" s="33">
        <f t="shared" si="36"/>
        <v>0</v>
      </c>
      <c r="C297" s="33">
        <f t="shared" si="37"/>
        <v>0</v>
      </c>
      <c r="D297" s="33">
        <f t="shared" si="27"/>
        <v>0</v>
      </c>
      <c r="E297" s="33">
        <f t="shared" si="28"/>
        <v>0</v>
      </c>
      <c r="F297" s="17">
        <f t="shared" si="29"/>
        <v>51</v>
      </c>
      <c r="G297" s="32">
        <v>86</v>
      </c>
      <c r="H297" s="17">
        <f t="shared" si="26"/>
        <v>8348</v>
      </c>
      <c r="I297" s="17">
        <f t="shared" si="30"/>
        <v>95</v>
      </c>
      <c r="J297" s="17">
        <f t="shared" si="31"/>
        <v>74</v>
      </c>
      <c r="K297" s="33">
        <f t="shared" si="32"/>
        <v>0</v>
      </c>
      <c r="L297" s="33">
        <f t="shared" si="33"/>
        <v>4697098.6117836414</v>
      </c>
      <c r="M297" s="33">
        <f t="shared" si="34"/>
        <v>-165229051.68684298</v>
      </c>
      <c r="N297" s="33" t="str">
        <f t="shared" si="35"/>
        <v/>
      </c>
      <c r="O297" s="10"/>
    </row>
    <row r="298" spans="1:15" x14ac:dyDescent="0.25">
      <c r="A298" s="3" t="s">
        <v>1352</v>
      </c>
      <c r="B298" s="33">
        <f t="shared" si="36"/>
        <v>0</v>
      </c>
      <c r="C298" s="33">
        <f t="shared" si="37"/>
        <v>0</v>
      </c>
      <c r="D298" s="33">
        <f t="shared" si="27"/>
        <v>0</v>
      </c>
      <c r="E298" s="33">
        <f t="shared" si="28"/>
        <v>0</v>
      </c>
      <c r="F298" s="17">
        <f t="shared" si="29"/>
        <v>51</v>
      </c>
      <c r="G298" s="32">
        <v>87</v>
      </c>
      <c r="H298" s="17">
        <f t="shared" si="26"/>
        <v>8349</v>
      </c>
      <c r="I298" s="17">
        <f t="shared" si="30"/>
        <v>96</v>
      </c>
      <c r="J298" s="17">
        <f t="shared" si="31"/>
        <v>75</v>
      </c>
      <c r="K298" s="33">
        <f t="shared" si="32"/>
        <v>0</v>
      </c>
      <c r="L298" s="33">
        <f t="shared" si="33"/>
        <v>4697098.6117836414</v>
      </c>
      <c r="M298" s="33">
        <f t="shared" si="34"/>
        <v>-165229051.68684298</v>
      </c>
      <c r="N298" s="33" t="str">
        <f t="shared" si="35"/>
        <v/>
      </c>
      <c r="O298" s="10"/>
    </row>
    <row r="299" spans="1:15" x14ac:dyDescent="0.25">
      <c r="A299" s="3" t="s">
        <v>1353</v>
      </c>
      <c r="B299" s="33">
        <f t="shared" si="36"/>
        <v>0</v>
      </c>
      <c r="C299" s="33">
        <f t="shared" si="37"/>
        <v>0</v>
      </c>
      <c r="D299" s="33">
        <f t="shared" si="27"/>
        <v>0</v>
      </c>
      <c r="E299" s="33">
        <f t="shared" si="28"/>
        <v>0</v>
      </c>
      <c r="F299" s="17">
        <f t="shared" si="29"/>
        <v>51</v>
      </c>
      <c r="G299" s="32">
        <v>88</v>
      </c>
      <c r="H299" s="17">
        <f t="shared" si="26"/>
        <v>8350</v>
      </c>
      <c r="I299" s="17">
        <f t="shared" si="30"/>
        <v>97</v>
      </c>
      <c r="J299" s="17">
        <f t="shared" si="31"/>
        <v>76</v>
      </c>
      <c r="K299" s="33">
        <f t="shared" si="32"/>
        <v>0</v>
      </c>
      <c r="L299" s="33">
        <f t="shared" si="33"/>
        <v>4697098.6117836414</v>
      </c>
      <c r="M299" s="33">
        <f t="shared" si="34"/>
        <v>-165229051.68684298</v>
      </c>
      <c r="N299" s="33" t="str">
        <f t="shared" si="35"/>
        <v/>
      </c>
      <c r="O299" s="10"/>
    </row>
    <row r="300" spans="1:15" x14ac:dyDescent="0.25">
      <c r="A300" s="3" t="s">
        <v>1354</v>
      </c>
      <c r="B300" s="33">
        <f t="shared" si="36"/>
        <v>0</v>
      </c>
      <c r="C300" s="33">
        <f t="shared" si="37"/>
        <v>0</v>
      </c>
      <c r="D300" s="33">
        <f t="shared" si="27"/>
        <v>0</v>
      </c>
      <c r="E300" s="33">
        <f t="shared" si="28"/>
        <v>0</v>
      </c>
      <c r="F300" s="17">
        <f t="shared" si="29"/>
        <v>51</v>
      </c>
      <c r="G300" s="32">
        <v>89</v>
      </c>
      <c r="H300" s="17">
        <f t="shared" si="26"/>
        <v>8351</v>
      </c>
      <c r="I300" s="17">
        <f t="shared" si="30"/>
        <v>98</v>
      </c>
      <c r="J300" s="17">
        <f t="shared" si="31"/>
        <v>78</v>
      </c>
      <c r="K300" s="33">
        <f t="shared" si="32"/>
        <v>0</v>
      </c>
      <c r="L300" s="33">
        <f t="shared" si="33"/>
        <v>4697098.6117836414</v>
      </c>
      <c r="M300" s="33">
        <f t="shared" si="34"/>
        <v>-165229051.68684298</v>
      </c>
      <c r="N300" s="33" t="str">
        <f t="shared" si="35"/>
        <v/>
      </c>
      <c r="O300" s="10"/>
    </row>
    <row r="301" spans="1:15" x14ac:dyDescent="0.25">
      <c r="A301" s="3" t="s">
        <v>1355</v>
      </c>
      <c r="B301" s="33">
        <f t="shared" si="36"/>
        <v>0</v>
      </c>
      <c r="C301" s="33">
        <f t="shared" si="37"/>
        <v>0</v>
      </c>
      <c r="D301" s="33">
        <f t="shared" si="27"/>
        <v>0</v>
      </c>
      <c r="E301" s="33">
        <f t="shared" si="28"/>
        <v>0</v>
      </c>
      <c r="F301" s="17">
        <f t="shared" si="29"/>
        <v>51</v>
      </c>
      <c r="G301" s="32">
        <v>90</v>
      </c>
      <c r="H301" s="17">
        <f t="shared" si="26"/>
        <v>8352</v>
      </c>
      <c r="I301" s="17">
        <f t="shared" si="30"/>
        <v>99</v>
      </c>
      <c r="J301" s="17">
        <f t="shared" si="31"/>
        <v>80</v>
      </c>
      <c r="K301" s="33">
        <f t="shared" si="32"/>
        <v>0</v>
      </c>
      <c r="L301" s="33">
        <f t="shared" si="33"/>
        <v>4697098.6117836414</v>
      </c>
      <c r="M301" s="33">
        <f t="shared" si="34"/>
        <v>-165229051.68684298</v>
      </c>
      <c r="N301" s="33" t="str">
        <f t="shared" si="35"/>
        <v/>
      </c>
      <c r="O301" s="10"/>
    </row>
    <row r="302" spans="1:15" x14ac:dyDescent="0.25">
      <c r="A302" s="3" t="s">
        <v>1356</v>
      </c>
      <c r="B302" s="33">
        <f t="shared" si="36"/>
        <v>0</v>
      </c>
      <c r="C302" s="33">
        <f t="shared" si="37"/>
        <v>0</v>
      </c>
      <c r="D302" s="33">
        <f t="shared" si="27"/>
        <v>0</v>
      </c>
      <c r="E302" s="33">
        <f t="shared" si="28"/>
        <v>0</v>
      </c>
      <c r="F302" s="17">
        <f t="shared" si="29"/>
        <v>51</v>
      </c>
      <c r="G302" s="32">
        <v>91</v>
      </c>
      <c r="H302" s="17">
        <f t="shared" si="26"/>
        <v>8353</v>
      </c>
      <c r="I302" s="17">
        <f t="shared" si="30"/>
        <v>100</v>
      </c>
      <c r="J302" s="17">
        <f t="shared" si="31"/>
        <v>82</v>
      </c>
      <c r="K302" s="33">
        <f t="shared" si="32"/>
        <v>0</v>
      </c>
      <c r="L302" s="33">
        <f t="shared" si="33"/>
        <v>4697098.6117836414</v>
      </c>
      <c r="M302" s="33">
        <f t="shared" si="34"/>
        <v>-165229051.68684298</v>
      </c>
      <c r="N302" s="33" t="str">
        <f t="shared" si="35"/>
        <v/>
      </c>
      <c r="O302" s="10"/>
    </row>
    <row r="303" spans="1:15" x14ac:dyDescent="0.25">
      <c r="A303" s="3" t="s">
        <v>1357</v>
      </c>
      <c r="B303" s="33">
        <f t="shared" si="36"/>
        <v>0</v>
      </c>
      <c r="C303" s="33">
        <f t="shared" si="37"/>
        <v>0</v>
      </c>
      <c r="D303" s="33">
        <f t="shared" si="27"/>
        <v>0</v>
      </c>
      <c r="E303" s="33">
        <f t="shared" si="28"/>
        <v>0</v>
      </c>
      <c r="F303" s="17">
        <f t="shared" si="29"/>
        <v>51</v>
      </c>
      <c r="G303" s="32">
        <v>92</v>
      </c>
      <c r="H303" s="17">
        <f t="shared" si="26"/>
        <v>8354</v>
      </c>
      <c r="I303" s="17">
        <f t="shared" si="30"/>
        <v>101</v>
      </c>
      <c r="J303" s="17">
        <f t="shared" si="31"/>
        <v>83</v>
      </c>
      <c r="K303" s="33">
        <f t="shared" si="32"/>
        <v>0</v>
      </c>
      <c r="L303" s="33">
        <f t="shared" si="33"/>
        <v>4697098.6117836414</v>
      </c>
      <c r="M303" s="33">
        <f t="shared" si="34"/>
        <v>-165229051.68684298</v>
      </c>
      <c r="N303" s="33" t="str">
        <f t="shared" si="35"/>
        <v/>
      </c>
      <c r="O303" s="10"/>
    </row>
    <row r="304" spans="1:15" x14ac:dyDescent="0.25">
      <c r="A304" s="3" t="s">
        <v>1358</v>
      </c>
      <c r="B304" s="33">
        <f t="shared" si="36"/>
        <v>0</v>
      </c>
      <c r="C304" s="33">
        <f t="shared" si="37"/>
        <v>0</v>
      </c>
      <c r="D304" s="33">
        <f t="shared" si="27"/>
        <v>0</v>
      </c>
      <c r="E304" s="33">
        <f t="shared" si="28"/>
        <v>0</v>
      </c>
      <c r="F304" s="17">
        <f t="shared" si="29"/>
        <v>51</v>
      </c>
      <c r="G304" s="32">
        <v>93</v>
      </c>
      <c r="H304" s="17">
        <f t="shared" si="26"/>
        <v>8355</v>
      </c>
      <c r="I304" s="17">
        <f t="shared" si="30"/>
        <v>102</v>
      </c>
      <c r="J304" s="17">
        <f t="shared" si="31"/>
        <v>84</v>
      </c>
      <c r="K304" s="33">
        <f t="shared" si="32"/>
        <v>0</v>
      </c>
      <c r="L304" s="33">
        <f t="shared" si="33"/>
        <v>4697098.6117836414</v>
      </c>
      <c r="M304" s="33">
        <f t="shared" si="34"/>
        <v>-165229051.68684298</v>
      </c>
      <c r="N304" s="33" t="str">
        <f t="shared" si="35"/>
        <v/>
      </c>
      <c r="O304" s="10"/>
    </row>
    <row r="305" spans="1:15" x14ac:dyDescent="0.25">
      <c r="A305" s="3" t="s">
        <v>1359</v>
      </c>
      <c r="B305" s="33">
        <f t="shared" si="36"/>
        <v>0</v>
      </c>
      <c r="C305" s="33">
        <f t="shared" si="37"/>
        <v>0</v>
      </c>
      <c r="D305" s="33">
        <f t="shared" si="27"/>
        <v>0</v>
      </c>
      <c r="E305" s="33">
        <f t="shared" si="28"/>
        <v>0</v>
      </c>
      <c r="F305" s="17">
        <f t="shared" si="29"/>
        <v>51</v>
      </c>
      <c r="G305" s="32">
        <v>94</v>
      </c>
      <c r="H305" s="17">
        <f t="shared" si="26"/>
        <v>8356</v>
      </c>
      <c r="I305" s="17">
        <f t="shared" si="30"/>
        <v>103</v>
      </c>
      <c r="J305" s="17">
        <f t="shared" si="31"/>
        <v>85</v>
      </c>
      <c r="K305" s="33">
        <f t="shared" si="32"/>
        <v>0</v>
      </c>
      <c r="L305" s="33">
        <f t="shared" si="33"/>
        <v>4697098.6117836414</v>
      </c>
      <c r="M305" s="33">
        <f t="shared" si="34"/>
        <v>-165229051.68684298</v>
      </c>
      <c r="N305" s="33" t="str">
        <f t="shared" si="35"/>
        <v/>
      </c>
      <c r="O305" s="10"/>
    </row>
    <row r="306" spans="1:15" x14ac:dyDescent="0.25">
      <c r="A306" s="3" t="s">
        <v>1360</v>
      </c>
      <c r="B306" s="33">
        <f t="shared" si="36"/>
        <v>0</v>
      </c>
      <c r="C306" s="33">
        <f t="shared" si="37"/>
        <v>0</v>
      </c>
      <c r="D306" s="33">
        <f t="shared" si="27"/>
        <v>0</v>
      </c>
      <c r="E306" s="33">
        <f t="shared" si="28"/>
        <v>0</v>
      </c>
      <c r="F306" s="17">
        <f t="shared" si="29"/>
        <v>51</v>
      </c>
      <c r="G306" s="32">
        <v>95</v>
      </c>
      <c r="H306" s="17">
        <f t="shared" si="26"/>
        <v>8357</v>
      </c>
      <c r="I306" s="17">
        <f t="shared" si="30"/>
        <v>104</v>
      </c>
      <c r="J306" s="17">
        <f t="shared" si="31"/>
        <v>86</v>
      </c>
      <c r="K306" s="33">
        <f t="shared" si="32"/>
        <v>0</v>
      </c>
      <c r="L306" s="33">
        <f t="shared" si="33"/>
        <v>4697098.6117836414</v>
      </c>
      <c r="M306" s="33">
        <f t="shared" si="34"/>
        <v>-165229051.68684298</v>
      </c>
      <c r="N306" s="33" t="str">
        <f t="shared" si="35"/>
        <v/>
      </c>
      <c r="O306" s="10"/>
    </row>
    <row r="307" spans="1:15" x14ac:dyDescent="0.25">
      <c r="A307" s="3" t="s">
        <v>1361</v>
      </c>
      <c r="B307" s="33">
        <f t="shared" si="36"/>
        <v>0</v>
      </c>
      <c r="C307" s="33">
        <f t="shared" si="37"/>
        <v>0</v>
      </c>
      <c r="D307" s="33">
        <f t="shared" si="27"/>
        <v>0</v>
      </c>
      <c r="E307" s="33">
        <f t="shared" si="28"/>
        <v>0</v>
      </c>
      <c r="F307" s="17">
        <f t="shared" si="29"/>
        <v>51</v>
      </c>
      <c r="G307" s="32">
        <v>96</v>
      </c>
      <c r="H307" s="17">
        <f t="shared" ref="H307:H338" si="38">F307*162+G307</f>
        <v>8358</v>
      </c>
      <c r="I307" s="17">
        <f t="shared" si="30"/>
        <v>105</v>
      </c>
      <c r="J307" s="17">
        <f t="shared" si="31"/>
        <v>87</v>
      </c>
      <c r="K307" s="33">
        <f t="shared" si="32"/>
        <v>0</v>
      </c>
      <c r="L307" s="33">
        <f t="shared" si="33"/>
        <v>4697098.6117836414</v>
      </c>
      <c r="M307" s="33">
        <f t="shared" si="34"/>
        <v>-165229051.68684298</v>
      </c>
      <c r="N307" s="33" t="str">
        <f t="shared" si="35"/>
        <v/>
      </c>
      <c r="O307" s="10"/>
    </row>
    <row r="308" spans="1:15" x14ac:dyDescent="0.25">
      <c r="A308" s="3" t="s">
        <v>1362</v>
      </c>
      <c r="B308" s="33">
        <f t="shared" si="36"/>
        <v>0</v>
      </c>
      <c r="C308" s="33">
        <f t="shared" si="37"/>
        <v>0</v>
      </c>
      <c r="D308" s="33">
        <f t="shared" ref="D308:D339" si="39">IF(ISERROR(B308),C308,0)</f>
        <v>0</v>
      </c>
      <c r="E308" s="33">
        <f t="shared" ref="E308:E339" si="40">MAX($B$182,B308)*C308</f>
        <v>0</v>
      </c>
      <c r="F308" s="17">
        <f t="shared" ref="F308:F339" si="41">RANK(B308,B$212:B$373,1)</f>
        <v>51</v>
      </c>
      <c r="G308" s="32">
        <v>97</v>
      </c>
      <c r="H308" s="17">
        <f t="shared" si="38"/>
        <v>8359</v>
      </c>
      <c r="I308" s="17">
        <f t="shared" ref="I308:I339" si="42">RANK(H308,H$212:H$373,1)</f>
        <v>106</v>
      </c>
      <c r="J308" s="17">
        <f t="shared" ref="J308:J339" si="43">MATCH(G308,I$212:I$373,0)</f>
        <v>88</v>
      </c>
      <c r="K308" s="33">
        <f t="shared" ref="K308:K339" si="44">INDEX(B$212:B$373,J308,1)</f>
        <v>0</v>
      </c>
      <c r="L308" s="33">
        <f t="shared" ref="L308:L339" si="45">L307+INDEX(C$212:C$373,J308,1)</f>
        <v>4697098.6117836414</v>
      </c>
      <c r="M308" s="33">
        <f t="shared" ref="M308:M339" si="46">M307+(K308-K307)*L307</f>
        <v>-165229051.68684298</v>
      </c>
      <c r="N308" s="33" t="str">
        <f t="shared" ref="N308:N339" si="47">IF((M307&gt;0)=(M308&gt;0),"",K308-M308/L307)</f>
        <v/>
      </c>
      <c r="O308" s="10"/>
    </row>
    <row r="309" spans="1:15" x14ac:dyDescent="0.25">
      <c r="A309" s="3" t="s">
        <v>1363</v>
      </c>
      <c r="B309" s="33">
        <f t="shared" si="36"/>
        <v>0</v>
      </c>
      <c r="C309" s="33">
        <f t="shared" si="37"/>
        <v>0</v>
      </c>
      <c r="D309" s="33">
        <f t="shared" si="39"/>
        <v>0</v>
      </c>
      <c r="E309" s="33">
        <f t="shared" si="40"/>
        <v>0</v>
      </c>
      <c r="F309" s="17">
        <f t="shared" si="41"/>
        <v>51</v>
      </c>
      <c r="G309" s="32">
        <v>98</v>
      </c>
      <c r="H309" s="17">
        <f t="shared" si="38"/>
        <v>8360</v>
      </c>
      <c r="I309" s="17">
        <f t="shared" si="42"/>
        <v>107</v>
      </c>
      <c r="J309" s="17">
        <f t="shared" si="43"/>
        <v>89</v>
      </c>
      <c r="K309" s="33">
        <f t="shared" si="44"/>
        <v>0</v>
      </c>
      <c r="L309" s="33">
        <f t="shared" si="45"/>
        <v>4697098.6117836414</v>
      </c>
      <c r="M309" s="33">
        <f t="shared" si="46"/>
        <v>-165229051.68684298</v>
      </c>
      <c r="N309" s="33" t="str">
        <f t="shared" si="47"/>
        <v/>
      </c>
      <c r="O309" s="10"/>
    </row>
    <row r="310" spans="1:15" x14ac:dyDescent="0.25">
      <c r="A310" s="3" t="s">
        <v>1364</v>
      </c>
      <c r="B310" s="33">
        <f t="shared" si="36"/>
        <v>0</v>
      </c>
      <c r="C310" s="33">
        <f t="shared" si="37"/>
        <v>0</v>
      </c>
      <c r="D310" s="33">
        <f t="shared" si="39"/>
        <v>0</v>
      </c>
      <c r="E310" s="33">
        <f t="shared" si="40"/>
        <v>0</v>
      </c>
      <c r="F310" s="17">
        <f t="shared" si="41"/>
        <v>51</v>
      </c>
      <c r="G310" s="32">
        <v>99</v>
      </c>
      <c r="H310" s="17">
        <f t="shared" si="38"/>
        <v>8361</v>
      </c>
      <c r="I310" s="17">
        <f t="shared" si="42"/>
        <v>108</v>
      </c>
      <c r="J310" s="17">
        <f t="shared" si="43"/>
        <v>90</v>
      </c>
      <c r="K310" s="33">
        <f t="shared" si="44"/>
        <v>0</v>
      </c>
      <c r="L310" s="33">
        <f t="shared" si="45"/>
        <v>4697098.6117836414</v>
      </c>
      <c r="M310" s="33">
        <f t="shared" si="46"/>
        <v>-165229051.68684298</v>
      </c>
      <c r="N310" s="33" t="str">
        <f t="shared" si="47"/>
        <v/>
      </c>
      <c r="O310" s="10"/>
    </row>
    <row r="311" spans="1:15" x14ac:dyDescent="0.25">
      <c r="A311" s="3" t="s">
        <v>1365</v>
      </c>
      <c r="B311" s="33">
        <f t="shared" si="36"/>
        <v>0</v>
      </c>
      <c r="C311" s="33">
        <f t="shared" si="37"/>
        <v>0</v>
      </c>
      <c r="D311" s="33">
        <f t="shared" si="39"/>
        <v>0</v>
      </c>
      <c r="E311" s="33">
        <f t="shared" si="40"/>
        <v>0</v>
      </c>
      <c r="F311" s="17">
        <f t="shared" si="41"/>
        <v>51</v>
      </c>
      <c r="G311" s="32">
        <v>100</v>
      </c>
      <c r="H311" s="17">
        <f t="shared" si="38"/>
        <v>8362</v>
      </c>
      <c r="I311" s="17">
        <f t="shared" si="42"/>
        <v>109</v>
      </c>
      <c r="J311" s="17">
        <f t="shared" si="43"/>
        <v>91</v>
      </c>
      <c r="K311" s="33">
        <f t="shared" si="44"/>
        <v>0</v>
      </c>
      <c r="L311" s="33">
        <f t="shared" si="45"/>
        <v>4697098.6117836414</v>
      </c>
      <c r="M311" s="33">
        <f t="shared" si="46"/>
        <v>-165229051.68684298</v>
      </c>
      <c r="N311" s="33" t="str">
        <f t="shared" si="47"/>
        <v/>
      </c>
      <c r="O311" s="10"/>
    </row>
    <row r="312" spans="1:15" x14ac:dyDescent="0.25">
      <c r="A312" s="3" t="s">
        <v>1366</v>
      </c>
      <c r="B312" s="33">
        <f t="shared" si="36"/>
        <v>0</v>
      </c>
      <c r="C312" s="33">
        <f t="shared" si="37"/>
        <v>0</v>
      </c>
      <c r="D312" s="33">
        <f t="shared" si="39"/>
        <v>0</v>
      </c>
      <c r="E312" s="33">
        <f t="shared" si="40"/>
        <v>0</v>
      </c>
      <c r="F312" s="17">
        <f t="shared" si="41"/>
        <v>51</v>
      </c>
      <c r="G312" s="32">
        <v>101</v>
      </c>
      <c r="H312" s="17">
        <f t="shared" si="38"/>
        <v>8363</v>
      </c>
      <c r="I312" s="17">
        <f t="shared" si="42"/>
        <v>110</v>
      </c>
      <c r="J312" s="17">
        <f t="shared" si="43"/>
        <v>92</v>
      </c>
      <c r="K312" s="33">
        <f t="shared" si="44"/>
        <v>0</v>
      </c>
      <c r="L312" s="33">
        <f t="shared" si="45"/>
        <v>4697098.6117836414</v>
      </c>
      <c r="M312" s="33">
        <f t="shared" si="46"/>
        <v>-165229051.68684298</v>
      </c>
      <c r="N312" s="33" t="str">
        <f t="shared" si="47"/>
        <v/>
      </c>
      <c r="O312" s="10"/>
    </row>
    <row r="313" spans="1:15" x14ac:dyDescent="0.25">
      <c r="A313" s="3" t="s">
        <v>1367</v>
      </c>
      <c r="B313" s="33">
        <f t="shared" si="36"/>
        <v>0</v>
      </c>
      <c r="C313" s="33">
        <f t="shared" si="37"/>
        <v>0</v>
      </c>
      <c r="D313" s="33">
        <f t="shared" si="39"/>
        <v>0</v>
      </c>
      <c r="E313" s="33">
        <f t="shared" si="40"/>
        <v>0</v>
      </c>
      <c r="F313" s="17">
        <f t="shared" si="41"/>
        <v>51</v>
      </c>
      <c r="G313" s="32">
        <v>102</v>
      </c>
      <c r="H313" s="17">
        <f t="shared" si="38"/>
        <v>8364</v>
      </c>
      <c r="I313" s="17">
        <f t="shared" si="42"/>
        <v>111</v>
      </c>
      <c r="J313" s="17">
        <f t="shared" si="43"/>
        <v>93</v>
      </c>
      <c r="K313" s="33">
        <f t="shared" si="44"/>
        <v>0</v>
      </c>
      <c r="L313" s="33">
        <f t="shared" si="45"/>
        <v>4697098.6117836414</v>
      </c>
      <c r="M313" s="33">
        <f t="shared" si="46"/>
        <v>-165229051.68684298</v>
      </c>
      <c r="N313" s="33" t="str">
        <f t="shared" si="47"/>
        <v/>
      </c>
      <c r="O313" s="10"/>
    </row>
    <row r="314" spans="1:15" x14ac:dyDescent="0.25">
      <c r="A314" s="3" t="s">
        <v>1368</v>
      </c>
      <c r="B314" s="33">
        <f t="shared" si="36"/>
        <v>0</v>
      </c>
      <c r="C314" s="33">
        <f t="shared" si="37"/>
        <v>0</v>
      </c>
      <c r="D314" s="33">
        <f t="shared" si="39"/>
        <v>0</v>
      </c>
      <c r="E314" s="33">
        <f t="shared" si="40"/>
        <v>0</v>
      </c>
      <c r="F314" s="17">
        <f t="shared" si="41"/>
        <v>51</v>
      </c>
      <c r="G314" s="32">
        <v>103</v>
      </c>
      <c r="H314" s="17">
        <f t="shared" si="38"/>
        <v>8365</v>
      </c>
      <c r="I314" s="17">
        <f t="shared" si="42"/>
        <v>112</v>
      </c>
      <c r="J314" s="17">
        <f t="shared" si="43"/>
        <v>94</v>
      </c>
      <c r="K314" s="33">
        <f t="shared" si="44"/>
        <v>0</v>
      </c>
      <c r="L314" s="33">
        <f t="shared" si="45"/>
        <v>4697098.6117836414</v>
      </c>
      <c r="M314" s="33">
        <f t="shared" si="46"/>
        <v>-165229051.68684298</v>
      </c>
      <c r="N314" s="33" t="str">
        <f t="shared" si="47"/>
        <v/>
      </c>
      <c r="O314" s="10"/>
    </row>
    <row r="315" spans="1:15" x14ac:dyDescent="0.25">
      <c r="A315" s="3" t="s">
        <v>1369</v>
      </c>
      <c r="B315" s="33">
        <f t="shared" si="36"/>
        <v>0</v>
      </c>
      <c r="C315" s="33">
        <f t="shared" si="37"/>
        <v>0</v>
      </c>
      <c r="D315" s="33">
        <f t="shared" si="39"/>
        <v>0</v>
      </c>
      <c r="E315" s="33">
        <f t="shared" si="40"/>
        <v>0</v>
      </c>
      <c r="F315" s="17">
        <f t="shared" si="41"/>
        <v>51</v>
      </c>
      <c r="G315" s="32">
        <v>104</v>
      </c>
      <c r="H315" s="17">
        <f t="shared" si="38"/>
        <v>8366</v>
      </c>
      <c r="I315" s="17">
        <f t="shared" si="42"/>
        <v>113</v>
      </c>
      <c r="J315" s="17">
        <f t="shared" si="43"/>
        <v>95</v>
      </c>
      <c r="K315" s="33">
        <f t="shared" si="44"/>
        <v>0</v>
      </c>
      <c r="L315" s="33">
        <f t="shared" si="45"/>
        <v>4697098.6117836414</v>
      </c>
      <c r="M315" s="33">
        <f t="shared" si="46"/>
        <v>-165229051.68684298</v>
      </c>
      <c r="N315" s="33" t="str">
        <f t="shared" si="47"/>
        <v/>
      </c>
      <c r="O315" s="10"/>
    </row>
    <row r="316" spans="1:15" x14ac:dyDescent="0.25">
      <c r="A316" s="3" t="s">
        <v>1370</v>
      </c>
      <c r="B316" s="33">
        <f t="shared" si="36"/>
        <v>0</v>
      </c>
      <c r="C316" s="33">
        <f t="shared" si="37"/>
        <v>0</v>
      </c>
      <c r="D316" s="33">
        <f t="shared" si="39"/>
        <v>0</v>
      </c>
      <c r="E316" s="33">
        <f t="shared" si="40"/>
        <v>0</v>
      </c>
      <c r="F316" s="17">
        <f t="shared" si="41"/>
        <v>51</v>
      </c>
      <c r="G316" s="32">
        <v>105</v>
      </c>
      <c r="H316" s="17">
        <f t="shared" si="38"/>
        <v>8367</v>
      </c>
      <c r="I316" s="17">
        <f t="shared" si="42"/>
        <v>114</v>
      </c>
      <c r="J316" s="17">
        <f t="shared" si="43"/>
        <v>96</v>
      </c>
      <c r="K316" s="33">
        <f t="shared" si="44"/>
        <v>0</v>
      </c>
      <c r="L316" s="33">
        <f t="shared" si="45"/>
        <v>4697098.6117836414</v>
      </c>
      <c r="M316" s="33">
        <f t="shared" si="46"/>
        <v>-165229051.68684298</v>
      </c>
      <c r="N316" s="33" t="str">
        <f t="shared" si="47"/>
        <v/>
      </c>
      <c r="O316" s="10"/>
    </row>
    <row r="317" spans="1:15" x14ac:dyDescent="0.25">
      <c r="A317" s="3" t="s">
        <v>1371</v>
      </c>
      <c r="B317" s="33">
        <f t="shared" si="36"/>
        <v>0</v>
      </c>
      <c r="C317" s="33">
        <f t="shared" si="37"/>
        <v>0</v>
      </c>
      <c r="D317" s="33">
        <f t="shared" si="39"/>
        <v>0</v>
      </c>
      <c r="E317" s="33">
        <f t="shared" si="40"/>
        <v>0</v>
      </c>
      <c r="F317" s="17">
        <f t="shared" si="41"/>
        <v>51</v>
      </c>
      <c r="G317" s="32">
        <v>106</v>
      </c>
      <c r="H317" s="17">
        <f t="shared" si="38"/>
        <v>8368</v>
      </c>
      <c r="I317" s="17">
        <f t="shared" si="42"/>
        <v>115</v>
      </c>
      <c r="J317" s="17">
        <f t="shared" si="43"/>
        <v>97</v>
      </c>
      <c r="K317" s="33">
        <f t="shared" si="44"/>
        <v>0</v>
      </c>
      <c r="L317" s="33">
        <f t="shared" si="45"/>
        <v>4697098.6117836414</v>
      </c>
      <c r="M317" s="33">
        <f t="shared" si="46"/>
        <v>-165229051.68684298</v>
      </c>
      <c r="N317" s="33" t="str">
        <f t="shared" si="47"/>
        <v/>
      </c>
      <c r="O317" s="10"/>
    </row>
    <row r="318" spans="1:15" x14ac:dyDescent="0.25">
      <c r="A318" s="3" t="s">
        <v>1372</v>
      </c>
      <c r="B318" s="33">
        <f t="shared" si="36"/>
        <v>0</v>
      </c>
      <c r="C318" s="33">
        <f t="shared" si="37"/>
        <v>0</v>
      </c>
      <c r="D318" s="33">
        <f t="shared" si="39"/>
        <v>0</v>
      </c>
      <c r="E318" s="33">
        <f t="shared" si="40"/>
        <v>0</v>
      </c>
      <c r="F318" s="17">
        <f t="shared" si="41"/>
        <v>51</v>
      </c>
      <c r="G318" s="32">
        <v>107</v>
      </c>
      <c r="H318" s="17">
        <f t="shared" si="38"/>
        <v>8369</v>
      </c>
      <c r="I318" s="17">
        <f t="shared" si="42"/>
        <v>116</v>
      </c>
      <c r="J318" s="17">
        <f t="shared" si="43"/>
        <v>98</v>
      </c>
      <c r="K318" s="33">
        <f t="shared" si="44"/>
        <v>0</v>
      </c>
      <c r="L318" s="33">
        <f t="shared" si="45"/>
        <v>4697098.6117836414</v>
      </c>
      <c r="M318" s="33">
        <f t="shared" si="46"/>
        <v>-165229051.68684298</v>
      </c>
      <c r="N318" s="33" t="str">
        <f t="shared" si="47"/>
        <v/>
      </c>
      <c r="O318" s="10"/>
    </row>
    <row r="319" spans="1:15" x14ac:dyDescent="0.25">
      <c r="A319" s="3" t="s">
        <v>1373</v>
      </c>
      <c r="B319" s="33">
        <f t="shared" si="36"/>
        <v>0</v>
      </c>
      <c r="C319" s="33">
        <f t="shared" si="37"/>
        <v>0</v>
      </c>
      <c r="D319" s="33">
        <f t="shared" si="39"/>
        <v>0</v>
      </c>
      <c r="E319" s="33">
        <f t="shared" si="40"/>
        <v>0</v>
      </c>
      <c r="F319" s="17">
        <f t="shared" si="41"/>
        <v>51</v>
      </c>
      <c r="G319" s="32">
        <v>108</v>
      </c>
      <c r="H319" s="17">
        <f t="shared" si="38"/>
        <v>8370</v>
      </c>
      <c r="I319" s="17">
        <f t="shared" si="42"/>
        <v>117</v>
      </c>
      <c r="J319" s="17">
        <f t="shared" si="43"/>
        <v>99</v>
      </c>
      <c r="K319" s="33">
        <f t="shared" si="44"/>
        <v>0</v>
      </c>
      <c r="L319" s="33">
        <f t="shared" si="45"/>
        <v>4697098.6117836414</v>
      </c>
      <c r="M319" s="33">
        <f t="shared" si="46"/>
        <v>-165229051.68684298</v>
      </c>
      <c r="N319" s="33" t="str">
        <f t="shared" si="47"/>
        <v/>
      </c>
      <c r="O319" s="10"/>
    </row>
    <row r="320" spans="1:15" x14ac:dyDescent="0.25">
      <c r="A320" s="3" t="s">
        <v>1374</v>
      </c>
      <c r="B320" s="33">
        <f t="shared" ref="B320:B346" si="48">F128</f>
        <v>0</v>
      </c>
      <c r="C320" s="33">
        <f t="shared" ref="C320:C346" si="49">F82</f>
        <v>0</v>
      </c>
      <c r="D320" s="33">
        <f t="shared" si="39"/>
        <v>0</v>
      </c>
      <c r="E320" s="33">
        <f t="shared" si="40"/>
        <v>0</v>
      </c>
      <c r="F320" s="17">
        <f t="shared" si="41"/>
        <v>51</v>
      </c>
      <c r="G320" s="32">
        <v>109</v>
      </c>
      <c r="H320" s="17">
        <f t="shared" si="38"/>
        <v>8371</v>
      </c>
      <c r="I320" s="17">
        <f t="shared" si="42"/>
        <v>118</v>
      </c>
      <c r="J320" s="17">
        <f t="shared" si="43"/>
        <v>100</v>
      </c>
      <c r="K320" s="33">
        <f t="shared" si="44"/>
        <v>0</v>
      </c>
      <c r="L320" s="33">
        <f t="shared" si="45"/>
        <v>4697098.6117836414</v>
      </c>
      <c r="M320" s="33">
        <f t="shared" si="46"/>
        <v>-165229051.68684298</v>
      </c>
      <c r="N320" s="33" t="str">
        <f t="shared" si="47"/>
        <v/>
      </c>
      <c r="O320" s="10"/>
    </row>
    <row r="321" spans="1:15" x14ac:dyDescent="0.25">
      <c r="A321" s="3" t="s">
        <v>1375</v>
      </c>
      <c r="B321" s="33">
        <f t="shared" si="48"/>
        <v>0</v>
      </c>
      <c r="C321" s="33">
        <f t="shared" si="49"/>
        <v>0</v>
      </c>
      <c r="D321" s="33">
        <f t="shared" si="39"/>
        <v>0</v>
      </c>
      <c r="E321" s="33">
        <f t="shared" si="40"/>
        <v>0</v>
      </c>
      <c r="F321" s="17">
        <f t="shared" si="41"/>
        <v>51</v>
      </c>
      <c r="G321" s="32">
        <v>110</v>
      </c>
      <c r="H321" s="17">
        <f t="shared" si="38"/>
        <v>8372</v>
      </c>
      <c r="I321" s="17">
        <f t="shared" si="42"/>
        <v>119</v>
      </c>
      <c r="J321" s="17">
        <f t="shared" si="43"/>
        <v>101</v>
      </c>
      <c r="K321" s="33">
        <f t="shared" si="44"/>
        <v>0</v>
      </c>
      <c r="L321" s="33">
        <f t="shared" si="45"/>
        <v>4697098.6117836414</v>
      </c>
      <c r="M321" s="33">
        <f t="shared" si="46"/>
        <v>-165229051.68684298</v>
      </c>
      <c r="N321" s="33" t="str">
        <f t="shared" si="47"/>
        <v/>
      </c>
      <c r="O321" s="10"/>
    </row>
    <row r="322" spans="1:15" x14ac:dyDescent="0.25">
      <c r="A322" s="3" t="s">
        <v>1376</v>
      </c>
      <c r="B322" s="33">
        <f t="shared" si="48"/>
        <v>0</v>
      </c>
      <c r="C322" s="33">
        <f t="shared" si="49"/>
        <v>0</v>
      </c>
      <c r="D322" s="33">
        <f t="shared" si="39"/>
        <v>0</v>
      </c>
      <c r="E322" s="33">
        <f t="shared" si="40"/>
        <v>0</v>
      </c>
      <c r="F322" s="17">
        <f t="shared" si="41"/>
        <v>51</v>
      </c>
      <c r="G322" s="32">
        <v>111</v>
      </c>
      <c r="H322" s="17">
        <f t="shared" si="38"/>
        <v>8373</v>
      </c>
      <c r="I322" s="17">
        <f t="shared" si="42"/>
        <v>120</v>
      </c>
      <c r="J322" s="17">
        <f t="shared" si="43"/>
        <v>102</v>
      </c>
      <c r="K322" s="33">
        <f t="shared" si="44"/>
        <v>0</v>
      </c>
      <c r="L322" s="33">
        <f t="shared" si="45"/>
        <v>4697098.6117836414</v>
      </c>
      <c r="M322" s="33">
        <f t="shared" si="46"/>
        <v>-165229051.68684298</v>
      </c>
      <c r="N322" s="33" t="str">
        <f t="shared" si="47"/>
        <v/>
      </c>
      <c r="O322" s="10"/>
    </row>
    <row r="323" spans="1:15" x14ac:dyDescent="0.25">
      <c r="A323" s="3" t="s">
        <v>1377</v>
      </c>
      <c r="B323" s="33">
        <f t="shared" si="48"/>
        <v>0</v>
      </c>
      <c r="C323" s="33">
        <f t="shared" si="49"/>
        <v>0</v>
      </c>
      <c r="D323" s="33">
        <f t="shared" si="39"/>
        <v>0</v>
      </c>
      <c r="E323" s="33">
        <f t="shared" si="40"/>
        <v>0</v>
      </c>
      <c r="F323" s="17">
        <f t="shared" si="41"/>
        <v>51</v>
      </c>
      <c r="G323" s="32">
        <v>112</v>
      </c>
      <c r="H323" s="17">
        <f t="shared" si="38"/>
        <v>8374</v>
      </c>
      <c r="I323" s="17">
        <f t="shared" si="42"/>
        <v>121</v>
      </c>
      <c r="J323" s="17">
        <f t="shared" si="43"/>
        <v>103</v>
      </c>
      <c r="K323" s="33">
        <f t="shared" si="44"/>
        <v>0</v>
      </c>
      <c r="L323" s="33">
        <f t="shared" si="45"/>
        <v>4697098.6117836414</v>
      </c>
      <c r="M323" s="33">
        <f t="shared" si="46"/>
        <v>-165229051.68684298</v>
      </c>
      <c r="N323" s="33" t="str">
        <f t="shared" si="47"/>
        <v/>
      </c>
      <c r="O323" s="10"/>
    </row>
    <row r="324" spans="1:15" x14ac:dyDescent="0.25">
      <c r="A324" s="3" t="s">
        <v>1378</v>
      </c>
      <c r="B324" s="33">
        <f t="shared" si="48"/>
        <v>0</v>
      </c>
      <c r="C324" s="33">
        <f t="shared" si="49"/>
        <v>0</v>
      </c>
      <c r="D324" s="33">
        <f t="shared" si="39"/>
        <v>0</v>
      </c>
      <c r="E324" s="33">
        <f t="shared" si="40"/>
        <v>0</v>
      </c>
      <c r="F324" s="17">
        <f t="shared" si="41"/>
        <v>51</v>
      </c>
      <c r="G324" s="32">
        <v>113</v>
      </c>
      <c r="H324" s="17">
        <f t="shared" si="38"/>
        <v>8375</v>
      </c>
      <c r="I324" s="17">
        <f t="shared" si="42"/>
        <v>122</v>
      </c>
      <c r="J324" s="17">
        <f t="shared" si="43"/>
        <v>104</v>
      </c>
      <c r="K324" s="33">
        <f t="shared" si="44"/>
        <v>0</v>
      </c>
      <c r="L324" s="33">
        <f t="shared" si="45"/>
        <v>4697098.6117836414</v>
      </c>
      <c r="M324" s="33">
        <f t="shared" si="46"/>
        <v>-165229051.68684298</v>
      </c>
      <c r="N324" s="33" t="str">
        <f t="shared" si="47"/>
        <v/>
      </c>
      <c r="O324" s="10"/>
    </row>
    <row r="325" spans="1:15" x14ac:dyDescent="0.25">
      <c r="A325" s="3" t="s">
        <v>1379</v>
      </c>
      <c r="B325" s="33">
        <f t="shared" si="48"/>
        <v>0</v>
      </c>
      <c r="C325" s="33">
        <f t="shared" si="49"/>
        <v>0</v>
      </c>
      <c r="D325" s="33">
        <f t="shared" si="39"/>
        <v>0</v>
      </c>
      <c r="E325" s="33">
        <f t="shared" si="40"/>
        <v>0</v>
      </c>
      <c r="F325" s="17">
        <f t="shared" si="41"/>
        <v>51</v>
      </c>
      <c r="G325" s="32">
        <v>114</v>
      </c>
      <c r="H325" s="17">
        <f t="shared" si="38"/>
        <v>8376</v>
      </c>
      <c r="I325" s="17">
        <f t="shared" si="42"/>
        <v>123</v>
      </c>
      <c r="J325" s="17">
        <f t="shared" si="43"/>
        <v>105</v>
      </c>
      <c r="K325" s="33">
        <f t="shared" si="44"/>
        <v>0</v>
      </c>
      <c r="L325" s="33">
        <f t="shared" si="45"/>
        <v>4697098.6117836414</v>
      </c>
      <c r="M325" s="33">
        <f t="shared" si="46"/>
        <v>-165229051.68684298</v>
      </c>
      <c r="N325" s="33" t="str">
        <f t="shared" si="47"/>
        <v/>
      </c>
      <c r="O325" s="10"/>
    </row>
    <row r="326" spans="1:15" x14ac:dyDescent="0.25">
      <c r="A326" s="3" t="s">
        <v>1380</v>
      </c>
      <c r="B326" s="33">
        <f t="shared" si="48"/>
        <v>0</v>
      </c>
      <c r="C326" s="33">
        <f t="shared" si="49"/>
        <v>0</v>
      </c>
      <c r="D326" s="33">
        <f t="shared" si="39"/>
        <v>0</v>
      </c>
      <c r="E326" s="33">
        <f t="shared" si="40"/>
        <v>0</v>
      </c>
      <c r="F326" s="17">
        <f t="shared" si="41"/>
        <v>51</v>
      </c>
      <c r="G326" s="32">
        <v>115</v>
      </c>
      <c r="H326" s="17">
        <f t="shared" si="38"/>
        <v>8377</v>
      </c>
      <c r="I326" s="17">
        <f t="shared" si="42"/>
        <v>124</v>
      </c>
      <c r="J326" s="17">
        <f t="shared" si="43"/>
        <v>106</v>
      </c>
      <c r="K326" s="33">
        <f t="shared" si="44"/>
        <v>0</v>
      </c>
      <c r="L326" s="33">
        <f t="shared" si="45"/>
        <v>4697098.6117836414</v>
      </c>
      <c r="M326" s="33">
        <f t="shared" si="46"/>
        <v>-165229051.68684298</v>
      </c>
      <c r="N326" s="33" t="str">
        <f t="shared" si="47"/>
        <v/>
      </c>
      <c r="O326" s="10"/>
    </row>
    <row r="327" spans="1:15" x14ac:dyDescent="0.25">
      <c r="A327" s="3" t="s">
        <v>1381</v>
      </c>
      <c r="B327" s="33">
        <f t="shared" si="48"/>
        <v>0</v>
      </c>
      <c r="C327" s="33">
        <f t="shared" si="49"/>
        <v>0</v>
      </c>
      <c r="D327" s="33">
        <f t="shared" si="39"/>
        <v>0</v>
      </c>
      <c r="E327" s="33">
        <f t="shared" si="40"/>
        <v>0</v>
      </c>
      <c r="F327" s="17">
        <f t="shared" si="41"/>
        <v>51</v>
      </c>
      <c r="G327" s="32">
        <v>116</v>
      </c>
      <c r="H327" s="17">
        <f t="shared" si="38"/>
        <v>8378</v>
      </c>
      <c r="I327" s="17">
        <f t="shared" si="42"/>
        <v>125</v>
      </c>
      <c r="J327" s="17">
        <f t="shared" si="43"/>
        <v>107</v>
      </c>
      <c r="K327" s="33">
        <f t="shared" si="44"/>
        <v>0</v>
      </c>
      <c r="L327" s="33">
        <f t="shared" si="45"/>
        <v>4697098.6117836414</v>
      </c>
      <c r="M327" s="33">
        <f t="shared" si="46"/>
        <v>-165229051.68684298</v>
      </c>
      <c r="N327" s="33" t="str">
        <f t="shared" si="47"/>
        <v/>
      </c>
      <c r="O327" s="10"/>
    </row>
    <row r="328" spans="1:15" x14ac:dyDescent="0.25">
      <c r="A328" s="3" t="s">
        <v>1382</v>
      </c>
      <c r="B328" s="33">
        <f t="shared" si="48"/>
        <v>0</v>
      </c>
      <c r="C328" s="33">
        <f t="shared" si="49"/>
        <v>0</v>
      </c>
      <c r="D328" s="33">
        <f t="shared" si="39"/>
        <v>0</v>
      </c>
      <c r="E328" s="33">
        <f t="shared" si="40"/>
        <v>0</v>
      </c>
      <c r="F328" s="17">
        <f t="shared" si="41"/>
        <v>51</v>
      </c>
      <c r="G328" s="32">
        <v>117</v>
      </c>
      <c r="H328" s="17">
        <f t="shared" si="38"/>
        <v>8379</v>
      </c>
      <c r="I328" s="17">
        <f t="shared" si="42"/>
        <v>126</v>
      </c>
      <c r="J328" s="17">
        <f t="shared" si="43"/>
        <v>108</v>
      </c>
      <c r="K328" s="33">
        <f t="shared" si="44"/>
        <v>0</v>
      </c>
      <c r="L328" s="33">
        <f t="shared" si="45"/>
        <v>4697098.6117836414</v>
      </c>
      <c r="M328" s="33">
        <f t="shared" si="46"/>
        <v>-165229051.68684298</v>
      </c>
      <c r="N328" s="33" t="str">
        <f t="shared" si="47"/>
        <v/>
      </c>
      <c r="O328" s="10"/>
    </row>
    <row r="329" spans="1:15" x14ac:dyDescent="0.25">
      <c r="A329" s="3" t="s">
        <v>1383</v>
      </c>
      <c r="B329" s="33">
        <f t="shared" si="48"/>
        <v>0</v>
      </c>
      <c r="C329" s="33">
        <f t="shared" si="49"/>
        <v>0</v>
      </c>
      <c r="D329" s="33">
        <f t="shared" si="39"/>
        <v>0</v>
      </c>
      <c r="E329" s="33">
        <f t="shared" si="40"/>
        <v>0</v>
      </c>
      <c r="F329" s="17">
        <f t="shared" si="41"/>
        <v>51</v>
      </c>
      <c r="G329" s="32">
        <v>118</v>
      </c>
      <c r="H329" s="17">
        <f t="shared" si="38"/>
        <v>8380</v>
      </c>
      <c r="I329" s="17">
        <f t="shared" si="42"/>
        <v>127</v>
      </c>
      <c r="J329" s="17">
        <f t="shared" si="43"/>
        <v>109</v>
      </c>
      <c r="K329" s="33">
        <f t="shared" si="44"/>
        <v>0</v>
      </c>
      <c r="L329" s="33">
        <f t="shared" si="45"/>
        <v>4697098.6117836414</v>
      </c>
      <c r="M329" s="33">
        <f t="shared" si="46"/>
        <v>-165229051.68684298</v>
      </c>
      <c r="N329" s="33" t="str">
        <f t="shared" si="47"/>
        <v/>
      </c>
      <c r="O329" s="10"/>
    </row>
    <row r="330" spans="1:15" x14ac:dyDescent="0.25">
      <c r="A330" s="3" t="s">
        <v>1384</v>
      </c>
      <c r="B330" s="33">
        <f t="shared" si="48"/>
        <v>0</v>
      </c>
      <c r="C330" s="33">
        <f t="shared" si="49"/>
        <v>0</v>
      </c>
      <c r="D330" s="33">
        <f t="shared" si="39"/>
        <v>0</v>
      </c>
      <c r="E330" s="33">
        <f t="shared" si="40"/>
        <v>0</v>
      </c>
      <c r="F330" s="17">
        <f t="shared" si="41"/>
        <v>51</v>
      </c>
      <c r="G330" s="32">
        <v>119</v>
      </c>
      <c r="H330" s="17">
        <f t="shared" si="38"/>
        <v>8381</v>
      </c>
      <c r="I330" s="17">
        <f t="shared" si="42"/>
        <v>128</v>
      </c>
      <c r="J330" s="17">
        <f t="shared" si="43"/>
        <v>110</v>
      </c>
      <c r="K330" s="33">
        <f t="shared" si="44"/>
        <v>0</v>
      </c>
      <c r="L330" s="33">
        <f t="shared" si="45"/>
        <v>4697098.6117836414</v>
      </c>
      <c r="M330" s="33">
        <f t="shared" si="46"/>
        <v>-165229051.68684298</v>
      </c>
      <c r="N330" s="33" t="str">
        <f t="shared" si="47"/>
        <v/>
      </c>
      <c r="O330" s="10"/>
    </row>
    <row r="331" spans="1:15" x14ac:dyDescent="0.25">
      <c r="A331" s="3" t="s">
        <v>1385</v>
      </c>
      <c r="B331" s="33">
        <f t="shared" si="48"/>
        <v>0</v>
      </c>
      <c r="C331" s="33">
        <f t="shared" si="49"/>
        <v>0</v>
      </c>
      <c r="D331" s="33">
        <f t="shared" si="39"/>
        <v>0</v>
      </c>
      <c r="E331" s="33">
        <f t="shared" si="40"/>
        <v>0</v>
      </c>
      <c r="F331" s="17">
        <f t="shared" si="41"/>
        <v>51</v>
      </c>
      <c r="G331" s="32">
        <v>120</v>
      </c>
      <c r="H331" s="17">
        <f t="shared" si="38"/>
        <v>8382</v>
      </c>
      <c r="I331" s="17">
        <f t="shared" si="42"/>
        <v>129</v>
      </c>
      <c r="J331" s="17">
        <f t="shared" si="43"/>
        <v>111</v>
      </c>
      <c r="K331" s="33">
        <f t="shared" si="44"/>
        <v>0</v>
      </c>
      <c r="L331" s="33">
        <f t="shared" si="45"/>
        <v>4697098.6117836414</v>
      </c>
      <c r="M331" s="33">
        <f t="shared" si="46"/>
        <v>-165229051.68684298</v>
      </c>
      <c r="N331" s="33" t="str">
        <f t="shared" si="47"/>
        <v/>
      </c>
      <c r="O331" s="10"/>
    </row>
    <row r="332" spans="1:15" x14ac:dyDescent="0.25">
      <c r="A332" s="3" t="s">
        <v>1386</v>
      </c>
      <c r="B332" s="33">
        <f t="shared" si="48"/>
        <v>0</v>
      </c>
      <c r="C332" s="33">
        <f t="shared" si="49"/>
        <v>0</v>
      </c>
      <c r="D332" s="33">
        <f t="shared" si="39"/>
        <v>0</v>
      </c>
      <c r="E332" s="33">
        <f t="shared" si="40"/>
        <v>0</v>
      </c>
      <c r="F332" s="17">
        <f t="shared" si="41"/>
        <v>51</v>
      </c>
      <c r="G332" s="32">
        <v>121</v>
      </c>
      <c r="H332" s="17">
        <f t="shared" si="38"/>
        <v>8383</v>
      </c>
      <c r="I332" s="17">
        <f t="shared" si="42"/>
        <v>130</v>
      </c>
      <c r="J332" s="17">
        <f t="shared" si="43"/>
        <v>112</v>
      </c>
      <c r="K332" s="33">
        <f t="shared" si="44"/>
        <v>0</v>
      </c>
      <c r="L332" s="33">
        <f t="shared" si="45"/>
        <v>4697098.6117836414</v>
      </c>
      <c r="M332" s="33">
        <f t="shared" si="46"/>
        <v>-165229051.68684298</v>
      </c>
      <c r="N332" s="33" t="str">
        <f t="shared" si="47"/>
        <v/>
      </c>
      <c r="O332" s="10"/>
    </row>
    <row r="333" spans="1:15" x14ac:dyDescent="0.25">
      <c r="A333" s="3" t="s">
        <v>1387</v>
      </c>
      <c r="B333" s="33">
        <f t="shared" si="48"/>
        <v>0</v>
      </c>
      <c r="C333" s="33">
        <f t="shared" si="49"/>
        <v>0</v>
      </c>
      <c r="D333" s="33">
        <f t="shared" si="39"/>
        <v>0</v>
      </c>
      <c r="E333" s="33">
        <f t="shared" si="40"/>
        <v>0</v>
      </c>
      <c r="F333" s="17">
        <f t="shared" si="41"/>
        <v>51</v>
      </c>
      <c r="G333" s="32">
        <v>122</v>
      </c>
      <c r="H333" s="17">
        <f t="shared" si="38"/>
        <v>8384</v>
      </c>
      <c r="I333" s="17">
        <f t="shared" si="42"/>
        <v>131</v>
      </c>
      <c r="J333" s="17">
        <f t="shared" si="43"/>
        <v>113</v>
      </c>
      <c r="K333" s="33">
        <f t="shared" si="44"/>
        <v>0</v>
      </c>
      <c r="L333" s="33">
        <f t="shared" si="45"/>
        <v>4697098.6117836414</v>
      </c>
      <c r="M333" s="33">
        <f t="shared" si="46"/>
        <v>-165229051.68684298</v>
      </c>
      <c r="N333" s="33" t="str">
        <f t="shared" si="47"/>
        <v/>
      </c>
      <c r="O333" s="10"/>
    </row>
    <row r="334" spans="1:15" x14ac:dyDescent="0.25">
      <c r="A334" s="3" t="s">
        <v>1388</v>
      </c>
      <c r="B334" s="33">
        <f t="shared" si="48"/>
        <v>0</v>
      </c>
      <c r="C334" s="33">
        <f t="shared" si="49"/>
        <v>0</v>
      </c>
      <c r="D334" s="33">
        <f t="shared" si="39"/>
        <v>0</v>
      </c>
      <c r="E334" s="33">
        <f t="shared" si="40"/>
        <v>0</v>
      </c>
      <c r="F334" s="17">
        <f t="shared" si="41"/>
        <v>51</v>
      </c>
      <c r="G334" s="32">
        <v>123</v>
      </c>
      <c r="H334" s="17">
        <f t="shared" si="38"/>
        <v>8385</v>
      </c>
      <c r="I334" s="17">
        <f t="shared" si="42"/>
        <v>132</v>
      </c>
      <c r="J334" s="17">
        <f t="shared" si="43"/>
        <v>114</v>
      </c>
      <c r="K334" s="33">
        <f t="shared" si="44"/>
        <v>0</v>
      </c>
      <c r="L334" s="33">
        <f t="shared" si="45"/>
        <v>4697098.6117836414</v>
      </c>
      <c r="M334" s="33">
        <f t="shared" si="46"/>
        <v>-165229051.68684298</v>
      </c>
      <c r="N334" s="33" t="str">
        <f t="shared" si="47"/>
        <v/>
      </c>
      <c r="O334" s="10"/>
    </row>
    <row r="335" spans="1:15" x14ac:dyDescent="0.25">
      <c r="A335" s="3" t="s">
        <v>1389</v>
      </c>
      <c r="B335" s="33">
        <f t="shared" si="48"/>
        <v>0</v>
      </c>
      <c r="C335" s="33">
        <f t="shared" si="49"/>
        <v>0</v>
      </c>
      <c r="D335" s="33">
        <f t="shared" si="39"/>
        <v>0</v>
      </c>
      <c r="E335" s="33">
        <f t="shared" si="40"/>
        <v>0</v>
      </c>
      <c r="F335" s="17">
        <f t="shared" si="41"/>
        <v>51</v>
      </c>
      <c r="G335" s="32">
        <v>124</v>
      </c>
      <c r="H335" s="17">
        <f t="shared" si="38"/>
        <v>8386</v>
      </c>
      <c r="I335" s="17">
        <f t="shared" si="42"/>
        <v>133</v>
      </c>
      <c r="J335" s="17">
        <f t="shared" si="43"/>
        <v>115</v>
      </c>
      <c r="K335" s="33">
        <f t="shared" si="44"/>
        <v>0</v>
      </c>
      <c r="L335" s="33">
        <f t="shared" si="45"/>
        <v>4697098.6117836414</v>
      </c>
      <c r="M335" s="33">
        <f t="shared" si="46"/>
        <v>-165229051.68684298</v>
      </c>
      <c r="N335" s="33" t="str">
        <f t="shared" si="47"/>
        <v/>
      </c>
      <c r="O335" s="10"/>
    </row>
    <row r="336" spans="1:15" x14ac:dyDescent="0.25">
      <c r="A336" s="3" t="s">
        <v>1390</v>
      </c>
      <c r="B336" s="33">
        <f t="shared" si="48"/>
        <v>0</v>
      </c>
      <c r="C336" s="33">
        <f t="shared" si="49"/>
        <v>0</v>
      </c>
      <c r="D336" s="33">
        <f t="shared" si="39"/>
        <v>0</v>
      </c>
      <c r="E336" s="33">
        <f t="shared" si="40"/>
        <v>0</v>
      </c>
      <c r="F336" s="17">
        <f t="shared" si="41"/>
        <v>51</v>
      </c>
      <c r="G336" s="32">
        <v>125</v>
      </c>
      <c r="H336" s="17">
        <f t="shared" si="38"/>
        <v>8387</v>
      </c>
      <c r="I336" s="17">
        <f t="shared" si="42"/>
        <v>134</v>
      </c>
      <c r="J336" s="17">
        <f t="shared" si="43"/>
        <v>116</v>
      </c>
      <c r="K336" s="33">
        <f t="shared" si="44"/>
        <v>0</v>
      </c>
      <c r="L336" s="33">
        <f t="shared" si="45"/>
        <v>4697098.6117836414</v>
      </c>
      <c r="M336" s="33">
        <f t="shared" si="46"/>
        <v>-165229051.68684298</v>
      </c>
      <c r="N336" s="33" t="str">
        <f t="shared" si="47"/>
        <v/>
      </c>
      <c r="O336" s="10"/>
    </row>
    <row r="337" spans="1:15" x14ac:dyDescent="0.25">
      <c r="A337" s="3" t="s">
        <v>1391</v>
      </c>
      <c r="B337" s="33">
        <f t="shared" si="48"/>
        <v>0</v>
      </c>
      <c r="C337" s="33">
        <f t="shared" si="49"/>
        <v>0</v>
      </c>
      <c r="D337" s="33">
        <f t="shared" si="39"/>
        <v>0</v>
      </c>
      <c r="E337" s="33">
        <f t="shared" si="40"/>
        <v>0</v>
      </c>
      <c r="F337" s="17">
        <f t="shared" si="41"/>
        <v>51</v>
      </c>
      <c r="G337" s="32">
        <v>126</v>
      </c>
      <c r="H337" s="17">
        <f t="shared" si="38"/>
        <v>8388</v>
      </c>
      <c r="I337" s="17">
        <f t="shared" si="42"/>
        <v>135</v>
      </c>
      <c r="J337" s="17">
        <f t="shared" si="43"/>
        <v>117</v>
      </c>
      <c r="K337" s="33">
        <f t="shared" si="44"/>
        <v>0</v>
      </c>
      <c r="L337" s="33">
        <f t="shared" si="45"/>
        <v>4697098.6117836414</v>
      </c>
      <c r="M337" s="33">
        <f t="shared" si="46"/>
        <v>-165229051.68684298</v>
      </c>
      <c r="N337" s="33" t="str">
        <f t="shared" si="47"/>
        <v/>
      </c>
      <c r="O337" s="10"/>
    </row>
    <row r="338" spans="1:15" x14ac:dyDescent="0.25">
      <c r="A338" s="3" t="s">
        <v>1392</v>
      </c>
      <c r="B338" s="33">
        <f t="shared" si="48"/>
        <v>0</v>
      </c>
      <c r="C338" s="33">
        <f t="shared" si="49"/>
        <v>0</v>
      </c>
      <c r="D338" s="33">
        <f t="shared" si="39"/>
        <v>0</v>
      </c>
      <c r="E338" s="33">
        <f t="shared" si="40"/>
        <v>0</v>
      </c>
      <c r="F338" s="17">
        <f t="shared" si="41"/>
        <v>51</v>
      </c>
      <c r="G338" s="32">
        <v>127</v>
      </c>
      <c r="H338" s="17">
        <f t="shared" si="38"/>
        <v>8389</v>
      </c>
      <c r="I338" s="17">
        <f t="shared" si="42"/>
        <v>136</v>
      </c>
      <c r="J338" s="17">
        <f t="shared" si="43"/>
        <v>118</v>
      </c>
      <c r="K338" s="33">
        <f t="shared" si="44"/>
        <v>0</v>
      </c>
      <c r="L338" s="33">
        <f t="shared" si="45"/>
        <v>4697098.6117836414</v>
      </c>
      <c r="M338" s="33">
        <f t="shared" si="46"/>
        <v>-165229051.68684298</v>
      </c>
      <c r="N338" s="33" t="str">
        <f t="shared" si="47"/>
        <v/>
      </c>
      <c r="O338" s="10"/>
    </row>
    <row r="339" spans="1:15" x14ac:dyDescent="0.25">
      <c r="A339" s="3" t="s">
        <v>1393</v>
      </c>
      <c r="B339" s="33">
        <f t="shared" si="48"/>
        <v>0</v>
      </c>
      <c r="C339" s="33">
        <f t="shared" si="49"/>
        <v>0</v>
      </c>
      <c r="D339" s="33">
        <f t="shared" si="39"/>
        <v>0</v>
      </c>
      <c r="E339" s="33">
        <f t="shared" si="40"/>
        <v>0</v>
      </c>
      <c r="F339" s="17">
        <f t="shared" si="41"/>
        <v>51</v>
      </c>
      <c r="G339" s="32">
        <v>128</v>
      </c>
      <c r="H339" s="17">
        <f t="shared" ref="H339:H370" si="50">F339*162+G339</f>
        <v>8390</v>
      </c>
      <c r="I339" s="17">
        <f t="shared" si="42"/>
        <v>137</v>
      </c>
      <c r="J339" s="17">
        <f t="shared" si="43"/>
        <v>119</v>
      </c>
      <c r="K339" s="33">
        <f t="shared" si="44"/>
        <v>0</v>
      </c>
      <c r="L339" s="33">
        <f t="shared" si="45"/>
        <v>4697098.6117836414</v>
      </c>
      <c r="M339" s="33">
        <f t="shared" si="46"/>
        <v>-165229051.68684298</v>
      </c>
      <c r="N339" s="33" t="str">
        <f t="shared" si="47"/>
        <v/>
      </c>
      <c r="O339" s="10"/>
    </row>
    <row r="340" spans="1:15" x14ac:dyDescent="0.25">
      <c r="A340" s="3" t="s">
        <v>1394</v>
      </c>
      <c r="B340" s="33">
        <f t="shared" si="48"/>
        <v>0</v>
      </c>
      <c r="C340" s="33">
        <f t="shared" si="49"/>
        <v>0</v>
      </c>
      <c r="D340" s="33">
        <f t="shared" ref="D340:D371" si="51">IF(ISERROR(B340),C340,0)</f>
        <v>0</v>
      </c>
      <c r="E340" s="33">
        <f t="shared" ref="E340:E373" si="52">MAX($B$182,B340)*C340</f>
        <v>0</v>
      </c>
      <c r="F340" s="17">
        <f t="shared" ref="F340:F373" si="53">RANK(B340,B$212:B$373,1)</f>
        <v>51</v>
      </c>
      <c r="G340" s="32">
        <v>129</v>
      </c>
      <c r="H340" s="17">
        <f t="shared" si="50"/>
        <v>8391</v>
      </c>
      <c r="I340" s="17">
        <f t="shared" ref="I340:I371" si="54">RANK(H340,H$212:H$373,1)</f>
        <v>138</v>
      </c>
      <c r="J340" s="17">
        <f t="shared" ref="J340:J371" si="55">MATCH(G340,I$212:I$373,0)</f>
        <v>120</v>
      </c>
      <c r="K340" s="33">
        <f t="shared" ref="K340:K371" si="56">INDEX(B$212:B$373,J340,1)</f>
        <v>0</v>
      </c>
      <c r="L340" s="33">
        <f t="shared" ref="L340:L373" si="57">L339+INDEX(C$212:C$373,J340,1)</f>
        <v>4697098.6117836414</v>
      </c>
      <c r="M340" s="33">
        <f t="shared" ref="M340:M373" si="58">M339+(K340-K339)*L339</f>
        <v>-165229051.68684298</v>
      </c>
      <c r="N340" s="33" t="str">
        <f t="shared" ref="N340:N371" si="59">IF((M339&gt;0)=(M340&gt;0),"",K340-M340/L339)</f>
        <v/>
      </c>
      <c r="O340" s="10"/>
    </row>
    <row r="341" spans="1:15" x14ac:dyDescent="0.25">
      <c r="A341" s="3" t="s">
        <v>1395</v>
      </c>
      <c r="B341" s="33">
        <f t="shared" si="48"/>
        <v>0</v>
      </c>
      <c r="C341" s="33">
        <f t="shared" si="49"/>
        <v>0</v>
      </c>
      <c r="D341" s="33">
        <f t="shared" si="51"/>
        <v>0</v>
      </c>
      <c r="E341" s="33">
        <f t="shared" si="52"/>
        <v>0</v>
      </c>
      <c r="F341" s="17">
        <f t="shared" si="53"/>
        <v>51</v>
      </c>
      <c r="G341" s="32">
        <v>130</v>
      </c>
      <c r="H341" s="17">
        <f t="shared" si="50"/>
        <v>8392</v>
      </c>
      <c r="I341" s="17">
        <f t="shared" si="54"/>
        <v>139</v>
      </c>
      <c r="J341" s="17">
        <f t="shared" si="55"/>
        <v>121</v>
      </c>
      <c r="K341" s="33">
        <f t="shared" si="56"/>
        <v>0</v>
      </c>
      <c r="L341" s="33">
        <f t="shared" si="57"/>
        <v>4697098.6117836414</v>
      </c>
      <c r="M341" s="33">
        <f t="shared" si="58"/>
        <v>-165229051.68684298</v>
      </c>
      <c r="N341" s="33" t="str">
        <f t="shared" si="59"/>
        <v/>
      </c>
      <c r="O341" s="10"/>
    </row>
    <row r="342" spans="1:15" x14ac:dyDescent="0.25">
      <c r="A342" s="3" t="s">
        <v>1396</v>
      </c>
      <c r="B342" s="33">
        <f t="shared" si="48"/>
        <v>0</v>
      </c>
      <c r="C342" s="33">
        <f t="shared" si="49"/>
        <v>0</v>
      </c>
      <c r="D342" s="33">
        <f t="shared" si="51"/>
        <v>0</v>
      </c>
      <c r="E342" s="33">
        <f t="shared" si="52"/>
        <v>0</v>
      </c>
      <c r="F342" s="17">
        <f t="shared" si="53"/>
        <v>51</v>
      </c>
      <c r="G342" s="32">
        <v>131</v>
      </c>
      <c r="H342" s="17">
        <f t="shared" si="50"/>
        <v>8393</v>
      </c>
      <c r="I342" s="17">
        <f t="shared" si="54"/>
        <v>140</v>
      </c>
      <c r="J342" s="17">
        <f t="shared" si="55"/>
        <v>122</v>
      </c>
      <c r="K342" s="33">
        <f t="shared" si="56"/>
        <v>0</v>
      </c>
      <c r="L342" s="33">
        <f t="shared" si="57"/>
        <v>4697098.6117836414</v>
      </c>
      <c r="M342" s="33">
        <f t="shared" si="58"/>
        <v>-165229051.68684298</v>
      </c>
      <c r="N342" s="33" t="str">
        <f t="shared" si="59"/>
        <v/>
      </c>
      <c r="O342" s="10"/>
    </row>
    <row r="343" spans="1:15" x14ac:dyDescent="0.25">
      <c r="A343" s="3" t="s">
        <v>1397</v>
      </c>
      <c r="B343" s="33">
        <f t="shared" si="48"/>
        <v>0</v>
      </c>
      <c r="C343" s="33">
        <f t="shared" si="49"/>
        <v>0</v>
      </c>
      <c r="D343" s="33">
        <f t="shared" si="51"/>
        <v>0</v>
      </c>
      <c r="E343" s="33">
        <f t="shared" si="52"/>
        <v>0</v>
      </c>
      <c r="F343" s="17">
        <f t="shared" si="53"/>
        <v>51</v>
      </c>
      <c r="G343" s="32">
        <v>132</v>
      </c>
      <c r="H343" s="17">
        <f t="shared" si="50"/>
        <v>8394</v>
      </c>
      <c r="I343" s="17">
        <f t="shared" si="54"/>
        <v>141</v>
      </c>
      <c r="J343" s="17">
        <f t="shared" si="55"/>
        <v>123</v>
      </c>
      <c r="K343" s="33">
        <f t="shared" si="56"/>
        <v>0</v>
      </c>
      <c r="L343" s="33">
        <f t="shared" si="57"/>
        <v>4697098.6117836414</v>
      </c>
      <c r="M343" s="33">
        <f t="shared" si="58"/>
        <v>-165229051.68684298</v>
      </c>
      <c r="N343" s="33" t="str">
        <f t="shared" si="59"/>
        <v/>
      </c>
      <c r="O343" s="10"/>
    </row>
    <row r="344" spans="1:15" x14ac:dyDescent="0.25">
      <c r="A344" s="3" t="s">
        <v>1398</v>
      </c>
      <c r="B344" s="33">
        <f t="shared" si="48"/>
        <v>0</v>
      </c>
      <c r="C344" s="33">
        <f t="shared" si="49"/>
        <v>0</v>
      </c>
      <c r="D344" s="33">
        <f t="shared" si="51"/>
        <v>0</v>
      </c>
      <c r="E344" s="33">
        <f t="shared" si="52"/>
        <v>0</v>
      </c>
      <c r="F344" s="17">
        <f t="shared" si="53"/>
        <v>51</v>
      </c>
      <c r="G344" s="32">
        <v>133</v>
      </c>
      <c r="H344" s="17">
        <f t="shared" si="50"/>
        <v>8395</v>
      </c>
      <c r="I344" s="17">
        <f t="shared" si="54"/>
        <v>142</v>
      </c>
      <c r="J344" s="17">
        <f t="shared" si="55"/>
        <v>124</v>
      </c>
      <c r="K344" s="33">
        <f t="shared" si="56"/>
        <v>0</v>
      </c>
      <c r="L344" s="33">
        <f t="shared" si="57"/>
        <v>4697098.6117836414</v>
      </c>
      <c r="M344" s="33">
        <f t="shared" si="58"/>
        <v>-165229051.68684298</v>
      </c>
      <c r="N344" s="33" t="str">
        <f t="shared" si="59"/>
        <v/>
      </c>
      <c r="O344" s="10"/>
    </row>
    <row r="345" spans="1:15" x14ac:dyDescent="0.25">
      <c r="A345" s="3" t="s">
        <v>1399</v>
      </c>
      <c r="B345" s="33">
        <f t="shared" si="48"/>
        <v>0</v>
      </c>
      <c r="C345" s="33">
        <f t="shared" si="49"/>
        <v>0</v>
      </c>
      <c r="D345" s="33">
        <f t="shared" si="51"/>
        <v>0</v>
      </c>
      <c r="E345" s="33">
        <f t="shared" si="52"/>
        <v>0</v>
      </c>
      <c r="F345" s="17">
        <f t="shared" si="53"/>
        <v>51</v>
      </c>
      <c r="G345" s="32">
        <v>134</v>
      </c>
      <c r="H345" s="17">
        <f t="shared" si="50"/>
        <v>8396</v>
      </c>
      <c r="I345" s="17">
        <f t="shared" si="54"/>
        <v>143</v>
      </c>
      <c r="J345" s="17">
        <f t="shared" si="55"/>
        <v>125</v>
      </c>
      <c r="K345" s="33">
        <f t="shared" si="56"/>
        <v>0</v>
      </c>
      <c r="L345" s="33">
        <f t="shared" si="57"/>
        <v>4697098.6117836414</v>
      </c>
      <c r="M345" s="33">
        <f t="shared" si="58"/>
        <v>-165229051.68684298</v>
      </c>
      <c r="N345" s="33" t="str">
        <f t="shared" si="59"/>
        <v/>
      </c>
      <c r="O345" s="10"/>
    </row>
    <row r="346" spans="1:15" x14ac:dyDescent="0.25">
      <c r="A346" s="3" t="s">
        <v>1400</v>
      </c>
      <c r="B346" s="33">
        <f t="shared" si="48"/>
        <v>0</v>
      </c>
      <c r="C346" s="33">
        <f t="shared" si="49"/>
        <v>0</v>
      </c>
      <c r="D346" s="33">
        <f t="shared" si="51"/>
        <v>0</v>
      </c>
      <c r="E346" s="33">
        <f t="shared" si="52"/>
        <v>0</v>
      </c>
      <c r="F346" s="17">
        <f t="shared" si="53"/>
        <v>51</v>
      </c>
      <c r="G346" s="32">
        <v>135</v>
      </c>
      <c r="H346" s="17">
        <f t="shared" si="50"/>
        <v>8397</v>
      </c>
      <c r="I346" s="17">
        <f t="shared" si="54"/>
        <v>144</v>
      </c>
      <c r="J346" s="17">
        <f t="shared" si="55"/>
        <v>126</v>
      </c>
      <c r="K346" s="33">
        <f t="shared" si="56"/>
        <v>0</v>
      </c>
      <c r="L346" s="33">
        <f t="shared" si="57"/>
        <v>4697098.6117836414</v>
      </c>
      <c r="M346" s="33">
        <f t="shared" si="58"/>
        <v>-165229051.68684298</v>
      </c>
      <c r="N346" s="33" t="str">
        <f t="shared" si="59"/>
        <v/>
      </c>
      <c r="O346" s="10"/>
    </row>
    <row r="347" spans="1:15" x14ac:dyDescent="0.25">
      <c r="A347" s="3" t="s">
        <v>1401</v>
      </c>
      <c r="B347" s="33">
        <f t="shared" ref="B347:B373" si="60">G128</f>
        <v>0</v>
      </c>
      <c r="C347" s="33">
        <f t="shared" ref="C347:C373" si="61">G82</f>
        <v>0</v>
      </c>
      <c r="D347" s="33">
        <f t="shared" si="51"/>
        <v>0</v>
      </c>
      <c r="E347" s="33">
        <f t="shared" si="52"/>
        <v>0</v>
      </c>
      <c r="F347" s="17">
        <f t="shared" si="53"/>
        <v>51</v>
      </c>
      <c r="G347" s="32">
        <v>136</v>
      </c>
      <c r="H347" s="17">
        <f t="shared" si="50"/>
        <v>8398</v>
      </c>
      <c r="I347" s="17">
        <f t="shared" si="54"/>
        <v>145</v>
      </c>
      <c r="J347" s="17">
        <f t="shared" si="55"/>
        <v>127</v>
      </c>
      <c r="K347" s="33">
        <f t="shared" si="56"/>
        <v>0</v>
      </c>
      <c r="L347" s="33">
        <f t="shared" si="57"/>
        <v>4697098.6117836414</v>
      </c>
      <c r="M347" s="33">
        <f t="shared" si="58"/>
        <v>-165229051.68684298</v>
      </c>
      <c r="N347" s="33" t="str">
        <f t="shared" si="59"/>
        <v/>
      </c>
      <c r="O347" s="10"/>
    </row>
    <row r="348" spans="1:15" x14ac:dyDescent="0.25">
      <c r="A348" s="3" t="s">
        <v>1402</v>
      </c>
      <c r="B348" s="33">
        <f t="shared" si="60"/>
        <v>0</v>
      </c>
      <c r="C348" s="33">
        <f t="shared" si="61"/>
        <v>0</v>
      </c>
      <c r="D348" s="33">
        <f t="shared" si="51"/>
        <v>0</v>
      </c>
      <c r="E348" s="33">
        <f t="shared" si="52"/>
        <v>0</v>
      </c>
      <c r="F348" s="17">
        <f t="shared" si="53"/>
        <v>51</v>
      </c>
      <c r="G348" s="32">
        <v>137</v>
      </c>
      <c r="H348" s="17">
        <f t="shared" si="50"/>
        <v>8399</v>
      </c>
      <c r="I348" s="17">
        <f t="shared" si="54"/>
        <v>146</v>
      </c>
      <c r="J348" s="17">
        <f t="shared" si="55"/>
        <v>128</v>
      </c>
      <c r="K348" s="33">
        <f t="shared" si="56"/>
        <v>0</v>
      </c>
      <c r="L348" s="33">
        <f t="shared" si="57"/>
        <v>4697098.6117836414</v>
      </c>
      <c r="M348" s="33">
        <f t="shared" si="58"/>
        <v>-165229051.68684298</v>
      </c>
      <c r="N348" s="33" t="str">
        <f t="shared" si="59"/>
        <v/>
      </c>
      <c r="O348" s="10"/>
    </row>
    <row r="349" spans="1:15" x14ac:dyDescent="0.25">
      <c r="A349" s="3" t="s">
        <v>1403</v>
      </c>
      <c r="B349" s="33">
        <f t="shared" si="60"/>
        <v>0</v>
      </c>
      <c r="C349" s="33">
        <f t="shared" si="61"/>
        <v>0</v>
      </c>
      <c r="D349" s="33">
        <f t="shared" si="51"/>
        <v>0</v>
      </c>
      <c r="E349" s="33">
        <f t="shared" si="52"/>
        <v>0</v>
      </c>
      <c r="F349" s="17">
        <f t="shared" si="53"/>
        <v>51</v>
      </c>
      <c r="G349" s="32">
        <v>138</v>
      </c>
      <c r="H349" s="17">
        <f t="shared" si="50"/>
        <v>8400</v>
      </c>
      <c r="I349" s="17">
        <f t="shared" si="54"/>
        <v>147</v>
      </c>
      <c r="J349" s="17">
        <f t="shared" si="55"/>
        <v>129</v>
      </c>
      <c r="K349" s="33">
        <f t="shared" si="56"/>
        <v>0</v>
      </c>
      <c r="L349" s="33">
        <f t="shared" si="57"/>
        <v>4697098.6117836414</v>
      </c>
      <c r="M349" s="33">
        <f t="shared" si="58"/>
        <v>-165229051.68684298</v>
      </c>
      <c r="N349" s="33" t="str">
        <f t="shared" si="59"/>
        <v/>
      </c>
      <c r="O349" s="10"/>
    </row>
    <row r="350" spans="1:15" x14ac:dyDescent="0.25">
      <c r="A350" s="3" t="s">
        <v>1404</v>
      </c>
      <c r="B350" s="33">
        <f t="shared" si="60"/>
        <v>0</v>
      </c>
      <c r="C350" s="33">
        <f t="shared" si="61"/>
        <v>0</v>
      </c>
      <c r="D350" s="33">
        <f t="shared" si="51"/>
        <v>0</v>
      </c>
      <c r="E350" s="33">
        <f t="shared" si="52"/>
        <v>0</v>
      </c>
      <c r="F350" s="17">
        <f t="shared" si="53"/>
        <v>51</v>
      </c>
      <c r="G350" s="32">
        <v>139</v>
      </c>
      <c r="H350" s="17">
        <f t="shared" si="50"/>
        <v>8401</v>
      </c>
      <c r="I350" s="17">
        <f t="shared" si="54"/>
        <v>148</v>
      </c>
      <c r="J350" s="17">
        <f t="shared" si="55"/>
        <v>130</v>
      </c>
      <c r="K350" s="33">
        <f t="shared" si="56"/>
        <v>0</v>
      </c>
      <c r="L350" s="33">
        <f t="shared" si="57"/>
        <v>4697098.6117836414</v>
      </c>
      <c r="M350" s="33">
        <f t="shared" si="58"/>
        <v>-165229051.68684298</v>
      </c>
      <c r="N350" s="33" t="str">
        <f t="shared" si="59"/>
        <v/>
      </c>
      <c r="O350" s="10"/>
    </row>
    <row r="351" spans="1:15" x14ac:dyDescent="0.25">
      <c r="A351" s="3" t="s">
        <v>1405</v>
      </c>
      <c r="B351" s="33">
        <f t="shared" si="60"/>
        <v>0</v>
      </c>
      <c r="C351" s="33">
        <f t="shared" si="61"/>
        <v>0</v>
      </c>
      <c r="D351" s="33">
        <f t="shared" si="51"/>
        <v>0</v>
      </c>
      <c r="E351" s="33">
        <f t="shared" si="52"/>
        <v>0</v>
      </c>
      <c r="F351" s="17">
        <f t="shared" si="53"/>
        <v>51</v>
      </c>
      <c r="G351" s="32">
        <v>140</v>
      </c>
      <c r="H351" s="17">
        <f t="shared" si="50"/>
        <v>8402</v>
      </c>
      <c r="I351" s="17">
        <f t="shared" si="54"/>
        <v>149</v>
      </c>
      <c r="J351" s="17">
        <f t="shared" si="55"/>
        <v>131</v>
      </c>
      <c r="K351" s="33">
        <f t="shared" si="56"/>
        <v>0</v>
      </c>
      <c r="L351" s="33">
        <f t="shared" si="57"/>
        <v>4697098.6117836414</v>
      </c>
      <c r="M351" s="33">
        <f t="shared" si="58"/>
        <v>-165229051.68684298</v>
      </c>
      <c r="N351" s="33" t="str">
        <f t="shared" si="59"/>
        <v/>
      </c>
      <c r="O351" s="10"/>
    </row>
    <row r="352" spans="1:15" x14ac:dyDescent="0.25">
      <c r="A352" s="3" t="s">
        <v>1406</v>
      </c>
      <c r="B352" s="33">
        <f t="shared" si="60"/>
        <v>0</v>
      </c>
      <c r="C352" s="33">
        <f t="shared" si="61"/>
        <v>0</v>
      </c>
      <c r="D352" s="33">
        <f t="shared" si="51"/>
        <v>0</v>
      </c>
      <c r="E352" s="33">
        <f t="shared" si="52"/>
        <v>0</v>
      </c>
      <c r="F352" s="17">
        <f t="shared" si="53"/>
        <v>51</v>
      </c>
      <c r="G352" s="32">
        <v>141</v>
      </c>
      <c r="H352" s="17">
        <f t="shared" si="50"/>
        <v>8403</v>
      </c>
      <c r="I352" s="17">
        <f t="shared" si="54"/>
        <v>150</v>
      </c>
      <c r="J352" s="17">
        <f t="shared" si="55"/>
        <v>132</v>
      </c>
      <c r="K352" s="33">
        <f t="shared" si="56"/>
        <v>0</v>
      </c>
      <c r="L352" s="33">
        <f t="shared" si="57"/>
        <v>4697098.6117836414</v>
      </c>
      <c r="M352" s="33">
        <f t="shared" si="58"/>
        <v>-165229051.68684298</v>
      </c>
      <c r="N352" s="33" t="str">
        <f t="shared" si="59"/>
        <v/>
      </c>
      <c r="O352" s="10"/>
    </row>
    <row r="353" spans="1:15" x14ac:dyDescent="0.25">
      <c r="A353" s="3" t="s">
        <v>1407</v>
      </c>
      <c r="B353" s="33">
        <f t="shared" si="60"/>
        <v>0</v>
      </c>
      <c r="C353" s="33">
        <f t="shared" si="61"/>
        <v>0</v>
      </c>
      <c r="D353" s="33">
        <f t="shared" si="51"/>
        <v>0</v>
      </c>
      <c r="E353" s="33">
        <f t="shared" si="52"/>
        <v>0</v>
      </c>
      <c r="F353" s="17">
        <f t="shared" si="53"/>
        <v>51</v>
      </c>
      <c r="G353" s="32">
        <v>142</v>
      </c>
      <c r="H353" s="17">
        <f t="shared" si="50"/>
        <v>8404</v>
      </c>
      <c r="I353" s="17">
        <f t="shared" si="54"/>
        <v>151</v>
      </c>
      <c r="J353" s="17">
        <f t="shared" si="55"/>
        <v>133</v>
      </c>
      <c r="K353" s="33">
        <f t="shared" si="56"/>
        <v>0</v>
      </c>
      <c r="L353" s="33">
        <f t="shared" si="57"/>
        <v>4697098.6117836414</v>
      </c>
      <c r="M353" s="33">
        <f t="shared" si="58"/>
        <v>-165229051.68684298</v>
      </c>
      <c r="N353" s="33" t="str">
        <f t="shared" si="59"/>
        <v/>
      </c>
      <c r="O353" s="10"/>
    </row>
    <row r="354" spans="1:15" x14ac:dyDescent="0.25">
      <c r="A354" s="3" t="s">
        <v>1408</v>
      </c>
      <c r="B354" s="33">
        <f t="shared" si="60"/>
        <v>0</v>
      </c>
      <c r="C354" s="33">
        <f t="shared" si="61"/>
        <v>0</v>
      </c>
      <c r="D354" s="33">
        <f t="shared" si="51"/>
        <v>0</v>
      </c>
      <c r="E354" s="33">
        <f t="shared" si="52"/>
        <v>0</v>
      </c>
      <c r="F354" s="17">
        <f t="shared" si="53"/>
        <v>51</v>
      </c>
      <c r="G354" s="32">
        <v>143</v>
      </c>
      <c r="H354" s="17">
        <f t="shared" si="50"/>
        <v>8405</v>
      </c>
      <c r="I354" s="17">
        <f t="shared" si="54"/>
        <v>152</v>
      </c>
      <c r="J354" s="17">
        <f t="shared" si="55"/>
        <v>134</v>
      </c>
      <c r="K354" s="33">
        <f t="shared" si="56"/>
        <v>0</v>
      </c>
      <c r="L354" s="33">
        <f t="shared" si="57"/>
        <v>4697098.6117836414</v>
      </c>
      <c r="M354" s="33">
        <f t="shared" si="58"/>
        <v>-165229051.68684298</v>
      </c>
      <c r="N354" s="33" t="str">
        <f t="shared" si="59"/>
        <v/>
      </c>
      <c r="O354" s="10"/>
    </row>
    <row r="355" spans="1:15" x14ac:dyDescent="0.25">
      <c r="A355" s="3" t="s">
        <v>1409</v>
      </c>
      <c r="B355" s="33">
        <f t="shared" si="60"/>
        <v>0</v>
      </c>
      <c r="C355" s="33">
        <f t="shared" si="61"/>
        <v>0</v>
      </c>
      <c r="D355" s="33">
        <f t="shared" si="51"/>
        <v>0</v>
      </c>
      <c r="E355" s="33">
        <f t="shared" si="52"/>
        <v>0</v>
      </c>
      <c r="F355" s="17">
        <f t="shared" si="53"/>
        <v>51</v>
      </c>
      <c r="G355" s="32">
        <v>144</v>
      </c>
      <c r="H355" s="17">
        <f t="shared" si="50"/>
        <v>8406</v>
      </c>
      <c r="I355" s="17">
        <f t="shared" si="54"/>
        <v>153</v>
      </c>
      <c r="J355" s="17">
        <f t="shared" si="55"/>
        <v>135</v>
      </c>
      <c r="K355" s="33">
        <f t="shared" si="56"/>
        <v>0</v>
      </c>
      <c r="L355" s="33">
        <f t="shared" si="57"/>
        <v>4697098.6117836414</v>
      </c>
      <c r="M355" s="33">
        <f t="shared" si="58"/>
        <v>-165229051.68684298</v>
      </c>
      <c r="N355" s="33" t="str">
        <f t="shared" si="59"/>
        <v/>
      </c>
      <c r="O355" s="10"/>
    </row>
    <row r="356" spans="1:15" x14ac:dyDescent="0.25">
      <c r="A356" s="3" t="s">
        <v>1410</v>
      </c>
      <c r="B356" s="33">
        <f t="shared" si="60"/>
        <v>0</v>
      </c>
      <c r="C356" s="33">
        <f t="shared" si="61"/>
        <v>0</v>
      </c>
      <c r="D356" s="33">
        <f t="shared" si="51"/>
        <v>0</v>
      </c>
      <c r="E356" s="33">
        <f t="shared" si="52"/>
        <v>0</v>
      </c>
      <c r="F356" s="17">
        <f t="shared" si="53"/>
        <v>51</v>
      </c>
      <c r="G356" s="32">
        <v>145</v>
      </c>
      <c r="H356" s="17">
        <f t="shared" si="50"/>
        <v>8407</v>
      </c>
      <c r="I356" s="17">
        <f t="shared" si="54"/>
        <v>154</v>
      </c>
      <c r="J356" s="17">
        <f t="shared" si="55"/>
        <v>136</v>
      </c>
      <c r="K356" s="33">
        <f t="shared" si="56"/>
        <v>0</v>
      </c>
      <c r="L356" s="33">
        <f t="shared" si="57"/>
        <v>4697098.6117836414</v>
      </c>
      <c r="M356" s="33">
        <f t="shared" si="58"/>
        <v>-165229051.68684298</v>
      </c>
      <c r="N356" s="33" t="str">
        <f t="shared" si="59"/>
        <v/>
      </c>
      <c r="O356" s="10"/>
    </row>
    <row r="357" spans="1:15" x14ac:dyDescent="0.25">
      <c r="A357" s="3" t="s">
        <v>1411</v>
      </c>
      <c r="B357" s="33">
        <f t="shared" si="60"/>
        <v>0</v>
      </c>
      <c r="C357" s="33">
        <f t="shared" si="61"/>
        <v>0</v>
      </c>
      <c r="D357" s="33">
        <f t="shared" si="51"/>
        <v>0</v>
      </c>
      <c r="E357" s="33">
        <f t="shared" si="52"/>
        <v>0</v>
      </c>
      <c r="F357" s="17">
        <f t="shared" si="53"/>
        <v>51</v>
      </c>
      <c r="G357" s="32">
        <v>146</v>
      </c>
      <c r="H357" s="17">
        <f t="shared" si="50"/>
        <v>8408</v>
      </c>
      <c r="I357" s="17">
        <f t="shared" si="54"/>
        <v>155</v>
      </c>
      <c r="J357" s="17">
        <f t="shared" si="55"/>
        <v>137</v>
      </c>
      <c r="K357" s="33">
        <f t="shared" si="56"/>
        <v>0</v>
      </c>
      <c r="L357" s="33">
        <f t="shared" si="57"/>
        <v>4697098.6117836414</v>
      </c>
      <c r="M357" s="33">
        <f t="shared" si="58"/>
        <v>-165229051.68684298</v>
      </c>
      <c r="N357" s="33" t="str">
        <f t="shared" si="59"/>
        <v/>
      </c>
      <c r="O357" s="10"/>
    </row>
    <row r="358" spans="1:15" x14ac:dyDescent="0.25">
      <c r="A358" s="3" t="s">
        <v>1412</v>
      </c>
      <c r="B358" s="33">
        <f t="shared" si="60"/>
        <v>-42.472915957399046</v>
      </c>
      <c r="C358" s="33">
        <f t="shared" si="61"/>
        <v>16972.203941430405</v>
      </c>
      <c r="D358" s="33">
        <f t="shared" si="51"/>
        <v>0</v>
      </c>
      <c r="E358" s="33">
        <f t="shared" si="52"/>
        <v>-720858.99161621043</v>
      </c>
      <c r="F358" s="17">
        <f t="shared" si="53"/>
        <v>35</v>
      </c>
      <c r="G358" s="32">
        <v>147</v>
      </c>
      <c r="H358" s="17">
        <f t="shared" si="50"/>
        <v>5817</v>
      </c>
      <c r="I358" s="17">
        <f t="shared" si="54"/>
        <v>35</v>
      </c>
      <c r="J358" s="17">
        <f t="shared" si="55"/>
        <v>138</v>
      </c>
      <c r="K358" s="33">
        <f t="shared" si="56"/>
        <v>0</v>
      </c>
      <c r="L358" s="33">
        <f t="shared" si="57"/>
        <v>4697098.6117836414</v>
      </c>
      <c r="M358" s="33">
        <f t="shared" si="58"/>
        <v>-165229051.68684298</v>
      </c>
      <c r="N358" s="33" t="str">
        <f t="shared" si="59"/>
        <v/>
      </c>
      <c r="O358" s="10"/>
    </row>
    <row r="359" spans="1:15" x14ac:dyDescent="0.25">
      <c r="A359" s="3" t="s">
        <v>1413</v>
      </c>
      <c r="B359" s="33">
        <f t="shared" si="60"/>
        <v>-30.731128680184241</v>
      </c>
      <c r="C359" s="33">
        <f t="shared" si="61"/>
        <v>575.0855139820593</v>
      </c>
      <c r="D359" s="33">
        <f t="shared" si="51"/>
        <v>0</v>
      </c>
      <c r="E359" s="33">
        <f t="shared" si="52"/>
        <v>-17673.02693229256</v>
      </c>
      <c r="F359" s="17">
        <f t="shared" si="53"/>
        <v>42</v>
      </c>
      <c r="G359" s="32">
        <v>148</v>
      </c>
      <c r="H359" s="17">
        <f t="shared" si="50"/>
        <v>6952</v>
      </c>
      <c r="I359" s="17">
        <f t="shared" si="54"/>
        <v>42</v>
      </c>
      <c r="J359" s="17">
        <f t="shared" si="55"/>
        <v>139</v>
      </c>
      <c r="K359" s="33">
        <f t="shared" si="56"/>
        <v>0</v>
      </c>
      <c r="L359" s="33">
        <f t="shared" si="57"/>
        <v>4697098.6117836414</v>
      </c>
      <c r="M359" s="33">
        <f t="shared" si="58"/>
        <v>-165229051.68684298</v>
      </c>
      <c r="N359" s="33" t="str">
        <f t="shared" si="59"/>
        <v/>
      </c>
      <c r="O359" s="10"/>
    </row>
    <row r="360" spans="1:15" x14ac:dyDescent="0.25">
      <c r="A360" s="3" t="s">
        <v>1414</v>
      </c>
      <c r="B360" s="33">
        <f t="shared" si="60"/>
        <v>-19.830615811269087</v>
      </c>
      <c r="C360" s="33">
        <f t="shared" si="61"/>
        <v>27022.845323274665</v>
      </c>
      <c r="D360" s="33">
        <f t="shared" si="51"/>
        <v>0</v>
      </c>
      <c r="E360" s="33">
        <f t="shared" si="52"/>
        <v>-535879.66373320948</v>
      </c>
      <c r="F360" s="17">
        <f t="shared" si="53"/>
        <v>49</v>
      </c>
      <c r="G360" s="32">
        <v>149</v>
      </c>
      <c r="H360" s="17">
        <f t="shared" si="50"/>
        <v>8087</v>
      </c>
      <c r="I360" s="17">
        <f t="shared" si="54"/>
        <v>49</v>
      </c>
      <c r="J360" s="17">
        <f t="shared" si="55"/>
        <v>140</v>
      </c>
      <c r="K360" s="33">
        <f t="shared" si="56"/>
        <v>0</v>
      </c>
      <c r="L360" s="33">
        <f t="shared" si="57"/>
        <v>4697098.6117836414</v>
      </c>
      <c r="M360" s="33">
        <f t="shared" si="58"/>
        <v>-165229051.68684298</v>
      </c>
      <c r="N360" s="33" t="str">
        <f t="shared" si="59"/>
        <v/>
      </c>
      <c r="O360" s="10"/>
    </row>
    <row r="361" spans="1:15" x14ac:dyDescent="0.25">
      <c r="A361" s="3" t="s">
        <v>1415</v>
      </c>
      <c r="B361" s="33">
        <f t="shared" si="60"/>
        <v>0</v>
      </c>
      <c r="C361" s="33">
        <f t="shared" si="61"/>
        <v>0</v>
      </c>
      <c r="D361" s="33">
        <f t="shared" si="51"/>
        <v>0</v>
      </c>
      <c r="E361" s="33">
        <f t="shared" si="52"/>
        <v>0</v>
      </c>
      <c r="F361" s="17">
        <f t="shared" si="53"/>
        <v>51</v>
      </c>
      <c r="G361" s="32">
        <v>150</v>
      </c>
      <c r="H361" s="17">
        <f t="shared" si="50"/>
        <v>8412</v>
      </c>
      <c r="I361" s="17">
        <f t="shared" si="54"/>
        <v>156</v>
      </c>
      <c r="J361" s="17">
        <f t="shared" si="55"/>
        <v>141</v>
      </c>
      <c r="K361" s="33">
        <f t="shared" si="56"/>
        <v>0</v>
      </c>
      <c r="L361" s="33">
        <f t="shared" si="57"/>
        <v>4697098.6117836414</v>
      </c>
      <c r="M361" s="33">
        <f t="shared" si="58"/>
        <v>-165229051.68684298</v>
      </c>
      <c r="N361" s="33" t="str">
        <f t="shared" si="59"/>
        <v/>
      </c>
      <c r="O361" s="10"/>
    </row>
    <row r="362" spans="1:15" x14ac:dyDescent="0.25">
      <c r="A362" s="3" t="s">
        <v>1416</v>
      </c>
      <c r="B362" s="33">
        <f t="shared" si="60"/>
        <v>0</v>
      </c>
      <c r="C362" s="33">
        <f t="shared" si="61"/>
        <v>0</v>
      </c>
      <c r="D362" s="33">
        <f t="shared" si="51"/>
        <v>0</v>
      </c>
      <c r="E362" s="33">
        <f t="shared" si="52"/>
        <v>0</v>
      </c>
      <c r="F362" s="17">
        <f t="shared" si="53"/>
        <v>51</v>
      </c>
      <c r="G362" s="32">
        <v>151</v>
      </c>
      <c r="H362" s="17">
        <f t="shared" si="50"/>
        <v>8413</v>
      </c>
      <c r="I362" s="17">
        <f t="shared" si="54"/>
        <v>157</v>
      </c>
      <c r="J362" s="17">
        <f t="shared" si="55"/>
        <v>142</v>
      </c>
      <c r="K362" s="33">
        <f t="shared" si="56"/>
        <v>0</v>
      </c>
      <c r="L362" s="33">
        <f t="shared" si="57"/>
        <v>4697098.6117836414</v>
      </c>
      <c r="M362" s="33">
        <f t="shared" si="58"/>
        <v>-165229051.68684298</v>
      </c>
      <c r="N362" s="33" t="str">
        <f t="shared" si="59"/>
        <v/>
      </c>
      <c r="O362" s="10"/>
    </row>
    <row r="363" spans="1:15" x14ac:dyDescent="0.25">
      <c r="A363" s="3" t="s">
        <v>1417</v>
      </c>
      <c r="B363" s="33">
        <f t="shared" si="60"/>
        <v>0</v>
      </c>
      <c r="C363" s="33">
        <f t="shared" si="61"/>
        <v>0</v>
      </c>
      <c r="D363" s="33">
        <f t="shared" si="51"/>
        <v>0</v>
      </c>
      <c r="E363" s="33">
        <f t="shared" si="52"/>
        <v>0</v>
      </c>
      <c r="F363" s="17">
        <f t="shared" si="53"/>
        <v>51</v>
      </c>
      <c r="G363" s="32">
        <v>152</v>
      </c>
      <c r="H363" s="17">
        <f t="shared" si="50"/>
        <v>8414</v>
      </c>
      <c r="I363" s="17">
        <f t="shared" si="54"/>
        <v>158</v>
      </c>
      <c r="J363" s="17">
        <f t="shared" si="55"/>
        <v>143</v>
      </c>
      <c r="K363" s="33">
        <f t="shared" si="56"/>
        <v>0</v>
      </c>
      <c r="L363" s="33">
        <f t="shared" si="57"/>
        <v>4697098.6117836414</v>
      </c>
      <c r="M363" s="33">
        <f t="shared" si="58"/>
        <v>-165229051.68684298</v>
      </c>
      <c r="N363" s="33" t="str">
        <f t="shared" si="59"/>
        <v/>
      </c>
      <c r="O363" s="10"/>
    </row>
    <row r="364" spans="1:15" x14ac:dyDescent="0.25">
      <c r="A364" s="3" t="s">
        <v>1418</v>
      </c>
      <c r="B364" s="33">
        <f t="shared" si="60"/>
        <v>0</v>
      </c>
      <c r="C364" s="33">
        <f t="shared" si="61"/>
        <v>0</v>
      </c>
      <c r="D364" s="33">
        <f t="shared" si="51"/>
        <v>0</v>
      </c>
      <c r="E364" s="33">
        <f t="shared" si="52"/>
        <v>0</v>
      </c>
      <c r="F364" s="17">
        <f t="shared" si="53"/>
        <v>51</v>
      </c>
      <c r="G364" s="32">
        <v>153</v>
      </c>
      <c r="H364" s="17">
        <f t="shared" si="50"/>
        <v>8415</v>
      </c>
      <c r="I364" s="17">
        <f t="shared" si="54"/>
        <v>159</v>
      </c>
      <c r="J364" s="17">
        <f t="shared" si="55"/>
        <v>144</v>
      </c>
      <c r="K364" s="33">
        <f t="shared" si="56"/>
        <v>0</v>
      </c>
      <c r="L364" s="33">
        <f t="shared" si="57"/>
        <v>4697098.6117836414</v>
      </c>
      <c r="M364" s="33">
        <f t="shared" si="58"/>
        <v>-165229051.68684298</v>
      </c>
      <c r="N364" s="33" t="str">
        <f t="shared" si="59"/>
        <v/>
      </c>
      <c r="O364" s="10"/>
    </row>
    <row r="365" spans="1:15" x14ac:dyDescent="0.25">
      <c r="A365" s="3" t="s">
        <v>1419</v>
      </c>
      <c r="B365" s="33">
        <f t="shared" si="60"/>
        <v>0</v>
      </c>
      <c r="C365" s="33">
        <f t="shared" si="61"/>
        <v>0</v>
      </c>
      <c r="D365" s="33">
        <f t="shared" si="51"/>
        <v>0</v>
      </c>
      <c r="E365" s="33">
        <f t="shared" si="52"/>
        <v>0</v>
      </c>
      <c r="F365" s="17">
        <f t="shared" si="53"/>
        <v>51</v>
      </c>
      <c r="G365" s="32">
        <v>154</v>
      </c>
      <c r="H365" s="17">
        <f t="shared" si="50"/>
        <v>8416</v>
      </c>
      <c r="I365" s="17">
        <f t="shared" si="54"/>
        <v>160</v>
      </c>
      <c r="J365" s="17">
        <f t="shared" si="55"/>
        <v>145</v>
      </c>
      <c r="K365" s="33">
        <f t="shared" si="56"/>
        <v>0</v>
      </c>
      <c r="L365" s="33">
        <f t="shared" si="57"/>
        <v>4697098.6117836414</v>
      </c>
      <c r="M365" s="33">
        <f t="shared" si="58"/>
        <v>-165229051.68684298</v>
      </c>
      <c r="N365" s="33" t="str">
        <f t="shared" si="59"/>
        <v/>
      </c>
      <c r="O365" s="10"/>
    </row>
    <row r="366" spans="1:15" x14ac:dyDescent="0.25">
      <c r="A366" s="3" t="s">
        <v>1420</v>
      </c>
      <c r="B366" s="33">
        <f t="shared" si="60"/>
        <v>0</v>
      </c>
      <c r="C366" s="33">
        <f t="shared" si="61"/>
        <v>0</v>
      </c>
      <c r="D366" s="33">
        <f t="shared" si="51"/>
        <v>0</v>
      </c>
      <c r="E366" s="33">
        <f t="shared" si="52"/>
        <v>0</v>
      </c>
      <c r="F366" s="17">
        <f t="shared" si="53"/>
        <v>51</v>
      </c>
      <c r="G366" s="32">
        <v>155</v>
      </c>
      <c r="H366" s="17">
        <f t="shared" si="50"/>
        <v>8417</v>
      </c>
      <c r="I366" s="17">
        <f t="shared" si="54"/>
        <v>161</v>
      </c>
      <c r="J366" s="17">
        <f t="shared" si="55"/>
        <v>146</v>
      </c>
      <c r="K366" s="33">
        <f t="shared" si="56"/>
        <v>0</v>
      </c>
      <c r="L366" s="33">
        <f t="shared" si="57"/>
        <v>4697098.6117836414</v>
      </c>
      <c r="M366" s="33">
        <f t="shared" si="58"/>
        <v>-165229051.68684298</v>
      </c>
      <c r="N366" s="33" t="str">
        <f t="shared" si="59"/>
        <v/>
      </c>
      <c r="O366" s="10"/>
    </row>
    <row r="367" spans="1:15" x14ac:dyDescent="0.25">
      <c r="A367" s="3" t="s">
        <v>1421</v>
      </c>
      <c r="B367" s="33">
        <f t="shared" si="60"/>
        <v>0</v>
      </c>
      <c r="C367" s="33">
        <f t="shared" si="61"/>
        <v>0</v>
      </c>
      <c r="D367" s="33">
        <f t="shared" si="51"/>
        <v>0</v>
      </c>
      <c r="E367" s="33">
        <f t="shared" si="52"/>
        <v>0</v>
      </c>
      <c r="F367" s="17">
        <f t="shared" si="53"/>
        <v>51</v>
      </c>
      <c r="G367" s="32">
        <v>156</v>
      </c>
      <c r="H367" s="17">
        <f t="shared" si="50"/>
        <v>8418</v>
      </c>
      <c r="I367" s="17">
        <f t="shared" si="54"/>
        <v>162</v>
      </c>
      <c r="J367" s="17">
        <f t="shared" si="55"/>
        <v>150</v>
      </c>
      <c r="K367" s="33">
        <f t="shared" si="56"/>
        <v>0</v>
      </c>
      <c r="L367" s="33">
        <f t="shared" si="57"/>
        <v>4697098.6117836414</v>
      </c>
      <c r="M367" s="33">
        <f t="shared" si="58"/>
        <v>-165229051.68684298</v>
      </c>
      <c r="N367" s="33" t="str">
        <f t="shared" si="59"/>
        <v/>
      </c>
      <c r="O367" s="10"/>
    </row>
    <row r="368" spans="1:15" x14ac:dyDescent="0.25">
      <c r="A368" s="3" t="s">
        <v>1422</v>
      </c>
      <c r="B368" s="33">
        <f t="shared" si="60"/>
        <v>-67.247121034326383</v>
      </c>
      <c r="C368" s="33">
        <f t="shared" si="61"/>
        <v>0</v>
      </c>
      <c r="D368" s="33">
        <f t="shared" si="51"/>
        <v>0</v>
      </c>
      <c r="E368" s="33">
        <f t="shared" si="52"/>
        <v>0</v>
      </c>
      <c r="F368" s="17">
        <f t="shared" si="53"/>
        <v>15</v>
      </c>
      <c r="G368" s="32">
        <v>157</v>
      </c>
      <c r="H368" s="17">
        <f t="shared" si="50"/>
        <v>2587</v>
      </c>
      <c r="I368" s="17">
        <f t="shared" si="54"/>
        <v>15</v>
      </c>
      <c r="J368" s="17">
        <f t="shared" si="55"/>
        <v>151</v>
      </c>
      <c r="K368" s="33">
        <f t="shared" si="56"/>
        <v>0</v>
      </c>
      <c r="L368" s="33">
        <f t="shared" si="57"/>
        <v>4697098.6117836414</v>
      </c>
      <c r="M368" s="33">
        <f t="shared" si="58"/>
        <v>-165229051.68684298</v>
      </c>
      <c r="N368" s="33" t="str">
        <f t="shared" si="59"/>
        <v/>
      </c>
      <c r="O368" s="10"/>
    </row>
    <row r="369" spans="1:15" x14ac:dyDescent="0.25">
      <c r="A369" s="3" t="s">
        <v>1423</v>
      </c>
      <c r="B369" s="33">
        <f t="shared" si="60"/>
        <v>-67.247121034326383</v>
      </c>
      <c r="C369" s="33">
        <f t="shared" si="61"/>
        <v>0</v>
      </c>
      <c r="D369" s="33">
        <f t="shared" si="51"/>
        <v>0</v>
      </c>
      <c r="E369" s="33">
        <f t="shared" si="52"/>
        <v>0</v>
      </c>
      <c r="F369" s="17">
        <f t="shared" si="53"/>
        <v>15</v>
      </c>
      <c r="G369" s="32">
        <v>158</v>
      </c>
      <c r="H369" s="17">
        <f t="shared" si="50"/>
        <v>2588</v>
      </c>
      <c r="I369" s="17">
        <f t="shared" si="54"/>
        <v>16</v>
      </c>
      <c r="J369" s="17">
        <f t="shared" si="55"/>
        <v>152</v>
      </c>
      <c r="K369" s="33">
        <f t="shared" si="56"/>
        <v>0</v>
      </c>
      <c r="L369" s="33">
        <f t="shared" si="57"/>
        <v>4697098.6117836414</v>
      </c>
      <c r="M369" s="33">
        <f t="shared" si="58"/>
        <v>-165229051.68684298</v>
      </c>
      <c r="N369" s="33" t="str">
        <f t="shared" si="59"/>
        <v/>
      </c>
      <c r="O369" s="10"/>
    </row>
    <row r="370" spans="1:15" x14ac:dyDescent="0.25">
      <c r="A370" s="3" t="s">
        <v>1424</v>
      </c>
      <c r="B370" s="33">
        <f t="shared" si="60"/>
        <v>-60.753713534866208</v>
      </c>
      <c r="C370" s="33">
        <f t="shared" si="61"/>
        <v>0</v>
      </c>
      <c r="D370" s="33">
        <f t="shared" si="51"/>
        <v>0</v>
      </c>
      <c r="E370" s="33">
        <f t="shared" si="52"/>
        <v>0</v>
      </c>
      <c r="F370" s="17">
        <f t="shared" si="53"/>
        <v>18</v>
      </c>
      <c r="G370" s="32">
        <v>159</v>
      </c>
      <c r="H370" s="17">
        <f t="shared" si="50"/>
        <v>3075</v>
      </c>
      <c r="I370" s="17">
        <f t="shared" si="54"/>
        <v>18</v>
      </c>
      <c r="J370" s="17">
        <f t="shared" si="55"/>
        <v>153</v>
      </c>
      <c r="K370" s="33">
        <f t="shared" si="56"/>
        <v>0</v>
      </c>
      <c r="L370" s="33">
        <f t="shared" si="57"/>
        <v>4697098.6117836414</v>
      </c>
      <c r="M370" s="33">
        <f t="shared" si="58"/>
        <v>-165229051.68684298</v>
      </c>
      <c r="N370" s="33" t="str">
        <f t="shared" si="59"/>
        <v/>
      </c>
      <c r="O370" s="10"/>
    </row>
    <row r="371" spans="1:15" x14ac:dyDescent="0.25">
      <c r="A371" s="3" t="s">
        <v>1425</v>
      </c>
      <c r="B371" s="33">
        <f t="shared" si="60"/>
        <v>-60.753713534866208</v>
      </c>
      <c r="C371" s="33">
        <f t="shared" si="61"/>
        <v>0</v>
      </c>
      <c r="D371" s="33">
        <f t="shared" si="51"/>
        <v>0</v>
      </c>
      <c r="E371" s="33">
        <f t="shared" si="52"/>
        <v>0</v>
      </c>
      <c r="F371" s="17">
        <f t="shared" si="53"/>
        <v>18</v>
      </c>
      <c r="G371" s="32">
        <v>160</v>
      </c>
      <c r="H371" s="17">
        <f t="shared" ref="H371:H373" si="62">F371*162+G371</f>
        <v>3076</v>
      </c>
      <c r="I371" s="17">
        <f t="shared" si="54"/>
        <v>19</v>
      </c>
      <c r="J371" s="17">
        <f t="shared" si="55"/>
        <v>154</v>
      </c>
      <c r="K371" s="33">
        <f t="shared" si="56"/>
        <v>0</v>
      </c>
      <c r="L371" s="33">
        <f t="shared" si="57"/>
        <v>4697098.6117836414</v>
      </c>
      <c r="M371" s="33">
        <f t="shared" si="58"/>
        <v>-165229051.68684298</v>
      </c>
      <c r="N371" s="33" t="str">
        <f t="shared" si="59"/>
        <v/>
      </c>
      <c r="O371" s="10"/>
    </row>
    <row r="372" spans="1:15" x14ac:dyDescent="0.25">
      <c r="A372" s="3" t="s">
        <v>1426</v>
      </c>
      <c r="B372" s="33">
        <f t="shared" si="60"/>
        <v>-48.668972993657356</v>
      </c>
      <c r="C372" s="33">
        <f t="shared" si="61"/>
        <v>0</v>
      </c>
      <c r="D372" s="33">
        <f t="shared" ref="D372:D373" si="63">IF(ISERROR(B372),C372,0)</f>
        <v>0</v>
      </c>
      <c r="E372" s="33">
        <f t="shared" si="52"/>
        <v>0</v>
      </c>
      <c r="F372" s="17">
        <f t="shared" si="53"/>
        <v>26</v>
      </c>
      <c r="G372" s="32">
        <v>161</v>
      </c>
      <c r="H372" s="17">
        <f t="shared" si="62"/>
        <v>4373</v>
      </c>
      <c r="I372" s="17">
        <f t="shared" ref="I372:I373" si="64">RANK(H372,H$212:H$373,1)</f>
        <v>26</v>
      </c>
      <c r="J372" s="17">
        <f t="shared" ref="J372:J373" si="65">MATCH(G372,I$212:I$373,0)</f>
        <v>155</v>
      </c>
      <c r="K372" s="33">
        <f t="shared" ref="K372:K373" si="66">INDEX(B$212:B$373,J372,1)</f>
        <v>0</v>
      </c>
      <c r="L372" s="33">
        <f t="shared" si="57"/>
        <v>4697098.6117836414</v>
      </c>
      <c r="M372" s="33">
        <f t="shared" si="58"/>
        <v>-165229051.68684298</v>
      </c>
      <c r="N372" s="33" t="str">
        <f t="shared" ref="N372:N373" si="67">IF((M371&gt;0)=(M372&gt;0),"",K372-M372/L371)</f>
        <v/>
      </c>
      <c r="O372" s="10"/>
    </row>
    <row r="373" spans="1:15" x14ac:dyDescent="0.25">
      <c r="A373" s="3" t="s">
        <v>1427</v>
      </c>
      <c r="B373" s="33">
        <f t="shared" si="60"/>
        <v>-48.668972993657356</v>
      </c>
      <c r="C373" s="33">
        <f t="shared" si="61"/>
        <v>0</v>
      </c>
      <c r="D373" s="33">
        <f t="shared" si="63"/>
        <v>0</v>
      </c>
      <c r="E373" s="33">
        <f t="shared" si="52"/>
        <v>0</v>
      </c>
      <c r="F373" s="17">
        <f t="shared" si="53"/>
        <v>26</v>
      </c>
      <c r="G373" s="32">
        <v>162</v>
      </c>
      <c r="H373" s="17">
        <f t="shared" si="62"/>
        <v>4374</v>
      </c>
      <c r="I373" s="17">
        <f t="shared" si="64"/>
        <v>27</v>
      </c>
      <c r="J373" s="17">
        <f t="shared" si="65"/>
        <v>156</v>
      </c>
      <c r="K373" s="33">
        <f t="shared" si="66"/>
        <v>0</v>
      </c>
      <c r="L373" s="33">
        <f t="shared" si="57"/>
        <v>4697098.6117836414</v>
      </c>
      <c r="M373" s="33">
        <f t="shared" si="58"/>
        <v>-165229051.68684298</v>
      </c>
      <c r="N373" s="33" t="str">
        <f t="shared" si="67"/>
        <v/>
      </c>
      <c r="O373" s="10"/>
    </row>
    <row r="375" spans="1:15" ht="21" customHeight="1" x14ac:dyDescent="0.3">
      <c r="A375" s="1" t="s">
        <v>1428</v>
      </c>
    </row>
    <row r="376" spans="1:15" x14ac:dyDescent="0.25">
      <c r="A376" s="2" t="s">
        <v>356</v>
      </c>
    </row>
    <row r="377" spans="1:15" x14ac:dyDescent="0.25">
      <c r="A377" s="11" t="s">
        <v>1429</v>
      </c>
    </row>
    <row r="378" spans="1:15" x14ac:dyDescent="0.25">
      <c r="A378" s="2" t="s">
        <v>1430</v>
      </c>
    </row>
    <row r="380" spans="1:15" x14ac:dyDescent="0.25">
      <c r="B380" s="12" t="s">
        <v>1431</v>
      </c>
    </row>
    <row r="381" spans="1:15" x14ac:dyDescent="0.25">
      <c r="A381" s="3" t="s">
        <v>1431</v>
      </c>
      <c r="B381" s="33">
        <f>MIN($N$211:$N$373)</f>
        <v>35.176832624363414</v>
      </c>
      <c r="C381" s="10"/>
    </row>
    <row r="383" spans="1:15" ht="21" customHeight="1" x14ac:dyDescent="0.3">
      <c r="A383" s="1" t="s">
        <v>1432</v>
      </c>
    </row>
    <row r="384" spans="1:15" x14ac:dyDescent="0.25">
      <c r="A384" s="2" t="s">
        <v>356</v>
      </c>
    </row>
    <row r="385" spans="1:1" x14ac:dyDescent="0.25">
      <c r="A385" s="11" t="s">
        <v>1050</v>
      </c>
    </row>
    <row r="386" spans="1:1" x14ac:dyDescent="0.25">
      <c r="A386" s="11" t="s">
        <v>1162</v>
      </c>
    </row>
    <row r="387" spans="1:1" x14ac:dyDescent="0.25">
      <c r="A387" s="11" t="s">
        <v>1433</v>
      </c>
    </row>
    <row r="388" spans="1:1" x14ac:dyDescent="0.25">
      <c r="A388" s="11" t="s">
        <v>1434</v>
      </c>
    </row>
    <row r="389" spans="1:1" x14ac:dyDescent="0.25">
      <c r="A389" s="11" t="s">
        <v>1435</v>
      </c>
    </row>
    <row r="390" spans="1:1" x14ac:dyDescent="0.25">
      <c r="A390" s="11" t="s">
        <v>1436</v>
      </c>
    </row>
    <row r="391" spans="1:1" x14ac:dyDescent="0.25">
      <c r="A391" s="11" t="s">
        <v>1437</v>
      </c>
    </row>
    <row r="392" spans="1:1" x14ac:dyDescent="0.25">
      <c r="A392" s="11" t="s">
        <v>1438</v>
      </c>
    </row>
    <row r="393" spans="1:1" x14ac:dyDescent="0.25">
      <c r="A393" s="11" t="s">
        <v>1439</v>
      </c>
    </row>
    <row r="394" spans="1:1" x14ac:dyDescent="0.25">
      <c r="A394" s="11" t="s">
        <v>1440</v>
      </c>
    </row>
    <row r="395" spans="1:1" x14ac:dyDescent="0.25">
      <c r="A395" s="11" t="s">
        <v>1171</v>
      </c>
    </row>
    <row r="396" spans="1:1" x14ac:dyDescent="0.25">
      <c r="A396" s="11" t="s">
        <v>1441</v>
      </c>
    </row>
    <row r="397" spans="1:1" x14ac:dyDescent="0.25">
      <c r="A397" s="11" t="s">
        <v>1173</v>
      </c>
    </row>
    <row r="398" spans="1:1" x14ac:dyDescent="0.25">
      <c r="A398" s="11" t="s">
        <v>1442</v>
      </c>
    </row>
    <row r="399" spans="1:1" x14ac:dyDescent="0.25">
      <c r="A399" s="11" t="s">
        <v>1443</v>
      </c>
    </row>
    <row r="400" spans="1:1" x14ac:dyDescent="0.25">
      <c r="A400" s="11" t="s">
        <v>1444</v>
      </c>
    </row>
    <row r="401" spans="1:9" x14ac:dyDescent="0.25">
      <c r="A401" s="11" t="s">
        <v>1445</v>
      </c>
    </row>
    <row r="402" spans="1:9" x14ac:dyDescent="0.25">
      <c r="A402" s="11" t="s">
        <v>1446</v>
      </c>
    </row>
    <row r="403" spans="1:9" x14ac:dyDescent="0.25">
      <c r="A403" s="11" t="s">
        <v>1447</v>
      </c>
    </row>
    <row r="404" spans="1:9" x14ac:dyDescent="0.25">
      <c r="A404" s="11" t="s">
        <v>1448</v>
      </c>
    </row>
    <row r="405" spans="1:9" x14ac:dyDescent="0.25">
      <c r="A405" s="11" t="s">
        <v>1449</v>
      </c>
    </row>
    <row r="406" spans="1:9" x14ac:dyDescent="0.25">
      <c r="A406" s="11" t="s">
        <v>1450</v>
      </c>
    </row>
    <row r="407" spans="1:9" x14ac:dyDescent="0.25">
      <c r="A407" s="11" t="s">
        <v>1451</v>
      </c>
    </row>
    <row r="408" spans="1:9" x14ac:dyDescent="0.25">
      <c r="A408" s="11" t="s">
        <v>1452</v>
      </c>
    </row>
    <row r="409" spans="1:9" x14ac:dyDescent="0.25">
      <c r="A409" s="11" t="s">
        <v>1453</v>
      </c>
    </row>
    <row r="410" spans="1:9" x14ac:dyDescent="0.25">
      <c r="A410" s="11" t="s">
        <v>1454</v>
      </c>
    </row>
    <row r="411" spans="1:9" x14ac:dyDescent="0.25">
      <c r="A411" s="11" t="s">
        <v>1455</v>
      </c>
    </row>
    <row r="412" spans="1:9" x14ac:dyDescent="0.25">
      <c r="A412" s="29" t="s">
        <v>359</v>
      </c>
      <c r="B412" s="29" t="s">
        <v>489</v>
      </c>
      <c r="C412" s="29" t="s">
        <v>489</v>
      </c>
      <c r="D412" s="29" t="s">
        <v>489</v>
      </c>
      <c r="E412" s="29" t="s">
        <v>489</v>
      </c>
      <c r="F412" s="29" t="s">
        <v>489</v>
      </c>
      <c r="G412" s="29" t="s">
        <v>489</v>
      </c>
      <c r="H412" s="29" t="s">
        <v>489</v>
      </c>
    </row>
    <row r="413" spans="1:9" ht="60" x14ac:dyDescent="0.25">
      <c r="A413" s="29" t="s">
        <v>362</v>
      </c>
      <c r="B413" s="29" t="s">
        <v>1456</v>
      </c>
      <c r="C413" s="29" t="s">
        <v>1457</v>
      </c>
      <c r="D413" s="29" t="s">
        <v>1458</v>
      </c>
      <c r="E413" s="29" t="s">
        <v>1459</v>
      </c>
      <c r="F413" s="29" t="s">
        <v>1460</v>
      </c>
      <c r="G413" s="29" t="s">
        <v>1461</v>
      </c>
      <c r="H413" s="29" t="s">
        <v>1462</v>
      </c>
    </row>
    <row r="415" spans="1:9" ht="30" x14ac:dyDescent="0.25">
      <c r="B415" s="12" t="s">
        <v>1463</v>
      </c>
      <c r="C415" s="12" t="s">
        <v>1464</v>
      </c>
      <c r="D415" s="12" t="s">
        <v>1465</v>
      </c>
      <c r="E415" s="12" t="s">
        <v>1466</v>
      </c>
      <c r="F415" s="12" t="s">
        <v>1467</v>
      </c>
      <c r="G415" s="12" t="s">
        <v>1468</v>
      </c>
      <c r="H415" s="12" t="s">
        <v>1469</v>
      </c>
    </row>
    <row r="416" spans="1:9" x14ac:dyDescent="0.25">
      <c r="A416" s="3" t="s">
        <v>171</v>
      </c>
      <c r="B416" s="33">
        <f>IF(Loads!$B46&lt;0,0,IF($B34*$B$381+Aggreg!$B238&gt;0,$B34*$B$381,0-Aggreg!$B238))</f>
        <v>0.88273036155132034</v>
      </c>
      <c r="C416" s="33">
        <f>IF(Loads!$B46&lt;0,0,IF($C34*$B$381+Aggreg!$C238&gt;0,$C34*$B$381,0-Aggreg!$C238))</f>
        <v>0</v>
      </c>
      <c r="D416" s="33">
        <f>IF(Loads!$B46&lt;0,0,IF($D34*$B$381+Aggreg!$D238&gt;0,$D34*$B$381,0-Aggreg!$D238))</f>
        <v>0</v>
      </c>
      <c r="E416" s="33">
        <f>IF(Loads!$B46&lt;0,0,IF($E34*$B$381+Aggreg!$E238&gt;0,$E34*$B$381,0-Aggreg!$E238))</f>
        <v>0</v>
      </c>
      <c r="F416" s="33">
        <f>IF(Loads!$B46&lt;0,0,IF($F34*$B$381+Aggreg!$F238&gt;0,$F34*$B$381,0-Aggreg!$F238))</f>
        <v>0</v>
      </c>
      <c r="G416" s="33">
        <f>IF(Loads!$B46&lt;0,0,IF($G34*$B$381+Aggreg!$G238&gt;0,$G34*$B$381,0-Aggreg!$G238))</f>
        <v>0</v>
      </c>
      <c r="H416" s="17">
        <f>0.01*Input!$F$58*(E416*Loads!$E302+F416*Loads!$F302)+10*(B416*Loads!$B302+C416*Loads!$C302+D416*Loads!$D302+G416*Loads!$G302)</f>
        <v>46074369.392220758</v>
      </c>
      <c r="I416" s="10"/>
    </row>
    <row r="417" spans="1:9" x14ac:dyDescent="0.25">
      <c r="A417" s="3" t="s">
        <v>172</v>
      </c>
      <c r="B417" s="33">
        <f>IF(Loads!$B47&lt;0,0,IF($B35*$B$381+Aggreg!$B239&gt;0,$B35*$B$381,0-Aggreg!$B239))</f>
        <v>1.0688802420313444</v>
      </c>
      <c r="C417" s="33">
        <f>IF(Loads!$B47&lt;0,0,IF($C35*$B$381+Aggreg!$C239&gt;0,$C35*$B$381,0-Aggreg!$C239))</f>
        <v>1.8616942298198037E-2</v>
      </c>
      <c r="D417" s="33">
        <f>IF(Loads!$B47&lt;0,0,IF($D35*$B$381+Aggreg!$D239&gt;0,$D35*$B$381,0-Aggreg!$D239))</f>
        <v>0</v>
      </c>
      <c r="E417" s="33">
        <f>IF(Loads!$B47&lt;0,0,IF($E35*$B$381+Aggreg!$E239&gt;0,$E35*$B$381,0-Aggreg!$E239))</f>
        <v>0</v>
      </c>
      <c r="F417" s="33">
        <f>IF(Loads!$B47&lt;0,0,IF($F35*$B$381+Aggreg!$F239&gt;0,$F35*$B$381,0-Aggreg!$F239))</f>
        <v>0</v>
      </c>
      <c r="G417" s="33">
        <f>IF(Loads!$B47&lt;0,0,IF($G35*$B$381+Aggreg!$G239&gt;0,$G35*$B$381,0-Aggreg!$G239))</f>
        <v>0</v>
      </c>
      <c r="H417" s="17">
        <f>0.01*Input!$F$58*(E417*Loads!$E303+F417*Loads!$F303)+10*(B417*Loads!$B303+C417*Loads!$C303+D417*Loads!$D303+G417*Loads!$G303)</f>
        <v>28882983.172400612</v>
      </c>
      <c r="I417" s="10"/>
    </row>
    <row r="418" spans="1:9" x14ac:dyDescent="0.25">
      <c r="A418" s="3" t="s">
        <v>211</v>
      </c>
      <c r="B418" s="33">
        <f>IF(Loads!$B48&lt;0,0,IF($B36*$B$381+Aggreg!$B240&gt;0,$B36*$B$381,0-Aggreg!$B240))</f>
        <v>0.22639617057577488</v>
      </c>
      <c r="C418" s="33">
        <f>IF(Loads!$B48&lt;0,0,IF($C36*$B$381+Aggreg!$C240&gt;0,$C36*$B$381,0-Aggreg!$C240))</f>
        <v>0</v>
      </c>
      <c r="D418" s="33">
        <f>IF(Loads!$B48&lt;0,0,IF($D36*$B$381+Aggreg!$D240&gt;0,$D36*$B$381,0-Aggreg!$D240))</f>
        <v>0</v>
      </c>
      <c r="E418" s="33">
        <f>IF(Loads!$B48&lt;0,0,IF($E36*$B$381+Aggreg!$E240&gt;0,$E36*$B$381,0-Aggreg!$E240))</f>
        <v>0</v>
      </c>
      <c r="F418" s="33">
        <f>IF(Loads!$B48&lt;0,0,IF($F36*$B$381+Aggreg!$F240&gt;0,$F36*$B$381,0-Aggreg!$F240))</f>
        <v>0</v>
      </c>
      <c r="G418" s="33">
        <f>IF(Loads!$B48&lt;0,0,IF($G36*$B$381+Aggreg!$G240&gt;0,$G36*$B$381,0-Aggreg!$G240))</f>
        <v>0</v>
      </c>
      <c r="H418" s="17">
        <f>0.01*Input!$F$58*(E418*Loads!$E304+F418*Loads!$F304)+10*(B418*Loads!$B304+C418*Loads!$C304+D418*Loads!$D304+G418*Loads!$G304)</f>
        <v>285816.43282470433</v>
      </c>
      <c r="I418" s="10"/>
    </row>
    <row r="419" spans="1:9" x14ac:dyDescent="0.25">
      <c r="A419" s="3" t="s">
        <v>173</v>
      </c>
      <c r="B419" s="33">
        <f>IF(Loads!$B49&lt;0,0,IF($B37*$B$381+Aggreg!$B241&gt;0,$B37*$B$381,0-Aggreg!$B241))</f>
        <v>0.77832665282461011</v>
      </c>
      <c r="C419" s="33">
        <f>IF(Loads!$B49&lt;0,0,IF($C37*$B$381+Aggreg!$C241&gt;0,$C37*$B$381,0-Aggreg!$C241))</f>
        <v>0</v>
      </c>
      <c r="D419" s="33">
        <f>IF(Loads!$B49&lt;0,0,IF($D37*$B$381+Aggreg!$D241&gt;0,$D37*$B$381,0-Aggreg!$D241))</f>
        <v>0</v>
      </c>
      <c r="E419" s="33">
        <f>IF(Loads!$B49&lt;0,0,IF($E37*$B$381+Aggreg!$E241&gt;0,$E37*$B$381,0-Aggreg!$E241))</f>
        <v>0</v>
      </c>
      <c r="F419" s="33">
        <f>IF(Loads!$B49&lt;0,0,IF($F37*$B$381+Aggreg!$F241&gt;0,$F37*$B$381,0-Aggreg!$F241))</f>
        <v>0</v>
      </c>
      <c r="G419" s="33">
        <f>IF(Loads!$B49&lt;0,0,IF($G37*$B$381+Aggreg!$G241&gt;0,$G37*$B$381,0-Aggreg!$G241))</f>
        <v>0</v>
      </c>
      <c r="H419" s="17">
        <f>0.01*Input!$F$58*(E419*Loads!$E305+F419*Loads!$F305)+10*(B419*Loads!$B305+C419*Loads!$C305+D419*Loads!$D305+G419*Loads!$G305)</f>
        <v>8700224.1234484669</v>
      </c>
      <c r="I419" s="10"/>
    </row>
    <row r="420" spans="1:9" x14ac:dyDescent="0.25">
      <c r="A420" s="3" t="s">
        <v>174</v>
      </c>
      <c r="B420" s="33">
        <f>IF(Loads!$B50&lt;0,0,IF($B38*$B$381+Aggreg!$B242&gt;0,$B38*$B$381,0-Aggreg!$B242))</f>
        <v>0.85941913361371147</v>
      </c>
      <c r="C420" s="33">
        <f>IF(Loads!$B50&lt;0,0,IF($C38*$B$381+Aggreg!$C242&gt;0,$C38*$B$381,0-Aggreg!$C242))</f>
        <v>1.7866216953186888E-2</v>
      </c>
      <c r="D420" s="33">
        <f>IF(Loads!$B50&lt;0,0,IF($D38*$B$381+Aggreg!$D242&gt;0,$D38*$B$381,0-Aggreg!$D242))</f>
        <v>0</v>
      </c>
      <c r="E420" s="33">
        <f>IF(Loads!$B50&lt;0,0,IF($E38*$B$381+Aggreg!$E242&gt;0,$E38*$B$381,0-Aggreg!$E242))</f>
        <v>0</v>
      </c>
      <c r="F420" s="33">
        <f>IF(Loads!$B50&lt;0,0,IF($F38*$B$381+Aggreg!$F242&gt;0,$F38*$B$381,0-Aggreg!$F242))</f>
        <v>0</v>
      </c>
      <c r="G420" s="33">
        <f>IF(Loads!$B50&lt;0,0,IF($G38*$B$381+Aggreg!$G242&gt;0,$G38*$B$381,0-Aggreg!$G242))</f>
        <v>0</v>
      </c>
      <c r="H420" s="17">
        <f>0.01*Input!$F$58*(E420*Loads!$E306+F420*Loads!$F306)+10*(B420*Loads!$B306+C420*Loads!$C306+D420*Loads!$D306+G420*Loads!$G306)</f>
        <v>13527469.248369571</v>
      </c>
      <c r="I420" s="10"/>
    </row>
    <row r="421" spans="1:9" x14ac:dyDescent="0.25">
      <c r="A421" s="3" t="s">
        <v>212</v>
      </c>
      <c r="B421" s="33">
        <f>IF(Loads!$B51&lt;0,0,IF($B39*$B$381+Aggreg!$B243&gt;0,$B39*$B$381,0-Aggreg!$B243))</f>
        <v>9.2020542332693606E-2</v>
      </c>
      <c r="C421" s="33">
        <f>IF(Loads!$B51&lt;0,0,IF($C39*$B$381+Aggreg!$C243&gt;0,$C39*$B$381,0-Aggreg!$C243))</f>
        <v>0</v>
      </c>
      <c r="D421" s="33">
        <f>IF(Loads!$B51&lt;0,0,IF($D39*$B$381+Aggreg!$D243&gt;0,$D39*$B$381,0-Aggreg!$D243))</f>
        <v>0</v>
      </c>
      <c r="E421" s="33">
        <f>IF(Loads!$B51&lt;0,0,IF($E39*$B$381+Aggreg!$E243&gt;0,$E39*$B$381,0-Aggreg!$E243))</f>
        <v>0</v>
      </c>
      <c r="F421" s="33">
        <f>IF(Loads!$B51&lt;0,0,IF($F39*$B$381+Aggreg!$F243&gt;0,$F39*$B$381,0-Aggreg!$F243))</f>
        <v>0</v>
      </c>
      <c r="G421" s="33">
        <f>IF(Loads!$B51&lt;0,0,IF($G39*$B$381+Aggreg!$G243&gt;0,$G39*$B$381,0-Aggreg!$G243))</f>
        <v>0</v>
      </c>
      <c r="H421" s="17">
        <f>0.01*Input!$F$58*(E421*Loads!$E307+F421*Loads!$F307)+10*(B421*Loads!$B307+C421*Loads!$C307+D421*Loads!$D307+G421*Loads!$G307)</f>
        <v>3894.6808503173429</v>
      </c>
      <c r="I421" s="10"/>
    </row>
    <row r="422" spans="1:9" x14ac:dyDescent="0.25">
      <c r="A422" s="3" t="s">
        <v>175</v>
      </c>
      <c r="B422" s="33">
        <f>IF(Loads!$B52&lt;0,0,IF($B40*$B$381+Aggreg!$B244&gt;0,$B40*$B$381,0-Aggreg!$B244))</f>
        <v>0.65929607720854622</v>
      </c>
      <c r="C422" s="33">
        <f>IF(Loads!$B52&lt;0,0,IF($C40*$B$381+Aggreg!$C244&gt;0,$C40*$B$381,0-Aggreg!$C244))</f>
        <v>1.274124602037157E-2</v>
      </c>
      <c r="D422" s="33">
        <f>IF(Loads!$B52&lt;0,0,IF($D40*$B$381+Aggreg!$D244&gt;0,$D40*$B$381,0-Aggreg!$D244))</f>
        <v>0</v>
      </c>
      <c r="E422" s="33">
        <f>IF(Loads!$B52&lt;0,0,IF($E40*$B$381+Aggreg!$E244&gt;0,$E40*$B$381,0-Aggreg!$E244))</f>
        <v>0</v>
      </c>
      <c r="F422" s="33">
        <f>IF(Loads!$B52&lt;0,0,IF($F40*$B$381+Aggreg!$F244&gt;0,$F40*$B$381,0-Aggreg!$F244))</f>
        <v>0</v>
      </c>
      <c r="G422" s="33">
        <f>IF(Loads!$B52&lt;0,0,IF($G40*$B$381+Aggreg!$G244&gt;0,$G40*$B$381,0-Aggreg!$G244))</f>
        <v>0</v>
      </c>
      <c r="H422" s="17">
        <f>0.01*Input!$F$58*(E422*Loads!$E308+F422*Loads!$F308)+10*(B422*Loads!$B308+C422*Loads!$C308+D422*Loads!$D308+G422*Loads!$G308)</f>
        <v>0</v>
      </c>
      <c r="I422" s="10"/>
    </row>
    <row r="423" spans="1:9" x14ac:dyDescent="0.25">
      <c r="A423" s="3" t="s">
        <v>176</v>
      </c>
      <c r="B423" s="33">
        <f>IF(Loads!$B53&lt;0,0,IF($B41*$B$381+Aggreg!$B245&gt;0,$B41*$B$381,0-Aggreg!$B245))</f>
        <v>0.62856095179560745</v>
      </c>
      <c r="C423" s="33">
        <f>IF(Loads!$B53&lt;0,0,IF($C41*$B$381+Aggreg!$C245&gt;0,$C41*$B$381,0-Aggreg!$C245))</f>
        <v>1.2274960713130159E-2</v>
      </c>
      <c r="D423" s="33">
        <f>IF(Loads!$B53&lt;0,0,IF($D41*$B$381+Aggreg!$D245&gt;0,$D41*$B$381,0-Aggreg!$D245))</f>
        <v>0</v>
      </c>
      <c r="E423" s="33">
        <f>IF(Loads!$B53&lt;0,0,IF($E41*$B$381+Aggreg!$E245&gt;0,$E41*$B$381,0-Aggreg!$E245))</f>
        <v>0</v>
      </c>
      <c r="F423" s="33">
        <f>IF(Loads!$B53&lt;0,0,IF($F41*$B$381+Aggreg!$F245&gt;0,$F41*$B$381,0-Aggreg!$F245))</f>
        <v>0</v>
      </c>
      <c r="G423" s="33">
        <f>IF(Loads!$B53&lt;0,0,IF($G41*$B$381+Aggreg!$G245&gt;0,$G41*$B$381,0-Aggreg!$G245))</f>
        <v>0</v>
      </c>
      <c r="H423" s="17">
        <f>0.01*Input!$F$58*(E423*Loads!$E309+F423*Loads!$F309)+10*(B423*Loads!$B309+C423*Loads!$C309+D423*Loads!$D309+G423*Loads!$G309)</f>
        <v>0</v>
      </c>
      <c r="I423" s="10"/>
    </row>
    <row r="424" spans="1:9" x14ac:dyDescent="0.25">
      <c r="A424" s="3" t="s">
        <v>192</v>
      </c>
      <c r="B424" s="33">
        <f>IF(Loads!$B54&lt;0,0,IF($B42*$B$381+Aggreg!$B246&gt;0,$B42*$B$381,0-Aggreg!$B246))</f>
        <v>0.61751943289366795</v>
      </c>
      <c r="C424" s="33">
        <f>IF(Loads!$B54&lt;0,0,IF($C42*$B$381+Aggreg!$C246&gt;0,$C42*$B$381,0-Aggreg!$C246))</f>
        <v>1.2053475192190494E-2</v>
      </c>
      <c r="D424" s="33">
        <f>IF(Loads!$B54&lt;0,0,IF($D42*$B$381+Aggreg!$D246&gt;0,$D42*$B$381,0-Aggreg!$D246))</f>
        <v>0</v>
      </c>
      <c r="E424" s="33">
        <f>IF(Loads!$B54&lt;0,0,IF($E42*$B$381+Aggreg!$E246&gt;0,$E42*$B$381,0-Aggreg!$E246))</f>
        <v>0</v>
      </c>
      <c r="F424" s="33">
        <f>IF(Loads!$B54&lt;0,0,IF($F42*$B$381+Aggreg!$F246&gt;0,$F42*$B$381,0-Aggreg!$F246))</f>
        <v>0</v>
      </c>
      <c r="G424" s="33">
        <f>IF(Loads!$B54&lt;0,0,IF($G42*$B$381+Aggreg!$G246&gt;0,$G42*$B$381,0-Aggreg!$G246))</f>
        <v>0</v>
      </c>
      <c r="H424" s="17">
        <f>0.01*Input!$F$58*(E424*Loads!$E310+F424*Loads!$F310)+10*(B424*Loads!$B310+C424*Loads!$C310+D424*Loads!$D310+G424*Loads!$G310)</f>
        <v>0</v>
      </c>
      <c r="I424" s="10"/>
    </row>
    <row r="425" spans="1:9" x14ac:dyDescent="0.25">
      <c r="A425" s="3" t="s">
        <v>177</v>
      </c>
      <c r="B425" s="33">
        <f>IF(Loads!$B55&lt;0,0,IF($B43*$B$381+Aggreg!$B247&gt;0,$B43*$B$381,0-Aggreg!$B247))</f>
        <v>6.2082302314941327</v>
      </c>
      <c r="C425" s="33">
        <f>IF(Loads!$B55&lt;0,0,IF($C43*$B$381+Aggreg!$C247&gt;0,$C43*$B$381,0-Aggreg!$C247))</f>
        <v>0</v>
      </c>
      <c r="D425" s="33">
        <f>IF(Loads!$B55&lt;0,0,IF($D43*$B$381+Aggreg!$D247&gt;0,$D43*$B$381,0-Aggreg!$D247))</f>
        <v>1.6331259951079712E-2</v>
      </c>
      <c r="E425" s="33">
        <f>IF(Loads!$B55&lt;0,0,IF($E43*$B$381+Aggreg!$E247&gt;0,$E43*$B$381,0-Aggreg!$E247))</f>
        <v>0</v>
      </c>
      <c r="F425" s="33">
        <f>IF(Loads!$B55&lt;0,0,IF($F43*$B$381+Aggreg!$F247&gt;0,$F43*$B$381,0-Aggreg!$F247))</f>
        <v>0</v>
      </c>
      <c r="G425" s="33">
        <f>IF(Loads!$B55&lt;0,0,IF($G43*$B$381+Aggreg!$G247&gt;0,$G43*$B$381,0-Aggreg!$G247))</f>
        <v>0</v>
      </c>
      <c r="H425" s="17">
        <f>0.01*Input!$F$58*(E425*Loads!$E311+F425*Loads!$F311)+10*(B425*Loads!$B311+C425*Loads!$C311+D425*Loads!$D311+G425*Loads!$G311)</f>
        <v>0</v>
      </c>
      <c r="I425" s="10"/>
    </row>
    <row r="426" spans="1:9" x14ac:dyDescent="0.25">
      <c r="A426" s="3" t="s">
        <v>178</v>
      </c>
      <c r="B426" s="33">
        <f>IF(Loads!$B56&lt;0,0,IF($B44*$B$381+Aggreg!$B248&gt;0,$B44*$B$381,0-Aggreg!$B248))</f>
        <v>6.3956786152505014</v>
      </c>
      <c r="C426" s="33">
        <f>IF(Loads!$B56&lt;0,0,IF($C44*$B$381+Aggreg!$C248&gt;0,$C44*$B$381,0-Aggreg!$C248))</f>
        <v>0</v>
      </c>
      <c r="D426" s="33">
        <f>IF(Loads!$B56&lt;0,0,IF($D44*$B$381+Aggreg!$D248&gt;0,$D44*$B$381,0-Aggreg!$D248))</f>
        <v>1.6824358333128314E-2</v>
      </c>
      <c r="E426" s="33">
        <f>IF(Loads!$B56&lt;0,0,IF($E44*$B$381+Aggreg!$E248&gt;0,$E44*$B$381,0-Aggreg!$E248))</f>
        <v>0</v>
      </c>
      <c r="F426" s="33">
        <f>IF(Loads!$B56&lt;0,0,IF($F44*$B$381+Aggreg!$F248&gt;0,$F44*$B$381,0-Aggreg!$F248))</f>
        <v>0</v>
      </c>
      <c r="G426" s="33">
        <f>IF(Loads!$B56&lt;0,0,IF($G44*$B$381+Aggreg!$G248&gt;0,$G44*$B$381,0-Aggreg!$G248))</f>
        <v>0</v>
      </c>
      <c r="H426" s="17">
        <f>0.01*Input!$F$58*(E426*Loads!$E312+F426*Loads!$F312)+10*(B426*Loads!$B312+C426*Loads!$C312+D426*Loads!$D312+G426*Loads!$G312)</f>
        <v>1078942.8637834892</v>
      </c>
      <c r="I426" s="10"/>
    </row>
    <row r="427" spans="1:9" x14ac:dyDescent="0.25">
      <c r="A427" s="3" t="s">
        <v>179</v>
      </c>
      <c r="B427" s="33">
        <f>IF(Loads!$B57&lt;0,0,IF($B45*$B$381+Aggreg!$B249&gt;0,$B45*$B$381,0-Aggreg!$B249))</f>
        <v>5.9144979128369588</v>
      </c>
      <c r="C427" s="33">
        <f>IF(Loads!$B57&lt;0,0,IF($C45*$B$381+Aggreg!$C249&gt;0,$C45*$B$381,0-Aggreg!$C249))</f>
        <v>0</v>
      </c>
      <c r="D427" s="33">
        <f>IF(Loads!$B57&lt;0,0,IF($D45*$B$381+Aggreg!$D249&gt;0,$D45*$B$381,0-Aggreg!$D249))</f>
        <v>1.5558572941553453E-2</v>
      </c>
      <c r="E427" s="33">
        <f>IF(Loads!$B57&lt;0,0,IF($E45*$B$381+Aggreg!$E249&gt;0,$E45*$B$381,0-Aggreg!$E249))</f>
        <v>0</v>
      </c>
      <c r="F427" s="33">
        <f>IF(Loads!$B57&lt;0,0,IF($F45*$B$381+Aggreg!$F249&gt;0,$F45*$B$381,0-Aggreg!$F249))</f>
        <v>0</v>
      </c>
      <c r="G427" s="33">
        <f>IF(Loads!$B57&lt;0,0,IF($G45*$B$381+Aggreg!$G249&gt;0,$G45*$B$381,0-Aggreg!$G249))</f>
        <v>0.17899399662694465</v>
      </c>
      <c r="H427" s="17">
        <f>0.01*Input!$F$58*(E427*Loads!$E313+F427*Loads!$F313)+10*(B427*Loads!$B313+C427*Loads!$C313+D427*Loads!$D313+G427*Loads!$G313)</f>
        <v>24161802.16286153</v>
      </c>
      <c r="I427" s="10"/>
    </row>
    <row r="428" spans="1:9" x14ac:dyDescent="0.25">
      <c r="A428" s="3" t="s">
        <v>180</v>
      </c>
      <c r="B428" s="33">
        <f>IF(Loads!$B58&lt;0,0,IF($B46*$B$381+Aggreg!$B250&gt;0,$B46*$B$381,0-Aggreg!$B250))</f>
        <v>5.7371740186141613</v>
      </c>
      <c r="C428" s="33">
        <f>IF(Loads!$B58&lt;0,0,IF($C46*$B$381+Aggreg!$C250&gt;0,$C46*$B$381,0-Aggreg!$C250))</f>
        <v>0</v>
      </c>
      <c r="D428" s="33">
        <f>IF(Loads!$B58&lt;0,0,IF($D46*$B$381+Aggreg!$D250&gt;0,$D46*$B$381,0-Aggreg!$D250))</f>
        <v>1.5092107861473242E-2</v>
      </c>
      <c r="E428" s="33">
        <f>IF(Loads!$B58&lt;0,0,IF($E46*$B$381+Aggreg!$E250&gt;0,$E46*$B$381,0-Aggreg!$E250))</f>
        <v>0</v>
      </c>
      <c r="F428" s="33">
        <f>IF(Loads!$B58&lt;0,0,IF($F46*$B$381+Aggreg!$F250&gt;0,$F46*$B$381,0-Aggreg!$F250))</f>
        <v>0</v>
      </c>
      <c r="G428" s="33">
        <f>IF(Loads!$B58&lt;0,0,IF($G46*$B$381+Aggreg!$G250&gt;0,$G46*$B$381,0-Aggreg!$G250))</f>
        <v>0.16969345311874787</v>
      </c>
      <c r="H428" s="17">
        <f>0.01*Input!$F$58*(E428*Loads!$E314+F428*Loads!$F314)+10*(B428*Loads!$B314+C428*Loads!$C314+D428*Loads!$D314+G428*Loads!$G314)</f>
        <v>647133.39281587675</v>
      </c>
      <c r="I428" s="10"/>
    </row>
    <row r="429" spans="1:9" x14ac:dyDescent="0.25">
      <c r="A429" s="3" t="s">
        <v>193</v>
      </c>
      <c r="B429" s="33">
        <f>IF(Loads!$B59&lt;0,0,IF($B47*$B$381+Aggreg!$B251&gt;0,$B47*$B$381,0-Aggreg!$B251))</f>
        <v>4.9971679181384827</v>
      </c>
      <c r="C429" s="33">
        <f>IF(Loads!$B59&lt;0,0,IF($C47*$B$381+Aggreg!$C251&gt;0,$C47*$B$381,0-Aggreg!$C251))</f>
        <v>0</v>
      </c>
      <c r="D429" s="33">
        <f>IF(Loads!$B59&lt;0,0,IF($D47*$B$381+Aggreg!$D251&gt;0,$D47*$B$381,0-Aggreg!$D251))</f>
        <v>1.3145460984405907E-2</v>
      </c>
      <c r="E429" s="33">
        <f>IF(Loads!$B59&lt;0,0,IF($E47*$B$381+Aggreg!$E251&gt;0,$E47*$B$381,0-Aggreg!$E251))</f>
        <v>0</v>
      </c>
      <c r="F429" s="33">
        <f>IF(Loads!$B59&lt;0,0,IF($F47*$B$381+Aggreg!$F251&gt;0,$F47*$B$381,0-Aggreg!$F251))</f>
        <v>0</v>
      </c>
      <c r="G429" s="33">
        <f>IF(Loads!$B59&lt;0,0,IF($G47*$B$381+Aggreg!$G251&gt;0,$G47*$B$381,0-Aggreg!$G251))</f>
        <v>0.13787108904181897</v>
      </c>
      <c r="H429" s="17">
        <f>0.01*Input!$F$58*(E429*Loads!$E315+F429*Loads!$F315)+10*(B429*Loads!$B315+C429*Loads!$C315+D429*Loads!$D315+G429*Loads!$G315)</f>
        <v>39176259.872918516</v>
      </c>
      <c r="I429" s="10"/>
    </row>
    <row r="430" spans="1:9" x14ac:dyDescent="0.25">
      <c r="A430" s="3" t="s">
        <v>213</v>
      </c>
      <c r="B430" s="33">
        <f>IF(Loads!$B60&lt;0,0,IF($B48*$B$381+Aggreg!$B252&gt;0,$B48*$B$381,0-Aggreg!$B252))</f>
        <v>0.50610584065628739</v>
      </c>
      <c r="C430" s="33">
        <f>IF(Loads!$B60&lt;0,0,IF($C48*$B$381+Aggreg!$C252&gt;0,$C48*$B$381,0-Aggreg!$C252))</f>
        <v>0</v>
      </c>
      <c r="D430" s="33">
        <f>IF(Loads!$B60&lt;0,0,IF($D48*$B$381+Aggreg!$D252&gt;0,$D48*$B$381,0-Aggreg!$D252))</f>
        <v>0</v>
      </c>
      <c r="E430" s="33">
        <f>IF(Loads!$B60&lt;0,0,IF($E48*$B$381+Aggreg!$E252&gt;0,$E48*$B$381,0-Aggreg!$E252))</f>
        <v>0</v>
      </c>
      <c r="F430" s="33">
        <f>IF(Loads!$B60&lt;0,0,IF($F48*$B$381+Aggreg!$F252&gt;0,$F48*$B$381,0-Aggreg!$F252))</f>
        <v>0</v>
      </c>
      <c r="G430" s="33">
        <f>IF(Loads!$B60&lt;0,0,IF($G48*$B$381+Aggreg!$G252&gt;0,$G48*$B$381,0-Aggreg!$G252))</f>
        <v>0</v>
      </c>
      <c r="H430" s="17">
        <f>0.01*Input!$F$58*(E430*Loads!$E316+F430*Loads!$F316)+10*(B430*Loads!$B316+C430*Loads!$C316+D430*Loads!$D316+G430*Loads!$G316)</f>
        <v>256822.89957013685</v>
      </c>
      <c r="I430" s="10"/>
    </row>
    <row r="431" spans="1:9" x14ac:dyDescent="0.25">
      <c r="A431" s="3" t="s">
        <v>214</v>
      </c>
      <c r="B431" s="33">
        <f>IF(Loads!$B61&lt;0,0,IF($B49*$B$381+Aggreg!$B253&gt;0,$B49*$B$381,0-Aggreg!$B253))</f>
        <v>0.85129722644123007</v>
      </c>
      <c r="C431" s="33">
        <f>IF(Loads!$B61&lt;0,0,IF($C49*$B$381+Aggreg!$C253&gt;0,$C49*$B$381,0-Aggreg!$C253))</f>
        <v>0</v>
      </c>
      <c r="D431" s="33">
        <f>IF(Loads!$B61&lt;0,0,IF($D49*$B$381+Aggreg!$D253&gt;0,$D49*$B$381,0-Aggreg!$D253))</f>
        <v>0</v>
      </c>
      <c r="E431" s="33">
        <f>IF(Loads!$B61&lt;0,0,IF($E49*$B$381+Aggreg!$E253&gt;0,$E49*$B$381,0-Aggreg!$E253))</f>
        <v>0</v>
      </c>
      <c r="F431" s="33">
        <f>IF(Loads!$B61&lt;0,0,IF($F49*$B$381+Aggreg!$F253&gt;0,$F49*$B$381,0-Aggreg!$F253))</f>
        <v>0</v>
      </c>
      <c r="G431" s="33">
        <f>IF(Loads!$B61&lt;0,0,IF($G49*$B$381+Aggreg!$G253&gt;0,$G49*$B$381,0-Aggreg!$G253))</f>
        <v>0</v>
      </c>
      <c r="H431" s="17">
        <f>0.01*Input!$F$58*(E431*Loads!$E317+F431*Loads!$F317)+10*(B431*Loads!$B317+C431*Loads!$C317+D431*Loads!$D317+G431*Loads!$G317)</f>
        <v>198594.58660041064</v>
      </c>
      <c r="I431" s="10"/>
    </row>
    <row r="432" spans="1:9" x14ac:dyDescent="0.25">
      <c r="A432" s="3" t="s">
        <v>215</v>
      </c>
      <c r="B432" s="33">
        <f>IF(Loads!$B62&lt;0,0,IF($B50*$B$381+Aggreg!$B254&gt;0,$B50*$B$381,0-Aggreg!$B254))</f>
        <v>1.5364419632649109</v>
      </c>
      <c r="C432" s="33">
        <f>IF(Loads!$B62&lt;0,0,IF($C50*$B$381+Aggreg!$C254&gt;0,$C50*$B$381,0-Aggreg!$C254))</f>
        <v>0</v>
      </c>
      <c r="D432" s="33">
        <f>IF(Loads!$B62&lt;0,0,IF($D50*$B$381+Aggreg!$D254&gt;0,$D50*$B$381,0-Aggreg!$D254))</f>
        <v>0</v>
      </c>
      <c r="E432" s="33">
        <f>IF(Loads!$B62&lt;0,0,IF($E50*$B$381+Aggreg!$E254&gt;0,$E50*$B$381,0-Aggreg!$E254))</f>
        <v>0</v>
      </c>
      <c r="F432" s="33">
        <f>IF(Loads!$B62&lt;0,0,IF($F50*$B$381+Aggreg!$F254&gt;0,$F50*$B$381,0-Aggreg!$F254))</f>
        <v>0</v>
      </c>
      <c r="G432" s="33">
        <f>IF(Loads!$B62&lt;0,0,IF($G50*$B$381+Aggreg!$G254&gt;0,$G50*$B$381,0-Aggreg!$G254))</f>
        <v>0</v>
      </c>
      <c r="H432" s="17">
        <f>0.01*Input!$F$58*(E432*Loads!$E318+F432*Loads!$F318)+10*(B432*Loads!$B318+C432*Loads!$C318+D432*Loads!$D318+G432*Loads!$G318)</f>
        <v>5473.2491833185359</v>
      </c>
      <c r="I432" s="10"/>
    </row>
    <row r="433" spans="1:9" x14ac:dyDescent="0.25">
      <c r="A433" s="3" t="s">
        <v>216</v>
      </c>
      <c r="B433" s="33">
        <f>IF(Loads!$B63&lt;0,0,IF($B51*$B$381+Aggreg!$B255&gt;0,$B51*$B$381,0-Aggreg!$B255))</f>
        <v>0.16787830448109825</v>
      </c>
      <c r="C433" s="33">
        <f>IF(Loads!$B63&lt;0,0,IF($C51*$B$381+Aggreg!$C255&gt;0,$C51*$B$381,0-Aggreg!$C255))</f>
        <v>0</v>
      </c>
      <c r="D433" s="33">
        <f>IF(Loads!$B63&lt;0,0,IF($D51*$B$381+Aggreg!$D255&gt;0,$D51*$B$381,0-Aggreg!$D255))</f>
        <v>0</v>
      </c>
      <c r="E433" s="33">
        <f>IF(Loads!$B63&lt;0,0,IF($E51*$B$381+Aggreg!$E255&gt;0,$E51*$B$381,0-Aggreg!$E255))</f>
        <v>0</v>
      </c>
      <c r="F433" s="33">
        <f>IF(Loads!$B63&lt;0,0,IF($F51*$B$381+Aggreg!$F255&gt;0,$F51*$B$381,0-Aggreg!$F255))</f>
        <v>0</v>
      </c>
      <c r="G433" s="33">
        <f>IF(Loads!$B63&lt;0,0,IF($G51*$B$381+Aggreg!$G255&gt;0,$G51*$B$381,0-Aggreg!$G255))</f>
        <v>0</v>
      </c>
      <c r="H433" s="17">
        <f>0.01*Input!$F$58*(E433*Loads!$E319+F433*Loads!$F319)+10*(B433*Loads!$B319+C433*Loads!$C319+D433*Loads!$D319+G433*Loads!$G319)</f>
        <v>13963.048385741347</v>
      </c>
      <c r="I433" s="10"/>
    </row>
    <row r="434" spans="1:9" x14ac:dyDescent="0.25">
      <c r="A434" s="3" t="s">
        <v>217</v>
      </c>
      <c r="B434" s="33">
        <f>IF(Loads!$B64&lt;0,0,IF($B52*$B$381+Aggreg!$B256&gt;0,$B52*$B$381,0-Aggreg!$B256))</f>
        <v>16.950154777969956</v>
      </c>
      <c r="C434" s="33">
        <f>IF(Loads!$B64&lt;0,0,IF($C52*$B$381+Aggreg!$C256&gt;0,$C52*$B$381,0-Aggreg!$C256))</f>
        <v>0</v>
      </c>
      <c r="D434" s="33">
        <f>IF(Loads!$B64&lt;0,0,IF($D52*$B$381+Aggreg!$D256&gt;0,$D52*$B$381,0-Aggreg!$D256))</f>
        <v>1.4748594964853725E-2</v>
      </c>
      <c r="E434" s="33">
        <f>IF(Loads!$B64&lt;0,0,IF($E52*$B$381+Aggreg!$E256&gt;0,$E52*$B$381,0-Aggreg!$E256))</f>
        <v>0</v>
      </c>
      <c r="F434" s="33">
        <f>IF(Loads!$B64&lt;0,0,IF($F52*$B$381+Aggreg!$F256&gt;0,$F52*$B$381,0-Aggreg!$F256))</f>
        <v>0</v>
      </c>
      <c r="G434" s="33">
        <f>IF(Loads!$B64&lt;0,0,IF($G52*$B$381+Aggreg!$G256&gt;0,$G52*$B$381,0-Aggreg!$G256))</f>
        <v>0</v>
      </c>
      <c r="H434" s="17">
        <f>0.01*Input!$F$58*(E434*Loads!$E320+F434*Loads!$F320)+10*(B434*Loads!$B320+C434*Loads!$C320+D434*Loads!$D320+G434*Loads!$G320)</f>
        <v>2215302.5606094515</v>
      </c>
      <c r="I434" s="10"/>
    </row>
    <row r="435" spans="1:9" x14ac:dyDescent="0.25">
      <c r="A435" s="3" t="s">
        <v>181</v>
      </c>
      <c r="B435" s="33">
        <f>IF(Loads!$B65&lt;0,0,IF($B53*$B$381+Aggreg!$B257&gt;0,$B53*$B$381,0-Aggreg!$B257))</f>
        <v>0</v>
      </c>
      <c r="C435" s="33">
        <f>IF(Loads!$B65&lt;0,0,IF($C53*$B$381+Aggreg!$C257&gt;0,$C53*$B$381,0-Aggreg!$C257))</f>
        <v>0</v>
      </c>
      <c r="D435" s="33">
        <f>IF(Loads!$B65&lt;0,0,IF($D53*$B$381+Aggreg!$D257&gt;0,$D53*$B$381,0-Aggreg!$D257))</f>
        <v>0</v>
      </c>
      <c r="E435" s="33">
        <f>IF(Loads!$B65&lt;0,0,IF($E53*$B$381+Aggreg!$E257&gt;0,$E53*$B$381,0-Aggreg!$E257))</f>
        <v>0</v>
      </c>
      <c r="F435" s="33">
        <f>IF(Loads!$B65&lt;0,0,IF($F53*$B$381+Aggreg!$F257&gt;0,$F53*$B$381,0-Aggreg!$F257))</f>
        <v>0</v>
      </c>
      <c r="G435" s="33">
        <f>IF(Loads!$B65&lt;0,0,IF($G53*$B$381+Aggreg!$G257&gt;0,$G53*$B$381,0-Aggreg!$G257))</f>
        <v>0</v>
      </c>
      <c r="H435" s="17">
        <f>0.01*Input!$F$58*(E435*Loads!$E321+F435*Loads!$F321)+10*(B435*Loads!$B321+C435*Loads!$C321+D435*Loads!$D321+G435*Loads!$G321)</f>
        <v>0</v>
      </c>
      <c r="I435" s="10"/>
    </row>
    <row r="436" spans="1:9" x14ac:dyDescent="0.25">
      <c r="A436" s="3" t="s">
        <v>182</v>
      </c>
      <c r="B436" s="33">
        <f>IF(Loads!$B66&lt;0,0,IF($B54*$B$381+Aggreg!$B258&gt;0,$B54*$B$381,0-Aggreg!$B258))</f>
        <v>0</v>
      </c>
      <c r="C436" s="33">
        <f>IF(Loads!$B66&lt;0,0,IF($C54*$B$381+Aggreg!$C258&gt;0,$C54*$B$381,0-Aggreg!$C258))</f>
        <v>0</v>
      </c>
      <c r="D436" s="33">
        <f>IF(Loads!$B66&lt;0,0,IF($D54*$B$381+Aggreg!$D258&gt;0,$D54*$B$381,0-Aggreg!$D258))</f>
        <v>0</v>
      </c>
      <c r="E436" s="33">
        <f>IF(Loads!$B66&lt;0,0,IF($E54*$B$381+Aggreg!$E258&gt;0,$E54*$B$381,0-Aggreg!$E258))</f>
        <v>0</v>
      </c>
      <c r="F436" s="33">
        <f>IF(Loads!$B66&lt;0,0,IF($F54*$B$381+Aggreg!$F258&gt;0,$F54*$B$381,0-Aggreg!$F258))</f>
        <v>0</v>
      </c>
      <c r="G436" s="33">
        <f>IF(Loads!$B66&lt;0,0,IF($G54*$B$381+Aggreg!$G258&gt;0,$G54*$B$381,0-Aggreg!$G258))</f>
        <v>0</v>
      </c>
      <c r="H436" s="17">
        <f>0.01*Input!$F$58*(E436*Loads!$E322+F436*Loads!$F322)+10*(B436*Loads!$B322+C436*Loads!$C322+D436*Loads!$D322+G436*Loads!$G322)</f>
        <v>0</v>
      </c>
      <c r="I436" s="10"/>
    </row>
    <row r="437" spans="1:9" x14ac:dyDescent="0.25">
      <c r="A437" s="3" t="s">
        <v>183</v>
      </c>
      <c r="B437" s="33">
        <f>IF(Loads!$B67&lt;0,0,IF($B55*$B$381+Aggreg!$B259&gt;0,$B55*$B$381,0-Aggreg!$B259))</f>
        <v>0</v>
      </c>
      <c r="C437" s="33">
        <f>IF(Loads!$B67&lt;0,0,IF($C55*$B$381+Aggreg!$C259&gt;0,$C55*$B$381,0-Aggreg!$C259))</f>
        <v>0</v>
      </c>
      <c r="D437" s="33">
        <f>IF(Loads!$B67&lt;0,0,IF($D55*$B$381+Aggreg!$D259&gt;0,$D55*$B$381,0-Aggreg!$D259))</f>
        <v>0</v>
      </c>
      <c r="E437" s="33">
        <f>IF(Loads!$B67&lt;0,0,IF($E55*$B$381+Aggreg!$E259&gt;0,$E55*$B$381,0-Aggreg!$E259))</f>
        <v>0</v>
      </c>
      <c r="F437" s="33">
        <f>IF(Loads!$B67&lt;0,0,IF($F55*$B$381+Aggreg!$F259&gt;0,$F55*$B$381,0-Aggreg!$F259))</f>
        <v>0</v>
      </c>
      <c r="G437" s="33">
        <f>IF(Loads!$B67&lt;0,0,IF($G55*$B$381+Aggreg!$G259&gt;0,$G55*$B$381,0-Aggreg!$G259))</f>
        <v>0</v>
      </c>
      <c r="H437" s="17">
        <f>0.01*Input!$F$58*(E437*Loads!$E323+F437*Loads!$F323)+10*(B437*Loads!$B323+C437*Loads!$C323+D437*Loads!$D323+G437*Loads!$G323)</f>
        <v>0</v>
      </c>
      <c r="I437" s="10"/>
    </row>
    <row r="438" spans="1:9" x14ac:dyDescent="0.25">
      <c r="A438" s="3" t="s">
        <v>184</v>
      </c>
      <c r="B438" s="33">
        <f>IF(Loads!$B68&lt;0,0,IF($B56*$B$381+Aggreg!$B260&gt;0,$B56*$B$381,0-Aggreg!$B260))</f>
        <v>0</v>
      </c>
      <c r="C438" s="33">
        <f>IF(Loads!$B68&lt;0,0,IF($C56*$B$381+Aggreg!$C260&gt;0,$C56*$B$381,0-Aggreg!$C260))</f>
        <v>0</v>
      </c>
      <c r="D438" s="33">
        <f>IF(Loads!$B68&lt;0,0,IF($D56*$B$381+Aggreg!$D260&gt;0,$D56*$B$381,0-Aggreg!$D260))</f>
        <v>0</v>
      </c>
      <c r="E438" s="33">
        <f>IF(Loads!$B68&lt;0,0,IF($E56*$B$381+Aggreg!$E260&gt;0,$E56*$B$381,0-Aggreg!$E260))</f>
        <v>0</v>
      </c>
      <c r="F438" s="33">
        <f>IF(Loads!$B68&lt;0,0,IF($F56*$B$381+Aggreg!$F260&gt;0,$F56*$B$381,0-Aggreg!$F260))</f>
        <v>0</v>
      </c>
      <c r="G438" s="33">
        <f>IF(Loads!$B68&lt;0,0,IF($G56*$B$381+Aggreg!$G260&gt;0,$G56*$B$381,0-Aggreg!$G260))</f>
        <v>0</v>
      </c>
      <c r="H438" s="17">
        <f>0.01*Input!$F$58*(E438*Loads!$E324+F438*Loads!$F324)+10*(B438*Loads!$B324+C438*Loads!$C324+D438*Loads!$D324+G438*Loads!$G324)</f>
        <v>0</v>
      </c>
      <c r="I438" s="10"/>
    </row>
    <row r="439" spans="1:9" x14ac:dyDescent="0.25">
      <c r="A439" s="3" t="s">
        <v>185</v>
      </c>
      <c r="B439" s="33">
        <f>IF(Loads!$B69&lt;0,0,IF($B57*$B$381+Aggreg!$B261&gt;0,$B57*$B$381,0-Aggreg!$B261))</f>
        <v>0</v>
      </c>
      <c r="C439" s="33">
        <f>IF(Loads!$B69&lt;0,0,IF($C57*$B$381+Aggreg!$C261&gt;0,$C57*$B$381,0-Aggreg!$C261))</f>
        <v>0</v>
      </c>
      <c r="D439" s="33">
        <f>IF(Loads!$B69&lt;0,0,IF($D57*$B$381+Aggreg!$D261&gt;0,$D57*$B$381,0-Aggreg!$D261))</f>
        <v>0</v>
      </c>
      <c r="E439" s="33">
        <f>IF(Loads!$B69&lt;0,0,IF($E57*$B$381+Aggreg!$E261&gt;0,$E57*$B$381,0-Aggreg!$E261))</f>
        <v>0</v>
      </c>
      <c r="F439" s="33">
        <f>IF(Loads!$B69&lt;0,0,IF($F57*$B$381+Aggreg!$F261&gt;0,$F57*$B$381,0-Aggreg!$F261))</f>
        <v>0</v>
      </c>
      <c r="G439" s="33">
        <f>IF(Loads!$B69&lt;0,0,IF($G57*$B$381+Aggreg!$G261&gt;0,$G57*$B$381,0-Aggreg!$G261))</f>
        <v>0</v>
      </c>
      <c r="H439" s="17">
        <f>0.01*Input!$F$58*(E439*Loads!$E325+F439*Loads!$F325)+10*(B439*Loads!$B325+C439*Loads!$C325+D439*Loads!$D325+G439*Loads!$G325)</f>
        <v>0</v>
      </c>
      <c r="I439" s="10"/>
    </row>
    <row r="440" spans="1:9" x14ac:dyDescent="0.25">
      <c r="A440" s="3" t="s">
        <v>186</v>
      </c>
      <c r="B440" s="33">
        <f>IF(Loads!$B70&lt;0,0,IF($B58*$B$381+Aggreg!$B262&gt;0,$B58*$B$381,0-Aggreg!$B262))</f>
        <v>0</v>
      </c>
      <c r="C440" s="33">
        <f>IF(Loads!$B70&lt;0,0,IF($C58*$B$381+Aggreg!$C262&gt;0,$C58*$B$381,0-Aggreg!$C262))</f>
        <v>0</v>
      </c>
      <c r="D440" s="33">
        <f>IF(Loads!$B70&lt;0,0,IF($D58*$B$381+Aggreg!$D262&gt;0,$D58*$B$381,0-Aggreg!$D262))</f>
        <v>0</v>
      </c>
      <c r="E440" s="33">
        <f>IF(Loads!$B70&lt;0,0,IF($E58*$B$381+Aggreg!$E262&gt;0,$E58*$B$381,0-Aggreg!$E262))</f>
        <v>0</v>
      </c>
      <c r="F440" s="33">
        <f>IF(Loads!$B70&lt;0,0,IF($F58*$B$381+Aggreg!$F262&gt;0,$F58*$B$381,0-Aggreg!$F262))</f>
        <v>0</v>
      </c>
      <c r="G440" s="33">
        <f>IF(Loads!$B70&lt;0,0,IF($G58*$B$381+Aggreg!$G262&gt;0,$G58*$B$381,0-Aggreg!$G262))</f>
        <v>0</v>
      </c>
      <c r="H440" s="17">
        <f>0.01*Input!$F$58*(E440*Loads!$E326+F440*Loads!$F326)+10*(B440*Loads!$B326+C440*Loads!$C326+D440*Loads!$D326+G440*Loads!$G326)</f>
        <v>0</v>
      </c>
      <c r="I440" s="10"/>
    </row>
    <row r="441" spans="1:9" x14ac:dyDescent="0.25">
      <c r="A441" s="3" t="s">
        <v>194</v>
      </c>
      <c r="B441" s="33">
        <f>IF(Loads!$B71&lt;0,0,IF($B59*$B$381+Aggreg!$B263&gt;0,$B59*$B$381,0-Aggreg!$B263))</f>
        <v>0</v>
      </c>
      <c r="C441" s="33">
        <f>IF(Loads!$B71&lt;0,0,IF($C59*$B$381+Aggreg!$C263&gt;0,$C59*$B$381,0-Aggreg!$C263))</f>
        <v>0</v>
      </c>
      <c r="D441" s="33">
        <f>IF(Loads!$B71&lt;0,0,IF($D59*$B$381+Aggreg!$D263&gt;0,$D59*$B$381,0-Aggreg!$D263))</f>
        <v>0</v>
      </c>
      <c r="E441" s="33">
        <f>IF(Loads!$B71&lt;0,0,IF($E59*$B$381+Aggreg!$E263&gt;0,$E59*$B$381,0-Aggreg!$E263))</f>
        <v>0</v>
      </c>
      <c r="F441" s="33">
        <f>IF(Loads!$B71&lt;0,0,IF($F59*$B$381+Aggreg!$F263&gt;0,$F59*$B$381,0-Aggreg!$F263))</f>
        <v>0</v>
      </c>
      <c r="G441" s="33">
        <f>IF(Loads!$B71&lt;0,0,IF($G59*$B$381+Aggreg!$G263&gt;0,$G59*$B$381,0-Aggreg!$G263))</f>
        <v>0</v>
      </c>
      <c r="H441" s="17">
        <f>0.01*Input!$F$58*(E441*Loads!$E327+F441*Loads!$F327)+10*(B441*Loads!$B327+C441*Loads!$C327+D441*Loads!$D327+G441*Loads!$G327)</f>
        <v>0</v>
      </c>
      <c r="I441" s="10"/>
    </row>
    <row r="442" spans="1:9" x14ac:dyDescent="0.25">
      <c r="A442" s="3" t="s">
        <v>195</v>
      </c>
      <c r="B442" s="33">
        <f>IF(Loads!$B72&lt;0,0,IF($B60*$B$381+Aggreg!$B264&gt;0,$B60*$B$381,0-Aggreg!$B264))</f>
        <v>0</v>
      </c>
      <c r="C442" s="33">
        <f>IF(Loads!$B72&lt;0,0,IF($C60*$B$381+Aggreg!$C264&gt;0,$C60*$B$381,0-Aggreg!$C264))</f>
        <v>0</v>
      </c>
      <c r="D442" s="33">
        <f>IF(Loads!$B72&lt;0,0,IF($D60*$B$381+Aggreg!$D264&gt;0,$D60*$B$381,0-Aggreg!$D264))</f>
        <v>0</v>
      </c>
      <c r="E442" s="33">
        <f>IF(Loads!$B72&lt;0,0,IF($E60*$B$381+Aggreg!$E264&gt;0,$E60*$B$381,0-Aggreg!$E264))</f>
        <v>0</v>
      </c>
      <c r="F442" s="33">
        <f>IF(Loads!$B72&lt;0,0,IF($F60*$B$381+Aggreg!$F264&gt;0,$F60*$B$381,0-Aggreg!$F264))</f>
        <v>0</v>
      </c>
      <c r="G442" s="33">
        <f>IF(Loads!$B72&lt;0,0,IF($G60*$B$381+Aggreg!$G264&gt;0,$G60*$B$381,0-Aggreg!$G264))</f>
        <v>0</v>
      </c>
      <c r="H442" s="17">
        <f>0.01*Input!$F$58*(E442*Loads!$E328+F442*Loads!$F328)+10*(B442*Loads!$B328+C442*Loads!$C328+D442*Loads!$D328+G442*Loads!$G328)</f>
        <v>0</v>
      </c>
      <c r="I442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Loads'!B45" display="x1 = 2302. Load coefficient"/>
    <hyperlink ref="A65" location="'Scaler'!B33" display="x2 = 3503. Unit rate 1 p/kWh scalable part (in Scalable elements of tariff components)"/>
    <hyperlink ref="A66" location="'Loads'!B301" display="x3 = 2305. Rate 1 units (MWh) (in Equivalent volume for each end user)"/>
    <hyperlink ref="A67" location="'Scaler'!C33" display="x4 = 3503. Unit rate 2 p/kWh scalable part (in Scalable elements of tariff components)"/>
    <hyperlink ref="A68" location="'Loads'!C301" display="x5 = 2305. Rate 2 units (MWh) (in Equivalent volume for each end user)"/>
    <hyperlink ref="A69" location="'Scaler'!D33" display="x6 = 3503. Unit rate 3 p/kWh scalable part (in Scalable elements of tariff components)"/>
    <hyperlink ref="A70" location="'Loads'!D301" display="x7 = 2305. Rate 3 units (MWh) (in Equivalent volume for each end user)"/>
    <hyperlink ref="A71" location="'Scaler'!E33" display="x8 = 3503. Fixed charge p/MPAN/day scalable part (in Scalable elements of tariff components)"/>
    <hyperlink ref="A72" location="'Input'!F57" display="x9 = 1010. Days in the charging year (in Financial and general assumptions)"/>
    <hyperlink ref="A73" location="'Loads'!E301" display="x10 = 2305. MPANs (in Equivalent volume for each end user)"/>
    <hyperlink ref="A74" location="'Scaler'!F33" display="x11 = 3503. Capacity charge p/kVA/day scalable part (in Scalable elements of tariff components)"/>
    <hyperlink ref="A75" location="'Loads'!F301" display="x12 = 2305. Import capacity (kVA) (in Equivalent volume for each end user)"/>
    <hyperlink ref="A76" location="'Scaler'!G33" display="x13 = 3503. Reactive power charge p/kVArh scalable part (in Scalable elements of tariff components)"/>
    <hyperlink ref="A77" location="'Loads'!G301" display="x14 = 2305. Reactive power units (MVArh) (in Equivalent volume for each end user)"/>
    <hyperlink ref="A112" location="'Scaler'!B33" display="x1 = 3503. Unit rate 1 p/kWh scalable part (in Scalable elements of tariff components)"/>
    <hyperlink ref="A113" location="'Aggreg'!B237" display="x2 = 3307. Unit rate 1 p/kWh (total) (in Summary of charges before revenue matching)"/>
    <hyperlink ref="A114" location="'Scaler'!C33" display="x3 = 3503. Unit rate 2 p/kWh scalable part (in Scalable elements of tariff components)"/>
    <hyperlink ref="A115" location="'Aggreg'!C237" display="x4 = 3307. Unit rate 2 p/kWh (total) (in Summary of charges before revenue matching)"/>
    <hyperlink ref="A116" location="'Scaler'!D33" display="x5 = 3503. Unit rate 3 p/kWh scalable part (in Scalable elements of tariff components)"/>
    <hyperlink ref="A117" location="'Aggreg'!D237" display="x6 = 3307. Unit rate 3 p/kWh (total) (in Summary of charges before revenue matching)"/>
    <hyperlink ref="A118" location="'Scaler'!E33" display="x7 = 3503. Fixed charge p/MPAN/day scalable part (in Scalable elements of tariff components)"/>
    <hyperlink ref="A119" location="'Aggreg'!E237" display="x8 = 3307. Fixed charge p/MPAN/day (total) (in Summary of charges before revenue matching)"/>
    <hyperlink ref="A120" location="'Scaler'!F33" display="x9 = 3503. Capacity charge p/kVA/day scalable part (in Scalable elements of tariff components)"/>
    <hyperlink ref="A121" location="'Aggreg'!F237" display="x10 = 3307. Capacity charge p/kVA/day (total) (in Summary of charges before revenue matching)"/>
    <hyperlink ref="A122" location="'Scaler'!G33" display="x11 = 3503. Reactive power charge p/kVArh scalable part (in Scalable elements of tariff components)"/>
    <hyperlink ref="A123" location="'Aggreg'!G237" display="x12 = 3307. Reactive power charge p/kVArh (in Summary of charges before revenue matching)"/>
    <hyperlink ref="A158" location="'Revenue'!C68" display="x1 = 3403. Revenue shortfall (surplus) £ (in Revenue surplus or shortfall)"/>
    <hyperlink ref="A159" location="'Scaler'!B81" display="x2 = 3504. Effect through Unit rate 1 p/kWh (in Marginal revenue effect of scaler)"/>
    <hyperlink ref="A160" location="'Scaler'!C81" display="x3 = 3504. Effect through Unit rate 2 p/kWh (in Marginal revenue effect of scaler)"/>
    <hyperlink ref="A161" location="'Scaler'!D81" display="x4 = 3504. Effect through Unit rate 3 p/kWh (in Marginal revenue effect of scaler)"/>
    <hyperlink ref="A162" location="'Scaler'!E81" display="x5 = 3504. Effect through Fixed charge p/MPAN/day (in Marginal revenue effect of scaler)"/>
    <hyperlink ref="A163" location="'Scaler'!F81" display="x6 = 3504. Effect through Capacity charge p/kVA/day (in Marginal revenue effect of scaler)"/>
    <hyperlink ref="A164" location="'Scaler'!G81" display="x7 = 3504. Effect through Reactive power charge p/kVArh (in Marginal revenue effect of scaler)"/>
    <hyperlink ref="A172" location="'Scaler'!B167" display="x1 = 3506. Constraint-free solution"/>
    <hyperlink ref="A173" location="'Scaler'!B127" display="x2 = 3505. Scaler threshold for Unit rate 1 p/kWh (in Scaler value at which the minimum is breached)"/>
    <hyperlink ref="A174" location="'Scaler'!C127" display="x3 = 3505. Scaler threshold for Unit rate 2 p/kWh (in Scaler value at which the minimum is breached)"/>
    <hyperlink ref="A175" location="'Scaler'!D127" display="x4 = 3505. Scaler threshold for Unit rate 3 p/kWh (in Scaler value at which the minimum is breached)"/>
    <hyperlink ref="A176" location="'Scaler'!E127" display="x5 = 3505. Scaler threshold for Fixed charge p/MPAN/day (in Scaler value at which the minimum is breached)"/>
    <hyperlink ref="A177" location="'Scaler'!F127" display="x6 = 3505. Scaler threshold for Capacity charge p/kVA/day (in Scaler value at which the minimum is breached)"/>
    <hyperlink ref="A178" location="'Scaler'!G127" display="x7 = 3505. Scaler threshold for Reactive power charge p/kVArh (in Scaler value at which the minimum is breached)"/>
    <hyperlink ref="A186" location="'Scaler'!B181" display="x1 = 3507. Starting point"/>
    <hyperlink ref="A187" location="'Scaler'!B81" display="x2 = 3504. Effect through Unit rate 1 p/kWh (in Marginal revenue effect of scaler)"/>
    <hyperlink ref="A188" location="'Scaler'!C81" display="x3 = 3504. Effect through Unit rate 2 p/kWh (in Marginal revenue effect of scaler)"/>
    <hyperlink ref="A189" location="'Scaler'!D81" display="x4 = 3504. Effect through Unit rate 3 p/kWh (in Marginal revenue effect of scaler)"/>
    <hyperlink ref="A190" location="'Scaler'!E81" display="x5 = 3504. Effect through Fixed charge p/MPAN/day (in Marginal revenue effect of scaler)"/>
    <hyperlink ref="A191" location="'Scaler'!F81" display="x6 = 3504. Effect through Capacity charge p/kVA/day (in Marginal revenue effect of scaler)"/>
    <hyperlink ref="A192" location="'Scaler'!G81" display="x7 = 3504. Effect through Reactive power charge p/kVArh (in Marginal revenue effect of scaler)"/>
    <hyperlink ref="A193" location="'Scaler'!B210" display="x8 = Location (in Solve for General scaler rate)"/>
    <hyperlink ref="A194" location="'Scaler'!C210" display="x9 = Kink (in Solve for General scaler rate)"/>
    <hyperlink ref="A195" location="'Scaler'!F210" display="x10 = Ranking before tie break (in Solve for General scaler rate)"/>
    <hyperlink ref="A196" location="'Scaler'!G210" display="x11 = Counter (in Solve for General scaler rate)"/>
    <hyperlink ref="A197" location="'Scaler'!H210" display="x12 = Tie breaker (in Solve for General scaler rate)"/>
    <hyperlink ref="A198" location="'Scaler'!I210" display="x13 = Ranking (in Solve for General scaler rate)"/>
    <hyperlink ref="A199" location="'Scaler'!J210" display="x14 = Kink reordering (in Solve for General scaler rate)"/>
    <hyperlink ref="A200" location="'Scaler'!D210" display="x15 = Starting slope contributions (in Solve for General scaler rate)"/>
    <hyperlink ref="A201" location="'Scaler'!L210" display="x16 = New slope (in Solve for General scaler rate)"/>
    <hyperlink ref="A202" location="'Scaler'!K210" display="x17 = Location (ordered) (in Solve for General scaler rate)"/>
    <hyperlink ref="A203" location="'Scaler'!E210" display="x18 = Starting values (in Solve for General scaler rate)"/>
    <hyperlink ref="A204" location="'Revenue'!C68" display="x19 = 3403. Revenue shortfall (surplus) £ (in Revenue surplus or shortfall)"/>
    <hyperlink ref="A205" location="'Scaler'!B167" display="x20 = 3506. Constraint-free solution"/>
    <hyperlink ref="A206" location="'Scaler'!M210" display="x21 = Value (in Solve for General scaler rate)"/>
    <hyperlink ref="A377" location="'Scaler'!N210" display="x1 = 3508. Root (in Solve for General scaler rate)"/>
    <hyperlink ref="A385" location="'Loads'!B45" display="x1 = 2302. Load coefficient"/>
    <hyperlink ref="A386" location="'Scaler'!B33" display="x2 = 3503. Unit rate 1 p/kWh scalable part (in Scalable elements of tariff components)"/>
    <hyperlink ref="A387" location="'Scaler'!B380" display="x3 = 3509. General scaler rate"/>
    <hyperlink ref="A388" location="'Aggreg'!B237" display="x4 = 3307. Unit rate 1 p/kWh (total) (in Summary of charges before revenue matching)"/>
    <hyperlink ref="A389" location="'Scaler'!C33" display="x5 = 3503. Unit rate 2 p/kWh scalable part (in Scalable elements of tariff components)"/>
    <hyperlink ref="A390" location="'Aggreg'!C237" display="x6 = 3307. Unit rate 2 p/kWh (total) (in Summary of charges before revenue matching)"/>
    <hyperlink ref="A391" location="'Scaler'!D33" display="x7 = 3503. Unit rate 3 p/kWh scalable part (in Scalable elements of tariff components)"/>
    <hyperlink ref="A392" location="'Aggreg'!D237" display="x8 = 3307. Unit rate 3 p/kWh (total) (in Summary of charges before revenue matching)"/>
    <hyperlink ref="A393" location="'Scaler'!E33" display="x9 = 3503. Fixed charge p/MPAN/day scalable part (in Scalable elements of tariff components)"/>
    <hyperlink ref="A394" location="'Aggreg'!E237" display="x10 = 3307. Fixed charge p/MPAN/day (total) (in Summary of charges before revenue matching)"/>
    <hyperlink ref="A395" location="'Scaler'!F33" display="x11 = 3503. Capacity charge p/kVA/day scalable part (in Scalable elements of tariff components)"/>
    <hyperlink ref="A396" location="'Aggreg'!F237" display="x12 = 3307. Capacity charge p/kVA/day (total) (in Summary of charges before revenue matching)"/>
    <hyperlink ref="A397" location="'Scaler'!G33" display="x13 = 3503. Reactive power charge p/kVArh scalable part (in Scalable elements of tariff components)"/>
    <hyperlink ref="A398" location="'Aggreg'!G237" display="x14 = 3307. Reactive power charge p/kVArh (in Summary of charges before revenue matching)"/>
    <hyperlink ref="A399" location="'Input'!F57" display="x15 = 1010. Days in the charging year (in Financial and general assumptions)"/>
    <hyperlink ref="A400" location="'Scaler'!E415" display="x16 = Fixed charge p/MPAN/day scaler (in Scaler)"/>
    <hyperlink ref="A401" location="'Loads'!E301" display="x17 = 2305. MPANs (in Equivalent volume for each end user)"/>
    <hyperlink ref="A402" location="'Scaler'!F415" display="x18 = Capacity charge p/kVA/day scaler (in Scaler)"/>
    <hyperlink ref="A403" location="'Loads'!F301" display="x19 = 2305. Import capacity (kVA) (in Equivalent volume for each end user)"/>
    <hyperlink ref="A404" location="'Scaler'!B415" display="x20 = Unit rate 1 p/kWh scaler (in Scaler)"/>
    <hyperlink ref="A405" location="'Loads'!B301" display="x21 = 2305. Rate 1 units (MWh) (in Equivalent volume for each end user)"/>
    <hyperlink ref="A406" location="'Scaler'!C415" display="x22 = Unit rate 2 p/kWh scaler (in Scaler)"/>
    <hyperlink ref="A407" location="'Loads'!C301" display="x23 = 2305. Rate 2 units (MWh) (in Equivalent volume for each end user)"/>
    <hyperlink ref="A408" location="'Scaler'!D415" display="x24 = Unit rate 3 p/kWh scaler (in Scaler)"/>
    <hyperlink ref="A409" location="'Loads'!D301" display="x25 = 2305. Rate 3 units (MWh) (in Equivalent volume for each end user)"/>
    <hyperlink ref="A410" location="'Scaler'!G415" display="x26 = Reactive power charge p/kVArh scaler (in Scaler)"/>
    <hyperlink ref="A411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 for "&amp;Input!B7&amp;" in "&amp;Input!C7&amp;" ("&amp;Input!D7&amp;")"</f>
        <v>Tariff component adjustment and rounding for WPD East Midlands in April 17 (Final)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1" t="s">
        <v>1471</v>
      </c>
    </row>
    <row r="6" spans="1:1" x14ac:dyDescent="0.25">
      <c r="A6" s="11" t="s">
        <v>1472</v>
      </c>
    </row>
    <row r="7" spans="1:1" x14ac:dyDescent="0.25">
      <c r="A7" s="11" t="s">
        <v>1473</v>
      </c>
    </row>
    <row r="8" spans="1:1" x14ac:dyDescent="0.25">
      <c r="A8" s="11" t="s">
        <v>1474</v>
      </c>
    </row>
    <row r="9" spans="1:1" x14ac:dyDescent="0.25">
      <c r="A9" s="11" t="s">
        <v>1475</v>
      </c>
    </row>
    <row r="10" spans="1:1" x14ac:dyDescent="0.25">
      <c r="A10" s="11" t="s">
        <v>1476</v>
      </c>
    </row>
    <row r="11" spans="1:1" x14ac:dyDescent="0.25">
      <c r="A11" s="11" t="s">
        <v>1477</v>
      </c>
    </row>
    <row r="12" spans="1:1" x14ac:dyDescent="0.25">
      <c r="A12" s="11" t="s">
        <v>1478</v>
      </c>
    </row>
    <row r="13" spans="1:1" x14ac:dyDescent="0.25">
      <c r="A13" s="11" t="s">
        <v>1479</v>
      </c>
    </row>
    <row r="14" spans="1:1" x14ac:dyDescent="0.25">
      <c r="A14" s="11" t="s">
        <v>1480</v>
      </c>
    </row>
    <row r="15" spans="1:1" x14ac:dyDescent="0.25">
      <c r="A15" s="11" t="s">
        <v>1481</v>
      </c>
    </row>
    <row r="16" spans="1:1" x14ac:dyDescent="0.25">
      <c r="A16" s="11" t="s">
        <v>1482</v>
      </c>
    </row>
    <row r="17" spans="1:8" x14ac:dyDescent="0.25">
      <c r="A17" s="29" t="s">
        <v>359</v>
      </c>
      <c r="B17" s="29" t="s">
        <v>489</v>
      </c>
      <c r="C17" s="29" t="s">
        <v>489</v>
      </c>
      <c r="D17" s="29" t="s">
        <v>489</v>
      </c>
      <c r="E17" s="29" t="s">
        <v>489</v>
      </c>
      <c r="F17" s="29" t="s">
        <v>489</v>
      </c>
      <c r="G17" s="29" t="s">
        <v>489</v>
      </c>
    </row>
    <row r="18" spans="1:8" x14ac:dyDescent="0.25">
      <c r="A18" s="29" t="s">
        <v>362</v>
      </c>
      <c r="B18" s="29" t="s">
        <v>1483</v>
      </c>
      <c r="C18" s="29" t="s">
        <v>1484</v>
      </c>
      <c r="D18" s="29" t="s">
        <v>1485</v>
      </c>
      <c r="E18" s="29" t="s">
        <v>1486</v>
      </c>
      <c r="F18" s="29" t="s">
        <v>1487</v>
      </c>
      <c r="G18" s="29" t="s">
        <v>1488</v>
      </c>
    </row>
    <row r="20" spans="1:8" ht="30" x14ac:dyDescent="0.25">
      <c r="B20" s="12" t="s">
        <v>1489</v>
      </c>
      <c r="C20" s="12" t="s">
        <v>1490</v>
      </c>
      <c r="D20" s="12" t="s">
        <v>1491</v>
      </c>
      <c r="E20" s="12" t="s">
        <v>1492</v>
      </c>
      <c r="F20" s="12" t="s">
        <v>1493</v>
      </c>
      <c r="G20" s="12" t="s">
        <v>1104</v>
      </c>
    </row>
    <row r="21" spans="1:8" x14ac:dyDescent="0.25">
      <c r="A21" s="3" t="s">
        <v>171</v>
      </c>
      <c r="B21" s="40">
        <f>Aggreg!$B238+Scaler!$B416</f>
        <v>2.0690000031336169</v>
      </c>
      <c r="C21" s="9"/>
      <c r="D21" s="9"/>
      <c r="E21" s="40">
        <f>Aggreg!$E238+Scaler!$E416</f>
        <v>3.1205883208500191</v>
      </c>
      <c r="F21" s="9"/>
      <c r="G21" s="9"/>
      <c r="H21" s="10"/>
    </row>
    <row r="22" spans="1:8" x14ac:dyDescent="0.25">
      <c r="A22" s="3" t="s">
        <v>172</v>
      </c>
      <c r="B22" s="40">
        <f>Aggreg!$B239+Scaler!$B417</f>
        <v>2.5067429837391231</v>
      </c>
      <c r="C22" s="40">
        <f>Aggreg!$C239+Scaler!$C417</f>
        <v>6.8065712856097069E-2</v>
      </c>
      <c r="D22" s="9"/>
      <c r="E22" s="40">
        <f>Aggreg!$E239+Scaler!$E417</f>
        <v>3.1205883208500191</v>
      </c>
      <c r="F22" s="9"/>
      <c r="G22" s="9"/>
      <c r="H22" s="10"/>
    </row>
    <row r="23" spans="1:8" x14ac:dyDescent="0.25">
      <c r="A23" s="3" t="s">
        <v>211</v>
      </c>
      <c r="B23" s="40">
        <f>Aggreg!$B240+Scaler!$B418</f>
        <v>0.62813971911599698</v>
      </c>
      <c r="C23" s="9"/>
      <c r="D23" s="9"/>
      <c r="E23" s="9"/>
      <c r="F23" s="9"/>
      <c r="G23" s="9"/>
      <c r="H23" s="10"/>
    </row>
    <row r="24" spans="1:8" x14ac:dyDescent="0.25">
      <c r="A24" s="3" t="s">
        <v>173</v>
      </c>
      <c r="B24" s="40">
        <f>Aggreg!$B241+Scaler!$B419</f>
        <v>1.9461597360661522</v>
      </c>
      <c r="C24" s="9"/>
      <c r="D24" s="9"/>
      <c r="E24" s="40">
        <f>Aggreg!$E241+Scaler!$E419</f>
        <v>5.2765608538920103</v>
      </c>
      <c r="F24" s="9"/>
      <c r="G24" s="9"/>
      <c r="H24" s="10"/>
    </row>
    <row r="25" spans="1:8" x14ac:dyDescent="0.25">
      <c r="A25" s="3" t="s">
        <v>174</v>
      </c>
      <c r="B25" s="40">
        <f>Aggreg!$B242+Scaler!$B420</f>
        <v>2.1230802454817059</v>
      </c>
      <c r="C25" s="40">
        <f>Aggreg!$C242+Scaler!$C420</f>
        <v>6.5320976017777505E-2</v>
      </c>
      <c r="D25" s="9"/>
      <c r="E25" s="40">
        <f>Aggreg!$E242+Scaler!$E420</f>
        <v>5.2765608538920103</v>
      </c>
      <c r="F25" s="9"/>
      <c r="G25" s="9"/>
      <c r="H25" s="10"/>
    </row>
    <row r="26" spans="1:8" x14ac:dyDescent="0.25">
      <c r="A26" s="3" t="s">
        <v>212</v>
      </c>
      <c r="B26" s="40">
        <f>Aggreg!$B243+Scaler!$B421</f>
        <v>0.29287017099713974</v>
      </c>
      <c r="C26" s="9"/>
      <c r="D26" s="9"/>
      <c r="E26" s="9"/>
      <c r="F26" s="9"/>
      <c r="G26" s="9"/>
      <c r="H26" s="10"/>
    </row>
    <row r="27" spans="1:8" x14ac:dyDescent="0.25">
      <c r="A27" s="3" t="s">
        <v>175</v>
      </c>
      <c r="B27" s="40">
        <f>Aggreg!$B244+Scaler!$B422</f>
        <v>1.6155328499442732</v>
      </c>
      <c r="C27" s="40">
        <f>Aggreg!$C244+Scaler!$C422</f>
        <v>4.6583481817819378E-2</v>
      </c>
      <c r="D27" s="9"/>
      <c r="E27" s="40">
        <f>Aggreg!$E244+Scaler!$E422</f>
        <v>4.7251221255470179</v>
      </c>
      <c r="F27" s="9"/>
      <c r="G27" s="9"/>
      <c r="H27" s="10"/>
    </row>
    <row r="28" spans="1:8" x14ac:dyDescent="0.25">
      <c r="A28" s="3" t="s">
        <v>176</v>
      </c>
      <c r="B28" s="40">
        <f>Aggreg!$B245+Scaler!$B423</f>
        <v>1.4563916829007248</v>
      </c>
      <c r="C28" s="40">
        <f>Aggreg!$C245+Scaler!$C423</f>
        <v>4.0782069100898037E-2</v>
      </c>
      <c r="D28" s="9"/>
      <c r="E28" s="40">
        <f>Aggreg!$E245+Scaler!$E423</f>
        <v>3.5042449168482803</v>
      </c>
      <c r="F28" s="9"/>
      <c r="G28" s="9"/>
      <c r="H28" s="10"/>
    </row>
    <row r="29" spans="1:8" x14ac:dyDescent="0.25">
      <c r="A29" s="3" t="s">
        <v>192</v>
      </c>
      <c r="B29" s="40">
        <f>Aggreg!$B246+Scaler!$B424</f>
        <v>0.97339699839503036</v>
      </c>
      <c r="C29" s="40">
        <f>Aggreg!$C246+Scaler!$C424</f>
        <v>1.9002598721050656E-2</v>
      </c>
      <c r="D29" s="9"/>
      <c r="E29" s="40">
        <f>Aggreg!$E246+Scaler!$E424</f>
        <v>60.870906704991079</v>
      </c>
      <c r="F29" s="9"/>
      <c r="G29" s="9"/>
      <c r="H29" s="10"/>
    </row>
    <row r="30" spans="1:8" x14ac:dyDescent="0.25">
      <c r="A30" s="3" t="s">
        <v>177</v>
      </c>
      <c r="B30" s="40">
        <f>Aggreg!$B247+Scaler!$B425</f>
        <v>12.865241375352429</v>
      </c>
      <c r="C30" s="40">
        <f>Aggreg!$C247+Scaler!$C425</f>
        <v>0.58937615619538264</v>
      </c>
      <c r="D30" s="40">
        <f>Aggreg!$D247+Scaler!$D425</f>
        <v>5.9717063922685359E-2</v>
      </c>
      <c r="E30" s="40">
        <f>Aggreg!$E247+Scaler!$E425</f>
        <v>3.1205883208500191</v>
      </c>
      <c r="F30" s="9"/>
      <c r="G30" s="9"/>
      <c r="H30" s="10"/>
    </row>
    <row r="31" spans="1:8" x14ac:dyDescent="0.25">
      <c r="A31" s="3" t="s">
        <v>178</v>
      </c>
      <c r="B31" s="40">
        <f>Aggreg!$B248+Scaler!$B426</f>
        <v>13.249627700522245</v>
      </c>
      <c r="C31" s="40">
        <f>Aggreg!$C248+Scaler!$C426</f>
        <v>0.60672380655480207</v>
      </c>
      <c r="D31" s="40">
        <f>Aggreg!$D248+Scaler!$D426</f>
        <v>6.148635718976652E-2</v>
      </c>
      <c r="E31" s="40">
        <f>Aggreg!$E248+Scaler!$E426</f>
        <v>5.2765608538920103</v>
      </c>
      <c r="F31" s="9"/>
      <c r="G31" s="9"/>
      <c r="H31" s="10"/>
    </row>
    <row r="32" spans="1:8" x14ac:dyDescent="0.25">
      <c r="A32" s="3" t="s">
        <v>179</v>
      </c>
      <c r="B32" s="40">
        <f>Aggreg!$B249+Scaler!$B427</f>
        <v>11.373154899187039</v>
      </c>
      <c r="C32" s="40">
        <f>Aggreg!$C249+Scaler!$C427</f>
        <v>0.45353133270080298</v>
      </c>
      <c r="D32" s="40">
        <f>Aggreg!$D249+Scaler!$D427</f>
        <v>4.8490666049696041E-2</v>
      </c>
      <c r="E32" s="40">
        <f>Aggreg!$E249+Scaler!$E427</f>
        <v>7.9659285407285259</v>
      </c>
      <c r="F32" s="40">
        <f>Aggreg!$F249+Scaler!$F427</f>
        <v>2.5511956519664034</v>
      </c>
      <c r="G32" s="40">
        <f>Aggreg!$G249+Scaler!$G427</f>
        <v>0.39511342547938155</v>
      </c>
      <c r="H32" s="10"/>
    </row>
    <row r="33" spans="1:8" x14ac:dyDescent="0.25">
      <c r="A33" s="3" t="s">
        <v>180</v>
      </c>
      <c r="B33" s="40">
        <f>Aggreg!$B250+Scaler!$B428</f>
        <v>9.7254952290194261</v>
      </c>
      <c r="C33" s="40">
        <f>Aggreg!$C250+Scaler!$C428</f>
        <v>0.28031494220445841</v>
      </c>
      <c r="D33" s="40">
        <f>Aggreg!$D250+Scaler!$D428</f>
        <v>3.461748621869646E-2</v>
      </c>
      <c r="E33" s="40">
        <f>Aggreg!$E250+Scaler!$E428</f>
        <v>6.1354624318082642</v>
      </c>
      <c r="F33" s="40">
        <f>Aggreg!$F250+Scaler!$F428</f>
        <v>3.4409678912510389</v>
      </c>
      <c r="G33" s="40">
        <f>Aggreg!$G250+Scaler!$G428</f>
        <v>0.31794077827346467</v>
      </c>
      <c r="H33" s="10"/>
    </row>
    <row r="34" spans="1:8" x14ac:dyDescent="0.25">
      <c r="A34" s="3" t="s">
        <v>193</v>
      </c>
      <c r="B34" s="40">
        <f>Aggreg!$B251+Scaler!$B429</f>
        <v>7.3909726898307957</v>
      </c>
      <c r="C34" s="40">
        <f>Aggreg!$C251+Scaler!$C429</f>
        <v>0.12062045335868299</v>
      </c>
      <c r="D34" s="40">
        <f>Aggreg!$D251+Scaler!$D429</f>
        <v>2.0724141055331352E-2</v>
      </c>
      <c r="E34" s="40">
        <f>Aggreg!$E251+Scaler!$E429</f>
        <v>60.870906704991079</v>
      </c>
      <c r="F34" s="40">
        <f>Aggreg!$F251+Scaler!$F429</f>
        <v>4.0949142058549244</v>
      </c>
      <c r="G34" s="40">
        <f>Aggreg!$G251+Scaler!$G429</f>
        <v>0.21559464725598212</v>
      </c>
      <c r="H34" s="10"/>
    </row>
    <row r="35" spans="1:8" x14ac:dyDescent="0.25">
      <c r="A35" s="3" t="s">
        <v>213</v>
      </c>
      <c r="B35" s="40">
        <f>Aggreg!$B252+Scaler!$B430</f>
        <v>1.8943151266860112</v>
      </c>
      <c r="C35" s="9"/>
      <c r="D35" s="9"/>
      <c r="E35" s="9"/>
      <c r="F35" s="9"/>
      <c r="G35" s="9"/>
      <c r="H35" s="10"/>
    </row>
    <row r="36" spans="1:8" x14ac:dyDescent="0.25">
      <c r="A36" s="3" t="s">
        <v>214</v>
      </c>
      <c r="B36" s="40">
        <f>Aggreg!$B253+Scaler!$B431</f>
        <v>2.5080876759144117</v>
      </c>
      <c r="C36" s="9"/>
      <c r="D36" s="9"/>
      <c r="E36" s="9"/>
      <c r="F36" s="9"/>
      <c r="G36" s="9"/>
      <c r="H36" s="10"/>
    </row>
    <row r="37" spans="1:8" x14ac:dyDescent="0.25">
      <c r="A37" s="3" t="s">
        <v>215</v>
      </c>
      <c r="B37" s="40">
        <f>Aggreg!$B254+Scaler!$B432</f>
        <v>4.0404299848645806</v>
      </c>
      <c r="C37" s="9"/>
      <c r="D37" s="9"/>
      <c r="E37" s="9"/>
      <c r="F37" s="9"/>
      <c r="G37" s="9"/>
      <c r="H37" s="10"/>
    </row>
    <row r="38" spans="1:8" x14ac:dyDescent="0.25">
      <c r="A38" s="3" t="s">
        <v>216</v>
      </c>
      <c r="B38" s="40">
        <f>Aggreg!$B255+Scaler!$B433</f>
        <v>1.2853689110190656</v>
      </c>
      <c r="C38" s="9"/>
      <c r="D38" s="9"/>
      <c r="E38" s="9"/>
      <c r="F38" s="9"/>
      <c r="G38" s="9"/>
      <c r="H38" s="10"/>
    </row>
    <row r="39" spans="1:8" x14ac:dyDescent="0.25">
      <c r="A39" s="3" t="s">
        <v>217</v>
      </c>
      <c r="B39" s="40">
        <f>Aggreg!$B256+Scaler!$B434</f>
        <v>37.704184390073372</v>
      </c>
      <c r="C39" s="40">
        <f>Aggreg!$C256+Scaler!$C434</f>
        <v>1.1008160639871711</v>
      </c>
      <c r="D39" s="40">
        <f>Aggreg!$D256+Scaler!$D434</f>
        <v>0.63220055729716629</v>
      </c>
      <c r="E39" s="9"/>
      <c r="F39" s="9"/>
      <c r="G39" s="9"/>
      <c r="H39" s="10"/>
    </row>
    <row r="40" spans="1:8" x14ac:dyDescent="0.25">
      <c r="A40" s="3" t="s">
        <v>181</v>
      </c>
      <c r="B40" s="40">
        <f>Aggreg!$B257+Scaler!$B435</f>
        <v>-0.62598417912653759</v>
      </c>
      <c r="C40" s="9"/>
      <c r="D40" s="9"/>
      <c r="E40" s="40">
        <f>Aggreg!$E257+Scaler!$E435</f>
        <v>0</v>
      </c>
      <c r="F40" s="9"/>
      <c r="G40" s="9"/>
      <c r="H40" s="10"/>
    </row>
    <row r="41" spans="1:8" x14ac:dyDescent="0.25">
      <c r="A41" s="3" t="s">
        <v>182</v>
      </c>
      <c r="B41" s="40">
        <f>Aggreg!$B258+Scaler!$B436</f>
        <v>-0.54583340187063911</v>
      </c>
      <c r="C41" s="9"/>
      <c r="D41" s="9"/>
      <c r="E41" s="40">
        <f>Aggreg!$E258+Scaler!$E436</f>
        <v>0</v>
      </c>
      <c r="F41" s="9"/>
      <c r="G41" s="9"/>
      <c r="H41" s="10"/>
    </row>
    <row r="42" spans="1:8" x14ac:dyDescent="0.25">
      <c r="A42" s="3" t="s">
        <v>183</v>
      </c>
      <c r="B42" s="40">
        <f>Aggreg!$B259+Scaler!$B437</f>
        <v>-0.62598417912653759</v>
      </c>
      <c r="C42" s="9"/>
      <c r="D42" s="9"/>
      <c r="E42" s="40">
        <f>Aggreg!$E259+Scaler!$E437</f>
        <v>0</v>
      </c>
      <c r="F42" s="9"/>
      <c r="G42" s="40">
        <f>Aggreg!$G259+Scaler!$G437</f>
        <v>0.2316824357200305</v>
      </c>
      <c r="H42" s="10"/>
    </row>
    <row r="43" spans="1:8" x14ac:dyDescent="0.25">
      <c r="A43" s="3" t="s">
        <v>184</v>
      </c>
      <c r="B43" s="40">
        <f>Aggreg!$B260+Scaler!$B438</f>
        <v>-5.1933856077302067</v>
      </c>
      <c r="C43" s="40">
        <f>Aggreg!$C260+Scaler!$C438</f>
        <v>-0.4597468487847276</v>
      </c>
      <c r="D43" s="40">
        <f>Aggreg!$D260+Scaler!$D438</f>
        <v>-3.3842235797447807E-2</v>
      </c>
      <c r="E43" s="40">
        <f>Aggreg!$E260+Scaler!$E438</f>
        <v>0</v>
      </c>
      <c r="F43" s="9"/>
      <c r="G43" s="40">
        <f>Aggreg!$G260+Scaler!$G438</f>
        <v>0.2316824357200305</v>
      </c>
      <c r="H43" s="10"/>
    </row>
    <row r="44" spans="1:8" x14ac:dyDescent="0.25">
      <c r="A44" s="3" t="s">
        <v>185</v>
      </c>
      <c r="B44" s="40">
        <f>Aggreg!$B261+Scaler!$B439</f>
        <v>-0.54583340187063911</v>
      </c>
      <c r="C44" s="9"/>
      <c r="D44" s="9"/>
      <c r="E44" s="40">
        <f>Aggreg!$E261+Scaler!$E439</f>
        <v>0</v>
      </c>
      <c r="F44" s="9"/>
      <c r="G44" s="40">
        <f>Aggreg!$G261+Scaler!$G439</f>
        <v>0.20165103364154285</v>
      </c>
      <c r="H44" s="10"/>
    </row>
    <row r="45" spans="1:8" x14ac:dyDescent="0.25">
      <c r="A45" s="3" t="s">
        <v>186</v>
      </c>
      <c r="B45" s="40">
        <f>Aggreg!$B262+Scaler!$B440</f>
        <v>-4.5723083649828284</v>
      </c>
      <c r="C45" s="40">
        <f>Aggreg!$C262+Scaler!$C440</f>
        <v>-0.39027024053641424</v>
      </c>
      <c r="D45" s="40">
        <f>Aggreg!$D262+Scaler!$D440</f>
        <v>-2.850710838776788E-2</v>
      </c>
      <c r="E45" s="40">
        <f>Aggreg!$E262+Scaler!$E440</f>
        <v>0</v>
      </c>
      <c r="F45" s="9"/>
      <c r="G45" s="40">
        <f>Aggreg!$G262+Scaler!$G440</f>
        <v>0.20165103364154285</v>
      </c>
      <c r="H45" s="10"/>
    </row>
    <row r="46" spans="1:8" x14ac:dyDescent="0.25">
      <c r="A46" s="3" t="s">
        <v>194</v>
      </c>
      <c r="B46" s="40">
        <f>Aggreg!$B263+Scaler!$B441</f>
        <v>-0.33274252818431049</v>
      </c>
      <c r="C46" s="9"/>
      <c r="D46" s="9"/>
      <c r="E46" s="40">
        <f>Aggreg!$E263+Scaler!$E441</f>
        <v>29.347920410185225</v>
      </c>
      <c r="F46" s="9"/>
      <c r="G46" s="40">
        <f>Aggreg!$G263+Scaler!$G441</f>
        <v>0.15862512338247342</v>
      </c>
      <c r="H46" s="10"/>
    </row>
    <row r="47" spans="1:8" x14ac:dyDescent="0.25">
      <c r="A47" s="3" t="s">
        <v>195</v>
      </c>
      <c r="B47" s="40">
        <f>Aggreg!$B264+Scaler!$B442</f>
        <v>-2.9550248464601561</v>
      </c>
      <c r="C47" s="40">
        <f>Aggreg!$C264+Scaler!$C442</f>
        <v>-0.19732591326686502</v>
      </c>
      <c r="D47" s="40">
        <f>Aggreg!$D264+Scaler!$D442</f>
        <v>-1.356293779754233E-2</v>
      </c>
      <c r="E47" s="40">
        <f>Aggreg!$E264+Scaler!$E442</f>
        <v>29.347920410185225</v>
      </c>
      <c r="F47" s="9"/>
      <c r="G47" s="40">
        <f>Aggreg!$G264+Scaler!$G442</f>
        <v>0.15862512338247342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12" t="s">
        <v>1489</v>
      </c>
      <c r="C51" s="12" t="s">
        <v>1490</v>
      </c>
      <c r="D51" s="12" t="s">
        <v>1491</v>
      </c>
      <c r="E51" s="12" t="s">
        <v>1492</v>
      </c>
      <c r="F51" s="12" t="s">
        <v>1493</v>
      </c>
      <c r="G51" s="12" t="s">
        <v>1104</v>
      </c>
    </row>
    <row r="52" spans="1:8" x14ac:dyDescent="0.25">
      <c r="A52" s="3" t="s">
        <v>1495</v>
      </c>
      <c r="B52" s="32">
        <v>3</v>
      </c>
      <c r="C52" s="32">
        <v>3</v>
      </c>
      <c r="D52" s="32">
        <v>3</v>
      </c>
      <c r="E52" s="32">
        <v>2</v>
      </c>
      <c r="F52" s="32">
        <v>2</v>
      </c>
      <c r="G52" s="32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1" t="s">
        <v>1497</v>
      </c>
    </row>
    <row r="57" spans="1:8" x14ac:dyDescent="0.25">
      <c r="A57" s="11" t="s">
        <v>1498</v>
      </c>
    </row>
    <row r="58" spans="1:8" x14ac:dyDescent="0.25">
      <c r="A58" s="11" t="s">
        <v>1499</v>
      </c>
    </row>
    <row r="59" spans="1:8" x14ac:dyDescent="0.25">
      <c r="A59" s="11" t="s">
        <v>1500</v>
      </c>
    </row>
    <row r="60" spans="1:8" x14ac:dyDescent="0.25">
      <c r="A60" s="11" t="s">
        <v>1501</v>
      </c>
    </row>
    <row r="61" spans="1:8" x14ac:dyDescent="0.25">
      <c r="A61" s="11" t="s">
        <v>1502</v>
      </c>
    </row>
    <row r="62" spans="1:8" x14ac:dyDescent="0.25">
      <c r="A62" s="11" t="s">
        <v>1503</v>
      </c>
    </row>
    <row r="63" spans="1:8" x14ac:dyDescent="0.25">
      <c r="A63" s="11" t="s">
        <v>1504</v>
      </c>
    </row>
    <row r="64" spans="1:8" x14ac:dyDescent="0.25">
      <c r="A64" s="11" t="s">
        <v>1505</v>
      </c>
    </row>
    <row r="65" spans="1:8" x14ac:dyDescent="0.25">
      <c r="A65" s="11" t="s">
        <v>1506</v>
      </c>
    </row>
    <row r="66" spans="1:8" x14ac:dyDescent="0.25">
      <c r="A66" s="11" t="s">
        <v>1507</v>
      </c>
    </row>
    <row r="67" spans="1:8" x14ac:dyDescent="0.25">
      <c r="A67" s="11" t="s">
        <v>1508</v>
      </c>
    </row>
    <row r="68" spans="1:8" x14ac:dyDescent="0.25">
      <c r="A68" s="29" t="s">
        <v>359</v>
      </c>
      <c r="B68" s="29" t="s">
        <v>489</v>
      </c>
      <c r="C68" s="29" t="s">
        <v>489</v>
      </c>
      <c r="D68" s="29" t="s">
        <v>489</v>
      </c>
      <c r="E68" s="29" t="s">
        <v>489</v>
      </c>
      <c r="F68" s="29" t="s">
        <v>489</v>
      </c>
      <c r="G68" s="29" t="s">
        <v>489</v>
      </c>
    </row>
    <row r="69" spans="1:8" x14ac:dyDescent="0.25">
      <c r="A69" s="29" t="s">
        <v>362</v>
      </c>
      <c r="B69" s="29" t="s">
        <v>1509</v>
      </c>
      <c r="C69" s="29" t="s">
        <v>1510</v>
      </c>
      <c r="D69" s="29" t="s">
        <v>1511</v>
      </c>
      <c r="E69" s="29" t="s">
        <v>1512</v>
      </c>
      <c r="F69" s="29" t="s">
        <v>1513</v>
      </c>
      <c r="G69" s="29" t="s">
        <v>1514</v>
      </c>
    </row>
    <row r="71" spans="1:8" ht="30" x14ac:dyDescent="0.25">
      <c r="B71" s="12" t="s">
        <v>1489</v>
      </c>
      <c r="C71" s="12" t="s">
        <v>1490</v>
      </c>
      <c r="D71" s="12" t="s">
        <v>1491</v>
      </c>
      <c r="E71" s="12" t="s">
        <v>1492</v>
      </c>
      <c r="F71" s="12" t="s">
        <v>1493</v>
      </c>
      <c r="G71" s="12" t="s">
        <v>1104</v>
      </c>
    </row>
    <row r="72" spans="1:8" x14ac:dyDescent="0.25">
      <c r="A72" s="3" t="s">
        <v>171</v>
      </c>
      <c r="B72" s="40">
        <f t="shared" ref="B72:B98" si="0">ROUND(B21,B$52)-B21</f>
        <v>-3.1336169215023801E-9</v>
      </c>
      <c r="C72" s="9"/>
      <c r="D72" s="9"/>
      <c r="E72" s="40">
        <f>ROUND(E21,E$52)-E21</f>
        <v>-5.8832085001903067E-4</v>
      </c>
      <c r="F72" s="9"/>
      <c r="G72" s="9"/>
      <c r="H72" s="10"/>
    </row>
    <row r="73" spans="1:8" x14ac:dyDescent="0.25">
      <c r="A73" s="3" t="s">
        <v>172</v>
      </c>
      <c r="B73" s="40">
        <f t="shared" si="0"/>
        <v>2.5701626087704099E-4</v>
      </c>
      <c r="C73" s="40">
        <f>ROUND(C22,C$52)-C22</f>
        <v>-6.5712856097063788E-5</v>
      </c>
      <c r="D73" s="9"/>
      <c r="E73" s="40">
        <f>ROUND(E22,E$52)-E22</f>
        <v>-5.8832085001903067E-4</v>
      </c>
      <c r="F73" s="9"/>
      <c r="G73" s="9"/>
      <c r="H73" s="10"/>
    </row>
    <row r="74" spans="1:8" x14ac:dyDescent="0.25">
      <c r="A74" s="3" t="s">
        <v>211</v>
      </c>
      <c r="B74" s="40">
        <f t="shared" si="0"/>
        <v>-1.397191159969724E-4</v>
      </c>
      <c r="C74" s="9"/>
      <c r="D74" s="9"/>
      <c r="E74" s="9"/>
      <c r="F74" s="9"/>
      <c r="G74" s="9"/>
      <c r="H74" s="10"/>
    </row>
    <row r="75" spans="1:8" x14ac:dyDescent="0.25">
      <c r="A75" s="3" t="s">
        <v>173</v>
      </c>
      <c r="B75" s="40">
        <f t="shared" si="0"/>
        <v>-1.5973606615227176E-4</v>
      </c>
      <c r="C75" s="9"/>
      <c r="D75" s="9"/>
      <c r="E75" s="40">
        <f>ROUND(E24,E$52)-E24</f>
        <v>3.4391461079898988E-3</v>
      </c>
      <c r="F75" s="9"/>
      <c r="G75" s="9"/>
      <c r="H75" s="10"/>
    </row>
    <row r="76" spans="1:8" x14ac:dyDescent="0.25">
      <c r="A76" s="3" t="s">
        <v>174</v>
      </c>
      <c r="B76" s="40">
        <f t="shared" si="0"/>
        <v>-8.0245481705709665E-5</v>
      </c>
      <c r="C76" s="40">
        <f>ROUND(C25,C$52)-C25</f>
        <v>-3.2097601777750229E-4</v>
      </c>
      <c r="D76" s="9"/>
      <c r="E76" s="40">
        <f>ROUND(E25,E$52)-E25</f>
        <v>3.4391461079898988E-3</v>
      </c>
      <c r="F76" s="9"/>
      <c r="G76" s="9"/>
      <c r="H76" s="10"/>
    </row>
    <row r="77" spans="1:8" x14ac:dyDescent="0.25">
      <c r="A77" s="3" t="s">
        <v>212</v>
      </c>
      <c r="B77" s="40">
        <f t="shared" si="0"/>
        <v>1.298290028602378E-4</v>
      </c>
      <c r="C77" s="9"/>
      <c r="D77" s="9"/>
      <c r="E77" s="9"/>
      <c r="F77" s="9"/>
      <c r="G77" s="9"/>
      <c r="H77" s="10"/>
    </row>
    <row r="78" spans="1:8" x14ac:dyDescent="0.25">
      <c r="A78" s="3" t="s">
        <v>175</v>
      </c>
      <c r="B78" s="40">
        <f t="shared" si="0"/>
        <v>4.6715005572695034E-4</v>
      </c>
      <c r="C78" s="40">
        <f t="shared" ref="C78:C85" si="1">ROUND(C27,C$52)-C27</f>
        <v>4.1651818218062242E-4</v>
      </c>
      <c r="D78" s="9"/>
      <c r="E78" s="40">
        <f t="shared" ref="E78:E85" si="2">ROUND(E27,E$52)-E27</f>
        <v>4.8778744529824891E-3</v>
      </c>
      <c r="F78" s="9"/>
      <c r="G78" s="9"/>
      <c r="H78" s="10"/>
    </row>
    <row r="79" spans="1:8" x14ac:dyDescent="0.25">
      <c r="A79" s="3" t="s">
        <v>176</v>
      </c>
      <c r="B79" s="40">
        <f t="shared" si="0"/>
        <v>-3.9168290072488787E-4</v>
      </c>
      <c r="C79" s="40">
        <f t="shared" si="1"/>
        <v>2.1793089910196461E-4</v>
      </c>
      <c r="D79" s="9"/>
      <c r="E79" s="40">
        <f t="shared" si="2"/>
        <v>-4.2449168482803223E-3</v>
      </c>
      <c r="F79" s="9"/>
      <c r="G79" s="9"/>
      <c r="H79" s="10"/>
    </row>
    <row r="80" spans="1:8" x14ac:dyDescent="0.25">
      <c r="A80" s="3" t="s">
        <v>192</v>
      </c>
      <c r="B80" s="40">
        <f t="shared" si="0"/>
        <v>-3.9699839503037904E-4</v>
      </c>
      <c r="C80" s="40">
        <f t="shared" si="1"/>
        <v>-2.598721050656172E-6</v>
      </c>
      <c r="D80" s="9"/>
      <c r="E80" s="40">
        <f t="shared" si="2"/>
        <v>-9.06704991081142E-4</v>
      </c>
      <c r="F80" s="9"/>
      <c r="G80" s="9"/>
      <c r="H80" s="10"/>
    </row>
    <row r="81" spans="1:8" x14ac:dyDescent="0.25">
      <c r="A81" s="3" t="s">
        <v>177</v>
      </c>
      <c r="B81" s="40">
        <f t="shared" si="0"/>
        <v>-2.4137535242907404E-4</v>
      </c>
      <c r="C81" s="40">
        <f t="shared" si="1"/>
        <v>-3.7615619538267087E-4</v>
      </c>
      <c r="D81" s="40">
        <f>ROUND(D30,D$52)-D30</f>
        <v>2.8293607731463832E-4</v>
      </c>
      <c r="E81" s="40">
        <f t="shared" si="2"/>
        <v>-5.8832085001903067E-4</v>
      </c>
      <c r="F81" s="9"/>
      <c r="G81" s="9"/>
      <c r="H81" s="10"/>
    </row>
    <row r="82" spans="1:8" x14ac:dyDescent="0.25">
      <c r="A82" s="3" t="s">
        <v>178</v>
      </c>
      <c r="B82" s="40">
        <f t="shared" si="0"/>
        <v>3.722994777550781E-4</v>
      </c>
      <c r="C82" s="40">
        <f t="shared" si="1"/>
        <v>2.7619344519791422E-4</v>
      </c>
      <c r="D82" s="40">
        <f>ROUND(D31,D$52)-D31</f>
        <v>-4.863571897665217E-4</v>
      </c>
      <c r="E82" s="40">
        <f t="shared" si="2"/>
        <v>3.4391461079898988E-3</v>
      </c>
      <c r="F82" s="9"/>
      <c r="G82" s="9"/>
      <c r="H82" s="10"/>
    </row>
    <row r="83" spans="1:8" x14ac:dyDescent="0.25">
      <c r="A83" s="3" t="s">
        <v>179</v>
      </c>
      <c r="B83" s="40">
        <f t="shared" si="0"/>
        <v>-1.5489918703970318E-4</v>
      </c>
      <c r="C83" s="40">
        <f t="shared" si="1"/>
        <v>4.686672991970342E-4</v>
      </c>
      <c r="D83" s="40">
        <f>ROUND(D32,D$52)-D32</f>
        <v>-4.9066604969603966E-4</v>
      </c>
      <c r="E83" s="40">
        <f t="shared" si="2"/>
        <v>4.0714592714738984E-3</v>
      </c>
      <c r="F83" s="40">
        <f t="shared" ref="F83:G85" si="3">ROUND(F32,F$52)-F32</f>
        <v>-1.1956519664035881E-3</v>
      </c>
      <c r="G83" s="40">
        <f t="shared" si="3"/>
        <v>-1.134254793815348E-4</v>
      </c>
      <c r="H83" s="10"/>
    </row>
    <row r="84" spans="1:8" x14ac:dyDescent="0.25">
      <c r="A84" s="3" t="s">
        <v>180</v>
      </c>
      <c r="B84" s="40">
        <f t="shared" si="0"/>
        <v>-4.9522901942644637E-4</v>
      </c>
      <c r="C84" s="40">
        <f t="shared" si="1"/>
        <v>-3.1494220445837939E-4</v>
      </c>
      <c r="D84" s="40">
        <f>ROUND(D33,D$52)-D33</f>
        <v>3.8251378130354369E-4</v>
      </c>
      <c r="E84" s="40">
        <f t="shared" si="2"/>
        <v>4.5375681917354527E-3</v>
      </c>
      <c r="F84" s="40">
        <f t="shared" si="3"/>
        <v>-9.6789125103891038E-4</v>
      </c>
      <c r="G84" s="40">
        <f t="shared" si="3"/>
        <v>5.9221726535330088E-5</v>
      </c>
      <c r="H84" s="10"/>
    </row>
    <row r="85" spans="1:8" x14ac:dyDescent="0.25">
      <c r="A85" s="3" t="s">
        <v>193</v>
      </c>
      <c r="B85" s="40">
        <f t="shared" si="0"/>
        <v>2.7310169204319834E-5</v>
      </c>
      <c r="C85" s="40">
        <f t="shared" si="1"/>
        <v>3.7954664131700788E-4</v>
      </c>
      <c r="D85" s="40">
        <f>ROUND(D34,D$52)-D34</f>
        <v>2.7585894466864921E-4</v>
      </c>
      <c r="E85" s="40">
        <f t="shared" si="2"/>
        <v>-9.06704991081142E-4</v>
      </c>
      <c r="F85" s="40">
        <f t="shared" si="3"/>
        <v>-4.9142058549245249E-3</v>
      </c>
      <c r="G85" s="40">
        <f t="shared" si="3"/>
        <v>4.053527440178728E-4</v>
      </c>
      <c r="H85" s="10"/>
    </row>
    <row r="86" spans="1:8" x14ac:dyDescent="0.25">
      <c r="A86" s="3" t="s">
        <v>213</v>
      </c>
      <c r="B86" s="40">
        <f t="shared" si="0"/>
        <v>-3.1512668601130223E-4</v>
      </c>
      <c r="C86" s="9"/>
      <c r="D86" s="9"/>
      <c r="E86" s="9"/>
      <c r="F86" s="9"/>
      <c r="G86" s="9"/>
      <c r="H86" s="10"/>
    </row>
    <row r="87" spans="1:8" x14ac:dyDescent="0.25">
      <c r="A87" s="3" t="s">
        <v>214</v>
      </c>
      <c r="B87" s="40">
        <f t="shared" si="0"/>
        <v>-8.7675914411722289E-5</v>
      </c>
      <c r="C87" s="9"/>
      <c r="D87" s="9"/>
      <c r="E87" s="9"/>
      <c r="F87" s="9"/>
      <c r="G87" s="9"/>
      <c r="H87" s="10"/>
    </row>
    <row r="88" spans="1:8" x14ac:dyDescent="0.25">
      <c r="A88" s="3" t="s">
        <v>215</v>
      </c>
      <c r="B88" s="40">
        <f t="shared" si="0"/>
        <v>-4.2998486458056817E-4</v>
      </c>
      <c r="C88" s="9"/>
      <c r="D88" s="9"/>
      <c r="E88" s="9"/>
      <c r="F88" s="9"/>
      <c r="G88" s="9"/>
      <c r="H88" s="10"/>
    </row>
    <row r="89" spans="1:8" x14ac:dyDescent="0.25">
      <c r="A89" s="3" t="s">
        <v>216</v>
      </c>
      <c r="B89" s="40">
        <f t="shared" si="0"/>
        <v>-3.6891101906566526E-4</v>
      </c>
      <c r="C89" s="9"/>
      <c r="D89" s="9"/>
      <c r="E89" s="9"/>
      <c r="F89" s="9"/>
      <c r="G89" s="9"/>
      <c r="H89" s="10"/>
    </row>
    <row r="90" spans="1:8" x14ac:dyDescent="0.25">
      <c r="A90" s="3" t="s">
        <v>217</v>
      </c>
      <c r="B90" s="40">
        <f t="shared" si="0"/>
        <v>-1.8439007337178737E-4</v>
      </c>
      <c r="C90" s="40">
        <f>ROUND(C39,C$52)-C39</f>
        <v>1.8393601282884475E-4</v>
      </c>
      <c r="D90" s="40">
        <f>ROUND(D39,D$52)-D39</f>
        <v>-2.0055729716628168E-4</v>
      </c>
      <c r="E90" s="9"/>
      <c r="F90" s="9"/>
      <c r="G90" s="9"/>
      <c r="H90" s="10"/>
    </row>
    <row r="91" spans="1:8" x14ac:dyDescent="0.25">
      <c r="A91" s="3" t="s">
        <v>181</v>
      </c>
      <c r="B91" s="40">
        <f t="shared" si="0"/>
        <v>-1.5820873462413232E-5</v>
      </c>
      <c r="C91" s="9"/>
      <c r="D91" s="9"/>
      <c r="E91" s="40">
        <f t="shared" ref="E91:E98" si="4">ROUND(E40,E$52)-E40</f>
        <v>0</v>
      </c>
      <c r="F91" s="9"/>
      <c r="G91" s="9"/>
      <c r="H91" s="10"/>
    </row>
    <row r="92" spans="1:8" x14ac:dyDescent="0.25">
      <c r="A92" s="3" t="s">
        <v>182</v>
      </c>
      <c r="B92" s="40">
        <f t="shared" si="0"/>
        <v>-1.6659812936092866E-4</v>
      </c>
      <c r="C92" s="9"/>
      <c r="D92" s="9"/>
      <c r="E92" s="40">
        <f t="shared" si="4"/>
        <v>0</v>
      </c>
      <c r="F92" s="9"/>
      <c r="G92" s="9"/>
      <c r="H92" s="10"/>
    </row>
    <row r="93" spans="1:8" x14ac:dyDescent="0.25">
      <c r="A93" s="3" t="s">
        <v>183</v>
      </c>
      <c r="B93" s="40">
        <f t="shared" si="0"/>
        <v>-1.5820873462413232E-5</v>
      </c>
      <c r="C93" s="9"/>
      <c r="D93" s="9"/>
      <c r="E93" s="40">
        <f t="shared" si="4"/>
        <v>0</v>
      </c>
      <c r="F93" s="9"/>
      <c r="G93" s="40">
        <f t="shared" ref="G93:G98" si="5">ROUND(G42,G$52)-G42</f>
        <v>3.175642799695122E-4</v>
      </c>
      <c r="H93" s="10"/>
    </row>
    <row r="94" spans="1:8" x14ac:dyDescent="0.25">
      <c r="A94" s="3" t="s">
        <v>184</v>
      </c>
      <c r="B94" s="40">
        <f t="shared" si="0"/>
        <v>3.8560773020712702E-4</v>
      </c>
      <c r="C94" s="40">
        <f>ROUND(C43,C$52)-C43</f>
        <v>-2.5315121527241802E-4</v>
      </c>
      <c r="D94" s="40">
        <f>ROUND(D43,D$52)-D43</f>
        <v>-1.5776420255219498E-4</v>
      </c>
      <c r="E94" s="40">
        <f t="shared" si="4"/>
        <v>0</v>
      </c>
      <c r="F94" s="9"/>
      <c r="G94" s="40">
        <f t="shared" si="5"/>
        <v>3.175642799695122E-4</v>
      </c>
      <c r="H94" s="10"/>
    </row>
    <row r="95" spans="1:8" x14ac:dyDescent="0.25">
      <c r="A95" s="3" t="s">
        <v>185</v>
      </c>
      <c r="B95" s="40">
        <f t="shared" si="0"/>
        <v>-1.6659812936092866E-4</v>
      </c>
      <c r="C95" s="9"/>
      <c r="D95" s="9"/>
      <c r="E95" s="40">
        <f t="shared" si="4"/>
        <v>0</v>
      </c>
      <c r="F95" s="9"/>
      <c r="G95" s="40">
        <f t="shared" si="5"/>
        <v>3.4896635845715895E-4</v>
      </c>
      <c r="H95" s="10"/>
    </row>
    <row r="96" spans="1:8" x14ac:dyDescent="0.25">
      <c r="A96" s="3" t="s">
        <v>186</v>
      </c>
      <c r="B96" s="40">
        <f t="shared" si="0"/>
        <v>3.0836498282837965E-4</v>
      </c>
      <c r="C96" s="40">
        <f>ROUND(C45,C$52)-C45</f>
        <v>2.7024053641422352E-4</v>
      </c>
      <c r="D96" s="40">
        <f>ROUND(D45,D$52)-D45</f>
        <v>-4.9289161223212141E-4</v>
      </c>
      <c r="E96" s="40">
        <f t="shared" si="4"/>
        <v>0</v>
      </c>
      <c r="F96" s="9"/>
      <c r="G96" s="40">
        <f t="shared" si="5"/>
        <v>3.4896635845715895E-4</v>
      </c>
      <c r="H96" s="10"/>
    </row>
    <row r="97" spans="1:8" x14ac:dyDescent="0.25">
      <c r="A97" s="3" t="s">
        <v>194</v>
      </c>
      <c r="B97" s="40">
        <f t="shared" si="0"/>
        <v>-2.5747181568952504E-4</v>
      </c>
      <c r="C97" s="9"/>
      <c r="D97" s="9"/>
      <c r="E97" s="40">
        <f t="shared" si="4"/>
        <v>2.0795898147767389E-3</v>
      </c>
      <c r="F97" s="9"/>
      <c r="G97" s="40">
        <f t="shared" si="5"/>
        <v>3.7487661752658163E-4</v>
      </c>
      <c r="H97" s="10"/>
    </row>
    <row r="98" spans="1:8" x14ac:dyDescent="0.25">
      <c r="A98" s="3" t="s">
        <v>195</v>
      </c>
      <c r="B98" s="40">
        <f t="shared" si="0"/>
        <v>2.4846460155991679E-5</v>
      </c>
      <c r="C98" s="40">
        <f>ROUND(C47,C$52)-C47</f>
        <v>3.2591326686501332E-4</v>
      </c>
      <c r="D98" s="40">
        <f>ROUND(D47,D$52)-D47</f>
        <v>-4.3706220245767063E-4</v>
      </c>
      <c r="E98" s="40">
        <f t="shared" si="4"/>
        <v>2.0795898147767389E-3</v>
      </c>
      <c r="F98" s="9"/>
      <c r="G98" s="40">
        <f t="shared" si="5"/>
        <v>3.7487661752658163E-4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1" t="s">
        <v>1497</v>
      </c>
    </row>
    <row r="103" spans="1:8" x14ac:dyDescent="0.25">
      <c r="A103" s="11" t="s">
        <v>1516</v>
      </c>
    </row>
    <row r="104" spans="1:8" x14ac:dyDescent="0.25">
      <c r="A104" s="11" t="s">
        <v>1499</v>
      </c>
    </row>
    <row r="105" spans="1:8" x14ac:dyDescent="0.25">
      <c r="A105" s="11" t="s">
        <v>1517</v>
      </c>
    </row>
    <row r="106" spans="1:8" x14ac:dyDescent="0.25">
      <c r="A106" s="11" t="s">
        <v>1501</v>
      </c>
    </row>
    <row r="107" spans="1:8" x14ac:dyDescent="0.25">
      <c r="A107" s="11" t="s">
        <v>1518</v>
      </c>
    </row>
    <row r="108" spans="1:8" x14ac:dyDescent="0.25">
      <c r="A108" s="11" t="s">
        <v>1503</v>
      </c>
    </row>
    <row r="109" spans="1:8" x14ac:dyDescent="0.25">
      <c r="A109" s="11" t="s">
        <v>1519</v>
      </c>
    </row>
    <row r="110" spans="1:8" x14ac:dyDescent="0.25">
      <c r="A110" s="11" t="s">
        <v>1505</v>
      </c>
    </row>
    <row r="111" spans="1:8" x14ac:dyDescent="0.25">
      <c r="A111" s="11" t="s">
        <v>1520</v>
      </c>
    </row>
    <row r="112" spans="1:8" x14ac:dyDescent="0.25">
      <c r="A112" s="11" t="s">
        <v>1507</v>
      </c>
    </row>
    <row r="113" spans="1:8" x14ac:dyDescent="0.25">
      <c r="A113" s="11" t="s">
        <v>1521</v>
      </c>
    </row>
    <row r="114" spans="1:8" x14ac:dyDescent="0.25">
      <c r="A114" s="29" t="s">
        <v>359</v>
      </c>
      <c r="B114" s="29" t="s">
        <v>489</v>
      </c>
      <c r="C114" s="29" t="s">
        <v>489</v>
      </c>
      <c r="D114" s="29" t="s">
        <v>489</v>
      </c>
      <c r="E114" s="29" t="s">
        <v>489</v>
      </c>
      <c r="F114" s="29" t="s">
        <v>489</v>
      </c>
      <c r="G114" s="29" t="s">
        <v>489</v>
      </c>
    </row>
    <row r="115" spans="1:8" x14ac:dyDescent="0.25">
      <c r="A115" s="29" t="s">
        <v>362</v>
      </c>
      <c r="B115" s="29" t="s">
        <v>1483</v>
      </c>
      <c r="C115" s="29" t="s">
        <v>1484</v>
      </c>
      <c r="D115" s="29" t="s">
        <v>1485</v>
      </c>
      <c r="E115" s="29" t="s">
        <v>1486</v>
      </c>
      <c r="F115" s="29" t="s">
        <v>1487</v>
      </c>
      <c r="G115" s="29" t="s">
        <v>1488</v>
      </c>
    </row>
    <row r="117" spans="1:8" ht="30" x14ac:dyDescent="0.25">
      <c r="B117" s="12" t="s">
        <v>1489</v>
      </c>
      <c r="C117" s="12" t="s">
        <v>1490</v>
      </c>
      <c r="D117" s="12" t="s">
        <v>1491</v>
      </c>
      <c r="E117" s="12" t="s">
        <v>1492</v>
      </c>
      <c r="F117" s="12" t="s">
        <v>1493</v>
      </c>
      <c r="G117" s="12" t="s">
        <v>1104</v>
      </c>
    </row>
    <row r="118" spans="1:8" x14ac:dyDescent="0.25">
      <c r="A118" s="3" t="s">
        <v>171</v>
      </c>
      <c r="B118" s="33">
        <f t="shared" ref="B118:B144" si="6">B21+B72</f>
        <v>2.069</v>
      </c>
      <c r="C118" s="9"/>
      <c r="D118" s="9"/>
      <c r="E118" s="41">
        <f>E21+E72</f>
        <v>3.12</v>
      </c>
      <c r="F118" s="9"/>
      <c r="G118" s="9"/>
      <c r="H118" s="10"/>
    </row>
    <row r="119" spans="1:8" x14ac:dyDescent="0.25">
      <c r="A119" s="3" t="s">
        <v>172</v>
      </c>
      <c r="B119" s="33">
        <f t="shared" si="6"/>
        <v>2.5070000000000001</v>
      </c>
      <c r="C119" s="33">
        <f>C22+C73</f>
        <v>6.8000000000000005E-2</v>
      </c>
      <c r="D119" s="9"/>
      <c r="E119" s="41">
        <f>E22+E73</f>
        <v>3.12</v>
      </c>
      <c r="F119" s="9"/>
      <c r="G119" s="9"/>
      <c r="H119" s="10"/>
    </row>
    <row r="120" spans="1:8" x14ac:dyDescent="0.25">
      <c r="A120" s="3" t="s">
        <v>211</v>
      </c>
      <c r="B120" s="33">
        <f t="shared" si="6"/>
        <v>0.628</v>
      </c>
      <c r="C120" s="9"/>
      <c r="D120" s="9"/>
      <c r="E120" s="9"/>
      <c r="F120" s="9"/>
      <c r="G120" s="9"/>
      <c r="H120" s="10"/>
    </row>
    <row r="121" spans="1:8" x14ac:dyDescent="0.25">
      <c r="A121" s="3" t="s">
        <v>173</v>
      </c>
      <c r="B121" s="33">
        <f t="shared" si="6"/>
        <v>1.946</v>
      </c>
      <c r="C121" s="9"/>
      <c r="D121" s="9"/>
      <c r="E121" s="41">
        <f>E24+E75</f>
        <v>5.28</v>
      </c>
      <c r="F121" s="9"/>
      <c r="G121" s="9"/>
      <c r="H121" s="10"/>
    </row>
    <row r="122" spans="1:8" x14ac:dyDescent="0.25">
      <c r="A122" s="3" t="s">
        <v>174</v>
      </c>
      <c r="B122" s="33">
        <f t="shared" si="6"/>
        <v>2.1230000000000002</v>
      </c>
      <c r="C122" s="33">
        <f>C25+C76</f>
        <v>6.5000000000000002E-2</v>
      </c>
      <c r="D122" s="9"/>
      <c r="E122" s="41">
        <f>E25+E76</f>
        <v>5.28</v>
      </c>
      <c r="F122" s="9"/>
      <c r="G122" s="9"/>
      <c r="H122" s="10"/>
    </row>
    <row r="123" spans="1:8" x14ac:dyDescent="0.25">
      <c r="A123" s="3" t="s">
        <v>212</v>
      </c>
      <c r="B123" s="33">
        <f t="shared" si="6"/>
        <v>0.29299999999999998</v>
      </c>
      <c r="C123" s="9"/>
      <c r="D123" s="9"/>
      <c r="E123" s="9"/>
      <c r="F123" s="9"/>
      <c r="G123" s="9"/>
      <c r="H123" s="10"/>
    </row>
    <row r="124" spans="1:8" x14ac:dyDescent="0.25">
      <c r="A124" s="3" t="s">
        <v>175</v>
      </c>
      <c r="B124" s="33">
        <f t="shared" si="6"/>
        <v>1.6160000000000001</v>
      </c>
      <c r="C124" s="33">
        <f t="shared" ref="C124:C131" si="7">C27+C78</f>
        <v>4.7E-2</v>
      </c>
      <c r="D124" s="9"/>
      <c r="E124" s="41">
        <f t="shared" ref="E124:E131" si="8">E27+E78</f>
        <v>4.7300000000000004</v>
      </c>
      <c r="F124" s="9"/>
      <c r="G124" s="9"/>
      <c r="H124" s="10"/>
    </row>
    <row r="125" spans="1:8" x14ac:dyDescent="0.25">
      <c r="A125" s="3" t="s">
        <v>176</v>
      </c>
      <c r="B125" s="33">
        <f t="shared" si="6"/>
        <v>1.456</v>
      </c>
      <c r="C125" s="33">
        <f t="shared" si="7"/>
        <v>4.1000000000000002E-2</v>
      </c>
      <c r="D125" s="9"/>
      <c r="E125" s="41">
        <f t="shared" si="8"/>
        <v>3.5</v>
      </c>
      <c r="F125" s="9"/>
      <c r="G125" s="9"/>
      <c r="H125" s="10"/>
    </row>
    <row r="126" spans="1:8" x14ac:dyDescent="0.25">
      <c r="A126" s="3" t="s">
        <v>192</v>
      </c>
      <c r="B126" s="33">
        <f t="shared" si="6"/>
        <v>0.97299999999999998</v>
      </c>
      <c r="C126" s="33">
        <f t="shared" si="7"/>
        <v>1.9E-2</v>
      </c>
      <c r="D126" s="9"/>
      <c r="E126" s="41">
        <f t="shared" si="8"/>
        <v>60.87</v>
      </c>
      <c r="F126" s="9"/>
      <c r="G126" s="9"/>
      <c r="H126" s="10"/>
    </row>
    <row r="127" spans="1:8" x14ac:dyDescent="0.25">
      <c r="A127" s="3" t="s">
        <v>177</v>
      </c>
      <c r="B127" s="33">
        <f t="shared" si="6"/>
        <v>12.865</v>
      </c>
      <c r="C127" s="33">
        <f t="shared" si="7"/>
        <v>0.58899999999999997</v>
      </c>
      <c r="D127" s="33">
        <f>D30+D81</f>
        <v>0.06</v>
      </c>
      <c r="E127" s="41">
        <f t="shared" si="8"/>
        <v>3.12</v>
      </c>
      <c r="F127" s="9"/>
      <c r="G127" s="9"/>
      <c r="H127" s="10"/>
    </row>
    <row r="128" spans="1:8" x14ac:dyDescent="0.25">
      <c r="A128" s="3" t="s">
        <v>178</v>
      </c>
      <c r="B128" s="33">
        <f t="shared" si="6"/>
        <v>13.25</v>
      </c>
      <c r="C128" s="33">
        <f t="shared" si="7"/>
        <v>0.60699999999999998</v>
      </c>
      <c r="D128" s="33">
        <f>D31+D82</f>
        <v>6.0999999999999999E-2</v>
      </c>
      <c r="E128" s="41">
        <f t="shared" si="8"/>
        <v>5.28</v>
      </c>
      <c r="F128" s="9"/>
      <c r="G128" s="9"/>
      <c r="H128" s="10"/>
    </row>
    <row r="129" spans="1:8" x14ac:dyDescent="0.25">
      <c r="A129" s="3" t="s">
        <v>179</v>
      </c>
      <c r="B129" s="33">
        <f t="shared" si="6"/>
        <v>11.372999999999999</v>
      </c>
      <c r="C129" s="33">
        <f t="shared" si="7"/>
        <v>0.45400000000000001</v>
      </c>
      <c r="D129" s="33">
        <f>D32+D83</f>
        <v>4.8000000000000001E-2</v>
      </c>
      <c r="E129" s="41">
        <f t="shared" si="8"/>
        <v>7.97</v>
      </c>
      <c r="F129" s="41">
        <f t="shared" ref="F129:G131" si="9">F32+F83</f>
        <v>2.5499999999999998</v>
      </c>
      <c r="G129" s="33">
        <f t="shared" si="9"/>
        <v>0.39500000000000002</v>
      </c>
      <c r="H129" s="10"/>
    </row>
    <row r="130" spans="1:8" x14ac:dyDescent="0.25">
      <c r="A130" s="3" t="s">
        <v>180</v>
      </c>
      <c r="B130" s="33">
        <f t="shared" si="6"/>
        <v>9.7249999999999996</v>
      </c>
      <c r="C130" s="33">
        <f t="shared" si="7"/>
        <v>0.28000000000000003</v>
      </c>
      <c r="D130" s="33">
        <f>D33+D84</f>
        <v>3.5000000000000003E-2</v>
      </c>
      <c r="E130" s="41">
        <f t="shared" si="8"/>
        <v>6.14</v>
      </c>
      <c r="F130" s="41">
        <f t="shared" si="9"/>
        <v>3.44</v>
      </c>
      <c r="G130" s="33">
        <f t="shared" si="9"/>
        <v>0.318</v>
      </c>
      <c r="H130" s="10"/>
    </row>
    <row r="131" spans="1:8" x14ac:dyDescent="0.25">
      <c r="A131" s="3" t="s">
        <v>193</v>
      </c>
      <c r="B131" s="33">
        <f t="shared" si="6"/>
        <v>7.391</v>
      </c>
      <c r="C131" s="33">
        <f t="shared" si="7"/>
        <v>0.121</v>
      </c>
      <c r="D131" s="33">
        <f>D34+D85</f>
        <v>2.1000000000000001E-2</v>
      </c>
      <c r="E131" s="41">
        <f t="shared" si="8"/>
        <v>60.87</v>
      </c>
      <c r="F131" s="41">
        <f t="shared" si="9"/>
        <v>4.09</v>
      </c>
      <c r="G131" s="33">
        <f t="shared" si="9"/>
        <v>0.216</v>
      </c>
      <c r="H131" s="10"/>
    </row>
    <row r="132" spans="1:8" x14ac:dyDescent="0.25">
      <c r="A132" s="3" t="s">
        <v>213</v>
      </c>
      <c r="B132" s="33">
        <f t="shared" si="6"/>
        <v>1.8939999999999999</v>
      </c>
      <c r="C132" s="9"/>
      <c r="D132" s="9"/>
      <c r="E132" s="9"/>
      <c r="F132" s="9"/>
      <c r="G132" s="9"/>
      <c r="H132" s="10"/>
    </row>
    <row r="133" spans="1:8" x14ac:dyDescent="0.25">
      <c r="A133" s="3" t="s">
        <v>214</v>
      </c>
      <c r="B133" s="33">
        <f t="shared" si="6"/>
        <v>2.508</v>
      </c>
      <c r="C133" s="9"/>
      <c r="D133" s="9"/>
      <c r="E133" s="9"/>
      <c r="F133" s="9"/>
      <c r="G133" s="9"/>
      <c r="H133" s="10"/>
    </row>
    <row r="134" spans="1:8" x14ac:dyDescent="0.25">
      <c r="A134" s="3" t="s">
        <v>215</v>
      </c>
      <c r="B134" s="33">
        <f t="shared" si="6"/>
        <v>4.04</v>
      </c>
      <c r="C134" s="9"/>
      <c r="D134" s="9"/>
      <c r="E134" s="9"/>
      <c r="F134" s="9"/>
      <c r="G134" s="9"/>
      <c r="H134" s="10"/>
    </row>
    <row r="135" spans="1:8" x14ac:dyDescent="0.25">
      <c r="A135" s="3" t="s">
        <v>216</v>
      </c>
      <c r="B135" s="33">
        <f t="shared" si="6"/>
        <v>1.2849999999999999</v>
      </c>
      <c r="C135" s="9"/>
      <c r="D135" s="9"/>
      <c r="E135" s="9"/>
      <c r="F135" s="9"/>
      <c r="G135" s="9"/>
      <c r="H135" s="10"/>
    </row>
    <row r="136" spans="1:8" x14ac:dyDescent="0.25">
      <c r="A136" s="3" t="s">
        <v>217</v>
      </c>
      <c r="B136" s="33">
        <f t="shared" si="6"/>
        <v>37.704000000000001</v>
      </c>
      <c r="C136" s="33">
        <f>C39+C90</f>
        <v>1.101</v>
      </c>
      <c r="D136" s="33">
        <f>D39+D90</f>
        <v>0.63200000000000001</v>
      </c>
      <c r="E136" s="9"/>
      <c r="F136" s="9"/>
      <c r="G136" s="9"/>
      <c r="H136" s="10"/>
    </row>
    <row r="137" spans="1:8" x14ac:dyDescent="0.25">
      <c r="A137" s="3" t="s">
        <v>181</v>
      </c>
      <c r="B137" s="33">
        <f t="shared" si="6"/>
        <v>-0.626</v>
      </c>
      <c r="C137" s="9"/>
      <c r="D137" s="9"/>
      <c r="E137" s="41">
        <f t="shared" ref="E137:E144" si="10">E40+E91</f>
        <v>0</v>
      </c>
      <c r="F137" s="9"/>
      <c r="G137" s="9"/>
      <c r="H137" s="10"/>
    </row>
    <row r="138" spans="1:8" x14ac:dyDescent="0.25">
      <c r="A138" s="3" t="s">
        <v>182</v>
      </c>
      <c r="B138" s="33">
        <f t="shared" si="6"/>
        <v>-0.54600000000000004</v>
      </c>
      <c r="C138" s="9"/>
      <c r="D138" s="9"/>
      <c r="E138" s="41">
        <f t="shared" si="10"/>
        <v>0</v>
      </c>
      <c r="F138" s="9"/>
      <c r="G138" s="9"/>
      <c r="H138" s="10"/>
    </row>
    <row r="139" spans="1:8" x14ac:dyDescent="0.25">
      <c r="A139" s="3" t="s">
        <v>183</v>
      </c>
      <c r="B139" s="33">
        <f t="shared" si="6"/>
        <v>-0.626</v>
      </c>
      <c r="C139" s="9"/>
      <c r="D139" s="9"/>
      <c r="E139" s="41">
        <f t="shared" si="10"/>
        <v>0</v>
      </c>
      <c r="F139" s="9"/>
      <c r="G139" s="33">
        <f t="shared" ref="G139:G144" si="11">G42+G93</f>
        <v>0.23200000000000001</v>
      </c>
      <c r="H139" s="10"/>
    </row>
    <row r="140" spans="1:8" x14ac:dyDescent="0.25">
      <c r="A140" s="3" t="s">
        <v>184</v>
      </c>
      <c r="B140" s="33">
        <f t="shared" si="6"/>
        <v>-5.1929999999999996</v>
      </c>
      <c r="C140" s="33">
        <f>C43+C94</f>
        <v>-0.46</v>
      </c>
      <c r="D140" s="33">
        <f>D43+D94</f>
        <v>-3.4000000000000002E-2</v>
      </c>
      <c r="E140" s="41">
        <f t="shared" si="10"/>
        <v>0</v>
      </c>
      <c r="F140" s="9"/>
      <c r="G140" s="33">
        <f t="shared" si="11"/>
        <v>0.23200000000000001</v>
      </c>
      <c r="H140" s="10"/>
    </row>
    <row r="141" spans="1:8" x14ac:dyDescent="0.25">
      <c r="A141" s="3" t="s">
        <v>185</v>
      </c>
      <c r="B141" s="33">
        <f t="shared" si="6"/>
        <v>-0.54600000000000004</v>
      </c>
      <c r="C141" s="9"/>
      <c r="D141" s="9"/>
      <c r="E141" s="41">
        <f t="shared" si="10"/>
        <v>0</v>
      </c>
      <c r="F141" s="9"/>
      <c r="G141" s="33">
        <f t="shared" si="11"/>
        <v>0.20200000000000001</v>
      </c>
      <c r="H141" s="10"/>
    </row>
    <row r="142" spans="1:8" x14ac:dyDescent="0.25">
      <c r="A142" s="3" t="s">
        <v>186</v>
      </c>
      <c r="B142" s="33">
        <f t="shared" si="6"/>
        <v>-4.5720000000000001</v>
      </c>
      <c r="C142" s="33">
        <f>C45+C96</f>
        <v>-0.39</v>
      </c>
      <c r="D142" s="33">
        <f>D45+D96</f>
        <v>-2.9000000000000001E-2</v>
      </c>
      <c r="E142" s="41">
        <f t="shared" si="10"/>
        <v>0</v>
      </c>
      <c r="F142" s="9"/>
      <c r="G142" s="33">
        <f t="shared" si="11"/>
        <v>0.20200000000000001</v>
      </c>
      <c r="H142" s="10"/>
    </row>
    <row r="143" spans="1:8" x14ac:dyDescent="0.25">
      <c r="A143" s="3" t="s">
        <v>194</v>
      </c>
      <c r="B143" s="33">
        <f t="shared" si="6"/>
        <v>-0.33300000000000002</v>
      </c>
      <c r="C143" s="9"/>
      <c r="D143" s="9"/>
      <c r="E143" s="41">
        <f t="shared" si="10"/>
        <v>29.35</v>
      </c>
      <c r="F143" s="9"/>
      <c r="G143" s="33">
        <f t="shared" si="11"/>
        <v>0.159</v>
      </c>
      <c r="H143" s="10"/>
    </row>
    <row r="144" spans="1:8" x14ac:dyDescent="0.25">
      <c r="A144" s="3" t="s">
        <v>195</v>
      </c>
      <c r="B144" s="33">
        <f t="shared" si="6"/>
        <v>-2.9550000000000001</v>
      </c>
      <c r="C144" s="33">
        <f>C47+C98</f>
        <v>-0.19700000000000001</v>
      </c>
      <c r="D144" s="33">
        <f>D47+D98</f>
        <v>-1.4E-2</v>
      </c>
      <c r="E144" s="41">
        <f t="shared" si="10"/>
        <v>29.35</v>
      </c>
      <c r="F144" s="9"/>
      <c r="G144" s="33">
        <f t="shared" si="11"/>
        <v>0.159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1" t="s">
        <v>485</v>
      </c>
    </row>
    <row r="149" spans="1:1" x14ac:dyDescent="0.25">
      <c r="A149" s="11" t="s">
        <v>1523</v>
      </c>
    </row>
    <row r="150" spans="1:1" x14ac:dyDescent="0.25">
      <c r="A150" s="11" t="s">
        <v>1107</v>
      </c>
    </row>
    <row r="151" spans="1:1" x14ac:dyDescent="0.25">
      <c r="A151" s="11" t="s">
        <v>1524</v>
      </c>
    </row>
    <row r="152" spans="1:1" x14ac:dyDescent="0.25">
      <c r="A152" s="11" t="s">
        <v>1109</v>
      </c>
    </row>
    <row r="153" spans="1:1" x14ac:dyDescent="0.25">
      <c r="A153" s="11" t="s">
        <v>1525</v>
      </c>
    </row>
    <row r="154" spans="1:1" x14ac:dyDescent="0.25">
      <c r="A154" s="11" t="s">
        <v>1111</v>
      </c>
    </row>
    <row r="155" spans="1:1" x14ac:dyDescent="0.25">
      <c r="A155" s="11" t="s">
        <v>1526</v>
      </c>
    </row>
    <row r="156" spans="1:1" x14ac:dyDescent="0.25">
      <c r="A156" s="11" t="s">
        <v>1113</v>
      </c>
    </row>
    <row r="157" spans="1:1" x14ac:dyDescent="0.25">
      <c r="A157" s="11" t="s">
        <v>1527</v>
      </c>
    </row>
    <row r="158" spans="1:1" x14ac:dyDescent="0.25">
      <c r="A158" s="11" t="s">
        <v>1115</v>
      </c>
    </row>
    <row r="159" spans="1:1" x14ac:dyDescent="0.25">
      <c r="A159" s="11" t="s">
        <v>1521</v>
      </c>
    </row>
    <row r="160" spans="1:1" x14ac:dyDescent="0.25">
      <c r="A160" s="11" t="s">
        <v>1117</v>
      </c>
    </row>
    <row r="161" spans="1:3" x14ac:dyDescent="0.25">
      <c r="A161" s="2" t="s">
        <v>1118</v>
      </c>
    </row>
    <row r="163" spans="1:3" ht="30" x14ac:dyDescent="0.25">
      <c r="B163" s="12" t="s">
        <v>1528</v>
      </c>
    </row>
    <row r="164" spans="1:3" x14ac:dyDescent="0.25">
      <c r="A164" s="3" t="s">
        <v>171</v>
      </c>
      <c r="B164" s="17">
        <f>0.01*Input!F$58*($E72*Loads!E302+$F72*Loads!F302)+10*($B72*Loads!B302+$C72*Loads!C302+$D72*Loads!D302+$G72*Loads!G302)</f>
        <v>-3379.8775862174534</v>
      </c>
      <c r="C164" s="10"/>
    </row>
    <row r="165" spans="1:3" x14ac:dyDescent="0.25">
      <c r="A165" s="3" t="s">
        <v>172</v>
      </c>
      <c r="B165" s="17">
        <f>0.01*Input!F$58*($E73*Loads!E303+$F73*Loads!F303)+10*($B73*Loads!B303+$C73*Loads!C303+$D73*Loads!D303+$G73*Loads!G303)</f>
        <v>4159.3804485583369</v>
      </c>
      <c r="C165" s="10"/>
    </row>
    <row r="166" spans="1:3" x14ac:dyDescent="0.25">
      <c r="A166" s="3" t="s">
        <v>211</v>
      </c>
      <c r="B166" s="17">
        <f>0.01*Input!F$58*($E74*Loads!E304+$F74*Loads!F304)+10*($B74*Loads!B304+$C74*Loads!C304+$D74*Loads!D304+$G74*Loads!G304)</f>
        <v>-176.38999471640713</v>
      </c>
      <c r="C166" s="10"/>
    </row>
    <row r="167" spans="1:3" x14ac:dyDescent="0.25">
      <c r="A167" s="3" t="s">
        <v>173</v>
      </c>
      <c r="B167" s="17">
        <f>0.01*Input!F$58*($E75*Loads!E305+$F75*Loads!F305)+10*($B75*Loads!B305+$C75*Loads!C305+$D75*Loads!D305+$G75*Loads!G305)</f>
        <v>-580.65652168753513</v>
      </c>
      <c r="C167" s="10"/>
    </row>
    <row r="168" spans="1:3" x14ac:dyDescent="0.25">
      <c r="A168" s="3" t="s">
        <v>174</v>
      </c>
      <c r="B168" s="17">
        <f>0.01*Input!F$58*($E76*Loads!E306+$F76*Loads!F306)+10*($B76*Loads!B306+$C76*Loads!C306+$D76*Loads!D306+$G76*Loads!G306)</f>
        <v>-1794.9443566642383</v>
      </c>
      <c r="C168" s="10"/>
    </row>
    <row r="169" spans="1:3" x14ac:dyDescent="0.25">
      <c r="A169" s="3" t="s">
        <v>212</v>
      </c>
      <c r="B169" s="17">
        <f>0.01*Input!F$58*($E77*Loads!E307+$F77*Loads!F307)+10*($B77*Loads!B307+$C77*Loads!C307+$D77*Loads!D307+$G77*Loads!G307)</f>
        <v>5.4948875374745096</v>
      </c>
      <c r="C169" s="10"/>
    </row>
    <row r="170" spans="1:3" x14ac:dyDescent="0.25">
      <c r="A170" s="3" t="s">
        <v>175</v>
      </c>
      <c r="B170" s="17">
        <f>0.01*Input!F$58*($E78*Loads!E308+$F78*Loads!F308)+10*($B78*Loads!B308+$C78*Loads!C308+$D78*Loads!D308+$G78*Loads!G308)</f>
        <v>0</v>
      </c>
      <c r="C170" s="10"/>
    </row>
    <row r="171" spans="1:3" x14ac:dyDescent="0.25">
      <c r="A171" s="3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3" t="s">
        <v>192</v>
      </c>
      <c r="B172" s="17">
        <f>0.01*Input!F$58*($E80*Loads!E310+$F80*Loads!F310)+10*($B80*Loads!B310+$C80*Loads!C310+$D80*Loads!D310+$G80*Loads!G310)</f>
        <v>0</v>
      </c>
      <c r="C172" s="10"/>
    </row>
    <row r="173" spans="1:3" x14ac:dyDescent="0.25">
      <c r="A173" s="3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3" t="s">
        <v>178</v>
      </c>
      <c r="B174" s="17">
        <f>0.01*Input!F$58*($E82*Loads!E312+$F82*Loads!F312)+10*($B82*Loads!B312+$C82*Loads!C312+$D82*Loads!D312+$G82*Loads!G312)</f>
        <v>-82.229710720221149</v>
      </c>
      <c r="C174" s="10"/>
    </row>
    <row r="175" spans="1:3" x14ac:dyDescent="0.25">
      <c r="A175" s="3" t="s">
        <v>179</v>
      </c>
      <c r="B175" s="17">
        <f>0.01*Input!F$58*($E83*Loads!E313+$F83*Loads!F313)+10*($B83*Loads!B313+$C83*Loads!C313+$D83*Loads!D313+$G83*Loads!G313)</f>
        <v>-10693.620119559891</v>
      </c>
      <c r="C175" s="10"/>
    </row>
    <row r="176" spans="1:3" x14ac:dyDescent="0.25">
      <c r="A176" s="3" t="s">
        <v>180</v>
      </c>
      <c r="B176" s="17">
        <f>0.01*Input!F$58*($E84*Loads!E314+$F84*Loads!F314)+10*($B84*Loads!B314+$C84*Loads!C314+$D84*Loads!D314+$G84*Loads!G314)</f>
        <v>-220.93312048213082</v>
      </c>
      <c r="C176" s="10"/>
    </row>
    <row r="177" spans="1:3" x14ac:dyDescent="0.25">
      <c r="A177" s="3" t="s">
        <v>193</v>
      </c>
      <c r="B177" s="17">
        <f>0.01*Input!F$58*($E85*Loads!E315+$F85*Loads!F315)+10*($B85*Loads!B315+$C85*Loads!C315+$D85*Loads!D315+$G85*Loads!G315)</f>
        <v>-24602.29895578415</v>
      </c>
      <c r="C177" s="10"/>
    </row>
    <row r="178" spans="1:3" x14ac:dyDescent="0.25">
      <c r="A178" s="3" t="s">
        <v>213</v>
      </c>
      <c r="B178" s="17">
        <f>0.01*Input!F$58*($E86*Loads!E316+$F86*Loads!F316)+10*($B86*Loads!B316+$C86*Loads!C316+$D86*Loads!D316+$G86*Loads!G316)</f>
        <v>-159.91071971902821</v>
      </c>
      <c r="C178" s="10"/>
    </row>
    <row r="179" spans="1:3" x14ac:dyDescent="0.25">
      <c r="A179" s="3" t="s">
        <v>214</v>
      </c>
      <c r="B179" s="17">
        <f>0.01*Input!F$58*($E87*Loads!E317+$F87*Loads!F317)+10*($B87*Loads!B317+$C87*Loads!C317+$D87*Loads!D317+$G87*Loads!G317)</f>
        <v>-20.453446148530379</v>
      </c>
      <c r="C179" s="10"/>
    </row>
    <row r="180" spans="1:3" x14ac:dyDescent="0.25">
      <c r="A180" s="3" t="s">
        <v>215</v>
      </c>
      <c r="B180" s="17">
        <f>0.01*Input!F$58*($E88*Loads!E318+$F88*Loads!F318)+10*($B88*Loads!B318+$C88*Loads!C318+$D88*Loads!D318+$G88*Loads!G318)</f>
        <v>-1.5317300393852584</v>
      </c>
      <c r="C180" s="10"/>
    </row>
    <row r="181" spans="1:3" x14ac:dyDescent="0.25">
      <c r="A181" s="3" t="s">
        <v>216</v>
      </c>
      <c r="B181" s="17">
        <f>0.01*Input!F$58*($E89*Loads!E319+$F89*Loads!F319)+10*($B89*Loads!B319+$C89*Loads!C319+$D89*Loads!D319+$G89*Loads!G319)</f>
        <v>-30.683669490044245</v>
      </c>
      <c r="C181" s="10"/>
    </row>
    <row r="182" spans="1:3" x14ac:dyDescent="0.25">
      <c r="A182" s="3" t="s">
        <v>217</v>
      </c>
      <c r="B182" s="17">
        <f>0.01*Input!F$58*($E90*Loads!E320+$F90*Loads!F320)+10*($B90*Loads!B320+$C90*Loads!C320+$D90*Loads!D320+$G90*Loads!G320)</f>
        <v>-368.17945893376248</v>
      </c>
      <c r="C182" s="10"/>
    </row>
    <row r="183" spans="1:3" x14ac:dyDescent="0.25">
      <c r="A183" s="3" t="s">
        <v>181</v>
      </c>
      <c r="B183" s="17">
        <f>0.01*Input!F$58*($E91*Loads!E321+$F91*Loads!F321)+10*($B91*Loads!B321+$C91*Loads!C321+$D91*Loads!D321+$G91*Loads!G321)</f>
        <v>-0.21403291157696427</v>
      </c>
      <c r="C183" s="10"/>
    </row>
    <row r="184" spans="1:3" x14ac:dyDescent="0.25">
      <c r="A184" s="3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3" t="s">
        <v>183</v>
      </c>
      <c r="B185" s="17">
        <f>0.01*Input!F$58*($E93*Loads!E323+$F93*Loads!F323)+10*($B93*Loads!B323+$C93*Loads!C323+$D93*Loads!D323+$G93*Loads!G323)</f>
        <v>1.6828003696754334</v>
      </c>
      <c r="C185" s="10"/>
    </row>
    <row r="186" spans="1:3" x14ac:dyDescent="0.25">
      <c r="A186" s="3" t="s">
        <v>184</v>
      </c>
      <c r="B186" s="17">
        <f>0.01*Input!F$58*($E94*Loads!E324+$F94*Loads!F324)+10*($B94*Loads!B324+$C94*Loads!C324+$D94*Loads!D324+$G94*Loads!G324)</f>
        <v>-8.9935773948522719</v>
      </c>
      <c r="C186" s="10"/>
    </row>
    <row r="187" spans="1:3" x14ac:dyDescent="0.25">
      <c r="A187" s="3" t="s">
        <v>185</v>
      </c>
      <c r="B187" s="17">
        <f>0.01*Input!F$58*($E95*Loads!E325+$F95*Loads!F325)+10*($B95*Loads!B325+$C95*Loads!C325+$D95*Loads!D325+$G95*Loads!G325)</f>
        <v>-1.35003596312565</v>
      </c>
      <c r="C187" s="10"/>
    </row>
    <row r="188" spans="1:3" x14ac:dyDescent="0.25">
      <c r="A188" s="3" t="s">
        <v>186</v>
      </c>
      <c r="B188" s="17">
        <f>0.01*Input!F$58*($E96*Loads!E326+$F96*Loads!F326)+10*($B96*Loads!B326+$C96*Loads!C326+$D96*Loads!D326+$G96*Loads!G326)</f>
        <v>-9.1247867114280403</v>
      </c>
      <c r="C188" s="10"/>
    </row>
    <row r="189" spans="1:3" x14ac:dyDescent="0.25">
      <c r="A189" s="3" t="s">
        <v>194</v>
      </c>
      <c r="B189" s="17">
        <f>0.01*Input!F$58*($E97*Loads!E327+$F97*Loads!F327)+10*($B97*Loads!B327+$C97*Loads!C327+$D97*Loads!D327+$G97*Loads!G327)</f>
        <v>-396.00898913840132</v>
      </c>
      <c r="C189" s="10"/>
    </row>
    <row r="190" spans="1:3" x14ac:dyDescent="0.25">
      <c r="A190" s="3" t="s">
        <v>195</v>
      </c>
      <c r="B190" s="17">
        <f>0.01*Input!F$58*($E98*Loads!E328+$F98*Loads!F328)+10*($B98*Loads!B328+$C98*Loads!C328+$D98*Loads!D328+$G98*Loads!G328)</f>
        <v>-1008.8687398402679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1" t="s">
        <v>1530</v>
      </c>
    </row>
    <row r="195" spans="1:7" x14ac:dyDescent="0.25">
      <c r="A195" s="11" t="s">
        <v>1531</v>
      </c>
    </row>
    <row r="196" spans="1:7" x14ac:dyDescent="0.25">
      <c r="A196" s="11" t="s">
        <v>1532</v>
      </c>
    </row>
    <row r="197" spans="1:7" x14ac:dyDescent="0.25">
      <c r="A197" s="11" t="s">
        <v>1533</v>
      </c>
    </row>
    <row r="198" spans="1:7" x14ac:dyDescent="0.25">
      <c r="A198" s="11" t="s">
        <v>1534</v>
      </c>
    </row>
    <row r="199" spans="1:7" x14ac:dyDescent="0.25">
      <c r="A199" s="11" t="s">
        <v>1535</v>
      </c>
    </row>
    <row r="200" spans="1:7" x14ac:dyDescent="0.25">
      <c r="A200" s="11" t="s">
        <v>1536</v>
      </c>
    </row>
    <row r="201" spans="1:7" x14ac:dyDescent="0.25">
      <c r="A201" s="11" t="s">
        <v>1537</v>
      </c>
    </row>
    <row r="202" spans="1:7" x14ac:dyDescent="0.25">
      <c r="A202" s="29" t="s">
        <v>359</v>
      </c>
      <c r="B202" s="29" t="s">
        <v>418</v>
      </c>
      <c r="C202" s="29" t="s">
        <v>490</v>
      </c>
      <c r="D202" s="29" t="s">
        <v>490</v>
      </c>
      <c r="E202" s="29" t="s">
        <v>489</v>
      </c>
      <c r="F202" s="29" t="s">
        <v>489</v>
      </c>
    </row>
    <row r="203" spans="1:7" x14ac:dyDescent="0.25">
      <c r="A203" s="29" t="s">
        <v>362</v>
      </c>
      <c r="B203" s="29" t="s">
        <v>420</v>
      </c>
      <c r="C203" s="29" t="s">
        <v>541</v>
      </c>
      <c r="D203" s="29" t="s">
        <v>542</v>
      </c>
      <c r="E203" s="29" t="s">
        <v>1538</v>
      </c>
      <c r="F203" s="29" t="s">
        <v>1539</v>
      </c>
    </row>
    <row r="205" spans="1:7" ht="30" x14ac:dyDescent="0.25">
      <c r="B205" s="12" t="s">
        <v>1132</v>
      </c>
      <c r="C205" s="12" t="s">
        <v>1540</v>
      </c>
      <c r="D205" s="12" t="s">
        <v>1541</v>
      </c>
      <c r="E205" s="12" t="s">
        <v>1542</v>
      </c>
      <c r="F205" s="12" t="s">
        <v>1543</v>
      </c>
    </row>
    <row r="206" spans="1:7" x14ac:dyDescent="0.25">
      <c r="A206" s="3" t="s">
        <v>1544</v>
      </c>
      <c r="B206" s="17">
        <f>Revenue!B69</f>
        <v>285150393.90602642</v>
      </c>
      <c r="C206" s="17">
        <f>SUM(Scaler!$H$416:$H$442)</f>
        <v>165229051.68684292</v>
      </c>
      <c r="D206" s="17">
        <f>SUM(B$164:B$190)</f>
        <v>-39369.711415656959</v>
      </c>
      <c r="E206" s="17">
        <f>B206+C206+D206</f>
        <v>450340075.88145369</v>
      </c>
      <c r="F206" s="17">
        <f>E206-Revenue!B$58</f>
        <v>-39369.71141564846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1" t="s">
        <v>1546</v>
      </c>
    </row>
    <row r="211" spans="1:8" x14ac:dyDescent="0.25">
      <c r="A211" s="11" t="s">
        <v>1547</v>
      </c>
    </row>
    <row r="212" spans="1:8" x14ac:dyDescent="0.25">
      <c r="A212" s="11" t="s">
        <v>1548</v>
      </c>
    </row>
    <row r="213" spans="1:8" x14ac:dyDescent="0.25">
      <c r="A213" s="11" t="s">
        <v>1549</v>
      </c>
    </row>
    <row r="214" spans="1:8" x14ac:dyDescent="0.25">
      <c r="A214" s="11" t="s">
        <v>1550</v>
      </c>
    </row>
    <row r="215" spans="1:8" x14ac:dyDescent="0.25">
      <c r="A215" s="11" t="s">
        <v>1551</v>
      </c>
    </row>
    <row r="216" spans="1:8" x14ac:dyDescent="0.25">
      <c r="A216" s="11" t="s">
        <v>1552</v>
      </c>
    </row>
    <row r="217" spans="1:8" x14ac:dyDescent="0.25">
      <c r="A217" s="11" t="s">
        <v>1553</v>
      </c>
    </row>
    <row r="218" spans="1:8" x14ac:dyDescent="0.25">
      <c r="A218" s="29" t="s">
        <v>359</v>
      </c>
      <c r="B218" s="29" t="s">
        <v>489</v>
      </c>
      <c r="C218" s="29" t="s">
        <v>489</v>
      </c>
      <c r="D218" s="29" t="s">
        <v>489</v>
      </c>
      <c r="E218" s="29" t="s">
        <v>489</v>
      </c>
      <c r="F218" s="29" t="s">
        <v>489</v>
      </c>
      <c r="G218" s="29" t="s">
        <v>489</v>
      </c>
    </row>
    <row r="219" spans="1:8" x14ac:dyDescent="0.25">
      <c r="A219" s="29" t="s">
        <v>362</v>
      </c>
      <c r="B219" s="29" t="s">
        <v>1554</v>
      </c>
      <c r="C219" s="29" t="s">
        <v>1555</v>
      </c>
      <c r="D219" s="29" t="s">
        <v>1556</v>
      </c>
      <c r="E219" s="29" t="s">
        <v>1557</v>
      </c>
      <c r="F219" s="29" t="s">
        <v>1558</v>
      </c>
      <c r="G219" s="29" t="s">
        <v>1559</v>
      </c>
    </row>
    <row r="221" spans="1:8" ht="30" x14ac:dyDescent="0.25">
      <c r="B221" s="12" t="s">
        <v>1489</v>
      </c>
      <c r="C221" s="12" t="s">
        <v>1490</v>
      </c>
      <c r="D221" s="12" t="s">
        <v>1491</v>
      </c>
      <c r="E221" s="12" t="s">
        <v>1492</v>
      </c>
      <c r="F221" s="12" t="s">
        <v>1493</v>
      </c>
      <c r="G221" s="12" t="s">
        <v>1104</v>
      </c>
    </row>
    <row r="222" spans="1:8" x14ac:dyDescent="0.25">
      <c r="A222" s="24" t="s">
        <v>228</v>
      </c>
      <c r="H222" s="10"/>
    </row>
    <row r="223" spans="1:8" x14ac:dyDescent="0.25">
      <c r="A223" s="3" t="s">
        <v>171</v>
      </c>
      <c r="B223" s="33">
        <f>ROUND(B$118*(1-Loads!$B193),3)</f>
        <v>2.069</v>
      </c>
      <c r="C223" s="33">
        <f>ROUND(C$118*(1-Loads!$B193),3)</f>
        <v>0</v>
      </c>
      <c r="D223" s="33">
        <f>ROUND(D$118*(1-Loads!$B193),3)</f>
        <v>0</v>
      </c>
      <c r="E223" s="42">
        <f>ROUND(E$118*(1-Loads!$C193),2)</f>
        <v>3.12</v>
      </c>
      <c r="F223" s="42">
        <f>ROUND(F$118*(1-Loads!$B193),2)</f>
        <v>0</v>
      </c>
      <c r="G223" s="33">
        <f>ROUND(G$118*(1-Loads!$B193),3)</f>
        <v>0</v>
      </c>
      <c r="H223" s="10"/>
    </row>
    <row r="224" spans="1:8" x14ac:dyDescent="0.25">
      <c r="A224" s="3" t="s">
        <v>229</v>
      </c>
      <c r="B224" s="33">
        <f>ROUND(B$118*(1-Loads!$B194),3)</f>
        <v>1.446</v>
      </c>
      <c r="C224" s="33">
        <f>ROUND(C$118*(1-Loads!$B194),3)</f>
        <v>0</v>
      </c>
      <c r="D224" s="33">
        <f>ROUND(D$118*(1-Loads!$B194),3)</f>
        <v>0</v>
      </c>
      <c r="E224" s="42">
        <f>ROUND(E$118*(1-Loads!$C194),2)</f>
        <v>2.1800000000000002</v>
      </c>
      <c r="F224" s="42">
        <f>ROUND(F$118*(1-Loads!$B194),2)</f>
        <v>0</v>
      </c>
      <c r="G224" s="33">
        <f>ROUND(G$118*(1-Loads!$B194),3)</f>
        <v>0</v>
      </c>
      <c r="H224" s="10"/>
    </row>
    <row r="225" spans="1:8" x14ac:dyDescent="0.25">
      <c r="A225" s="3" t="s">
        <v>230</v>
      </c>
      <c r="B225" s="33">
        <f>ROUND(B$118*(1-Loads!$B195),3)</f>
        <v>1.0589999999999999</v>
      </c>
      <c r="C225" s="33">
        <f>ROUND(C$118*(1-Loads!$B195),3)</f>
        <v>0</v>
      </c>
      <c r="D225" s="33">
        <f>ROUND(D$118*(1-Loads!$B195),3)</f>
        <v>0</v>
      </c>
      <c r="E225" s="42">
        <f>ROUND(E$118*(1-Loads!$C195),2)</f>
        <v>1.6</v>
      </c>
      <c r="F225" s="42">
        <f>ROUND(F$118*(1-Loads!$B195),2)</f>
        <v>0</v>
      </c>
      <c r="G225" s="33">
        <f>ROUND(G$118*(1-Loads!$B195),3)</f>
        <v>0</v>
      </c>
      <c r="H225" s="10"/>
    </row>
    <row r="226" spans="1:8" x14ac:dyDescent="0.25">
      <c r="A226" s="24" t="s">
        <v>231</v>
      </c>
      <c r="H226" s="10"/>
    </row>
    <row r="227" spans="1:8" x14ac:dyDescent="0.25">
      <c r="A227" s="3" t="s">
        <v>172</v>
      </c>
      <c r="B227" s="33">
        <f>ROUND(B$119*(1-Loads!$B197),3)</f>
        <v>2.5070000000000001</v>
      </c>
      <c r="C227" s="33">
        <f>ROUND(C$119*(1-Loads!$B197),3)</f>
        <v>6.8000000000000005E-2</v>
      </c>
      <c r="D227" s="33">
        <f>ROUND(D$119*(1-Loads!$B197),3)</f>
        <v>0</v>
      </c>
      <c r="E227" s="42">
        <f>ROUND(E$119*(1-Loads!$C197),2)</f>
        <v>3.12</v>
      </c>
      <c r="F227" s="42">
        <f>ROUND(F$119*(1-Loads!$B197),2)</f>
        <v>0</v>
      </c>
      <c r="G227" s="33">
        <f>ROUND(G$119*(1-Loads!$B197),3)</f>
        <v>0</v>
      </c>
      <c r="H227" s="10"/>
    </row>
    <row r="228" spans="1:8" x14ac:dyDescent="0.25">
      <c r="A228" s="3" t="s">
        <v>232</v>
      </c>
      <c r="B228" s="33">
        <f>ROUND(B$119*(1-Loads!$B198),3)</f>
        <v>1.752</v>
      </c>
      <c r="C228" s="33">
        <f>ROUND(C$119*(1-Loads!$B198),3)</f>
        <v>4.8000000000000001E-2</v>
      </c>
      <c r="D228" s="33">
        <f>ROUND(D$119*(1-Loads!$B198),3)</f>
        <v>0</v>
      </c>
      <c r="E228" s="42">
        <f>ROUND(E$119*(1-Loads!$C198),2)</f>
        <v>2.1800000000000002</v>
      </c>
      <c r="F228" s="42">
        <f>ROUND(F$119*(1-Loads!$B198),2)</f>
        <v>0</v>
      </c>
      <c r="G228" s="33">
        <f>ROUND(G$119*(1-Loads!$B198),3)</f>
        <v>0</v>
      </c>
      <c r="H228" s="10"/>
    </row>
    <row r="229" spans="1:8" x14ac:dyDescent="0.25">
      <c r="A229" s="3" t="s">
        <v>233</v>
      </c>
      <c r="B229" s="33">
        <f>ROUND(B$119*(1-Loads!$B199),3)</f>
        <v>1.2829999999999999</v>
      </c>
      <c r="C229" s="33">
        <f>ROUND(C$119*(1-Loads!$B199),3)</f>
        <v>3.5000000000000003E-2</v>
      </c>
      <c r="D229" s="33">
        <f>ROUND(D$119*(1-Loads!$B199),3)</f>
        <v>0</v>
      </c>
      <c r="E229" s="42">
        <f>ROUND(E$119*(1-Loads!$C199),2)</f>
        <v>1.6</v>
      </c>
      <c r="F229" s="42">
        <f>ROUND(F$119*(1-Loads!$B199),2)</f>
        <v>0</v>
      </c>
      <c r="G229" s="33">
        <f>ROUND(G$119*(1-Loads!$B199),3)</f>
        <v>0</v>
      </c>
      <c r="H229" s="10"/>
    </row>
    <row r="230" spans="1:8" x14ac:dyDescent="0.25">
      <c r="A230" s="24" t="s">
        <v>234</v>
      </c>
      <c r="H230" s="10"/>
    </row>
    <row r="231" spans="1:8" x14ac:dyDescent="0.25">
      <c r="A231" s="3" t="s">
        <v>211</v>
      </c>
      <c r="B231" s="33">
        <f>ROUND(B$120*(1-Loads!$B201),3)</f>
        <v>0.628</v>
      </c>
      <c r="C231" s="33">
        <f>ROUND(C$120*(1-Loads!$B201),3)</f>
        <v>0</v>
      </c>
      <c r="D231" s="33">
        <f>ROUND(D$120*(1-Loads!$B201),3)</f>
        <v>0</v>
      </c>
      <c r="E231" s="42">
        <f>ROUND(E$120*(1-Loads!$C201),2)</f>
        <v>0</v>
      </c>
      <c r="F231" s="42">
        <f>ROUND(F$120*(1-Loads!$B201),2)</f>
        <v>0</v>
      </c>
      <c r="G231" s="33">
        <f>ROUND(G$120*(1-Loads!$B201),3)</f>
        <v>0</v>
      </c>
      <c r="H231" s="10"/>
    </row>
    <row r="232" spans="1:8" x14ac:dyDescent="0.25">
      <c r="A232" s="3" t="s">
        <v>235</v>
      </c>
      <c r="B232" s="33">
        <f>ROUND(B$120*(1-Loads!$B202),3)</f>
        <v>0.439</v>
      </c>
      <c r="C232" s="33">
        <f>ROUND(C$120*(1-Loads!$B202),3)</f>
        <v>0</v>
      </c>
      <c r="D232" s="33">
        <f>ROUND(D$120*(1-Loads!$B202),3)</f>
        <v>0</v>
      </c>
      <c r="E232" s="42">
        <f>ROUND(E$120*(1-Loads!$C202),2)</f>
        <v>0</v>
      </c>
      <c r="F232" s="42">
        <f>ROUND(F$120*(1-Loads!$B202),2)</f>
        <v>0</v>
      </c>
      <c r="G232" s="33">
        <f>ROUND(G$120*(1-Loads!$B202),3)</f>
        <v>0</v>
      </c>
      <c r="H232" s="10"/>
    </row>
    <row r="233" spans="1:8" x14ac:dyDescent="0.25">
      <c r="A233" s="3" t="s">
        <v>236</v>
      </c>
      <c r="B233" s="33">
        <f>ROUND(B$120*(1-Loads!$B203),3)</f>
        <v>0.32100000000000001</v>
      </c>
      <c r="C233" s="33">
        <f>ROUND(C$120*(1-Loads!$B203),3)</f>
        <v>0</v>
      </c>
      <c r="D233" s="33">
        <f>ROUND(D$120*(1-Loads!$B203),3)</f>
        <v>0</v>
      </c>
      <c r="E233" s="42">
        <f>ROUND(E$120*(1-Loads!$C203),2)</f>
        <v>0</v>
      </c>
      <c r="F233" s="42">
        <f>ROUND(F$120*(1-Loads!$B203),2)</f>
        <v>0</v>
      </c>
      <c r="G233" s="33">
        <f>ROUND(G$120*(1-Loads!$B203),3)</f>
        <v>0</v>
      </c>
      <c r="H233" s="10"/>
    </row>
    <row r="234" spans="1:8" x14ac:dyDescent="0.25">
      <c r="A234" s="24" t="s">
        <v>237</v>
      </c>
      <c r="H234" s="10"/>
    </row>
    <row r="235" spans="1:8" x14ac:dyDescent="0.25">
      <c r="A235" s="3" t="s">
        <v>173</v>
      </c>
      <c r="B235" s="33">
        <f>ROUND(B$121*(1-Loads!$B205),3)</f>
        <v>1.946</v>
      </c>
      <c r="C235" s="33">
        <f>ROUND(C$121*(1-Loads!$B205),3)</f>
        <v>0</v>
      </c>
      <c r="D235" s="33">
        <f>ROUND(D$121*(1-Loads!$B205),3)</f>
        <v>0</v>
      </c>
      <c r="E235" s="42">
        <f>ROUND(E$121*(1-Loads!$C205),2)</f>
        <v>5.28</v>
      </c>
      <c r="F235" s="42">
        <f>ROUND(F$121*(1-Loads!$B205),2)</f>
        <v>0</v>
      </c>
      <c r="G235" s="33">
        <f>ROUND(G$121*(1-Loads!$B205),3)</f>
        <v>0</v>
      </c>
      <c r="H235" s="10"/>
    </row>
    <row r="236" spans="1:8" x14ac:dyDescent="0.25">
      <c r="A236" s="3" t="s">
        <v>238</v>
      </c>
      <c r="B236" s="33">
        <f>ROUND(B$121*(1-Loads!$B206),3)</f>
        <v>1.36</v>
      </c>
      <c r="C236" s="33">
        <f>ROUND(C$121*(1-Loads!$B206),3)</f>
        <v>0</v>
      </c>
      <c r="D236" s="33">
        <f>ROUND(D$121*(1-Loads!$B206),3)</f>
        <v>0</v>
      </c>
      <c r="E236" s="42">
        <f>ROUND(E$121*(1-Loads!$C206),2)</f>
        <v>3.69</v>
      </c>
      <c r="F236" s="42">
        <f>ROUND(F$121*(1-Loads!$B206),2)</f>
        <v>0</v>
      </c>
      <c r="G236" s="33">
        <f>ROUND(G$121*(1-Loads!$B206),3)</f>
        <v>0</v>
      </c>
      <c r="H236" s="10"/>
    </row>
    <row r="237" spans="1:8" x14ac:dyDescent="0.25">
      <c r="A237" s="3" t="s">
        <v>239</v>
      </c>
      <c r="B237" s="33">
        <f>ROUND(B$121*(1-Loads!$B207),3)</f>
        <v>0.996</v>
      </c>
      <c r="C237" s="33">
        <f>ROUND(C$121*(1-Loads!$B207),3)</f>
        <v>0</v>
      </c>
      <c r="D237" s="33">
        <f>ROUND(D$121*(1-Loads!$B207),3)</f>
        <v>0</v>
      </c>
      <c r="E237" s="42">
        <f>ROUND(E$121*(1-Loads!$C207),2)</f>
        <v>2.7</v>
      </c>
      <c r="F237" s="42">
        <f>ROUND(F$121*(1-Loads!$B207),2)</f>
        <v>0</v>
      </c>
      <c r="G237" s="33">
        <f>ROUND(G$121*(1-Loads!$B207),3)</f>
        <v>0</v>
      </c>
      <c r="H237" s="10"/>
    </row>
    <row r="238" spans="1:8" x14ac:dyDescent="0.25">
      <c r="A238" s="24" t="s">
        <v>240</v>
      </c>
      <c r="H238" s="10"/>
    </row>
    <row r="239" spans="1:8" x14ac:dyDescent="0.25">
      <c r="A239" s="3" t="s">
        <v>174</v>
      </c>
      <c r="B239" s="33">
        <f>ROUND(B$122*(1-Loads!$B209),3)</f>
        <v>2.1230000000000002</v>
      </c>
      <c r="C239" s="33">
        <f>ROUND(C$122*(1-Loads!$B209),3)</f>
        <v>6.5000000000000002E-2</v>
      </c>
      <c r="D239" s="33">
        <f>ROUND(D$122*(1-Loads!$B209),3)</f>
        <v>0</v>
      </c>
      <c r="E239" s="42">
        <f>ROUND(E$122*(1-Loads!$C209),2)</f>
        <v>5.28</v>
      </c>
      <c r="F239" s="42">
        <f>ROUND(F$122*(1-Loads!$B209),2)</f>
        <v>0</v>
      </c>
      <c r="G239" s="33">
        <f>ROUND(G$122*(1-Loads!$B209),3)</f>
        <v>0</v>
      </c>
      <c r="H239" s="10"/>
    </row>
    <row r="240" spans="1:8" x14ac:dyDescent="0.25">
      <c r="A240" s="3" t="s">
        <v>241</v>
      </c>
      <c r="B240" s="33">
        <f>ROUND(B$122*(1-Loads!$B210),3)</f>
        <v>1.484</v>
      </c>
      <c r="C240" s="33">
        <f>ROUND(C$122*(1-Loads!$B210),3)</f>
        <v>4.4999999999999998E-2</v>
      </c>
      <c r="D240" s="33">
        <f>ROUND(D$122*(1-Loads!$B210),3)</f>
        <v>0</v>
      </c>
      <c r="E240" s="42">
        <f>ROUND(E$122*(1-Loads!$C210),2)</f>
        <v>3.69</v>
      </c>
      <c r="F240" s="42">
        <f>ROUND(F$122*(1-Loads!$B210),2)</f>
        <v>0</v>
      </c>
      <c r="G240" s="33">
        <f>ROUND(G$122*(1-Loads!$B210),3)</f>
        <v>0</v>
      </c>
      <c r="H240" s="10"/>
    </row>
    <row r="241" spans="1:8" x14ac:dyDescent="0.25">
      <c r="A241" s="3" t="s">
        <v>242</v>
      </c>
      <c r="B241" s="33">
        <f>ROUND(B$122*(1-Loads!$B211),3)</f>
        <v>1.087</v>
      </c>
      <c r="C241" s="33">
        <f>ROUND(C$122*(1-Loads!$B211),3)</f>
        <v>3.3000000000000002E-2</v>
      </c>
      <c r="D241" s="33">
        <f>ROUND(D$122*(1-Loads!$B211),3)</f>
        <v>0</v>
      </c>
      <c r="E241" s="42">
        <f>ROUND(E$122*(1-Loads!$C211),2)</f>
        <v>2.7</v>
      </c>
      <c r="F241" s="42">
        <f>ROUND(F$122*(1-Loads!$B211),2)</f>
        <v>0</v>
      </c>
      <c r="G241" s="33">
        <f>ROUND(G$122*(1-Loads!$B211),3)</f>
        <v>0</v>
      </c>
      <c r="H241" s="10"/>
    </row>
    <row r="242" spans="1:8" x14ac:dyDescent="0.25">
      <c r="A242" s="24" t="s">
        <v>243</v>
      </c>
      <c r="H242" s="10"/>
    </row>
    <row r="243" spans="1:8" x14ac:dyDescent="0.25">
      <c r="A243" s="3" t="s">
        <v>212</v>
      </c>
      <c r="B243" s="33">
        <f>ROUND(B$123*(1-Loads!$B213),3)</f>
        <v>0.29299999999999998</v>
      </c>
      <c r="C243" s="33">
        <f>ROUND(C$123*(1-Loads!$B213),3)</f>
        <v>0</v>
      </c>
      <c r="D243" s="33">
        <f>ROUND(D$123*(1-Loads!$B213),3)</f>
        <v>0</v>
      </c>
      <c r="E243" s="42">
        <f>ROUND(E$123*(1-Loads!$C213),2)</f>
        <v>0</v>
      </c>
      <c r="F243" s="42">
        <f>ROUND(F$123*(1-Loads!$B213),2)</f>
        <v>0</v>
      </c>
      <c r="G243" s="33">
        <f>ROUND(G$123*(1-Loads!$B213),3)</f>
        <v>0</v>
      </c>
      <c r="H243" s="10"/>
    </row>
    <row r="244" spans="1:8" ht="30" x14ac:dyDescent="0.25">
      <c r="A244" s="3" t="s">
        <v>244</v>
      </c>
      <c r="B244" s="33">
        <f>ROUND(B$123*(1-Loads!$B214),3)</f>
        <v>0.20499999999999999</v>
      </c>
      <c r="C244" s="33">
        <f>ROUND(C$123*(1-Loads!$B214),3)</f>
        <v>0</v>
      </c>
      <c r="D244" s="33">
        <f>ROUND(D$123*(1-Loads!$B214),3)</f>
        <v>0</v>
      </c>
      <c r="E244" s="42">
        <f>ROUND(E$123*(1-Loads!$C214),2)</f>
        <v>0</v>
      </c>
      <c r="F244" s="42">
        <f>ROUND(F$123*(1-Loads!$B214),2)</f>
        <v>0</v>
      </c>
      <c r="G244" s="33">
        <f>ROUND(G$123*(1-Loads!$B214),3)</f>
        <v>0</v>
      </c>
      <c r="H244" s="10"/>
    </row>
    <row r="245" spans="1:8" ht="30" x14ac:dyDescent="0.25">
      <c r="A245" s="3" t="s">
        <v>245</v>
      </c>
      <c r="B245" s="33">
        <f>ROUND(B$123*(1-Loads!$B215),3)</f>
        <v>0.15</v>
      </c>
      <c r="C245" s="33">
        <f>ROUND(C$123*(1-Loads!$B215),3)</f>
        <v>0</v>
      </c>
      <c r="D245" s="33">
        <f>ROUND(D$123*(1-Loads!$B215),3)</f>
        <v>0</v>
      </c>
      <c r="E245" s="42">
        <f>ROUND(E$123*(1-Loads!$C215),2)</f>
        <v>0</v>
      </c>
      <c r="F245" s="42">
        <f>ROUND(F$123*(1-Loads!$B215),2)</f>
        <v>0</v>
      </c>
      <c r="G245" s="33">
        <f>ROUND(G$123*(1-Loads!$B215),3)</f>
        <v>0</v>
      </c>
      <c r="H245" s="10"/>
    </row>
    <row r="246" spans="1:8" x14ac:dyDescent="0.25">
      <c r="A246" s="24" t="s">
        <v>246</v>
      </c>
      <c r="H246" s="10"/>
    </row>
    <row r="247" spans="1:8" x14ac:dyDescent="0.25">
      <c r="A247" s="3" t="s">
        <v>175</v>
      </c>
      <c r="B247" s="33">
        <f>ROUND(B$124*(1-Loads!$B217),3)</f>
        <v>1.6160000000000001</v>
      </c>
      <c r="C247" s="33">
        <f>ROUND(C$124*(1-Loads!$B217),3)</f>
        <v>4.7E-2</v>
      </c>
      <c r="D247" s="33">
        <f>ROUND(D$124*(1-Loads!$B217),3)</f>
        <v>0</v>
      </c>
      <c r="E247" s="42">
        <f>ROUND(E$124*(1-Loads!$C217),2)</f>
        <v>4.7300000000000004</v>
      </c>
      <c r="F247" s="42">
        <f>ROUND(F$124*(1-Loads!$B217),2)</f>
        <v>0</v>
      </c>
      <c r="G247" s="33">
        <f>ROUND(G$124*(1-Loads!$B217),3)</f>
        <v>0</v>
      </c>
      <c r="H247" s="10"/>
    </row>
    <row r="248" spans="1:8" x14ac:dyDescent="0.25">
      <c r="A248" s="3" t="s">
        <v>247</v>
      </c>
      <c r="B248" s="33">
        <f>ROUND(B$124*(1-Loads!$B218),3)</f>
        <v>1.129</v>
      </c>
      <c r="C248" s="33">
        <f>ROUND(C$124*(1-Loads!$B218),3)</f>
        <v>3.3000000000000002E-2</v>
      </c>
      <c r="D248" s="33">
        <f>ROUND(D$124*(1-Loads!$B218),3)</f>
        <v>0</v>
      </c>
      <c r="E248" s="42">
        <f>ROUND(E$124*(1-Loads!$C218),2)</f>
        <v>3.31</v>
      </c>
      <c r="F248" s="42">
        <f>ROUND(F$124*(1-Loads!$B218),2)</f>
        <v>0</v>
      </c>
      <c r="G248" s="33">
        <f>ROUND(G$124*(1-Loads!$B218),3)</f>
        <v>0</v>
      </c>
      <c r="H248" s="10"/>
    </row>
    <row r="249" spans="1:8" x14ac:dyDescent="0.25">
      <c r="A249" s="3" t="s">
        <v>248</v>
      </c>
      <c r="B249" s="33">
        <f>ROUND(B$124*(1-Loads!$B219),3)</f>
        <v>0.82699999999999996</v>
      </c>
      <c r="C249" s="33">
        <f>ROUND(C$124*(1-Loads!$B219),3)</f>
        <v>2.4E-2</v>
      </c>
      <c r="D249" s="33">
        <f>ROUND(D$124*(1-Loads!$B219),3)</f>
        <v>0</v>
      </c>
      <c r="E249" s="42">
        <f>ROUND(E$124*(1-Loads!$C219),2)</f>
        <v>2.42</v>
      </c>
      <c r="F249" s="42">
        <f>ROUND(F$124*(1-Loads!$B219),2)</f>
        <v>0</v>
      </c>
      <c r="G249" s="33">
        <f>ROUND(G$124*(1-Loads!$B219),3)</f>
        <v>0</v>
      </c>
      <c r="H249" s="10"/>
    </row>
    <row r="250" spans="1:8" x14ac:dyDescent="0.25">
      <c r="A250" s="24" t="s">
        <v>249</v>
      </c>
      <c r="H250" s="10"/>
    </row>
    <row r="251" spans="1:8" x14ac:dyDescent="0.25">
      <c r="A251" s="3" t="s">
        <v>176</v>
      </c>
      <c r="B251" s="33">
        <f>ROUND(B$125*(1-Loads!$B221),3)</f>
        <v>1.456</v>
      </c>
      <c r="C251" s="33">
        <f>ROUND(C$125*(1-Loads!$B221),3)</f>
        <v>4.1000000000000002E-2</v>
      </c>
      <c r="D251" s="33">
        <f>ROUND(D$125*(1-Loads!$B221),3)</f>
        <v>0</v>
      </c>
      <c r="E251" s="42">
        <f>ROUND(E$125*(1-Loads!$C221),2)</f>
        <v>3.5</v>
      </c>
      <c r="F251" s="42">
        <f>ROUND(F$125*(1-Loads!$B221),2)</f>
        <v>0</v>
      </c>
      <c r="G251" s="33">
        <f>ROUND(G$125*(1-Loads!$B221),3)</f>
        <v>0</v>
      </c>
      <c r="H251" s="10"/>
    </row>
    <row r="252" spans="1:8" x14ac:dyDescent="0.25">
      <c r="A252" s="24" t="s">
        <v>250</v>
      </c>
      <c r="H252" s="10"/>
    </row>
    <row r="253" spans="1:8" x14ac:dyDescent="0.25">
      <c r="A253" s="3" t="s">
        <v>192</v>
      </c>
      <c r="B253" s="33">
        <f>ROUND(B$126*(1-Loads!$B223),3)</f>
        <v>0.97299999999999998</v>
      </c>
      <c r="C253" s="33">
        <f>ROUND(C$126*(1-Loads!$B223),3)</f>
        <v>1.9E-2</v>
      </c>
      <c r="D253" s="33">
        <f>ROUND(D$126*(1-Loads!$B223),3)</f>
        <v>0</v>
      </c>
      <c r="E253" s="42">
        <f>ROUND(E$126*(1-Loads!$C223),2)</f>
        <v>60.87</v>
      </c>
      <c r="F253" s="42">
        <f>ROUND(F$126*(1-Loads!$B223),2)</f>
        <v>0</v>
      </c>
      <c r="G253" s="33">
        <f>ROUND(G$126*(1-Loads!$B223),3)</f>
        <v>0</v>
      </c>
      <c r="H253" s="10"/>
    </row>
    <row r="254" spans="1:8" x14ac:dyDescent="0.25">
      <c r="A254" s="24" t="s">
        <v>251</v>
      </c>
      <c r="H254" s="10"/>
    </row>
    <row r="255" spans="1:8" x14ac:dyDescent="0.25">
      <c r="A255" s="3" t="s">
        <v>177</v>
      </c>
      <c r="B255" s="33">
        <f>ROUND(B$127*(1-Loads!$B225),3)</f>
        <v>12.865</v>
      </c>
      <c r="C255" s="33">
        <f>ROUND(C$127*(1-Loads!$B225),3)</f>
        <v>0.58899999999999997</v>
      </c>
      <c r="D255" s="33">
        <f>ROUND(D$127*(1-Loads!$B225),3)</f>
        <v>0.06</v>
      </c>
      <c r="E255" s="42">
        <f>ROUND(E$127*(1-Loads!$C225),2)</f>
        <v>3.12</v>
      </c>
      <c r="F255" s="42">
        <f>ROUND(F$127*(1-Loads!$B225),2)</f>
        <v>0</v>
      </c>
      <c r="G255" s="33">
        <f>ROUND(G$127*(1-Loads!$B225),3)</f>
        <v>0</v>
      </c>
      <c r="H255" s="10"/>
    </row>
    <row r="256" spans="1:8" x14ac:dyDescent="0.25">
      <c r="A256" s="3" t="s">
        <v>252</v>
      </c>
      <c r="B256" s="33">
        <f>ROUND(B$127*(1-Loads!$B226),3)</f>
        <v>8.99</v>
      </c>
      <c r="C256" s="33">
        <f>ROUND(C$127*(1-Loads!$B226),3)</f>
        <v>0.41199999999999998</v>
      </c>
      <c r="D256" s="33">
        <f>ROUND(D$127*(1-Loads!$B226),3)</f>
        <v>4.2000000000000003E-2</v>
      </c>
      <c r="E256" s="42">
        <f>ROUND(E$127*(1-Loads!$C226),2)</f>
        <v>2.1800000000000002</v>
      </c>
      <c r="F256" s="42">
        <f>ROUND(F$127*(1-Loads!$B226),2)</f>
        <v>0</v>
      </c>
      <c r="G256" s="33">
        <f>ROUND(G$127*(1-Loads!$B226),3)</f>
        <v>0</v>
      </c>
      <c r="H256" s="10"/>
    </row>
    <row r="257" spans="1:8" x14ac:dyDescent="0.25">
      <c r="A257" s="3" t="s">
        <v>253</v>
      </c>
      <c r="B257" s="33">
        <f>ROUND(B$127*(1-Loads!$B227),3)</f>
        <v>6.5839999999999996</v>
      </c>
      <c r="C257" s="33">
        <f>ROUND(C$127*(1-Loads!$B227),3)</f>
        <v>0.30099999999999999</v>
      </c>
      <c r="D257" s="33">
        <f>ROUND(D$127*(1-Loads!$B227),3)</f>
        <v>3.1E-2</v>
      </c>
      <c r="E257" s="42">
        <f>ROUND(E$127*(1-Loads!$C227),2)</f>
        <v>1.6</v>
      </c>
      <c r="F257" s="42">
        <f>ROUND(F$127*(1-Loads!$B227),2)</f>
        <v>0</v>
      </c>
      <c r="G257" s="33">
        <f>ROUND(G$127*(1-Loads!$B227),3)</f>
        <v>0</v>
      </c>
      <c r="H257" s="10"/>
    </row>
    <row r="258" spans="1:8" x14ac:dyDescent="0.25">
      <c r="A258" s="24" t="s">
        <v>254</v>
      </c>
      <c r="H258" s="10"/>
    </row>
    <row r="259" spans="1:8" x14ac:dyDescent="0.25">
      <c r="A259" s="3" t="s">
        <v>178</v>
      </c>
      <c r="B259" s="33">
        <f>ROUND(B$128*(1-Loads!$B229),3)</f>
        <v>13.25</v>
      </c>
      <c r="C259" s="33">
        <f>ROUND(C$128*(1-Loads!$B229),3)</f>
        <v>0.60699999999999998</v>
      </c>
      <c r="D259" s="33">
        <f>ROUND(D$128*(1-Loads!$B229),3)</f>
        <v>6.0999999999999999E-2</v>
      </c>
      <c r="E259" s="42">
        <f>ROUND(E$128*(1-Loads!$C229),2)</f>
        <v>5.28</v>
      </c>
      <c r="F259" s="42">
        <f>ROUND(F$128*(1-Loads!$B229),2)</f>
        <v>0</v>
      </c>
      <c r="G259" s="33">
        <f>ROUND(G$128*(1-Loads!$B229),3)</f>
        <v>0</v>
      </c>
      <c r="H259" s="10"/>
    </row>
    <row r="260" spans="1:8" x14ac:dyDescent="0.25">
      <c r="A260" s="3" t="s">
        <v>255</v>
      </c>
      <c r="B260" s="33">
        <f>ROUND(B$128*(1-Loads!$B230),3)</f>
        <v>9.2590000000000003</v>
      </c>
      <c r="C260" s="33">
        <f>ROUND(C$128*(1-Loads!$B230),3)</f>
        <v>0.42399999999999999</v>
      </c>
      <c r="D260" s="33">
        <f>ROUND(D$128*(1-Loads!$B230),3)</f>
        <v>4.2999999999999997E-2</v>
      </c>
      <c r="E260" s="42">
        <f>ROUND(E$128*(1-Loads!$C230),2)</f>
        <v>3.69</v>
      </c>
      <c r="F260" s="42">
        <f>ROUND(F$128*(1-Loads!$B230),2)</f>
        <v>0</v>
      </c>
      <c r="G260" s="33">
        <f>ROUND(G$128*(1-Loads!$B230),3)</f>
        <v>0</v>
      </c>
      <c r="H260" s="10"/>
    </row>
    <row r="261" spans="1:8" x14ac:dyDescent="0.25">
      <c r="A261" s="3" t="s">
        <v>256</v>
      </c>
      <c r="B261" s="33">
        <f>ROUND(B$128*(1-Loads!$B231),3)</f>
        <v>6.7809999999999997</v>
      </c>
      <c r="C261" s="33">
        <f>ROUND(C$128*(1-Loads!$B231),3)</f>
        <v>0.311</v>
      </c>
      <c r="D261" s="33">
        <f>ROUND(D$128*(1-Loads!$B231),3)</f>
        <v>3.1E-2</v>
      </c>
      <c r="E261" s="42">
        <f>ROUND(E$128*(1-Loads!$C231),2)</f>
        <v>2.7</v>
      </c>
      <c r="F261" s="42">
        <f>ROUND(F$128*(1-Loads!$B231),2)</f>
        <v>0</v>
      </c>
      <c r="G261" s="33">
        <f>ROUND(G$128*(1-Loads!$B231),3)</f>
        <v>0</v>
      </c>
      <c r="H261" s="10"/>
    </row>
    <row r="262" spans="1:8" x14ac:dyDescent="0.25">
      <c r="A262" s="24" t="s">
        <v>257</v>
      </c>
      <c r="H262" s="10"/>
    </row>
    <row r="263" spans="1:8" x14ac:dyDescent="0.25">
      <c r="A263" s="3" t="s">
        <v>179</v>
      </c>
      <c r="B263" s="33">
        <f>ROUND(B$129*(1-Loads!$B233),3)</f>
        <v>11.372999999999999</v>
      </c>
      <c r="C263" s="33">
        <f>ROUND(C$129*(1-Loads!$B233),3)</f>
        <v>0.45400000000000001</v>
      </c>
      <c r="D263" s="33">
        <f>ROUND(D$129*(1-Loads!$B233),3)</f>
        <v>4.8000000000000001E-2</v>
      </c>
      <c r="E263" s="42">
        <f>ROUND(E$129*(1-Loads!$C233),2)</f>
        <v>7.97</v>
      </c>
      <c r="F263" s="42">
        <f>ROUND(F$129*(1-Loads!$B233),2)</f>
        <v>2.5499999999999998</v>
      </c>
      <c r="G263" s="33">
        <f>ROUND(G$129*(1-Loads!$B233),3)</f>
        <v>0.39500000000000002</v>
      </c>
      <c r="H263" s="10"/>
    </row>
    <row r="264" spans="1:8" x14ac:dyDescent="0.25">
      <c r="A264" s="3" t="s">
        <v>258</v>
      </c>
      <c r="B264" s="33">
        <f>ROUND(B$129*(1-Loads!$B234),3)</f>
        <v>7.9470000000000001</v>
      </c>
      <c r="C264" s="33">
        <f>ROUND(C$129*(1-Loads!$B234),3)</f>
        <v>0.317</v>
      </c>
      <c r="D264" s="33">
        <f>ROUND(D$129*(1-Loads!$B234),3)</f>
        <v>3.4000000000000002E-2</v>
      </c>
      <c r="E264" s="42">
        <f>ROUND(E$129*(1-Loads!$C234),2)</f>
        <v>5.57</v>
      </c>
      <c r="F264" s="42">
        <f>ROUND(F$129*(1-Loads!$B234),2)</f>
        <v>1.78</v>
      </c>
      <c r="G264" s="33">
        <f>ROUND(G$129*(1-Loads!$B234),3)</f>
        <v>0.27600000000000002</v>
      </c>
      <c r="H264" s="10"/>
    </row>
    <row r="265" spans="1:8" x14ac:dyDescent="0.25">
      <c r="A265" s="3" t="s">
        <v>259</v>
      </c>
      <c r="B265" s="33">
        <f>ROUND(B$129*(1-Loads!$B235),3)</f>
        <v>5.8209999999999997</v>
      </c>
      <c r="C265" s="33">
        <f>ROUND(C$129*(1-Loads!$B235),3)</f>
        <v>0.23200000000000001</v>
      </c>
      <c r="D265" s="33">
        <f>ROUND(D$129*(1-Loads!$B235),3)</f>
        <v>2.5000000000000001E-2</v>
      </c>
      <c r="E265" s="42">
        <f>ROUND(E$129*(1-Loads!$C235),2)</f>
        <v>4.08</v>
      </c>
      <c r="F265" s="42">
        <f>ROUND(F$129*(1-Loads!$B235),2)</f>
        <v>1.31</v>
      </c>
      <c r="G265" s="33">
        <f>ROUND(G$129*(1-Loads!$B235),3)</f>
        <v>0.20200000000000001</v>
      </c>
      <c r="H265" s="10"/>
    </row>
    <row r="266" spans="1:8" x14ac:dyDescent="0.25">
      <c r="A266" s="24" t="s">
        <v>260</v>
      </c>
      <c r="H266" s="10"/>
    </row>
    <row r="267" spans="1:8" x14ac:dyDescent="0.25">
      <c r="A267" s="3" t="s">
        <v>180</v>
      </c>
      <c r="B267" s="33">
        <f>ROUND(B$130*(1-Loads!$B237),3)</f>
        <v>9.7249999999999996</v>
      </c>
      <c r="C267" s="33">
        <f>ROUND(C$130*(1-Loads!$B237),3)</f>
        <v>0.28000000000000003</v>
      </c>
      <c r="D267" s="33">
        <f>ROUND(D$130*(1-Loads!$B237),3)</f>
        <v>3.5000000000000003E-2</v>
      </c>
      <c r="E267" s="42">
        <f>ROUND(E$130*(1-Loads!$C237),2)</f>
        <v>6.14</v>
      </c>
      <c r="F267" s="42">
        <f>ROUND(F$130*(1-Loads!$B237),2)</f>
        <v>3.44</v>
      </c>
      <c r="G267" s="33">
        <f>ROUND(G$130*(1-Loads!$B237),3)</f>
        <v>0.318</v>
      </c>
      <c r="H267" s="10"/>
    </row>
    <row r="268" spans="1:8" x14ac:dyDescent="0.25">
      <c r="A268" s="3" t="s">
        <v>261</v>
      </c>
      <c r="B268" s="33">
        <f>ROUND(B$130*(1-Loads!$B238),3)</f>
        <v>7.2119999999999997</v>
      </c>
      <c r="C268" s="33">
        <f>ROUND(C$130*(1-Loads!$B238),3)</f>
        <v>0.20799999999999999</v>
      </c>
      <c r="D268" s="33">
        <f>ROUND(D$130*(1-Loads!$B238),3)</f>
        <v>2.5999999999999999E-2</v>
      </c>
      <c r="E268" s="42">
        <f>ROUND(E$130*(1-Loads!$C238),2)</f>
        <v>4.55</v>
      </c>
      <c r="F268" s="42">
        <f>ROUND(F$130*(1-Loads!$B238),2)</f>
        <v>2.5499999999999998</v>
      </c>
      <c r="G268" s="33">
        <f>ROUND(G$130*(1-Loads!$B238),3)</f>
        <v>0.23599999999999999</v>
      </c>
      <c r="H268" s="10"/>
    </row>
    <row r="269" spans="1:8" x14ac:dyDescent="0.25">
      <c r="A269" s="24" t="s">
        <v>262</v>
      </c>
      <c r="H269" s="10"/>
    </row>
    <row r="270" spans="1:8" x14ac:dyDescent="0.25">
      <c r="A270" s="3" t="s">
        <v>193</v>
      </c>
      <c r="B270" s="33">
        <f>ROUND(B$131*(1-Loads!$B240),3)</f>
        <v>7.391</v>
      </c>
      <c r="C270" s="33">
        <f>ROUND(C$131*(1-Loads!$B240),3)</f>
        <v>0.121</v>
      </c>
      <c r="D270" s="33">
        <f>ROUND(D$131*(1-Loads!$B240),3)</f>
        <v>2.1000000000000001E-2</v>
      </c>
      <c r="E270" s="42">
        <f>ROUND(E$131*(1-Loads!$C240),2)</f>
        <v>60.87</v>
      </c>
      <c r="F270" s="42">
        <f>ROUND(F$131*(1-Loads!$B240),2)</f>
        <v>4.09</v>
      </c>
      <c r="G270" s="33">
        <f>ROUND(G$131*(1-Loads!$B240),3)</f>
        <v>0.216</v>
      </c>
      <c r="H270" s="10"/>
    </row>
    <row r="271" spans="1:8" x14ac:dyDescent="0.25">
      <c r="A271" s="3" t="s">
        <v>263</v>
      </c>
      <c r="B271" s="33">
        <f>ROUND(B$131*(1-Loads!$B241),3)</f>
        <v>6.2119999999999997</v>
      </c>
      <c r="C271" s="33">
        <f>ROUND(C$131*(1-Loads!$B241),3)</f>
        <v>0.10199999999999999</v>
      </c>
      <c r="D271" s="33">
        <f>ROUND(D$131*(1-Loads!$B241),3)</f>
        <v>1.7999999999999999E-2</v>
      </c>
      <c r="E271" s="42">
        <f>ROUND(E$131*(1-Loads!$C241),2)</f>
        <v>51.16</v>
      </c>
      <c r="F271" s="42">
        <f>ROUND(F$131*(1-Loads!$B241),2)</f>
        <v>3.44</v>
      </c>
      <c r="G271" s="33">
        <f>ROUND(G$131*(1-Loads!$B241),3)</f>
        <v>0.182</v>
      </c>
      <c r="H271" s="10"/>
    </row>
    <row r="272" spans="1:8" x14ac:dyDescent="0.25">
      <c r="A272" s="24" t="s">
        <v>264</v>
      </c>
      <c r="H272" s="10"/>
    </row>
    <row r="273" spans="1:8" x14ac:dyDescent="0.25">
      <c r="A273" s="3" t="s">
        <v>213</v>
      </c>
      <c r="B273" s="33">
        <f>ROUND(B$132*(1-Loads!$B243),3)</f>
        <v>1.8939999999999999</v>
      </c>
      <c r="C273" s="33">
        <f>ROUND(C$132*(1-Loads!$B243),3)</f>
        <v>0</v>
      </c>
      <c r="D273" s="33">
        <f>ROUND(D$132*(1-Loads!$B243),3)</f>
        <v>0</v>
      </c>
      <c r="E273" s="42">
        <f>ROUND(E$132*(1-Loads!$C243),2)</f>
        <v>0</v>
      </c>
      <c r="F273" s="42">
        <f>ROUND(F$132*(1-Loads!$B243),2)</f>
        <v>0</v>
      </c>
      <c r="G273" s="33">
        <f>ROUND(G$132*(1-Loads!$B243),3)</f>
        <v>0</v>
      </c>
      <c r="H273" s="10"/>
    </row>
    <row r="274" spans="1:8" x14ac:dyDescent="0.25">
      <c r="A274" s="3" t="s">
        <v>265</v>
      </c>
      <c r="B274" s="33">
        <f>ROUND(B$132*(1-Loads!$B244),3)</f>
        <v>1.323</v>
      </c>
      <c r="C274" s="33">
        <f>ROUND(C$132*(1-Loads!$B244),3)</f>
        <v>0</v>
      </c>
      <c r="D274" s="33">
        <f>ROUND(D$132*(1-Loads!$B244),3)</f>
        <v>0</v>
      </c>
      <c r="E274" s="42">
        <f>ROUND(E$132*(1-Loads!$C244),2)</f>
        <v>0</v>
      </c>
      <c r="F274" s="42">
        <f>ROUND(F$132*(1-Loads!$B244),2)</f>
        <v>0</v>
      </c>
      <c r="G274" s="33">
        <f>ROUND(G$132*(1-Loads!$B244),3)</f>
        <v>0</v>
      </c>
      <c r="H274" s="10"/>
    </row>
    <row r="275" spans="1:8" x14ac:dyDescent="0.25">
      <c r="A275" s="3" t="s">
        <v>266</v>
      </c>
      <c r="B275" s="33">
        <f>ROUND(B$132*(1-Loads!$B245),3)</f>
        <v>0.96899999999999997</v>
      </c>
      <c r="C275" s="33">
        <f>ROUND(C$132*(1-Loads!$B245),3)</f>
        <v>0</v>
      </c>
      <c r="D275" s="33">
        <f>ROUND(D$132*(1-Loads!$B245),3)</f>
        <v>0</v>
      </c>
      <c r="E275" s="42">
        <f>ROUND(E$132*(1-Loads!$C245),2)</f>
        <v>0</v>
      </c>
      <c r="F275" s="42">
        <f>ROUND(F$132*(1-Loads!$B245),2)</f>
        <v>0</v>
      </c>
      <c r="G275" s="33">
        <f>ROUND(G$132*(1-Loads!$B245),3)</f>
        <v>0</v>
      </c>
      <c r="H275" s="10"/>
    </row>
    <row r="276" spans="1:8" x14ac:dyDescent="0.25">
      <c r="A276" s="24" t="s">
        <v>267</v>
      </c>
      <c r="H276" s="10"/>
    </row>
    <row r="277" spans="1:8" x14ac:dyDescent="0.25">
      <c r="A277" s="3" t="s">
        <v>214</v>
      </c>
      <c r="B277" s="33">
        <f>ROUND(B$133*(1-Loads!$B247),3)</f>
        <v>2.508</v>
      </c>
      <c r="C277" s="33">
        <f>ROUND(C$133*(1-Loads!$B247),3)</f>
        <v>0</v>
      </c>
      <c r="D277" s="33">
        <f>ROUND(D$133*(1-Loads!$B247),3)</f>
        <v>0</v>
      </c>
      <c r="E277" s="42">
        <f>ROUND(E$133*(1-Loads!$C247),2)</f>
        <v>0</v>
      </c>
      <c r="F277" s="42">
        <f>ROUND(F$133*(1-Loads!$B247),2)</f>
        <v>0</v>
      </c>
      <c r="G277" s="33">
        <f>ROUND(G$133*(1-Loads!$B247),3)</f>
        <v>0</v>
      </c>
      <c r="H277" s="10"/>
    </row>
    <row r="278" spans="1:8" x14ac:dyDescent="0.25">
      <c r="A278" s="3" t="s">
        <v>268</v>
      </c>
      <c r="B278" s="33">
        <f>ROUND(B$133*(1-Loads!$B248),3)</f>
        <v>1.7529999999999999</v>
      </c>
      <c r="C278" s="33">
        <f>ROUND(C$133*(1-Loads!$B248),3)</f>
        <v>0</v>
      </c>
      <c r="D278" s="33">
        <f>ROUND(D$133*(1-Loads!$B248),3)</f>
        <v>0</v>
      </c>
      <c r="E278" s="42">
        <f>ROUND(E$133*(1-Loads!$C248),2)</f>
        <v>0</v>
      </c>
      <c r="F278" s="42">
        <f>ROUND(F$133*(1-Loads!$B248),2)</f>
        <v>0</v>
      </c>
      <c r="G278" s="33">
        <f>ROUND(G$133*(1-Loads!$B248),3)</f>
        <v>0</v>
      </c>
      <c r="H278" s="10"/>
    </row>
    <row r="279" spans="1:8" x14ac:dyDescent="0.25">
      <c r="A279" s="3" t="s">
        <v>269</v>
      </c>
      <c r="B279" s="33">
        <f>ROUND(B$133*(1-Loads!$B249),3)</f>
        <v>1.284</v>
      </c>
      <c r="C279" s="33">
        <f>ROUND(C$133*(1-Loads!$B249),3)</f>
        <v>0</v>
      </c>
      <c r="D279" s="33">
        <f>ROUND(D$133*(1-Loads!$B249),3)</f>
        <v>0</v>
      </c>
      <c r="E279" s="42">
        <f>ROUND(E$133*(1-Loads!$C249),2)</f>
        <v>0</v>
      </c>
      <c r="F279" s="42">
        <f>ROUND(F$133*(1-Loads!$B249),2)</f>
        <v>0</v>
      </c>
      <c r="G279" s="33">
        <f>ROUND(G$133*(1-Loads!$B249),3)</f>
        <v>0</v>
      </c>
      <c r="H279" s="10"/>
    </row>
    <row r="280" spans="1:8" x14ac:dyDescent="0.25">
      <c r="A280" s="24" t="s">
        <v>270</v>
      </c>
      <c r="H280" s="10"/>
    </row>
    <row r="281" spans="1:8" x14ac:dyDescent="0.25">
      <c r="A281" s="3" t="s">
        <v>215</v>
      </c>
      <c r="B281" s="33">
        <f>ROUND(B$134*(1-Loads!$B251),3)</f>
        <v>4.04</v>
      </c>
      <c r="C281" s="33">
        <f>ROUND(C$134*(1-Loads!$B251),3)</f>
        <v>0</v>
      </c>
      <c r="D281" s="33">
        <f>ROUND(D$134*(1-Loads!$B251),3)</f>
        <v>0</v>
      </c>
      <c r="E281" s="42">
        <f>ROUND(E$134*(1-Loads!$C251),2)</f>
        <v>0</v>
      </c>
      <c r="F281" s="42">
        <f>ROUND(F$134*(1-Loads!$B251),2)</f>
        <v>0</v>
      </c>
      <c r="G281" s="33">
        <f>ROUND(G$134*(1-Loads!$B251),3)</f>
        <v>0</v>
      </c>
      <c r="H281" s="10"/>
    </row>
    <row r="282" spans="1:8" x14ac:dyDescent="0.25">
      <c r="A282" s="3" t="s">
        <v>271</v>
      </c>
      <c r="B282" s="33">
        <f>ROUND(B$134*(1-Loads!$B252),3)</f>
        <v>2.823</v>
      </c>
      <c r="C282" s="33">
        <f>ROUND(C$134*(1-Loads!$B252),3)</f>
        <v>0</v>
      </c>
      <c r="D282" s="33">
        <f>ROUND(D$134*(1-Loads!$B252),3)</f>
        <v>0</v>
      </c>
      <c r="E282" s="42">
        <f>ROUND(E$134*(1-Loads!$C252),2)</f>
        <v>0</v>
      </c>
      <c r="F282" s="42">
        <f>ROUND(F$134*(1-Loads!$B252),2)</f>
        <v>0</v>
      </c>
      <c r="G282" s="33">
        <f>ROUND(G$134*(1-Loads!$B252),3)</f>
        <v>0</v>
      </c>
      <c r="H282" s="10"/>
    </row>
    <row r="283" spans="1:8" x14ac:dyDescent="0.25">
      <c r="A283" s="3" t="s">
        <v>272</v>
      </c>
      <c r="B283" s="33">
        <f>ROUND(B$134*(1-Loads!$B253),3)</f>
        <v>2.0680000000000001</v>
      </c>
      <c r="C283" s="33">
        <f>ROUND(C$134*(1-Loads!$B253),3)</f>
        <v>0</v>
      </c>
      <c r="D283" s="33">
        <f>ROUND(D$134*(1-Loads!$B253),3)</f>
        <v>0</v>
      </c>
      <c r="E283" s="42">
        <f>ROUND(E$134*(1-Loads!$C253),2)</f>
        <v>0</v>
      </c>
      <c r="F283" s="42">
        <f>ROUND(F$134*(1-Loads!$B253),2)</f>
        <v>0</v>
      </c>
      <c r="G283" s="33">
        <f>ROUND(G$134*(1-Loads!$B253),3)</f>
        <v>0</v>
      </c>
      <c r="H283" s="10"/>
    </row>
    <row r="284" spans="1:8" x14ac:dyDescent="0.25">
      <c r="A284" s="24" t="s">
        <v>273</v>
      </c>
      <c r="H284" s="10"/>
    </row>
    <row r="285" spans="1:8" x14ac:dyDescent="0.25">
      <c r="A285" s="3" t="s">
        <v>216</v>
      </c>
      <c r="B285" s="33">
        <f>ROUND(B$135*(1-Loads!$B255),3)</f>
        <v>1.2849999999999999</v>
      </c>
      <c r="C285" s="33">
        <f>ROUND(C$135*(1-Loads!$B255),3)</f>
        <v>0</v>
      </c>
      <c r="D285" s="33">
        <f>ROUND(D$135*(1-Loads!$B255),3)</f>
        <v>0</v>
      </c>
      <c r="E285" s="42">
        <f>ROUND(E$135*(1-Loads!$C255),2)</f>
        <v>0</v>
      </c>
      <c r="F285" s="42">
        <f>ROUND(F$135*(1-Loads!$B255),2)</f>
        <v>0</v>
      </c>
      <c r="G285" s="33">
        <f>ROUND(G$135*(1-Loads!$B255),3)</f>
        <v>0</v>
      </c>
      <c r="H285" s="10"/>
    </row>
    <row r="286" spans="1:8" x14ac:dyDescent="0.25">
      <c r="A286" s="3" t="s">
        <v>274</v>
      </c>
      <c r="B286" s="33">
        <f>ROUND(B$135*(1-Loads!$B256),3)</f>
        <v>0.89800000000000002</v>
      </c>
      <c r="C286" s="33">
        <f>ROUND(C$135*(1-Loads!$B256),3)</f>
        <v>0</v>
      </c>
      <c r="D286" s="33">
        <f>ROUND(D$135*(1-Loads!$B256),3)</f>
        <v>0</v>
      </c>
      <c r="E286" s="42">
        <f>ROUND(E$135*(1-Loads!$C256),2)</f>
        <v>0</v>
      </c>
      <c r="F286" s="42">
        <f>ROUND(F$135*(1-Loads!$B256),2)</f>
        <v>0</v>
      </c>
      <c r="G286" s="33">
        <f>ROUND(G$135*(1-Loads!$B256),3)</f>
        <v>0</v>
      </c>
      <c r="H286" s="10"/>
    </row>
    <row r="287" spans="1:8" x14ac:dyDescent="0.25">
      <c r="A287" s="3" t="s">
        <v>275</v>
      </c>
      <c r="B287" s="33">
        <f>ROUND(B$135*(1-Loads!$B257),3)</f>
        <v>0.65800000000000003</v>
      </c>
      <c r="C287" s="33">
        <f>ROUND(C$135*(1-Loads!$B257),3)</f>
        <v>0</v>
      </c>
      <c r="D287" s="33">
        <f>ROUND(D$135*(1-Loads!$B257),3)</f>
        <v>0</v>
      </c>
      <c r="E287" s="42">
        <f>ROUND(E$135*(1-Loads!$C257),2)</f>
        <v>0</v>
      </c>
      <c r="F287" s="42">
        <f>ROUND(F$135*(1-Loads!$B257),2)</f>
        <v>0</v>
      </c>
      <c r="G287" s="33">
        <f>ROUND(G$135*(1-Loads!$B257),3)</f>
        <v>0</v>
      </c>
      <c r="H287" s="10"/>
    </row>
    <row r="288" spans="1:8" x14ac:dyDescent="0.25">
      <c r="A288" s="24" t="s">
        <v>276</v>
      </c>
      <c r="H288" s="10"/>
    </row>
    <row r="289" spans="1:8" x14ac:dyDescent="0.25">
      <c r="A289" s="3" t="s">
        <v>217</v>
      </c>
      <c r="B289" s="33">
        <f>ROUND(B$136*(1-Loads!$B259),3)</f>
        <v>37.704000000000001</v>
      </c>
      <c r="C289" s="33">
        <f>ROUND(C$136*(1-Loads!$B259),3)</f>
        <v>1.101</v>
      </c>
      <c r="D289" s="33">
        <f>ROUND(D$136*(1-Loads!$B259),3)</f>
        <v>0.63200000000000001</v>
      </c>
      <c r="E289" s="42">
        <f>ROUND(E$136*(1-Loads!$C259),2)</f>
        <v>0</v>
      </c>
      <c r="F289" s="42">
        <f>ROUND(F$136*(1-Loads!$B259),2)</f>
        <v>0</v>
      </c>
      <c r="G289" s="33">
        <f>ROUND(G$136*(1-Loads!$B259),3)</f>
        <v>0</v>
      </c>
      <c r="H289" s="10"/>
    </row>
    <row r="290" spans="1:8" x14ac:dyDescent="0.25">
      <c r="A290" s="3" t="s">
        <v>277</v>
      </c>
      <c r="B290" s="33">
        <f>ROUND(B$136*(1-Loads!$B260),3)</f>
        <v>26.347000000000001</v>
      </c>
      <c r="C290" s="33">
        <f>ROUND(C$136*(1-Loads!$B260),3)</f>
        <v>0.76900000000000002</v>
      </c>
      <c r="D290" s="33">
        <f>ROUND(D$136*(1-Loads!$B260),3)</f>
        <v>0.442</v>
      </c>
      <c r="E290" s="42">
        <f>ROUND(E$136*(1-Loads!$C260),2)</f>
        <v>0</v>
      </c>
      <c r="F290" s="42">
        <f>ROUND(F$136*(1-Loads!$B260),2)</f>
        <v>0</v>
      </c>
      <c r="G290" s="33">
        <f>ROUND(G$136*(1-Loads!$B260),3)</f>
        <v>0</v>
      </c>
      <c r="H290" s="10"/>
    </row>
    <row r="291" spans="1:8" x14ac:dyDescent="0.25">
      <c r="A291" s="3" t="s">
        <v>278</v>
      </c>
      <c r="B291" s="33">
        <f>ROUND(B$136*(1-Loads!$B261),3)</f>
        <v>19.297000000000001</v>
      </c>
      <c r="C291" s="33">
        <f>ROUND(C$136*(1-Loads!$B261),3)</f>
        <v>0.56299999999999994</v>
      </c>
      <c r="D291" s="33">
        <f>ROUND(D$136*(1-Loads!$B261),3)</f>
        <v>0.32300000000000001</v>
      </c>
      <c r="E291" s="42">
        <f>ROUND(E$136*(1-Loads!$C261),2)</f>
        <v>0</v>
      </c>
      <c r="F291" s="42">
        <f>ROUND(F$136*(1-Loads!$B261),2)</f>
        <v>0</v>
      </c>
      <c r="G291" s="33">
        <f>ROUND(G$136*(1-Loads!$B261),3)</f>
        <v>0</v>
      </c>
      <c r="H291" s="10"/>
    </row>
    <row r="292" spans="1:8" x14ac:dyDescent="0.25">
      <c r="A292" s="24" t="s">
        <v>279</v>
      </c>
      <c r="H292" s="10"/>
    </row>
    <row r="293" spans="1:8" x14ac:dyDescent="0.25">
      <c r="A293" s="3" t="s">
        <v>181</v>
      </c>
      <c r="B293" s="33">
        <f>ROUND(B$137*(1-Loads!$B263),3)</f>
        <v>-0.626</v>
      </c>
      <c r="C293" s="33">
        <f>ROUND(C$137*(1-Loads!$B263),3)</f>
        <v>0</v>
      </c>
      <c r="D293" s="33">
        <f>ROUND(D$137*(1-Loads!$B263),3)</f>
        <v>0</v>
      </c>
      <c r="E293" s="42">
        <f>ROUND(E$137*(1-Loads!$C263),2)</f>
        <v>0</v>
      </c>
      <c r="F293" s="42">
        <f>ROUND(F$137*(1-Loads!$B263),2)</f>
        <v>0</v>
      </c>
      <c r="G293" s="33">
        <f>ROUND(G$137*(1-Loads!$B263),3)</f>
        <v>0</v>
      </c>
      <c r="H293" s="10"/>
    </row>
    <row r="294" spans="1:8" x14ac:dyDescent="0.25">
      <c r="A294" s="3" t="s">
        <v>280</v>
      </c>
      <c r="B294" s="33">
        <f>ROUND(B$137*(1-Loads!$B264),3)</f>
        <v>-0.626</v>
      </c>
      <c r="C294" s="33">
        <f>ROUND(C$137*(1-Loads!$B264),3)</f>
        <v>0</v>
      </c>
      <c r="D294" s="33">
        <f>ROUND(D$137*(1-Loads!$B264),3)</f>
        <v>0</v>
      </c>
      <c r="E294" s="42">
        <f>ROUND(E$137*(1-Loads!$C264),2)</f>
        <v>0</v>
      </c>
      <c r="F294" s="42">
        <f>ROUND(F$137*(1-Loads!$B264),2)</f>
        <v>0</v>
      </c>
      <c r="G294" s="33">
        <f>ROUND(G$137*(1-Loads!$B264),3)</f>
        <v>0</v>
      </c>
      <c r="H294" s="10"/>
    </row>
    <row r="295" spans="1:8" x14ac:dyDescent="0.25">
      <c r="A295" s="3" t="s">
        <v>281</v>
      </c>
      <c r="B295" s="33">
        <f>ROUND(B$137*(1-Loads!$B265),3)</f>
        <v>-0.626</v>
      </c>
      <c r="C295" s="33">
        <f>ROUND(C$137*(1-Loads!$B265),3)</f>
        <v>0</v>
      </c>
      <c r="D295" s="33">
        <f>ROUND(D$137*(1-Loads!$B265),3)</f>
        <v>0</v>
      </c>
      <c r="E295" s="42">
        <f>ROUND(E$137*(1-Loads!$C265),2)</f>
        <v>0</v>
      </c>
      <c r="F295" s="42">
        <f>ROUND(F$137*(1-Loads!$B265),2)</f>
        <v>0</v>
      </c>
      <c r="G295" s="33">
        <f>ROUND(G$137*(1-Loads!$B265),3)</f>
        <v>0</v>
      </c>
      <c r="H295" s="10"/>
    </row>
    <row r="296" spans="1:8" x14ac:dyDescent="0.25">
      <c r="A296" s="24" t="s">
        <v>282</v>
      </c>
      <c r="H296" s="10"/>
    </row>
    <row r="297" spans="1:8" x14ac:dyDescent="0.25">
      <c r="A297" s="3" t="s">
        <v>182</v>
      </c>
      <c r="B297" s="33">
        <f>ROUND(B$138*(1-Loads!$B267),3)</f>
        <v>-0.54600000000000004</v>
      </c>
      <c r="C297" s="33">
        <f>ROUND(C$138*(1-Loads!$B267),3)</f>
        <v>0</v>
      </c>
      <c r="D297" s="33">
        <f>ROUND(D$138*(1-Loads!$B267),3)</f>
        <v>0</v>
      </c>
      <c r="E297" s="42">
        <f>ROUND(E$138*(1-Loads!$C267),2)</f>
        <v>0</v>
      </c>
      <c r="F297" s="42">
        <f>ROUND(F$138*(1-Loads!$B267),2)</f>
        <v>0</v>
      </c>
      <c r="G297" s="33">
        <f>ROUND(G$138*(1-Loads!$B267),3)</f>
        <v>0</v>
      </c>
      <c r="H297" s="10"/>
    </row>
    <row r="298" spans="1:8" x14ac:dyDescent="0.25">
      <c r="A298" s="3" t="s">
        <v>283</v>
      </c>
      <c r="B298" s="33">
        <f>ROUND(B$138*(1-Loads!$B268),3)</f>
        <v>-0.54600000000000004</v>
      </c>
      <c r="C298" s="33">
        <f>ROUND(C$138*(1-Loads!$B268),3)</f>
        <v>0</v>
      </c>
      <c r="D298" s="33">
        <f>ROUND(D$138*(1-Loads!$B268),3)</f>
        <v>0</v>
      </c>
      <c r="E298" s="42">
        <f>ROUND(E$138*(1-Loads!$C268),2)</f>
        <v>0</v>
      </c>
      <c r="F298" s="42">
        <f>ROUND(F$138*(1-Loads!$B268),2)</f>
        <v>0</v>
      </c>
      <c r="G298" s="33">
        <f>ROUND(G$138*(1-Loads!$B268),3)</f>
        <v>0</v>
      </c>
      <c r="H298" s="10"/>
    </row>
    <row r="299" spans="1:8" x14ac:dyDescent="0.25">
      <c r="A299" s="24" t="s">
        <v>284</v>
      </c>
      <c r="H299" s="10"/>
    </row>
    <row r="300" spans="1:8" x14ac:dyDescent="0.25">
      <c r="A300" s="3" t="s">
        <v>183</v>
      </c>
      <c r="B300" s="33">
        <f>ROUND(B$139*(1-Loads!$B270),3)</f>
        <v>-0.626</v>
      </c>
      <c r="C300" s="33">
        <f>ROUND(C$139*(1-Loads!$B270),3)</f>
        <v>0</v>
      </c>
      <c r="D300" s="33">
        <f>ROUND(D$139*(1-Loads!$B270),3)</f>
        <v>0</v>
      </c>
      <c r="E300" s="42">
        <f>ROUND(E$139*(1-Loads!$C270),2)</f>
        <v>0</v>
      </c>
      <c r="F300" s="42">
        <f>ROUND(F$139*(1-Loads!$B270),2)</f>
        <v>0</v>
      </c>
      <c r="G300" s="33">
        <f>ROUND(G$139*(1-Loads!$B270),3)</f>
        <v>0.23200000000000001</v>
      </c>
      <c r="H300" s="10"/>
    </row>
    <row r="301" spans="1:8" x14ac:dyDescent="0.25">
      <c r="A301" s="3" t="s">
        <v>285</v>
      </c>
      <c r="B301" s="33">
        <f>ROUND(B$139*(1-Loads!$B271),3)</f>
        <v>-0.626</v>
      </c>
      <c r="C301" s="33">
        <f>ROUND(C$139*(1-Loads!$B271),3)</f>
        <v>0</v>
      </c>
      <c r="D301" s="33">
        <f>ROUND(D$139*(1-Loads!$B271),3)</f>
        <v>0</v>
      </c>
      <c r="E301" s="42">
        <f>ROUND(E$139*(1-Loads!$C271),2)</f>
        <v>0</v>
      </c>
      <c r="F301" s="42">
        <f>ROUND(F$139*(1-Loads!$B271),2)</f>
        <v>0</v>
      </c>
      <c r="G301" s="33">
        <f>ROUND(G$139*(1-Loads!$B271),3)</f>
        <v>0.23200000000000001</v>
      </c>
      <c r="H301" s="10"/>
    </row>
    <row r="302" spans="1:8" x14ac:dyDescent="0.25">
      <c r="A302" s="3" t="s">
        <v>286</v>
      </c>
      <c r="B302" s="33">
        <f>ROUND(B$139*(1-Loads!$B272),3)</f>
        <v>-0.626</v>
      </c>
      <c r="C302" s="33">
        <f>ROUND(C$139*(1-Loads!$B272),3)</f>
        <v>0</v>
      </c>
      <c r="D302" s="33">
        <f>ROUND(D$139*(1-Loads!$B272),3)</f>
        <v>0</v>
      </c>
      <c r="E302" s="42">
        <f>ROUND(E$139*(1-Loads!$C272),2)</f>
        <v>0</v>
      </c>
      <c r="F302" s="42">
        <f>ROUND(F$139*(1-Loads!$B272),2)</f>
        <v>0</v>
      </c>
      <c r="G302" s="33">
        <f>ROUND(G$139*(1-Loads!$B272),3)</f>
        <v>0.23200000000000001</v>
      </c>
      <c r="H302" s="10"/>
    </row>
    <row r="303" spans="1:8" x14ac:dyDescent="0.25">
      <c r="A303" s="24" t="s">
        <v>287</v>
      </c>
      <c r="H303" s="10"/>
    </row>
    <row r="304" spans="1:8" x14ac:dyDescent="0.25">
      <c r="A304" s="3" t="s">
        <v>184</v>
      </c>
      <c r="B304" s="33">
        <f>ROUND(B$140*(1-Loads!$B274),3)</f>
        <v>-5.1929999999999996</v>
      </c>
      <c r="C304" s="33">
        <f>ROUND(C$140*(1-Loads!$B274),3)</f>
        <v>-0.46</v>
      </c>
      <c r="D304" s="33">
        <f>ROUND(D$140*(1-Loads!$B274),3)</f>
        <v>-3.4000000000000002E-2</v>
      </c>
      <c r="E304" s="42">
        <f>ROUND(E$140*(1-Loads!$C274),2)</f>
        <v>0</v>
      </c>
      <c r="F304" s="42">
        <f>ROUND(F$140*(1-Loads!$B274),2)</f>
        <v>0</v>
      </c>
      <c r="G304" s="33">
        <f>ROUND(G$140*(1-Loads!$B274),3)</f>
        <v>0.23200000000000001</v>
      </c>
      <c r="H304" s="10"/>
    </row>
    <row r="305" spans="1:8" x14ac:dyDescent="0.25">
      <c r="A305" s="3" t="s">
        <v>288</v>
      </c>
      <c r="B305" s="33">
        <f>ROUND(B$140*(1-Loads!$B275),3)</f>
        <v>-5.1929999999999996</v>
      </c>
      <c r="C305" s="33">
        <f>ROUND(C$140*(1-Loads!$B275),3)</f>
        <v>-0.46</v>
      </c>
      <c r="D305" s="33">
        <f>ROUND(D$140*(1-Loads!$B275),3)</f>
        <v>-3.4000000000000002E-2</v>
      </c>
      <c r="E305" s="42">
        <f>ROUND(E$140*(1-Loads!$C275),2)</f>
        <v>0</v>
      </c>
      <c r="F305" s="42">
        <f>ROUND(F$140*(1-Loads!$B275),2)</f>
        <v>0</v>
      </c>
      <c r="G305" s="33">
        <f>ROUND(G$140*(1-Loads!$B275),3)</f>
        <v>0.23200000000000001</v>
      </c>
      <c r="H305" s="10"/>
    </row>
    <row r="306" spans="1:8" x14ac:dyDescent="0.25">
      <c r="A306" s="3" t="s">
        <v>289</v>
      </c>
      <c r="B306" s="33">
        <f>ROUND(B$140*(1-Loads!$B276),3)</f>
        <v>-5.1929999999999996</v>
      </c>
      <c r="C306" s="33">
        <f>ROUND(C$140*(1-Loads!$B276),3)</f>
        <v>-0.46</v>
      </c>
      <c r="D306" s="33">
        <f>ROUND(D$140*(1-Loads!$B276),3)</f>
        <v>-3.4000000000000002E-2</v>
      </c>
      <c r="E306" s="42">
        <f>ROUND(E$140*(1-Loads!$C276),2)</f>
        <v>0</v>
      </c>
      <c r="F306" s="42">
        <f>ROUND(F$140*(1-Loads!$B276),2)</f>
        <v>0</v>
      </c>
      <c r="G306" s="33">
        <f>ROUND(G$140*(1-Loads!$B276),3)</f>
        <v>0.23200000000000001</v>
      </c>
      <c r="H306" s="10"/>
    </row>
    <row r="307" spans="1:8" x14ac:dyDescent="0.25">
      <c r="A307" s="24" t="s">
        <v>290</v>
      </c>
      <c r="H307" s="10"/>
    </row>
    <row r="308" spans="1:8" x14ac:dyDescent="0.25">
      <c r="A308" s="3" t="s">
        <v>185</v>
      </c>
      <c r="B308" s="33">
        <f>ROUND(B$141*(1-Loads!$B278),3)</f>
        <v>-0.54600000000000004</v>
      </c>
      <c r="C308" s="33">
        <f>ROUND(C$141*(1-Loads!$B278),3)</f>
        <v>0</v>
      </c>
      <c r="D308" s="33">
        <f>ROUND(D$141*(1-Loads!$B278),3)</f>
        <v>0</v>
      </c>
      <c r="E308" s="42">
        <f>ROUND(E$141*(1-Loads!$C278),2)</f>
        <v>0</v>
      </c>
      <c r="F308" s="42">
        <f>ROUND(F$141*(1-Loads!$B278),2)</f>
        <v>0</v>
      </c>
      <c r="G308" s="33">
        <f>ROUND(G$141*(1-Loads!$B278),3)</f>
        <v>0.20200000000000001</v>
      </c>
      <c r="H308" s="10"/>
    </row>
    <row r="309" spans="1:8" x14ac:dyDescent="0.25">
      <c r="A309" s="3" t="s">
        <v>291</v>
      </c>
      <c r="B309" s="33">
        <f>ROUND(B$141*(1-Loads!$B279),3)</f>
        <v>-0.54600000000000004</v>
      </c>
      <c r="C309" s="33">
        <f>ROUND(C$141*(1-Loads!$B279),3)</f>
        <v>0</v>
      </c>
      <c r="D309" s="33">
        <f>ROUND(D$141*(1-Loads!$B279),3)</f>
        <v>0</v>
      </c>
      <c r="E309" s="42">
        <f>ROUND(E$141*(1-Loads!$C279),2)</f>
        <v>0</v>
      </c>
      <c r="F309" s="42">
        <f>ROUND(F$141*(1-Loads!$B279),2)</f>
        <v>0</v>
      </c>
      <c r="G309" s="33">
        <f>ROUND(G$141*(1-Loads!$B279),3)</f>
        <v>0.20200000000000001</v>
      </c>
      <c r="H309" s="10"/>
    </row>
    <row r="310" spans="1:8" x14ac:dyDescent="0.25">
      <c r="A310" s="24" t="s">
        <v>292</v>
      </c>
      <c r="H310" s="10"/>
    </row>
    <row r="311" spans="1:8" x14ac:dyDescent="0.25">
      <c r="A311" s="3" t="s">
        <v>186</v>
      </c>
      <c r="B311" s="33">
        <f>ROUND(B$142*(1-Loads!$B281),3)</f>
        <v>-4.5720000000000001</v>
      </c>
      <c r="C311" s="33">
        <f>ROUND(C$142*(1-Loads!$B281),3)</f>
        <v>-0.39</v>
      </c>
      <c r="D311" s="33">
        <f>ROUND(D$142*(1-Loads!$B281),3)</f>
        <v>-2.9000000000000001E-2</v>
      </c>
      <c r="E311" s="42">
        <f>ROUND(E$142*(1-Loads!$C281),2)</f>
        <v>0</v>
      </c>
      <c r="F311" s="42">
        <f>ROUND(F$142*(1-Loads!$B281),2)</f>
        <v>0</v>
      </c>
      <c r="G311" s="33">
        <f>ROUND(G$142*(1-Loads!$B281),3)</f>
        <v>0.20200000000000001</v>
      </c>
      <c r="H311" s="10"/>
    </row>
    <row r="312" spans="1:8" x14ac:dyDescent="0.25">
      <c r="A312" s="3" t="s">
        <v>293</v>
      </c>
      <c r="B312" s="33">
        <f>ROUND(B$142*(1-Loads!$B282),3)</f>
        <v>-4.5720000000000001</v>
      </c>
      <c r="C312" s="33">
        <f>ROUND(C$142*(1-Loads!$B282),3)</f>
        <v>-0.39</v>
      </c>
      <c r="D312" s="33">
        <f>ROUND(D$142*(1-Loads!$B282),3)</f>
        <v>-2.9000000000000001E-2</v>
      </c>
      <c r="E312" s="42">
        <f>ROUND(E$142*(1-Loads!$C282),2)</f>
        <v>0</v>
      </c>
      <c r="F312" s="42">
        <f>ROUND(F$142*(1-Loads!$B282),2)</f>
        <v>0</v>
      </c>
      <c r="G312" s="33">
        <f>ROUND(G$142*(1-Loads!$B282),3)</f>
        <v>0.20200000000000001</v>
      </c>
      <c r="H312" s="10"/>
    </row>
    <row r="313" spans="1:8" x14ac:dyDescent="0.25">
      <c r="A313" s="24" t="s">
        <v>294</v>
      </c>
      <c r="H313" s="10"/>
    </row>
    <row r="314" spans="1:8" x14ac:dyDescent="0.25">
      <c r="A314" s="3" t="s">
        <v>194</v>
      </c>
      <c r="B314" s="33">
        <f>ROUND(B$143*(1-Loads!$B284),3)</f>
        <v>-0.33300000000000002</v>
      </c>
      <c r="C314" s="33">
        <f>ROUND(C$143*(1-Loads!$B284),3)</f>
        <v>0</v>
      </c>
      <c r="D314" s="33">
        <f>ROUND(D$143*(1-Loads!$B284),3)</f>
        <v>0</v>
      </c>
      <c r="E314" s="42">
        <f>ROUND(E$143*(1-Loads!$C284),2)</f>
        <v>29.35</v>
      </c>
      <c r="F314" s="42">
        <f>ROUND(F$143*(1-Loads!$B284),2)</f>
        <v>0</v>
      </c>
      <c r="G314" s="33">
        <f>ROUND(G$143*(1-Loads!$B284),3)</f>
        <v>0.159</v>
      </c>
      <c r="H314" s="10"/>
    </row>
    <row r="315" spans="1:8" x14ac:dyDescent="0.25">
      <c r="A315" s="3" t="s">
        <v>295</v>
      </c>
      <c r="B315" s="33">
        <f>ROUND(B$143*(1-Loads!$B285),3)</f>
        <v>-0.33300000000000002</v>
      </c>
      <c r="C315" s="33">
        <f>ROUND(C$143*(1-Loads!$B285),3)</f>
        <v>0</v>
      </c>
      <c r="D315" s="33">
        <f>ROUND(D$143*(1-Loads!$B285),3)</f>
        <v>0</v>
      </c>
      <c r="E315" s="42">
        <f>ROUND(E$143*(1-Loads!$C285),2)</f>
        <v>0</v>
      </c>
      <c r="F315" s="42">
        <f>ROUND(F$143*(1-Loads!$B285),2)</f>
        <v>0</v>
      </c>
      <c r="G315" s="33">
        <f>ROUND(G$143*(1-Loads!$B285),3)</f>
        <v>0.159</v>
      </c>
      <c r="H315" s="10"/>
    </row>
    <row r="316" spans="1:8" x14ac:dyDescent="0.25">
      <c r="A316" s="24" t="s">
        <v>296</v>
      </c>
      <c r="H316" s="10"/>
    </row>
    <row r="317" spans="1:8" x14ac:dyDescent="0.25">
      <c r="A317" s="3" t="s">
        <v>195</v>
      </c>
      <c r="B317" s="33">
        <f>ROUND(B$144*(1-Loads!$B287),3)</f>
        <v>-2.9550000000000001</v>
      </c>
      <c r="C317" s="33">
        <f>ROUND(C$144*(1-Loads!$B287),3)</f>
        <v>-0.19700000000000001</v>
      </c>
      <c r="D317" s="33">
        <f>ROUND(D$144*(1-Loads!$B287),3)</f>
        <v>-1.4E-2</v>
      </c>
      <c r="E317" s="42">
        <f>ROUND(E$144*(1-Loads!$C287),2)</f>
        <v>29.35</v>
      </c>
      <c r="F317" s="42">
        <f>ROUND(F$144*(1-Loads!$B287),2)</f>
        <v>0</v>
      </c>
      <c r="G317" s="33">
        <f>ROUND(G$144*(1-Loads!$B287),3)</f>
        <v>0.159</v>
      </c>
      <c r="H317" s="10"/>
    </row>
    <row r="318" spans="1:8" x14ac:dyDescent="0.25">
      <c r="A318" s="3" t="s">
        <v>297</v>
      </c>
      <c r="B318" s="33">
        <f>ROUND(B$144*(1-Loads!$B288),3)</f>
        <v>-2.9550000000000001</v>
      </c>
      <c r="C318" s="33">
        <f>ROUND(C$144*(1-Loads!$B288),3)</f>
        <v>-0.19700000000000001</v>
      </c>
      <c r="D318" s="33">
        <f>ROUND(D$144*(1-Loads!$B288),3)</f>
        <v>-1.4E-2</v>
      </c>
      <c r="E318" s="42">
        <f>ROUND(E$144*(1-Loads!$C288),2)</f>
        <v>0</v>
      </c>
      <c r="F318" s="42">
        <f>ROUND(F$144*(1-Loads!$B288),2)</f>
        <v>0</v>
      </c>
      <c r="G318" s="33">
        <f>ROUND(G$144*(1-Loads!$B288),3)</f>
        <v>0.159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15" display="x2 = 3510. Unit rate 1 p/kWh scaler (in Scaler)"/>
    <hyperlink ref="A7" location="'Aggreg'!C237" display="x3 = 3307. Unit rate 2 p/kWh (total) (in Summary of charges before revenue matching)"/>
    <hyperlink ref="A8" location="'Scaler'!C415" display="x4 = 3510. Unit rate 2 p/kWh scaler (in Scaler)"/>
    <hyperlink ref="A9" location="'Aggreg'!D237" display="x5 = 3307. Unit rate 3 p/kWh (total) (in Summary of charges before revenue matching)"/>
    <hyperlink ref="A10" location="'Scaler'!D415" display="x6 = 3510. Unit rate 3 p/kWh scaler (in Scaler)"/>
    <hyperlink ref="A11" location="'Aggreg'!E237" display="x7 = 3307. Fixed charge p/MPAN/day (total) (in Summary of charges before revenue matching)"/>
    <hyperlink ref="A12" location="'Scaler'!E415" display="x8 = 3510. Fixed charge p/MPAN/day scaler (in Scaler)"/>
    <hyperlink ref="A13" location="'Aggreg'!F237" display="x9 = 3307. Capacity charge p/kVA/day (total) (in Summary of charges before revenue matching)"/>
    <hyperlink ref="A14" location="'Scaler'!F415" display="x10 = 3510. Capacity charge p/kVA/day scaler (in Scaler)"/>
    <hyperlink ref="A15" location="'Aggreg'!G237" display="x11 = 3307. Reactive power charge p/kVArh (in Summary of charges before revenue matching)"/>
    <hyperlink ref="A16" location="'Scaler'!G415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15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80" zoomScaleNormal="80" workbookViewId="0">
      <pane xSplit="1" ySplit="1" topLeftCell="B366" activePane="bottomRight" state="frozen"/>
      <selection pane="topRight" activeCell="B1" sqref="B1"/>
      <selection pane="bottomLeft" activeCell="A2" sqref="A2"/>
      <selection pane="bottomRight" activeCell="C375" sqref="C375:H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East Midlands in April 17 (Final)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12" t="s">
        <v>1</v>
      </c>
      <c r="C6" s="12" t="s">
        <v>2</v>
      </c>
      <c r="D6" s="12" t="s">
        <v>3</v>
      </c>
    </row>
    <row r="7" spans="1:7" x14ac:dyDescent="0.25">
      <c r="A7" s="3" t="s">
        <v>4</v>
      </c>
      <c r="B7" s="13" t="s">
        <v>1903</v>
      </c>
      <c r="C7" s="13" t="s">
        <v>1904</v>
      </c>
      <c r="D7" s="13" t="s">
        <v>1905</v>
      </c>
      <c r="E7" s="10"/>
    </row>
    <row r="9" spans="1:7" ht="21" customHeight="1" x14ac:dyDescent="0.3">
      <c r="A9" s="1" t="s">
        <v>5</v>
      </c>
    </row>
    <row r="11" spans="1:7" ht="30" x14ac:dyDescent="0.25"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</row>
    <row r="12" spans="1:7" x14ac:dyDescent="0.25">
      <c r="A12" s="3" t="s">
        <v>11</v>
      </c>
      <c r="B12" s="14" t="s">
        <v>50</v>
      </c>
      <c r="C12" s="15" t="s">
        <v>84</v>
      </c>
      <c r="D12" s="15" t="s">
        <v>112</v>
      </c>
      <c r="E12" s="47">
        <f>G12</f>
        <v>403204484.793926</v>
      </c>
      <c r="F12" s="17">
        <f>E12</f>
        <v>403204484.793926</v>
      </c>
      <c r="G12" s="46">
        <f>403.204484793926*1000000</f>
        <v>403204484.793926</v>
      </c>
    </row>
    <row r="13" spans="1:7" x14ac:dyDescent="0.25">
      <c r="A13" s="3" t="s">
        <v>12</v>
      </c>
      <c r="B13" s="14" t="s">
        <v>51</v>
      </c>
      <c r="C13" s="15" t="s">
        <v>85</v>
      </c>
      <c r="D13" s="15" t="s">
        <v>112</v>
      </c>
      <c r="E13" s="48">
        <v>1.121</v>
      </c>
      <c r="F13" s="17">
        <f>E12*(E13-1)</f>
        <v>48787742.660065047</v>
      </c>
      <c r="G13" s="46">
        <v>1.121</v>
      </c>
    </row>
    <row r="14" spans="1:7" x14ac:dyDescent="0.25">
      <c r="A14" s="3" t="s">
        <v>13</v>
      </c>
      <c r="B14" s="14" t="s">
        <v>52</v>
      </c>
      <c r="C14" s="15" t="s">
        <v>86</v>
      </c>
      <c r="D14" s="15" t="s">
        <v>112</v>
      </c>
      <c r="E14" s="47"/>
      <c r="F14" s="17">
        <f>0-E14</f>
        <v>0</v>
      </c>
      <c r="G14" s="46"/>
    </row>
    <row r="15" spans="1:7" x14ac:dyDescent="0.25">
      <c r="A15" s="3" t="s">
        <v>14</v>
      </c>
      <c r="B15" s="19" t="s">
        <v>53</v>
      </c>
      <c r="C15" s="20" t="s">
        <v>87</v>
      </c>
      <c r="D15" s="20" t="s">
        <v>112</v>
      </c>
      <c r="E15" s="49"/>
      <c r="F15" s="21">
        <f>SUBTOTAL(9,F12:F14)</f>
        <v>451992227.45399106</v>
      </c>
      <c r="G15" s="46">
        <v>451.99222745399095</v>
      </c>
    </row>
    <row r="16" spans="1:7" x14ac:dyDescent="0.25">
      <c r="A16" s="3" t="s">
        <v>15</v>
      </c>
      <c r="B16" s="14" t="s">
        <v>54</v>
      </c>
      <c r="C16" s="15" t="s">
        <v>88</v>
      </c>
      <c r="D16" s="15" t="s">
        <v>113</v>
      </c>
      <c r="E16" s="47">
        <f>G16</f>
        <v>480759.53711003001</v>
      </c>
      <c r="F16" s="17">
        <f>E16</f>
        <v>480759.53711003001</v>
      </c>
      <c r="G16" s="46">
        <f>0.48075953711003*1000000</f>
        <v>480759.53711003001</v>
      </c>
    </row>
    <row r="17" spans="1:7" x14ac:dyDescent="0.25">
      <c r="A17" s="3" t="s">
        <v>16</v>
      </c>
      <c r="B17" s="14" t="s">
        <v>55</v>
      </c>
      <c r="C17" s="15" t="s">
        <v>89</v>
      </c>
      <c r="D17" s="15" t="s">
        <v>113</v>
      </c>
      <c r="E17" s="47">
        <f t="shared" ref="E17:E20" si="0">G17</f>
        <v>276494.34754497895</v>
      </c>
      <c r="F17" s="17">
        <f>E17</f>
        <v>276494.34754497895</v>
      </c>
      <c r="G17" s="46">
        <f>0.276494347544979*1000000</f>
        <v>276494.34754497895</v>
      </c>
    </row>
    <row r="18" spans="1:7" x14ac:dyDescent="0.25">
      <c r="A18" s="3" t="s">
        <v>17</v>
      </c>
      <c r="B18" s="14" t="s">
        <v>56</v>
      </c>
      <c r="C18" s="15" t="s">
        <v>90</v>
      </c>
      <c r="D18" s="15" t="s">
        <v>113</v>
      </c>
      <c r="E18" s="47">
        <f t="shared" si="0"/>
        <v>-420168.219468189</v>
      </c>
      <c r="F18" s="17">
        <f>E18</f>
        <v>-420168.219468189</v>
      </c>
      <c r="G18" s="46">
        <f>-0.420168219468189*1000000</f>
        <v>-420168.219468189</v>
      </c>
    </row>
    <row r="19" spans="1:7" x14ac:dyDescent="0.25">
      <c r="A19" s="3" t="s">
        <v>18</v>
      </c>
      <c r="B19" s="14" t="s">
        <v>57</v>
      </c>
      <c r="C19" s="15" t="s">
        <v>91</v>
      </c>
      <c r="D19" s="15" t="s">
        <v>113</v>
      </c>
      <c r="E19" s="47">
        <f t="shared" si="0"/>
        <v>-36856.907927661305</v>
      </c>
      <c r="F19" s="17">
        <f>E19</f>
        <v>-36856.907927661305</v>
      </c>
      <c r="G19" s="46">
        <f>-0.0368569079276613*1000000</f>
        <v>-36856.907927661305</v>
      </c>
    </row>
    <row r="20" spans="1:7" x14ac:dyDescent="0.25">
      <c r="A20" s="3" t="s">
        <v>19</v>
      </c>
      <c r="B20" s="14" t="s">
        <v>58</v>
      </c>
      <c r="C20" s="15" t="s">
        <v>92</v>
      </c>
      <c r="D20" s="15" t="s">
        <v>113</v>
      </c>
      <c r="E20" s="47">
        <f t="shared" si="0"/>
        <v>340309.28320900799</v>
      </c>
      <c r="F20" s="17">
        <f>E20</f>
        <v>340309.28320900799</v>
      </c>
      <c r="G20" s="46">
        <f>0.340309283209008*1000000</f>
        <v>340309.28320900799</v>
      </c>
    </row>
    <row r="21" spans="1:7" x14ac:dyDescent="0.25">
      <c r="A21" s="3" t="s">
        <v>20</v>
      </c>
      <c r="B21" s="19" t="s">
        <v>59</v>
      </c>
      <c r="C21" s="20" t="s">
        <v>93</v>
      </c>
      <c r="D21" s="20" t="s">
        <v>112</v>
      </c>
      <c r="E21" s="49"/>
      <c r="F21" s="21">
        <f>SUBTOTAL(9,F16:F20)</f>
        <v>640538.0404681667</v>
      </c>
      <c r="G21" s="46"/>
    </row>
    <row r="22" spans="1:7" x14ac:dyDescent="0.25">
      <c r="A22" s="3" t="s">
        <v>21</v>
      </c>
      <c r="B22" s="14" t="s">
        <v>60</v>
      </c>
      <c r="C22" s="15" t="s">
        <v>94</v>
      </c>
      <c r="D22" s="15" t="s">
        <v>114</v>
      </c>
      <c r="E22" s="47"/>
      <c r="F22" s="17">
        <f t="shared" ref="F22:F33" si="1">E22</f>
        <v>0</v>
      </c>
      <c r="G22" s="46"/>
    </row>
    <row r="23" spans="1:7" x14ac:dyDescent="0.25">
      <c r="A23" s="3" t="s">
        <v>22</v>
      </c>
      <c r="B23" s="14" t="s">
        <v>60</v>
      </c>
      <c r="C23" s="15" t="s">
        <v>95</v>
      </c>
      <c r="D23" s="15" t="s">
        <v>114</v>
      </c>
      <c r="E23" s="47"/>
      <c r="F23" s="17">
        <f t="shared" si="1"/>
        <v>0</v>
      </c>
      <c r="G23" s="46"/>
    </row>
    <row r="24" spans="1:7" x14ac:dyDescent="0.25">
      <c r="A24" s="3" t="s">
        <v>23</v>
      </c>
      <c r="B24" s="14" t="s">
        <v>60</v>
      </c>
      <c r="C24" s="15" t="s">
        <v>96</v>
      </c>
      <c r="D24" s="15" t="s">
        <v>114</v>
      </c>
      <c r="E24" s="47"/>
      <c r="F24" s="17">
        <f t="shared" si="1"/>
        <v>0</v>
      </c>
      <c r="G24" s="46"/>
    </row>
    <row r="25" spans="1:7" x14ac:dyDescent="0.25">
      <c r="A25" s="3" t="s">
        <v>24</v>
      </c>
      <c r="B25" s="14" t="s">
        <v>60</v>
      </c>
      <c r="C25" s="15" t="s">
        <v>97</v>
      </c>
      <c r="D25" s="15" t="s">
        <v>114</v>
      </c>
      <c r="E25" s="47">
        <f>G25</f>
        <v>-13140521.6538554</v>
      </c>
      <c r="F25" s="17">
        <f t="shared" si="1"/>
        <v>-13140521.6538554</v>
      </c>
      <c r="G25" s="46">
        <f>-13.1405216538554*1000000</f>
        <v>-13140521.6538554</v>
      </c>
    </row>
    <row r="26" spans="1:7" x14ac:dyDescent="0.25">
      <c r="A26" s="3" t="s">
        <v>25</v>
      </c>
      <c r="B26" s="14" t="s">
        <v>61</v>
      </c>
      <c r="C26" s="15" t="s">
        <v>98</v>
      </c>
      <c r="D26" s="15" t="s">
        <v>115</v>
      </c>
      <c r="E26" s="47">
        <f>G26</f>
        <v>19503688.368107598</v>
      </c>
      <c r="F26" s="17">
        <f t="shared" si="1"/>
        <v>19503688.368107598</v>
      </c>
      <c r="G26" s="46">
        <f>19.5036883681076*1000000</f>
        <v>19503688.368107598</v>
      </c>
    </row>
    <row r="27" spans="1:7" x14ac:dyDescent="0.25">
      <c r="A27" s="3" t="s">
        <v>26</v>
      </c>
      <c r="B27" s="14" t="s">
        <v>62</v>
      </c>
      <c r="C27" s="15" t="s">
        <v>99</v>
      </c>
      <c r="D27" s="15" t="s">
        <v>116</v>
      </c>
      <c r="E27" s="47">
        <v>0</v>
      </c>
      <c r="F27" s="17">
        <f t="shared" si="1"/>
        <v>0</v>
      </c>
      <c r="G27" s="46"/>
    </row>
    <row r="28" spans="1:7" x14ac:dyDescent="0.25">
      <c r="A28" s="3" t="s">
        <v>27</v>
      </c>
      <c r="B28" s="14" t="s">
        <v>63</v>
      </c>
      <c r="C28" s="15" t="s">
        <v>100</v>
      </c>
      <c r="D28" s="15" t="s">
        <v>117</v>
      </c>
      <c r="E28" s="47">
        <f>G28</f>
        <v>2259961.13726995</v>
      </c>
      <c r="F28" s="17">
        <f t="shared" si="1"/>
        <v>2259961.13726995</v>
      </c>
      <c r="G28" s="46">
        <f>2.25996113726995*1000000</f>
        <v>2259961.13726995</v>
      </c>
    </row>
    <row r="29" spans="1:7" x14ac:dyDescent="0.25">
      <c r="A29" s="3" t="s">
        <v>28</v>
      </c>
      <c r="B29" s="14" t="s">
        <v>64</v>
      </c>
      <c r="C29" s="15" t="s">
        <v>101</v>
      </c>
      <c r="D29" s="15" t="s">
        <v>118</v>
      </c>
      <c r="E29" s="47">
        <v>0</v>
      </c>
      <c r="F29" s="17">
        <f t="shared" si="1"/>
        <v>0</v>
      </c>
      <c r="G29" s="46"/>
    </row>
    <row r="30" spans="1:7" x14ac:dyDescent="0.25">
      <c r="A30" s="3" t="s">
        <v>29</v>
      </c>
      <c r="B30" s="14" t="s">
        <v>65</v>
      </c>
      <c r="C30" s="15" t="s">
        <v>102</v>
      </c>
      <c r="D30" s="15" t="s">
        <v>119</v>
      </c>
      <c r="E30" s="47">
        <v>0</v>
      </c>
      <c r="F30" s="17">
        <f t="shared" si="1"/>
        <v>0</v>
      </c>
      <c r="G30" s="46"/>
    </row>
    <row r="31" spans="1:7" x14ac:dyDescent="0.25">
      <c r="A31" s="3" t="s">
        <v>30</v>
      </c>
      <c r="B31" s="14" t="s">
        <v>66</v>
      </c>
      <c r="C31" s="15" t="s">
        <v>103</v>
      </c>
      <c r="D31" s="15" t="s">
        <v>120</v>
      </c>
      <c r="E31" s="47">
        <v>0</v>
      </c>
      <c r="F31" s="17">
        <f t="shared" si="1"/>
        <v>0</v>
      </c>
      <c r="G31" s="46"/>
    </row>
    <row r="32" spans="1:7" x14ac:dyDescent="0.25">
      <c r="A32" s="3" t="s">
        <v>31</v>
      </c>
      <c r="B32" s="14" t="s">
        <v>66</v>
      </c>
      <c r="C32" s="15" t="s">
        <v>104</v>
      </c>
      <c r="D32" s="15" t="s">
        <v>120</v>
      </c>
      <c r="E32" s="47">
        <f>G32</f>
        <v>589352.40083964006</v>
      </c>
      <c r="F32" s="17">
        <f t="shared" si="1"/>
        <v>589352.40083964006</v>
      </c>
      <c r="G32" s="46">
        <f>0.58935240083964*1000000</f>
        <v>589352.40083964006</v>
      </c>
    </row>
    <row r="33" spans="1:7" x14ac:dyDescent="0.25">
      <c r="A33" s="3" t="s">
        <v>32</v>
      </c>
      <c r="B33" s="14" t="s">
        <v>66</v>
      </c>
      <c r="C33" s="15" t="s">
        <v>105</v>
      </c>
      <c r="D33" s="15" t="s">
        <v>120</v>
      </c>
      <c r="E33" s="47"/>
      <c r="F33" s="17">
        <f t="shared" si="1"/>
        <v>0</v>
      </c>
      <c r="G33" s="46"/>
    </row>
    <row r="34" spans="1:7" x14ac:dyDescent="0.25">
      <c r="A34" s="3" t="s">
        <v>33</v>
      </c>
      <c r="B34" s="19" t="s">
        <v>67</v>
      </c>
      <c r="C34" s="20"/>
      <c r="D34" s="20"/>
      <c r="E34" s="49"/>
      <c r="F34" s="21">
        <f>SUBTOTAL(9,F22:F33)</f>
        <v>9212480.2523617875</v>
      </c>
      <c r="G34" s="46"/>
    </row>
    <row r="35" spans="1:7" x14ac:dyDescent="0.25">
      <c r="A35" s="3" t="s">
        <v>34</v>
      </c>
      <c r="B35" s="14" t="s">
        <v>68</v>
      </c>
      <c r="C35" s="15" t="s">
        <v>106</v>
      </c>
      <c r="D35" s="15" t="s">
        <v>112</v>
      </c>
      <c r="E35" s="47">
        <f>G35</f>
        <v>-1971193.46283471</v>
      </c>
      <c r="F35" s="17">
        <f>E35</f>
        <v>-1971193.46283471</v>
      </c>
      <c r="G35" s="46">
        <f>-1.97119346283471*1000000</f>
        <v>-1971193.46283471</v>
      </c>
    </row>
    <row r="36" spans="1:7" x14ac:dyDescent="0.25">
      <c r="A36" s="3" t="s">
        <v>35</v>
      </c>
      <c r="B36" s="14" t="s">
        <v>69</v>
      </c>
      <c r="C36" s="15" t="s">
        <v>107</v>
      </c>
      <c r="D36" s="15" t="s">
        <v>112</v>
      </c>
      <c r="E36" s="47"/>
      <c r="F36" s="17">
        <f>E36</f>
        <v>0</v>
      </c>
      <c r="G36" s="46"/>
    </row>
    <row r="37" spans="1:7" x14ac:dyDescent="0.25">
      <c r="A37" s="3" t="s">
        <v>36</v>
      </c>
      <c r="B37" s="19" t="s">
        <v>70</v>
      </c>
      <c r="C37" s="20" t="s">
        <v>108</v>
      </c>
      <c r="D37" s="20"/>
      <c r="E37" s="49"/>
      <c r="F37" s="21">
        <f>SUBTOTAL(9,F12:F36)</f>
        <v>459874052.28398639</v>
      </c>
      <c r="G37" s="46">
        <f>459.874052283986*1000000</f>
        <v>459874052.28398597</v>
      </c>
    </row>
    <row r="38" spans="1:7" ht="30" x14ac:dyDescent="0.25">
      <c r="A38" s="3" t="s">
        <v>37</v>
      </c>
      <c r="B38" s="14" t="s">
        <v>71</v>
      </c>
      <c r="C38" s="15" t="s">
        <v>109</v>
      </c>
      <c r="D38" s="15" t="s">
        <v>121</v>
      </c>
      <c r="E38" s="47"/>
      <c r="F38" s="17">
        <f>E38</f>
        <v>0</v>
      </c>
      <c r="G38" s="46"/>
    </row>
    <row r="39" spans="1:7" x14ac:dyDescent="0.25">
      <c r="A39" s="3" t="s">
        <v>38</v>
      </c>
      <c r="B39" s="14" t="s">
        <v>72</v>
      </c>
      <c r="C39" s="15" t="s">
        <v>110</v>
      </c>
      <c r="D39" s="15" t="s">
        <v>121</v>
      </c>
      <c r="E39" s="47"/>
      <c r="F39" s="17">
        <f>E39</f>
        <v>0</v>
      </c>
      <c r="G39" s="46"/>
    </row>
    <row r="40" spans="1:7" x14ac:dyDescent="0.25">
      <c r="A40" s="3" t="s">
        <v>39</v>
      </c>
      <c r="B40" s="14" t="s">
        <v>73</v>
      </c>
      <c r="C40" s="15" t="s">
        <v>111</v>
      </c>
      <c r="D40" s="15" t="s">
        <v>121</v>
      </c>
      <c r="E40" s="47"/>
      <c r="F40" s="17">
        <f>E40</f>
        <v>0</v>
      </c>
      <c r="G40" s="46"/>
    </row>
    <row r="41" spans="1:7" x14ac:dyDescent="0.25">
      <c r="A41" s="3" t="s">
        <v>40</v>
      </c>
      <c r="B41" s="14" t="s">
        <v>74</v>
      </c>
      <c r="C41" s="15"/>
      <c r="D41" s="15"/>
      <c r="E41" s="47"/>
      <c r="F41" s="17">
        <f>E41</f>
        <v>0</v>
      </c>
      <c r="G41" s="46"/>
    </row>
    <row r="42" spans="1:7" x14ac:dyDescent="0.25">
      <c r="A42" s="3" t="s">
        <v>41</v>
      </c>
      <c r="B42" s="14" t="s">
        <v>75</v>
      </c>
      <c r="C42" s="15"/>
      <c r="D42" s="15"/>
      <c r="E42" s="47"/>
      <c r="F42" s="17">
        <f>E42</f>
        <v>0</v>
      </c>
      <c r="G42" s="46"/>
    </row>
    <row r="43" spans="1:7" x14ac:dyDescent="0.25">
      <c r="A43" s="3" t="s">
        <v>42</v>
      </c>
      <c r="B43" s="19" t="s">
        <v>76</v>
      </c>
      <c r="C43" s="20"/>
      <c r="D43" s="20"/>
      <c r="E43" s="49"/>
      <c r="F43" s="21">
        <f>SUBTOTAL(9,F38:F42)</f>
        <v>0</v>
      </c>
      <c r="G43" s="46"/>
    </row>
    <row r="44" spans="1:7" x14ac:dyDescent="0.25">
      <c r="A44" s="3" t="s">
        <v>43</v>
      </c>
      <c r="B44" s="19" t="s">
        <v>77</v>
      </c>
      <c r="C44" s="20"/>
      <c r="D44" s="20"/>
      <c r="E44" s="49"/>
      <c r="F44" s="21">
        <f>SUBTOTAL(9,F12:F43)</f>
        <v>459874052.28398639</v>
      </c>
      <c r="G44" s="46"/>
    </row>
    <row r="45" spans="1:7" ht="30" x14ac:dyDescent="0.25">
      <c r="A45" s="3" t="s">
        <v>44</v>
      </c>
      <c r="B45" s="14" t="s">
        <v>78</v>
      </c>
      <c r="C45" s="15"/>
      <c r="D45" s="15"/>
      <c r="E45" s="47">
        <v>9494606.6911170594</v>
      </c>
      <c r="F45" s="17">
        <f>0-E45</f>
        <v>-9494606.6911170594</v>
      </c>
      <c r="G45" s="46">
        <f>11.5210533786199*1000000</f>
        <v>11521053.3786199</v>
      </c>
    </row>
    <row r="46" spans="1:7" x14ac:dyDescent="0.25">
      <c r="A46" s="3" t="s">
        <v>45</v>
      </c>
      <c r="B46" s="14" t="s">
        <v>79</v>
      </c>
      <c r="C46" s="15"/>
      <c r="D46" s="15"/>
      <c r="E46" s="47"/>
      <c r="F46" s="17">
        <f>0-E46</f>
        <v>0</v>
      </c>
      <c r="G46" s="46"/>
    </row>
    <row r="47" spans="1:7" x14ac:dyDescent="0.25">
      <c r="A47" s="3" t="s">
        <v>46</v>
      </c>
      <c r="B47" s="14" t="s">
        <v>80</v>
      </c>
      <c r="C47" s="15"/>
      <c r="D47" s="15"/>
      <c r="E47" s="47"/>
      <c r="F47" s="17">
        <f>0-E47</f>
        <v>0</v>
      </c>
      <c r="G47" s="46"/>
    </row>
    <row r="48" spans="1:7" x14ac:dyDescent="0.25">
      <c r="A48" s="3" t="s">
        <v>47</v>
      </c>
      <c r="B48" s="14" t="s">
        <v>81</v>
      </c>
      <c r="C48" s="15"/>
      <c r="D48" s="15"/>
      <c r="E48" s="47"/>
      <c r="F48" s="17">
        <f>0-E48</f>
        <v>0</v>
      </c>
      <c r="G48" s="46"/>
    </row>
    <row r="49" spans="1:7" x14ac:dyDescent="0.25">
      <c r="A49" s="3" t="s">
        <v>48</v>
      </c>
      <c r="B49" s="19" t="s">
        <v>82</v>
      </c>
      <c r="C49" s="20"/>
      <c r="D49" s="20"/>
      <c r="E49" s="8"/>
      <c r="F49" s="21">
        <f>SUBTOTAL(9,F45:F48)</f>
        <v>-9494606.6911170594</v>
      </c>
      <c r="G49" s="46"/>
    </row>
    <row r="50" spans="1:7" x14ac:dyDescent="0.25">
      <c r="A50" s="3" t="s">
        <v>49</v>
      </c>
      <c r="B50" s="19" t="s">
        <v>83</v>
      </c>
      <c r="C50" s="20"/>
      <c r="D50" s="20"/>
      <c r="E50" s="8"/>
      <c r="F50" s="21">
        <f>SUBTOTAL(9,F12:F49)</f>
        <v>450379445.59286934</v>
      </c>
      <c r="G50" s="46">
        <v>448.35299890536635</v>
      </c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12" t="s">
        <v>126</v>
      </c>
      <c r="C57" s="12" t="s">
        <v>127</v>
      </c>
      <c r="D57" s="12" t="s">
        <v>128</v>
      </c>
      <c r="E57" s="12" t="s">
        <v>129</v>
      </c>
      <c r="F57" s="12" t="s">
        <v>130</v>
      </c>
    </row>
    <row r="58" spans="1:7" x14ac:dyDescent="0.25">
      <c r="A58" s="3" t="s">
        <v>131</v>
      </c>
      <c r="B58" s="22">
        <v>4.3099999999999999E-2</v>
      </c>
      <c r="C58" s="16">
        <v>40</v>
      </c>
      <c r="D58" s="23">
        <v>0</v>
      </c>
      <c r="E58" s="18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12" t="s">
        <v>138</v>
      </c>
    </row>
    <row r="68" spans="1:3" x14ac:dyDescent="0.25">
      <c r="A68" s="3" t="s">
        <v>139</v>
      </c>
      <c r="B68" s="22">
        <v>2.4713742436156094E-2</v>
      </c>
      <c r="C68" s="10"/>
    </row>
    <row r="69" spans="1:3" x14ac:dyDescent="0.25">
      <c r="A69" s="3" t="s">
        <v>140</v>
      </c>
      <c r="B69" s="22">
        <v>4.5013478235986115E-2</v>
      </c>
      <c r="C69" s="10"/>
    </row>
    <row r="70" spans="1:3" x14ac:dyDescent="0.25">
      <c r="A70" s="3" t="s">
        <v>141</v>
      </c>
      <c r="B70" s="8"/>
      <c r="C70" s="10"/>
    </row>
    <row r="71" spans="1:3" x14ac:dyDescent="0.25">
      <c r="A71" s="3" t="s">
        <v>142</v>
      </c>
      <c r="B71" s="22">
        <v>7.9017642685410783E-2</v>
      </c>
      <c r="C71" s="10"/>
    </row>
    <row r="72" spans="1:3" x14ac:dyDescent="0.25">
      <c r="A72" s="3" t="s">
        <v>143</v>
      </c>
      <c r="B72" s="8"/>
      <c r="C72" s="10"/>
    </row>
    <row r="73" spans="1:3" x14ac:dyDescent="0.25">
      <c r="A73" s="3" t="s">
        <v>144</v>
      </c>
      <c r="B73" s="22">
        <v>0.34000000000000008</v>
      </c>
      <c r="C73" s="10"/>
    </row>
    <row r="74" spans="1:3" x14ac:dyDescent="0.25">
      <c r="A74" s="3" t="s">
        <v>145</v>
      </c>
      <c r="B74" s="8"/>
      <c r="C74" s="10"/>
    </row>
    <row r="75" spans="1:3" x14ac:dyDescent="0.25">
      <c r="A75" s="3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12" t="s">
        <v>148</v>
      </c>
    </row>
    <row r="80" spans="1:3" x14ac:dyDescent="0.25">
      <c r="A80" s="3" t="s">
        <v>143</v>
      </c>
      <c r="B80" s="22">
        <v>7.5044342711319545E-2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12" t="s">
        <v>150</v>
      </c>
    </row>
    <row r="85" spans="1:3" x14ac:dyDescent="0.25">
      <c r="A85" s="3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12" t="s">
        <v>152</v>
      </c>
    </row>
    <row r="90" spans="1:3" x14ac:dyDescent="0.25">
      <c r="A90" s="3" t="s">
        <v>140</v>
      </c>
      <c r="B90" s="16">
        <v>55958407.748501986</v>
      </c>
      <c r="C90" s="10"/>
    </row>
    <row r="91" spans="1:3" x14ac:dyDescent="0.25">
      <c r="A91" s="3" t="s">
        <v>141</v>
      </c>
      <c r="B91" s="16">
        <v>28164838.66595092</v>
      </c>
      <c r="C91" s="10"/>
    </row>
    <row r="92" spans="1:3" x14ac:dyDescent="0.25">
      <c r="A92" s="3" t="s">
        <v>142</v>
      </c>
      <c r="B92" s="16">
        <v>34330453.651157282</v>
      </c>
      <c r="C92" s="10"/>
    </row>
    <row r="93" spans="1:3" x14ac:dyDescent="0.25">
      <c r="A93" s="3" t="s">
        <v>143</v>
      </c>
      <c r="B93" s="16">
        <v>55627383.377675526</v>
      </c>
      <c r="C93" s="10"/>
    </row>
    <row r="94" spans="1:3" x14ac:dyDescent="0.25">
      <c r="A94" s="3" t="s">
        <v>148</v>
      </c>
      <c r="B94" s="16">
        <v>4677230.0513047958</v>
      </c>
      <c r="C94" s="10"/>
    </row>
    <row r="95" spans="1:3" x14ac:dyDescent="0.25">
      <c r="A95" s="3" t="s">
        <v>144</v>
      </c>
      <c r="B95" s="16">
        <v>139133043.33482894</v>
      </c>
      <c r="C95" s="10"/>
    </row>
    <row r="96" spans="1:3" x14ac:dyDescent="0.25">
      <c r="A96" s="3" t="s">
        <v>145</v>
      </c>
      <c r="B96" s="16">
        <v>59090390.246629447</v>
      </c>
      <c r="C96" s="10"/>
    </row>
    <row r="97" spans="1:10" x14ac:dyDescent="0.25">
      <c r="A97" s="3" t="s">
        <v>146</v>
      </c>
      <c r="B97" s="16">
        <v>116606719.19459665</v>
      </c>
      <c r="C97" s="10"/>
    </row>
    <row r="99" spans="1:10" ht="21" customHeight="1" x14ac:dyDescent="0.3">
      <c r="A99" s="1" t="s">
        <v>153</v>
      </c>
    </row>
    <row r="101" spans="1:10" x14ac:dyDescent="0.25">
      <c r="B101" s="12" t="s">
        <v>154</v>
      </c>
      <c r="C101" s="12" t="s">
        <v>155</v>
      </c>
      <c r="D101" s="12" t="s">
        <v>156</v>
      </c>
      <c r="E101" s="12" t="s">
        <v>157</v>
      </c>
      <c r="F101" s="12" t="s">
        <v>158</v>
      </c>
      <c r="G101" s="12" t="s">
        <v>159</v>
      </c>
      <c r="H101" s="12" t="s">
        <v>160</v>
      </c>
      <c r="I101" s="12" t="s">
        <v>161</v>
      </c>
    </row>
    <row r="102" spans="1:10" x14ac:dyDescent="0.25">
      <c r="A102" s="3" t="s">
        <v>162</v>
      </c>
      <c r="B102" s="16">
        <v>5262.1609041399997</v>
      </c>
      <c r="C102" s="16">
        <v>591.94049120500006</v>
      </c>
      <c r="D102" s="16">
        <v>720.68333077999989</v>
      </c>
      <c r="E102" s="16">
        <v>534.47314829999993</v>
      </c>
      <c r="F102" s="16">
        <v>1214.9764092760001</v>
      </c>
      <c r="G102" s="16">
        <v>935.79073381500018</v>
      </c>
      <c r="H102" s="16">
        <v>0</v>
      </c>
      <c r="I102" s="16">
        <v>489.42401340000009</v>
      </c>
      <c r="J102" s="10"/>
    </row>
    <row r="104" spans="1:10" ht="21" customHeight="1" x14ac:dyDescent="0.3">
      <c r="A104" s="1" t="s">
        <v>163</v>
      </c>
    </row>
    <row r="106" spans="1:10" x14ac:dyDescent="0.25">
      <c r="B106" s="12" t="s">
        <v>164</v>
      </c>
      <c r="C106" s="12" t="s">
        <v>165</v>
      </c>
      <c r="D106" s="12" t="s">
        <v>166</v>
      </c>
      <c r="E106" s="12" t="s">
        <v>167</v>
      </c>
      <c r="F106" s="12" t="s">
        <v>168</v>
      </c>
    </row>
    <row r="107" spans="1:10" x14ac:dyDescent="0.25">
      <c r="A107" s="3" t="s">
        <v>169</v>
      </c>
      <c r="B107" s="16">
        <v>9284.1299391119992</v>
      </c>
      <c r="C107" s="16">
        <v>4476.1926720000001</v>
      </c>
      <c r="D107" s="16">
        <v>0</v>
      </c>
      <c r="E107" s="16">
        <v>0</v>
      </c>
      <c r="F107" s="16">
        <v>0</v>
      </c>
      <c r="G107" s="10"/>
    </row>
    <row r="109" spans="1:10" ht="21" customHeight="1" x14ac:dyDescent="0.3">
      <c r="A109" s="1" t="s">
        <v>170</v>
      </c>
    </row>
    <row r="111" spans="1:10" x14ac:dyDescent="0.25">
      <c r="B111" s="12" t="s">
        <v>154</v>
      </c>
      <c r="C111" s="12" t="s">
        <v>155</v>
      </c>
      <c r="D111" s="12" t="s">
        <v>156</v>
      </c>
      <c r="E111" s="12" t="s">
        <v>157</v>
      </c>
      <c r="F111" s="12" t="s">
        <v>158</v>
      </c>
      <c r="G111" s="12" t="s">
        <v>159</v>
      </c>
      <c r="H111" s="12" t="s">
        <v>160</v>
      </c>
      <c r="I111" s="12" t="s">
        <v>161</v>
      </c>
    </row>
    <row r="112" spans="1:10" x14ac:dyDescent="0.25">
      <c r="A112" s="3" t="s">
        <v>171</v>
      </c>
      <c r="B112" s="22">
        <v>0.05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10"/>
    </row>
    <row r="113" spans="1:10" x14ac:dyDescent="0.25">
      <c r="A113" s="3" t="s">
        <v>172</v>
      </c>
      <c r="B113" s="22">
        <v>0.05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10"/>
    </row>
    <row r="114" spans="1:10" x14ac:dyDescent="0.25">
      <c r="A114" s="3" t="s">
        <v>173</v>
      </c>
      <c r="B114" s="22">
        <v>0</v>
      </c>
      <c r="C114" s="22">
        <v>1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10"/>
    </row>
    <row r="115" spans="1:10" x14ac:dyDescent="0.25">
      <c r="A115" s="3" t="s">
        <v>174</v>
      </c>
      <c r="B115" s="22">
        <v>0</v>
      </c>
      <c r="C115" s="22">
        <v>1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10"/>
    </row>
    <row r="116" spans="1:10" x14ac:dyDescent="0.25">
      <c r="A116" s="3" t="s">
        <v>175</v>
      </c>
      <c r="B116" s="22">
        <v>0</v>
      </c>
      <c r="C116" s="22">
        <v>0</v>
      </c>
      <c r="D116" s="22">
        <v>1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10"/>
    </row>
    <row r="117" spans="1:10" x14ac:dyDescent="0.25">
      <c r="A117" s="3" t="s">
        <v>176</v>
      </c>
      <c r="B117" s="22">
        <v>0</v>
      </c>
      <c r="C117" s="22">
        <v>0</v>
      </c>
      <c r="D117" s="22">
        <v>0</v>
      </c>
      <c r="E117" s="22">
        <v>1</v>
      </c>
      <c r="F117" s="22">
        <v>0</v>
      </c>
      <c r="G117" s="22">
        <v>0</v>
      </c>
      <c r="H117" s="22">
        <v>0</v>
      </c>
      <c r="I117" s="22">
        <v>0</v>
      </c>
      <c r="J117" s="10"/>
    </row>
    <row r="118" spans="1:10" x14ac:dyDescent="0.25">
      <c r="A118" s="3" t="s">
        <v>177</v>
      </c>
      <c r="B118" s="22">
        <v>0.05</v>
      </c>
      <c r="C118" s="22"/>
      <c r="D118" s="22"/>
      <c r="E118" s="22"/>
      <c r="F118" s="22"/>
      <c r="G118" s="22"/>
      <c r="H118" s="22"/>
      <c r="I118" s="22"/>
      <c r="J118" s="10"/>
    </row>
    <row r="119" spans="1:10" x14ac:dyDescent="0.25">
      <c r="A119" s="3" t="s">
        <v>178</v>
      </c>
      <c r="B119" s="22"/>
      <c r="C119" s="22">
        <v>1</v>
      </c>
      <c r="D119" s="22"/>
      <c r="E119" s="22"/>
      <c r="F119" s="22"/>
      <c r="G119" s="22"/>
      <c r="H119" s="22"/>
      <c r="I119" s="22"/>
      <c r="J119" s="10"/>
    </row>
    <row r="120" spans="1:10" x14ac:dyDescent="0.25">
      <c r="A120" s="3" t="s">
        <v>179</v>
      </c>
      <c r="B120" s="22">
        <v>0</v>
      </c>
      <c r="C120" s="22">
        <v>0</v>
      </c>
      <c r="D120" s="22">
        <v>0</v>
      </c>
      <c r="E120" s="22">
        <v>0</v>
      </c>
      <c r="F120" s="22">
        <v>1</v>
      </c>
      <c r="G120" s="22">
        <v>0</v>
      </c>
      <c r="H120" s="22">
        <v>0</v>
      </c>
      <c r="I120" s="22">
        <v>0</v>
      </c>
      <c r="J120" s="10"/>
    </row>
    <row r="121" spans="1:10" x14ac:dyDescent="0.25">
      <c r="A121" s="3" t="s">
        <v>180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1</v>
      </c>
      <c r="H121" s="22">
        <v>0</v>
      </c>
      <c r="I121" s="22">
        <v>0</v>
      </c>
      <c r="J121" s="10"/>
    </row>
    <row r="122" spans="1:10" x14ac:dyDescent="0.25">
      <c r="A122" s="3" t="s">
        <v>181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</v>
      </c>
      <c r="I122" s="22">
        <v>0</v>
      </c>
      <c r="J122" s="10"/>
    </row>
    <row r="123" spans="1:10" x14ac:dyDescent="0.25">
      <c r="A123" s="3" t="s">
        <v>182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1</v>
      </c>
      <c r="I123" s="22">
        <v>0</v>
      </c>
      <c r="J123" s="10"/>
    </row>
    <row r="124" spans="1:10" x14ac:dyDescent="0.25">
      <c r="A124" s="3" t="s">
        <v>183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1</v>
      </c>
      <c r="I124" s="22">
        <v>0</v>
      </c>
      <c r="J124" s="10"/>
    </row>
    <row r="125" spans="1:10" x14ac:dyDescent="0.25">
      <c r="A125" s="3" t="s">
        <v>184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10"/>
    </row>
    <row r="126" spans="1:10" x14ac:dyDescent="0.25">
      <c r="A126" s="3" t="s">
        <v>185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10"/>
    </row>
    <row r="127" spans="1:10" x14ac:dyDescent="0.25">
      <c r="A127" s="3" t="s">
        <v>186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12" t="s">
        <v>154</v>
      </c>
      <c r="C133" s="12" t="s">
        <v>155</v>
      </c>
      <c r="D133" s="12" t="s">
        <v>156</v>
      </c>
      <c r="E133" s="12" t="s">
        <v>157</v>
      </c>
      <c r="F133" s="12" t="s">
        <v>158</v>
      </c>
      <c r="G133" s="12" t="s">
        <v>159</v>
      </c>
      <c r="H133" s="12" t="s">
        <v>160</v>
      </c>
      <c r="I133" s="12" t="s">
        <v>161</v>
      </c>
    </row>
    <row r="134" spans="1:10" x14ac:dyDescent="0.25">
      <c r="A134" s="3" t="s">
        <v>190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12" t="s">
        <v>164</v>
      </c>
      <c r="C138" s="12" t="s">
        <v>165</v>
      </c>
      <c r="D138" s="12" t="s">
        <v>166</v>
      </c>
      <c r="E138" s="12" t="s">
        <v>167</v>
      </c>
      <c r="F138" s="12" t="s">
        <v>168</v>
      </c>
    </row>
    <row r="139" spans="1:10" x14ac:dyDescent="0.25">
      <c r="A139" s="3" t="s">
        <v>192</v>
      </c>
      <c r="B139" s="22">
        <v>1</v>
      </c>
      <c r="C139" s="22"/>
      <c r="D139" s="22"/>
      <c r="E139" s="22"/>
      <c r="F139" s="22"/>
      <c r="G139" s="10"/>
    </row>
    <row r="140" spans="1:10" x14ac:dyDescent="0.25">
      <c r="A140" s="3" t="s">
        <v>193</v>
      </c>
      <c r="B140" s="22">
        <v>1</v>
      </c>
      <c r="C140" s="22"/>
      <c r="D140" s="22"/>
      <c r="E140" s="22"/>
      <c r="F140" s="22"/>
      <c r="G140" s="10"/>
    </row>
    <row r="141" spans="1:10" x14ac:dyDescent="0.25">
      <c r="A141" s="3" t="s">
        <v>194</v>
      </c>
      <c r="B141" s="22"/>
      <c r="C141" s="22">
        <v>1</v>
      </c>
      <c r="D141" s="22"/>
      <c r="E141" s="22"/>
      <c r="F141" s="22"/>
      <c r="G141" s="10"/>
    </row>
    <row r="142" spans="1:10" x14ac:dyDescent="0.25">
      <c r="A142" s="3" t="s">
        <v>195</v>
      </c>
      <c r="B142" s="22"/>
      <c r="C142" s="22">
        <v>1</v>
      </c>
      <c r="D142" s="22"/>
      <c r="E142" s="22"/>
      <c r="F142" s="22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12" t="s">
        <v>140</v>
      </c>
      <c r="C147" s="12" t="s">
        <v>141</v>
      </c>
      <c r="D147" s="12" t="s">
        <v>142</v>
      </c>
      <c r="E147" s="12" t="s">
        <v>143</v>
      </c>
      <c r="F147" s="12" t="s">
        <v>144</v>
      </c>
      <c r="G147" s="12" t="s">
        <v>145</v>
      </c>
      <c r="H147" s="12" t="s">
        <v>146</v>
      </c>
    </row>
    <row r="148" spans="1:9" x14ac:dyDescent="0.25">
      <c r="A148" s="3" t="s">
        <v>198</v>
      </c>
      <c r="B148" s="18">
        <v>1.002</v>
      </c>
      <c r="C148" s="18">
        <v>1.0069999999999999</v>
      </c>
      <c r="D148" s="18">
        <v>1.01</v>
      </c>
      <c r="E148" s="18">
        <v>1.018</v>
      </c>
      <c r="F148" s="18">
        <v>1.034</v>
      </c>
      <c r="G148" s="18">
        <v>1.0529999999999999</v>
      </c>
      <c r="H148" s="18">
        <v>1.093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12" t="s">
        <v>201</v>
      </c>
      <c r="C153" s="12" t="s">
        <v>202</v>
      </c>
      <c r="D153" s="12" t="s">
        <v>203</v>
      </c>
      <c r="E153" s="12" t="s">
        <v>204</v>
      </c>
      <c r="F153" s="12" t="s">
        <v>205</v>
      </c>
    </row>
    <row r="154" spans="1:9" x14ac:dyDescent="0.25">
      <c r="A154" s="3" t="s">
        <v>206</v>
      </c>
      <c r="B154" s="8"/>
      <c r="C154" s="22">
        <v>0.30122164992514944</v>
      </c>
      <c r="D154" s="22">
        <v>0.48820319392396561</v>
      </c>
      <c r="E154" s="22">
        <v>0.25845641398755653</v>
      </c>
      <c r="F154" s="22">
        <v>0.15948897742330323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12" t="s">
        <v>209</v>
      </c>
      <c r="C159" s="12" t="s">
        <v>210</v>
      </c>
    </row>
    <row r="160" spans="1:9" x14ac:dyDescent="0.25">
      <c r="A160" s="3" t="s">
        <v>171</v>
      </c>
      <c r="B160" s="18">
        <v>0.85148635650349058</v>
      </c>
      <c r="C160" s="18">
        <v>0.4191046303105454</v>
      </c>
      <c r="D160" s="10"/>
    </row>
    <row r="161" spans="1:4" x14ac:dyDescent="0.25">
      <c r="A161" s="3" t="s">
        <v>172</v>
      </c>
      <c r="B161" s="18">
        <v>0.8643840665228808</v>
      </c>
      <c r="C161" s="18">
        <v>0.51395255772048276</v>
      </c>
      <c r="D161" s="10"/>
    </row>
    <row r="162" spans="1:4" x14ac:dyDescent="0.25">
      <c r="A162" s="3" t="s">
        <v>211</v>
      </c>
      <c r="B162" s="8"/>
      <c r="C162" s="18">
        <v>0.14979408480847001</v>
      </c>
      <c r="D162" s="10"/>
    </row>
    <row r="163" spans="1:4" x14ac:dyDescent="0.25">
      <c r="A163" s="3" t="s">
        <v>173</v>
      </c>
      <c r="B163" s="18">
        <v>0.69103195732631961</v>
      </c>
      <c r="C163" s="18">
        <v>0.38547989548396755</v>
      </c>
      <c r="D163" s="10"/>
    </row>
    <row r="164" spans="1:4" x14ac:dyDescent="0.25">
      <c r="A164" s="3" t="s">
        <v>174</v>
      </c>
      <c r="B164" s="18">
        <v>0.82830873563228236</v>
      </c>
      <c r="C164" s="18">
        <v>0.55168244867314009</v>
      </c>
      <c r="D164" s="10"/>
    </row>
    <row r="165" spans="1:4" x14ac:dyDescent="0.25">
      <c r="A165" s="3" t="s">
        <v>212</v>
      </c>
      <c r="B165" s="8"/>
      <c r="C165" s="18">
        <v>0.23587659673702513</v>
      </c>
      <c r="D165" s="10"/>
    </row>
    <row r="166" spans="1:4" x14ac:dyDescent="0.25">
      <c r="A166" s="3" t="s">
        <v>175</v>
      </c>
      <c r="B166" s="18">
        <v>0.83067543751657169</v>
      </c>
      <c r="C166" s="18">
        <v>0.53093579272686842</v>
      </c>
      <c r="D166" s="10"/>
    </row>
    <row r="167" spans="1:4" x14ac:dyDescent="0.25">
      <c r="A167" s="3" t="s">
        <v>176</v>
      </c>
      <c r="B167" s="18">
        <v>0.83067543751657169</v>
      </c>
      <c r="C167" s="18">
        <v>0.53093579272686842</v>
      </c>
      <c r="D167" s="10"/>
    </row>
    <row r="168" spans="1:4" x14ac:dyDescent="0.25">
      <c r="A168" s="3" t="s">
        <v>192</v>
      </c>
      <c r="B168" s="18">
        <v>0.75893366750819979</v>
      </c>
      <c r="C168" s="18">
        <v>0.48164024024217938</v>
      </c>
      <c r="D168" s="10"/>
    </row>
    <row r="169" spans="1:4" x14ac:dyDescent="0.25">
      <c r="A169" s="3" t="s">
        <v>177</v>
      </c>
      <c r="B169" s="18">
        <v>0.85626281091297063</v>
      </c>
      <c r="C169" s="18">
        <v>0.44970160644176344</v>
      </c>
      <c r="D169" s="10"/>
    </row>
    <row r="170" spans="1:4" x14ac:dyDescent="0.25">
      <c r="A170" s="3" t="s">
        <v>178</v>
      </c>
      <c r="B170" s="18">
        <v>0.75443897686484007</v>
      </c>
      <c r="C170" s="18">
        <v>0.46133145514043128</v>
      </c>
      <c r="D170" s="10"/>
    </row>
    <row r="171" spans="1:4" x14ac:dyDescent="0.25">
      <c r="A171" s="3" t="s">
        <v>179</v>
      </c>
      <c r="B171" s="18">
        <v>0.82746593052237005</v>
      </c>
      <c r="C171" s="18">
        <v>0.56025765972021724</v>
      </c>
      <c r="D171" s="10"/>
    </row>
    <row r="172" spans="1:4" x14ac:dyDescent="0.25">
      <c r="A172" s="3" t="s">
        <v>180</v>
      </c>
      <c r="B172" s="18">
        <v>0.81756465262137112</v>
      </c>
      <c r="C172" s="18">
        <v>0.56252441278074128</v>
      </c>
      <c r="D172" s="10"/>
    </row>
    <row r="173" spans="1:4" x14ac:dyDescent="0.25">
      <c r="A173" s="3" t="s">
        <v>193</v>
      </c>
      <c r="B173" s="18">
        <v>0.85914254586508099</v>
      </c>
      <c r="C173" s="18">
        <v>0.71444457631972436</v>
      </c>
      <c r="D173" s="10"/>
    </row>
    <row r="174" spans="1:4" x14ac:dyDescent="0.25">
      <c r="A174" s="3" t="s">
        <v>213</v>
      </c>
      <c r="B174" s="18">
        <v>1</v>
      </c>
      <c r="C174" s="18">
        <v>1</v>
      </c>
      <c r="D174" s="10"/>
    </row>
    <row r="175" spans="1:4" x14ac:dyDescent="0.25">
      <c r="A175" s="3" t="s">
        <v>214</v>
      </c>
      <c r="B175" s="18">
        <v>1</v>
      </c>
      <c r="C175" s="18">
        <v>0.47235108595963587</v>
      </c>
      <c r="D175" s="10"/>
    </row>
    <row r="176" spans="1:4" x14ac:dyDescent="0.25">
      <c r="A176" s="3" t="s">
        <v>215</v>
      </c>
      <c r="B176" s="18">
        <v>1</v>
      </c>
      <c r="C176" s="18">
        <v>0.24075699024292821</v>
      </c>
      <c r="D176" s="10"/>
    </row>
    <row r="177" spans="1:8" x14ac:dyDescent="0.25">
      <c r="A177" s="3" t="s">
        <v>216</v>
      </c>
      <c r="B177" s="18">
        <v>5.0776583034647556E-3</v>
      </c>
      <c r="C177" s="18">
        <v>0.51379256543243912</v>
      </c>
      <c r="D177" s="10"/>
    </row>
    <row r="178" spans="1:8" x14ac:dyDescent="0.25">
      <c r="A178" s="3" t="s">
        <v>217</v>
      </c>
      <c r="B178" s="18">
        <v>0.97848166596417219</v>
      </c>
      <c r="C178" s="18">
        <v>0.46000104241191425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12" t="s">
        <v>222</v>
      </c>
      <c r="C185" s="12" t="s">
        <v>223</v>
      </c>
      <c r="D185" s="12" t="s">
        <v>224</v>
      </c>
      <c r="E185" s="12" t="s">
        <v>225</v>
      </c>
      <c r="F185" s="12" t="s">
        <v>226</v>
      </c>
      <c r="G185" s="12" t="s">
        <v>227</v>
      </c>
    </row>
    <row r="186" spans="1:8" x14ac:dyDescent="0.25">
      <c r="A186" s="24" t="s">
        <v>228</v>
      </c>
      <c r="B186" s="25"/>
      <c r="C186" s="25"/>
      <c r="D186" s="25"/>
      <c r="E186" s="25"/>
      <c r="F186" s="25"/>
      <c r="G186" s="25"/>
      <c r="H186" s="10"/>
    </row>
    <row r="187" spans="1:8" x14ac:dyDescent="0.25">
      <c r="A187" s="3" t="s">
        <v>171</v>
      </c>
      <c r="B187" s="18">
        <v>5135811.7457730779</v>
      </c>
      <c r="C187" s="8">
        <v>0</v>
      </c>
      <c r="D187" s="8">
        <v>0</v>
      </c>
      <c r="E187" s="16">
        <v>1545669.8679699886</v>
      </c>
      <c r="F187" s="8">
        <v>0</v>
      </c>
      <c r="G187" s="8">
        <v>0</v>
      </c>
      <c r="H187" s="10"/>
    </row>
    <row r="188" spans="1:8" x14ac:dyDescent="0.25">
      <c r="A188" s="3" t="s">
        <v>229</v>
      </c>
      <c r="B188" s="18">
        <v>62399.733089655958</v>
      </c>
      <c r="C188" s="8">
        <v>0</v>
      </c>
      <c r="D188" s="8">
        <v>0</v>
      </c>
      <c r="E188" s="16">
        <v>20838.152011367252</v>
      </c>
      <c r="F188" s="8">
        <v>0</v>
      </c>
      <c r="G188" s="8">
        <v>0</v>
      </c>
      <c r="H188" s="10"/>
    </row>
    <row r="189" spans="1:8" x14ac:dyDescent="0.25">
      <c r="A189" s="3" t="s">
        <v>230</v>
      </c>
      <c r="B189" s="18">
        <v>78378.602782708025</v>
      </c>
      <c r="C189" s="8">
        <v>0</v>
      </c>
      <c r="D189" s="8">
        <v>0</v>
      </c>
      <c r="E189" s="16">
        <v>26677.288250313217</v>
      </c>
      <c r="F189" s="8">
        <v>0</v>
      </c>
      <c r="G189" s="8">
        <v>0</v>
      </c>
      <c r="H189" s="10"/>
    </row>
    <row r="190" spans="1:8" x14ac:dyDescent="0.25">
      <c r="A190" s="24" t="s">
        <v>231</v>
      </c>
      <c r="B190" s="25"/>
      <c r="C190" s="25"/>
      <c r="D190" s="25"/>
      <c r="E190" s="25"/>
      <c r="F190" s="25"/>
      <c r="G190" s="25"/>
      <c r="H190" s="10"/>
    </row>
    <row r="191" spans="1:8" x14ac:dyDescent="0.25">
      <c r="A191" s="3" t="s">
        <v>172</v>
      </c>
      <c r="B191" s="18">
        <v>2674882.1277773143</v>
      </c>
      <c r="C191" s="18">
        <v>1237908.3874274781</v>
      </c>
      <c r="D191" s="8">
        <v>0</v>
      </c>
      <c r="E191" s="16">
        <v>890301.56713661191</v>
      </c>
      <c r="F191" s="8">
        <v>0</v>
      </c>
      <c r="G191" s="8">
        <v>0</v>
      </c>
      <c r="H191" s="10"/>
    </row>
    <row r="192" spans="1:8" x14ac:dyDescent="0.25">
      <c r="A192" s="3" t="s">
        <v>232</v>
      </c>
      <c r="B192" s="18">
        <v>4132.6598828141086</v>
      </c>
      <c r="C192" s="18">
        <v>1303.0851020322875</v>
      </c>
      <c r="D192" s="8">
        <v>0</v>
      </c>
      <c r="E192" s="16">
        <v>1174.2552334267209</v>
      </c>
      <c r="F192" s="8">
        <v>0</v>
      </c>
      <c r="G192" s="8">
        <v>0</v>
      </c>
      <c r="H192" s="10"/>
    </row>
    <row r="193" spans="1:8" x14ac:dyDescent="0.25">
      <c r="A193" s="3" t="s">
        <v>233</v>
      </c>
      <c r="B193" s="18">
        <v>5488.9888435464763</v>
      </c>
      <c r="C193" s="18">
        <v>1801.5141660838012</v>
      </c>
      <c r="D193" s="8">
        <v>0</v>
      </c>
      <c r="E193" s="16">
        <v>1733.2604129759031</v>
      </c>
      <c r="F193" s="8">
        <v>0</v>
      </c>
      <c r="G193" s="8">
        <v>0</v>
      </c>
      <c r="H193" s="10"/>
    </row>
    <row r="194" spans="1:8" x14ac:dyDescent="0.25">
      <c r="A194" s="24" t="s">
        <v>234</v>
      </c>
      <c r="B194" s="25"/>
      <c r="C194" s="25"/>
      <c r="D194" s="25"/>
      <c r="E194" s="25"/>
      <c r="F194" s="25"/>
      <c r="G194" s="25"/>
      <c r="H194" s="10"/>
    </row>
    <row r="195" spans="1:8" x14ac:dyDescent="0.25">
      <c r="A195" s="3" t="s">
        <v>211</v>
      </c>
      <c r="B195" s="18">
        <v>126246.1428114313</v>
      </c>
      <c r="C195" s="8">
        <v>0</v>
      </c>
      <c r="D195" s="8">
        <v>0</v>
      </c>
      <c r="E195" s="16">
        <v>37550</v>
      </c>
      <c r="F195" s="8">
        <v>0</v>
      </c>
      <c r="G195" s="8">
        <v>0</v>
      </c>
      <c r="H195" s="10"/>
    </row>
    <row r="196" spans="1:8" x14ac:dyDescent="0.25">
      <c r="A196" s="3" t="s">
        <v>235</v>
      </c>
      <c r="B196" s="18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3" t="s">
        <v>236</v>
      </c>
      <c r="B197" s="18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4" t="s">
        <v>237</v>
      </c>
      <c r="B198" s="25"/>
      <c r="C198" s="25"/>
      <c r="D198" s="25"/>
      <c r="E198" s="25"/>
      <c r="F198" s="25"/>
      <c r="G198" s="25"/>
      <c r="H198" s="10"/>
    </row>
    <row r="199" spans="1:8" x14ac:dyDescent="0.25">
      <c r="A199" s="3" t="s">
        <v>173</v>
      </c>
      <c r="B199" s="18">
        <v>1110178.3066284719</v>
      </c>
      <c r="C199" s="8">
        <v>0</v>
      </c>
      <c r="D199" s="8">
        <v>0</v>
      </c>
      <c r="E199" s="16">
        <v>95231.738896922456</v>
      </c>
      <c r="F199" s="8">
        <v>0</v>
      </c>
      <c r="G199" s="8">
        <v>0</v>
      </c>
      <c r="H199" s="10"/>
    </row>
    <row r="200" spans="1:8" x14ac:dyDescent="0.25">
      <c r="A200" s="3" t="s">
        <v>238</v>
      </c>
      <c r="B200" s="18">
        <v>4173.4418265738759</v>
      </c>
      <c r="C200" s="8">
        <v>0</v>
      </c>
      <c r="D200" s="8">
        <v>0</v>
      </c>
      <c r="E200" s="16">
        <v>536.04808798658723</v>
      </c>
      <c r="F200" s="8">
        <v>0</v>
      </c>
      <c r="G200" s="8">
        <v>0</v>
      </c>
      <c r="H200" s="10"/>
    </row>
    <row r="201" spans="1:8" x14ac:dyDescent="0.25">
      <c r="A201" s="3" t="s">
        <v>239</v>
      </c>
      <c r="B201" s="18">
        <v>9216.1408176926307</v>
      </c>
      <c r="C201" s="8">
        <v>0</v>
      </c>
      <c r="D201" s="8">
        <v>0</v>
      </c>
      <c r="E201" s="16">
        <v>740.36620289368045</v>
      </c>
      <c r="F201" s="8">
        <v>0</v>
      </c>
      <c r="G201" s="8">
        <v>0</v>
      </c>
      <c r="H201" s="10"/>
    </row>
    <row r="202" spans="1:8" x14ac:dyDescent="0.25">
      <c r="A202" s="24" t="s">
        <v>240</v>
      </c>
      <c r="B202" s="25"/>
      <c r="C202" s="25"/>
      <c r="D202" s="25"/>
      <c r="E202" s="25"/>
      <c r="F202" s="25"/>
      <c r="G202" s="25"/>
      <c r="H202" s="10"/>
    </row>
    <row r="203" spans="1:8" x14ac:dyDescent="0.25">
      <c r="A203" s="3" t="s">
        <v>174</v>
      </c>
      <c r="B203" s="18">
        <v>1563113.8010605199</v>
      </c>
      <c r="C203" s="18">
        <v>493762.86707884743</v>
      </c>
      <c r="D203" s="8">
        <v>0</v>
      </c>
      <c r="E203" s="16">
        <v>83250.607318122653</v>
      </c>
      <c r="F203" s="8">
        <v>0</v>
      </c>
      <c r="G203" s="8">
        <v>0</v>
      </c>
      <c r="H203" s="10"/>
    </row>
    <row r="204" spans="1:8" x14ac:dyDescent="0.25">
      <c r="A204" s="3" t="s">
        <v>241</v>
      </c>
      <c r="B204" s="18">
        <v>190.94983424572624</v>
      </c>
      <c r="C204" s="18">
        <v>75.697277692169777</v>
      </c>
      <c r="D204" s="8">
        <v>0</v>
      </c>
      <c r="E204" s="16">
        <v>6.887127468778421</v>
      </c>
      <c r="F204" s="8">
        <v>0</v>
      </c>
      <c r="G204" s="8">
        <v>0</v>
      </c>
      <c r="H204" s="10"/>
    </row>
    <row r="205" spans="1:8" x14ac:dyDescent="0.25">
      <c r="A205" s="3" t="s">
        <v>242</v>
      </c>
      <c r="B205" s="18">
        <v>994.91025403288165</v>
      </c>
      <c r="C205" s="18">
        <v>231.16098293610355</v>
      </c>
      <c r="D205" s="8">
        <v>0</v>
      </c>
      <c r="E205" s="16">
        <v>33.287782765762373</v>
      </c>
      <c r="F205" s="8">
        <v>0</v>
      </c>
      <c r="G205" s="8">
        <v>0</v>
      </c>
      <c r="H205" s="10"/>
    </row>
    <row r="206" spans="1:8" x14ac:dyDescent="0.25">
      <c r="A206" s="24" t="s">
        <v>243</v>
      </c>
      <c r="B206" s="25"/>
      <c r="C206" s="25"/>
      <c r="D206" s="25"/>
      <c r="E206" s="25"/>
      <c r="F206" s="25"/>
      <c r="G206" s="25"/>
      <c r="H206" s="10"/>
    </row>
    <row r="207" spans="1:8" x14ac:dyDescent="0.25">
      <c r="A207" s="3" t="s">
        <v>212</v>
      </c>
      <c r="B207" s="18">
        <v>4232.4037128975033</v>
      </c>
      <c r="C207" s="8">
        <v>0</v>
      </c>
      <c r="D207" s="8">
        <v>0</v>
      </c>
      <c r="E207" s="16">
        <v>725</v>
      </c>
      <c r="F207" s="8">
        <v>0</v>
      </c>
      <c r="G207" s="8">
        <v>0</v>
      </c>
      <c r="H207" s="10"/>
    </row>
    <row r="208" spans="1:8" x14ac:dyDescent="0.25">
      <c r="A208" s="3" t="s">
        <v>244</v>
      </c>
      <c r="B208" s="18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3" t="s">
        <v>245</v>
      </c>
      <c r="B209" s="18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4" t="s">
        <v>246</v>
      </c>
      <c r="B210" s="25"/>
      <c r="C210" s="25"/>
      <c r="D210" s="25"/>
      <c r="E210" s="25"/>
      <c r="F210" s="25"/>
      <c r="G210" s="25"/>
      <c r="H210" s="10"/>
    </row>
    <row r="211" spans="1:8" x14ac:dyDescent="0.25">
      <c r="A211" s="3" t="s">
        <v>175</v>
      </c>
      <c r="B211" s="18">
        <v>0</v>
      </c>
      <c r="C211" s="18">
        <v>0</v>
      </c>
      <c r="D211" s="8">
        <v>0</v>
      </c>
      <c r="E211" s="16">
        <v>0</v>
      </c>
      <c r="F211" s="8">
        <v>0</v>
      </c>
      <c r="G211" s="8">
        <v>0</v>
      </c>
      <c r="H211" s="10"/>
    </row>
    <row r="212" spans="1:8" x14ac:dyDescent="0.25">
      <c r="A212" s="3" t="s">
        <v>247</v>
      </c>
      <c r="B212" s="18">
        <v>0</v>
      </c>
      <c r="C212" s="18">
        <v>0</v>
      </c>
      <c r="D212" s="8">
        <v>0</v>
      </c>
      <c r="E212" s="16">
        <v>0</v>
      </c>
      <c r="F212" s="8">
        <v>0</v>
      </c>
      <c r="G212" s="8">
        <v>0</v>
      </c>
      <c r="H212" s="10"/>
    </row>
    <row r="213" spans="1:8" x14ac:dyDescent="0.25">
      <c r="A213" s="3" t="s">
        <v>248</v>
      </c>
      <c r="B213" s="18">
        <v>0</v>
      </c>
      <c r="C213" s="18">
        <v>0</v>
      </c>
      <c r="D213" s="8">
        <v>0</v>
      </c>
      <c r="E213" s="16">
        <v>0</v>
      </c>
      <c r="F213" s="8">
        <v>0</v>
      </c>
      <c r="G213" s="8">
        <v>0</v>
      </c>
      <c r="H213" s="10"/>
    </row>
    <row r="214" spans="1:8" x14ac:dyDescent="0.25">
      <c r="A214" s="24" t="s">
        <v>249</v>
      </c>
      <c r="B214" s="25"/>
      <c r="C214" s="25"/>
      <c r="D214" s="25"/>
      <c r="E214" s="25"/>
      <c r="F214" s="25"/>
      <c r="G214" s="25"/>
      <c r="H214" s="10"/>
    </row>
    <row r="215" spans="1:8" x14ac:dyDescent="0.25">
      <c r="A215" s="3" t="s">
        <v>176</v>
      </c>
      <c r="B215" s="18">
        <v>0</v>
      </c>
      <c r="C215" s="18">
        <v>0</v>
      </c>
      <c r="D215" s="8">
        <v>0</v>
      </c>
      <c r="E215" s="16">
        <v>0</v>
      </c>
      <c r="F215" s="8">
        <v>0</v>
      </c>
      <c r="G215" s="8">
        <v>0</v>
      </c>
      <c r="H215" s="10"/>
    </row>
    <row r="216" spans="1:8" x14ac:dyDescent="0.25">
      <c r="A216" s="24" t="s">
        <v>250</v>
      </c>
      <c r="B216" s="25"/>
      <c r="C216" s="25"/>
      <c r="D216" s="25"/>
      <c r="E216" s="25"/>
      <c r="F216" s="25"/>
      <c r="G216" s="25"/>
      <c r="H216" s="10"/>
    </row>
    <row r="217" spans="1:8" x14ac:dyDescent="0.25">
      <c r="A217" s="3" t="s">
        <v>192</v>
      </c>
      <c r="B217" s="18">
        <v>0</v>
      </c>
      <c r="C217" s="18">
        <v>0</v>
      </c>
      <c r="D217" s="8">
        <v>0</v>
      </c>
      <c r="E217" s="16">
        <v>0</v>
      </c>
      <c r="F217" s="8">
        <v>0</v>
      </c>
      <c r="G217" s="8">
        <v>0</v>
      </c>
      <c r="H217" s="10"/>
    </row>
    <row r="218" spans="1:8" x14ac:dyDescent="0.25">
      <c r="A218" s="24" t="s">
        <v>251</v>
      </c>
      <c r="B218" s="25"/>
      <c r="C218" s="25"/>
      <c r="D218" s="25"/>
      <c r="E218" s="25"/>
      <c r="F218" s="25"/>
      <c r="G218" s="25"/>
      <c r="H218" s="10"/>
    </row>
    <row r="219" spans="1:8" x14ac:dyDescent="0.25">
      <c r="A219" s="3" t="s">
        <v>177</v>
      </c>
      <c r="B219" s="18">
        <v>0</v>
      </c>
      <c r="C219" s="18">
        <v>0</v>
      </c>
      <c r="D219" s="18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3" t="s">
        <v>252</v>
      </c>
      <c r="B220" s="18">
        <v>0</v>
      </c>
      <c r="C220" s="18">
        <v>0</v>
      </c>
      <c r="D220" s="18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3" t="s">
        <v>253</v>
      </c>
      <c r="B221" s="18">
        <v>0</v>
      </c>
      <c r="C221" s="18">
        <v>0</v>
      </c>
      <c r="D221" s="18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4" t="s">
        <v>254</v>
      </c>
      <c r="B222" s="25"/>
      <c r="C222" s="25"/>
      <c r="D222" s="25"/>
      <c r="E222" s="25"/>
      <c r="F222" s="25"/>
      <c r="G222" s="25"/>
      <c r="H222" s="10"/>
    </row>
    <row r="223" spans="1:8" x14ac:dyDescent="0.25">
      <c r="A223" s="3" t="s">
        <v>178</v>
      </c>
      <c r="B223" s="18">
        <v>16585.035174751687</v>
      </c>
      <c r="C223" s="18">
        <v>64545.285820488316</v>
      </c>
      <c r="D223" s="18">
        <v>72719.479750151208</v>
      </c>
      <c r="E223" s="16">
        <v>2537.8966696577436</v>
      </c>
      <c r="F223" s="8">
        <v>0</v>
      </c>
      <c r="G223" s="8">
        <v>0</v>
      </c>
      <c r="H223" s="10"/>
    </row>
    <row r="224" spans="1:8" x14ac:dyDescent="0.25">
      <c r="A224" s="3" t="s">
        <v>255</v>
      </c>
      <c r="B224" s="18">
        <v>17.587223786041733</v>
      </c>
      <c r="C224" s="18">
        <v>68.445582062261153</v>
      </c>
      <c r="D224" s="18">
        <v>87.851733322497367</v>
      </c>
      <c r="E224" s="16">
        <v>4.4920778614375108</v>
      </c>
      <c r="F224" s="8">
        <v>0</v>
      </c>
      <c r="G224" s="8">
        <v>0</v>
      </c>
      <c r="H224" s="10"/>
    </row>
    <row r="225" spans="1:8" x14ac:dyDescent="0.25">
      <c r="A225" s="3" t="s">
        <v>256</v>
      </c>
      <c r="B225" s="18">
        <v>156.71104686357089</v>
      </c>
      <c r="C225" s="18">
        <v>609.88470657184257</v>
      </c>
      <c r="D225" s="18">
        <v>659.60675330233221</v>
      </c>
      <c r="E225" s="16">
        <v>21.078211503668321</v>
      </c>
      <c r="F225" s="8">
        <v>0</v>
      </c>
      <c r="G225" s="8">
        <v>0</v>
      </c>
      <c r="H225" s="10"/>
    </row>
    <row r="226" spans="1:8" x14ac:dyDescent="0.25">
      <c r="A226" s="24" t="s">
        <v>257</v>
      </c>
      <c r="B226" s="25"/>
      <c r="C226" s="25"/>
      <c r="D226" s="25"/>
      <c r="E226" s="25"/>
      <c r="F226" s="25"/>
      <c r="G226" s="25"/>
      <c r="H226" s="10"/>
    </row>
    <row r="227" spans="1:8" x14ac:dyDescent="0.25">
      <c r="A227" s="3" t="s">
        <v>179</v>
      </c>
      <c r="B227" s="18">
        <v>387715.64090520731</v>
      </c>
      <c r="C227" s="18">
        <v>1535127.9869164913</v>
      </c>
      <c r="D227" s="18">
        <v>1677145.8159297034</v>
      </c>
      <c r="E227" s="16">
        <v>14377.710046664228</v>
      </c>
      <c r="F227" s="16">
        <v>1992168.009842166</v>
      </c>
      <c r="G227" s="18">
        <v>328940.95397160598</v>
      </c>
      <c r="H227" s="10"/>
    </row>
    <row r="228" spans="1:8" x14ac:dyDescent="0.25">
      <c r="A228" s="3" t="s">
        <v>258</v>
      </c>
      <c r="B228" s="18">
        <v>669.52442614541758</v>
      </c>
      <c r="C228" s="18">
        <v>2538.2290551538435</v>
      </c>
      <c r="D228" s="18">
        <v>3058.5711001286445</v>
      </c>
      <c r="E228" s="16">
        <v>29.943559482454592</v>
      </c>
      <c r="F228" s="16">
        <v>5321.5205283163823</v>
      </c>
      <c r="G228" s="18">
        <v>497.76484209680422</v>
      </c>
      <c r="H228" s="10"/>
    </row>
    <row r="229" spans="1:8" x14ac:dyDescent="0.25">
      <c r="A229" s="3" t="s">
        <v>259</v>
      </c>
      <c r="B229" s="18">
        <v>11245.343548945004</v>
      </c>
      <c r="C229" s="18">
        <v>43175.518614583729</v>
      </c>
      <c r="D229" s="18">
        <v>50207.758616446088</v>
      </c>
      <c r="E229" s="16">
        <v>224.56266821609549</v>
      </c>
      <c r="F229" s="16">
        <v>67705.720618622479</v>
      </c>
      <c r="G229" s="18">
        <v>8319.3400615482387</v>
      </c>
      <c r="H229" s="10"/>
    </row>
    <row r="230" spans="1:8" x14ac:dyDescent="0.25">
      <c r="A230" s="24" t="s">
        <v>260</v>
      </c>
      <c r="B230" s="25"/>
      <c r="C230" s="25"/>
      <c r="D230" s="25"/>
      <c r="E230" s="25"/>
      <c r="F230" s="25"/>
      <c r="G230" s="25"/>
      <c r="H230" s="10"/>
    </row>
    <row r="231" spans="1:8" x14ac:dyDescent="0.25">
      <c r="A231" s="3" t="s">
        <v>180</v>
      </c>
      <c r="B231" s="18">
        <v>10795.103209525521</v>
      </c>
      <c r="C231" s="18">
        <v>41608.964309143586</v>
      </c>
      <c r="D231" s="18">
        <v>50157.667807796999</v>
      </c>
      <c r="E231" s="16">
        <v>151.30238565583156</v>
      </c>
      <c r="F231" s="16">
        <v>67327.368806816536</v>
      </c>
      <c r="G231" s="18">
        <v>11921.312518690158</v>
      </c>
      <c r="H231" s="10"/>
    </row>
    <row r="232" spans="1:8" x14ac:dyDescent="0.25">
      <c r="A232" s="3" t="s">
        <v>261</v>
      </c>
      <c r="B232" s="18">
        <v>0</v>
      </c>
      <c r="C232" s="18">
        <v>0</v>
      </c>
      <c r="D232" s="18">
        <v>0</v>
      </c>
      <c r="E232" s="16">
        <v>0</v>
      </c>
      <c r="F232" s="16">
        <v>0</v>
      </c>
      <c r="G232" s="18">
        <v>0</v>
      </c>
      <c r="H232" s="10"/>
    </row>
    <row r="233" spans="1:8" x14ac:dyDescent="0.25">
      <c r="A233" s="24" t="s">
        <v>262</v>
      </c>
      <c r="B233" s="25"/>
      <c r="C233" s="25"/>
      <c r="D233" s="25"/>
      <c r="E233" s="25"/>
      <c r="F233" s="25"/>
      <c r="G233" s="25"/>
      <c r="H233" s="10"/>
    </row>
    <row r="234" spans="1:8" x14ac:dyDescent="0.25">
      <c r="A234" s="3" t="s">
        <v>193</v>
      </c>
      <c r="B234" s="18">
        <v>750759.78145804664</v>
      </c>
      <c r="C234" s="18">
        <v>2901574.3162864516</v>
      </c>
      <c r="D234" s="18">
        <v>3996289.6937109437</v>
      </c>
      <c r="E234" s="16">
        <v>3193.4890199090846</v>
      </c>
      <c r="F234" s="16">
        <v>2753192.8060456524</v>
      </c>
      <c r="G234" s="18">
        <v>688380.98895730195</v>
      </c>
      <c r="H234" s="10"/>
    </row>
    <row r="235" spans="1:8" x14ac:dyDescent="0.25">
      <c r="A235" s="3" t="s">
        <v>263</v>
      </c>
      <c r="B235" s="18">
        <v>4314.2831741171676</v>
      </c>
      <c r="C235" s="18">
        <v>15536.071998169316</v>
      </c>
      <c r="D235" s="18">
        <v>21872.67487319198</v>
      </c>
      <c r="E235" s="16">
        <v>17.217818671946052</v>
      </c>
      <c r="F235" s="16">
        <v>22957.091562594749</v>
      </c>
      <c r="G235" s="18">
        <v>1294.1945582954975</v>
      </c>
      <c r="H235" s="10"/>
    </row>
    <row r="236" spans="1:8" x14ac:dyDescent="0.25">
      <c r="A236" s="24" t="s">
        <v>264</v>
      </c>
      <c r="B236" s="25"/>
      <c r="C236" s="25"/>
      <c r="D236" s="25"/>
      <c r="E236" s="25"/>
      <c r="F236" s="25"/>
      <c r="G236" s="25"/>
      <c r="H236" s="10"/>
    </row>
    <row r="237" spans="1:8" x14ac:dyDescent="0.25">
      <c r="A237" s="3" t="s">
        <v>213</v>
      </c>
      <c r="B237" s="18">
        <v>50361.555657214129</v>
      </c>
      <c r="C237" s="8">
        <v>0</v>
      </c>
      <c r="D237" s="8">
        <v>0</v>
      </c>
      <c r="E237" s="16">
        <v>1442.8949741099771</v>
      </c>
      <c r="F237" s="8">
        <v>0</v>
      </c>
      <c r="G237" s="8">
        <v>0</v>
      </c>
      <c r="H237" s="10"/>
    </row>
    <row r="238" spans="1:8" x14ac:dyDescent="0.25">
      <c r="A238" s="3" t="s">
        <v>265</v>
      </c>
      <c r="B238" s="18">
        <v>287.06806943279832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3" t="s">
        <v>266</v>
      </c>
      <c r="B239" s="18">
        <v>357.06898387142911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4" t="s">
        <v>267</v>
      </c>
      <c r="B240" s="25"/>
      <c r="C240" s="25"/>
      <c r="D240" s="25"/>
      <c r="E240" s="25"/>
      <c r="F240" s="25"/>
      <c r="G240" s="25"/>
      <c r="H240" s="10"/>
    </row>
    <row r="241" spans="1:8" x14ac:dyDescent="0.25">
      <c r="A241" s="3" t="s">
        <v>214</v>
      </c>
      <c r="B241" s="18">
        <v>22903.185120682123</v>
      </c>
      <c r="C241" s="8">
        <v>0</v>
      </c>
      <c r="D241" s="8">
        <v>0</v>
      </c>
      <c r="E241" s="16">
        <v>1187.4883179029223</v>
      </c>
      <c r="F241" s="8">
        <v>0</v>
      </c>
      <c r="G241" s="8">
        <v>0</v>
      </c>
      <c r="H241" s="10"/>
    </row>
    <row r="242" spans="1:8" x14ac:dyDescent="0.25">
      <c r="A242" s="3" t="s">
        <v>268</v>
      </c>
      <c r="B242" s="18">
        <v>189.88869009192086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3" t="s">
        <v>269</v>
      </c>
      <c r="B243" s="18">
        <v>571.69382909061801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4" t="s">
        <v>270</v>
      </c>
      <c r="B244" s="25"/>
      <c r="C244" s="25"/>
      <c r="D244" s="25"/>
      <c r="E244" s="25"/>
      <c r="F244" s="25"/>
      <c r="G244" s="25"/>
      <c r="H244" s="10"/>
    </row>
    <row r="245" spans="1:8" x14ac:dyDescent="0.25">
      <c r="A245" s="3" t="s">
        <v>215</v>
      </c>
      <c r="B245" s="18">
        <v>356.22882700287499</v>
      </c>
      <c r="C245" s="8">
        <v>0</v>
      </c>
      <c r="D245" s="8">
        <v>0</v>
      </c>
      <c r="E245" s="16">
        <v>161.79146747777602</v>
      </c>
      <c r="F245" s="8">
        <v>0</v>
      </c>
      <c r="G245" s="8">
        <v>0</v>
      </c>
      <c r="H245" s="10"/>
    </row>
    <row r="246" spans="1:8" x14ac:dyDescent="0.25">
      <c r="A246" s="3" t="s">
        <v>271</v>
      </c>
      <c r="B246" s="18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3" t="s">
        <v>272</v>
      </c>
      <c r="B247" s="18">
        <v>0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4" t="s">
        <v>273</v>
      </c>
      <c r="B248" s="25"/>
      <c r="C248" s="25"/>
      <c r="D248" s="25"/>
      <c r="E248" s="25"/>
      <c r="F248" s="25"/>
      <c r="G248" s="25"/>
      <c r="H248" s="10"/>
    </row>
    <row r="249" spans="1:8" x14ac:dyDescent="0.25">
      <c r="A249" s="3" t="s">
        <v>216</v>
      </c>
      <c r="B249" s="18">
        <v>8317.3632405332482</v>
      </c>
      <c r="C249" s="8">
        <v>0</v>
      </c>
      <c r="D249" s="8">
        <v>0</v>
      </c>
      <c r="E249" s="16">
        <v>261.51199460244294</v>
      </c>
      <c r="F249" s="8">
        <v>0</v>
      </c>
      <c r="G249" s="8">
        <v>0</v>
      </c>
      <c r="H249" s="10"/>
    </row>
    <row r="250" spans="1:8" x14ac:dyDescent="0.25">
      <c r="A250" s="3" t="s">
        <v>274</v>
      </c>
      <c r="B250" s="18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3" t="s">
        <v>275</v>
      </c>
      <c r="B251" s="18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4" t="s">
        <v>276</v>
      </c>
      <c r="B252" s="25"/>
      <c r="C252" s="25"/>
      <c r="D252" s="25"/>
      <c r="E252" s="25"/>
      <c r="F252" s="25"/>
      <c r="G252" s="25"/>
      <c r="H252" s="10"/>
    </row>
    <row r="253" spans="1:8" x14ac:dyDescent="0.25">
      <c r="A253" s="3" t="s">
        <v>217</v>
      </c>
      <c r="B253" s="18">
        <v>12896.468429380624</v>
      </c>
      <c r="C253" s="18">
        <v>29606.903732128623</v>
      </c>
      <c r="D253" s="18">
        <v>198874.5436924781</v>
      </c>
      <c r="E253" s="16">
        <v>117.01898591159899</v>
      </c>
      <c r="F253" s="8">
        <v>0</v>
      </c>
      <c r="G253" s="8">
        <v>0</v>
      </c>
      <c r="H253" s="10"/>
    </row>
    <row r="254" spans="1:8" x14ac:dyDescent="0.25">
      <c r="A254" s="3" t="s">
        <v>277</v>
      </c>
      <c r="B254" s="18">
        <v>0</v>
      </c>
      <c r="C254" s="18">
        <v>0</v>
      </c>
      <c r="D254" s="18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3" t="s">
        <v>278</v>
      </c>
      <c r="B255" s="18">
        <v>0</v>
      </c>
      <c r="C255" s="18">
        <v>0</v>
      </c>
      <c r="D255" s="18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4" t="s">
        <v>279</v>
      </c>
      <c r="B256" s="25"/>
      <c r="C256" s="25"/>
      <c r="D256" s="25"/>
      <c r="E256" s="25"/>
      <c r="F256" s="25"/>
      <c r="G256" s="25"/>
      <c r="H256" s="10"/>
    </row>
    <row r="257" spans="1:8" x14ac:dyDescent="0.25">
      <c r="A257" s="3" t="s">
        <v>181</v>
      </c>
      <c r="B257" s="18">
        <v>1315.3859367110706</v>
      </c>
      <c r="C257" s="8">
        <v>0</v>
      </c>
      <c r="D257" s="8">
        <v>0</v>
      </c>
      <c r="E257" s="16">
        <v>18.316015186163327</v>
      </c>
      <c r="F257" s="8">
        <v>0</v>
      </c>
      <c r="G257" s="8">
        <v>0</v>
      </c>
      <c r="H257" s="10"/>
    </row>
    <row r="258" spans="1:8" x14ac:dyDescent="0.25">
      <c r="A258" s="3" t="s">
        <v>280</v>
      </c>
      <c r="B258" s="18">
        <v>37.465485085945801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3" t="s">
        <v>281</v>
      </c>
      <c r="B259" s="18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4" t="s">
        <v>282</v>
      </c>
      <c r="B260" s="25"/>
      <c r="C260" s="25"/>
      <c r="D260" s="25"/>
      <c r="E260" s="25"/>
      <c r="F260" s="25"/>
      <c r="G260" s="25"/>
      <c r="H260" s="10"/>
    </row>
    <row r="261" spans="1:8" x14ac:dyDescent="0.25">
      <c r="A261" s="3" t="s">
        <v>182</v>
      </c>
      <c r="B261" s="18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3" t="s">
        <v>283</v>
      </c>
      <c r="B262" s="18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4" t="s">
        <v>284</v>
      </c>
      <c r="B263" s="25"/>
      <c r="C263" s="25"/>
      <c r="D263" s="25"/>
      <c r="E263" s="25"/>
      <c r="F263" s="25"/>
      <c r="G263" s="25"/>
      <c r="H263" s="10"/>
    </row>
    <row r="264" spans="1:8" x14ac:dyDescent="0.25">
      <c r="A264" s="3" t="s">
        <v>183</v>
      </c>
      <c r="B264" s="18">
        <v>37363.575641600008</v>
      </c>
      <c r="C264" s="8">
        <v>0</v>
      </c>
      <c r="D264" s="8">
        <v>0</v>
      </c>
      <c r="E264" s="16">
        <v>190.28304665625231</v>
      </c>
      <c r="F264" s="8">
        <v>0</v>
      </c>
      <c r="G264" s="18">
        <v>2298.3905648579534</v>
      </c>
      <c r="H264" s="10"/>
    </row>
    <row r="265" spans="1:8" x14ac:dyDescent="0.25">
      <c r="A265" s="3" t="s">
        <v>285</v>
      </c>
      <c r="B265" s="18">
        <v>0</v>
      </c>
      <c r="C265" s="8">
        <v>0</v>
      </c>
      <c r="D265" s="8">
        <v>0</v>
      </c>
      <c r="E265" s="16">
        <v>0</v>
      </c>
      <c r="F265" s="8">
        <v>0</v>
      </c>
      <c r="G265" s="18">
        <v>0</v>
      </c>
      <c r="H265" s="10"/>
    </row>
    <row r="266" spans="1:8" x14ac:dyDescent="0.25">
      <c r="A266" s="3" t="s">
        <v>286</v>
      </c>
      <c r="B266" s="18">
        <v>101.5981142431738</v>
      </c>
      <c r="C266" s="8">
        <v>0</v>
      </c>
      <c r="D266" s="8">
        <v>0</v>
      </c>
      <c r="E266" s="16">
        <v>0</v>
      </c>
      <c r="F266" s="8">
        <v>0</v>
      </c>
      <c r="G266" s="18">
        <v>98.011858862763873</v>
      </c>
      <c r="H266" s="10"/>
    </row>
    <row r="267" spans="1:8" x14ac:dyDescent="0.25">
      <c r="A267" s="24" t="s">
        <v>287</v>
      </c>
      <c r="B267" s="25"/>
      <c r="C267" s="25"/>
      <c r="D267" s="25"/>
      <c r="E267" s="25"/>
      <c r="F267" s="25"/>
      <c r="G267" s="25"/>
      <c r="H267" s="10"/>
    </row>
    <row r="268" spans="1:8" x14ac:dyDescent="0.25">
      <c r="A268" s="3" t="s">
        <v>184</v>
      </c>
      <c r="B268" s="18">
        <v>728.9515484251142</v>
      </c>
      <c r="C268" s="18">
        <v>3252.8214818746578</v>
      </c>
      <c r="D268" s="18">
        <v>3642.2599325289552</v>
      </c>
      <c r="E268" s="16">
        <v>71.228947946190701</v>
      </c>
      <c r="F268" s="8">
        <v>0</v>
      </c>
      <c r="G268" s="18">
        <v>685.30016493204562</v>
      </c>
      <c r="H268" s="10"/>
    </row>
    <row r="269" spans="1:8" x14ac:dyDescent="0.25">
      <c r="A269" s="3" t="s">
        <v>288</v>
      </c>
      <c r="B269" s="18">
        <v>0</v>
      </c>
      <c r="C269" s="18">
        <v>0</v>
      </c>
      <c r="D269" s="18">
        <v>0</v>
      </c>
      <c r="E269" s="16">
        <v>0</v>
      </c>
      <c r="F269" s="8">
        <v>0</v>
      </c>
      <c r="G269" s="18">
        <v>0</v>
      </c>
      <c r="H269" s="10"/>
    </row>
    <row r="270" spans="1:8" x14ac:dyDescent="0.25">
      <c r="A270" s="3" t="s">
        <v>289</v>
      </c>
      <c r="B270" s="18">
        <v>0</v>
      </c>
      <c r="C270" s="18">
        <v>0</v>
      </c>
      <c r="D270" s="18">
        <v>0</v>
      </c>
      <c r="E270" s="16">
        <v>0</v>
      </c>
      <c r="F270" s="8">
        <v>0</v>
      </c>
      <c r="G270" s="18">
        <v>0</v>
      </c>
      <c r="H270" s="10"/>
    </row>
    <row r="271" spans="1:8" x14ac:dyDescent="0.25">
      <c r="A271" s="24" t="s">
        <v>290</v>
      </c>
      <c r="B271" s="25"/>
      <c r="C271" s="25"/>
      <c r="D271" s="25"/>
      <c r="E271" s="25"/>
      <c r="F271" s="25"/>
      <c r="G271" s="25"/>
      <c r="H271" s="10"/>
    </row>
    <row r="272" spans="1:8" x14ac:dyDescent="0.25">
      <c r="A272" s="3" t="s">
        <v>185</v>
      </c>
      <c r="B272" s="18">
        <v>1081.2841728000003</v>
      </c>
      <c r="C272" s="8">
        <v>0</v>
      </c>
      <c r="D272" s="8">
        <v>0</v>
      </c>
      <c r="E272" s="16">
        <v>4.0702255969251837</v>
      </c>
      <c r="F272" s="8">
        <v>0</v>
      </c>
      <c r="G272" s="18">
        <v>129.34290968060574</v>
      </c>
      <c r="H272" s="10"/>
    </row>
    <row r="273" spans="1:8" x14ac:dyDescent="0.25">
      <c r="A273" s="3" t="s">
        <v>291</v>
      </c>
      <c r="B273" s="18">
        <v>0</v>
      </c>
      <c r="C273" s="8">
        <v>0</v>
      </c>
      <c r="D273" s="8">
        <v>0</v>
      </c>
      <c r="E273" s="16">
        <v>0</v>
      </c>
      <c r="F273" s="8">
        <v>0</v>
      </c>
      <c r="G273" s="18">
        <v>0</v>
      </c>
      <c r="H273" s="10"/>
    </row>
    <row r="274" spans="1:8" x14ac:dyDescent="0.25">
      <c r="A274" s="24" t="s">
        <v>292</v>
      </c>
      <c r="B274" s="25"/>
      <c r="C274" s="25"/>
      <c r="D274" s="25"/>
      <c r="E274" s="25"/>
      <c r="F274" s="25"/>
      <c r="G274" s="25"/>
      <c r="H274" s="10"/>
    </row>
    <row r="275" spans="1:8" x14ac:dyDescent="0.25">
      <c r="A275" s="3" t="s">
        <v>186</v>
      </c>
      <c r="B275" s="18">
        <v>383.16761600000012</v>
      </c>
      <c r="C275" s="18">
        <v>1336.9960448000002</v>
      </c>
      <c r="D275" s="18">
        <v>2848.1643008000001</v>
      </c>
      <c r="E275" s="16">
        <v>1.0175563992312959</v>
      </c>
      <c r="F275" s="8">
        <v>0</v>
      </c>
      <c r="G275" s="18">
        <v>34.076692591163521</v>
      </c>
      <c r="H275" s="10"/>
    </row>
    <row r="276" spans="1:8" x14ac:dyDescent="0.25">
      <c r="A276" s="3" t="s">
        <v>293</v>
      </c>
      <c r="B276" s="18">
        <v>0</v>
      </c>
      <c r="C276" s="18">
        <v>0</v>
      </c>
      <c r="D276" s="18">
        <v>0</v>
      </c>
      <c r="E276" s="16">
        <v>0</v>
      </c>
      <c r="F276" s="8">
        <v>0</v>
      </c>
      <c r="G276" s="18">
        <v>0</v>
      </c>
      <c r="H276" s="10"/>
    </row>
    <row r="277" spans="1:8" x14ac:dyDescent="0.25">
      <c r="A277" s="24" t="s">
        <v>294</v>
      </c>
      <c r="B277" s="25"/>
      <c r="C277" s="25"/>
      <c r="D277" s="25"/>
      <c r="E277" s="25"/>
      <c r="F277" s="25"/>
      <c r="G277" s="25"/>
      <c r="H277" s="10"/>
    </row>
    <row r="278" spans="1:8" x14ac:dyDescent="0.25">
      <c r="A278" s="3" t="s">
        <v>194</v>
      </c>
      <c r="B278" s="18">
        <v>159023.41678079998</v>
      </c>
      <c r="C278" s="8">
        <v>0</v>
      </c>
      <c r="D278" s="8">
        <v>0</v>
      </c>
      <c r="E278" s="16">
        <v>73.633827685838014</v>
      </c>
      <c r="F278" s="8">
        <v>0</v>
      </c>
      <c r="G278" s="18">
        <v>3483.8436451616044</v>
      </c>
      <c r="H278" s="10"/>
    </row>
    <row r="279" spans="1:8" x14ac:dyDescent="0.25">
      <c r="A279" s="3" t="s">
        <v>295</v>
      </c>
      <c r="B279" s="18">
        <v>72.840429052638285</v>
      </c>
      <c r="C279" s="8">
        <v>0</v>
      </c>
      <c r="D279" s="8">
        <v>0</v>
      </c>
      <c r="E279" s="16">
        <v>0</v>
      </c>
      <c r="F279" s="8">
        <v>0</v>
      </c>
      <c r="G279" s="18">
        <v>0</v>
      </c>
      <c r="H279" s="10"/>
    </row>
    <row r="280" spans="1:8" x14ac:dyDescent="0.25">
      <c r="A280" s="24" t="s">
        <v>296</v>
      </c>
      <c r="B280" s="25"/>
      <c r="C280" s="25"/>
      <c r="D280" s="25"/>
      <c r="E280" s="25"/>
      <c r="F280" s="25"/>
      <c r="G280" s="25"/>
      <c r="H280" s="10"/>
    </row>
    <row r="281" spans="1:8" x14ac:dyDescent="0.25">
      <c r="A281" s="3" t="s">
        <v>195</v>
      </c>
      <c r="B281" s="18">
        <v>66634.498578297527</v>
      </c>
      <c r="C281" s="18">
        <v>212262.49346457375</v>
      </c>
      <c r="D281" s="18">
        <v>400806.320420056</v>
      </c>
      <c r="E281" s="16">
        <v>163.40657650829806</v>
      </c>
      <c r="F281" s="8">
        <v>0</v>
      </c>
      <c r="G281" s="18">
        <v>8887.1674626252116</v>
      </c>
      <c r="H281" s="10"/>
    </row>
    <row r="282" spans="1:8" x14ac:dyDescent="0.25">
      <c r="A282" s="3" t="s">
        <v>297</v>
      </c>
      <c r="B282" s="18">
        <v>0</v>
      </c>
      <c r="C282" s="18">
        <v>0</v>
      </c>
      <c r="D282" s="18">
        <v>0</v>
      </c>
      <c r="E282" s="16">
        <v>0</v>
      </c>
      <c r="F282" s="8">
        <v>0</v>
      </c>
      <c r="G282" s="18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12" t="s">
        <v>299</v>
      </c>
    </row>
    <row r="288" spans="1:8" x14ac:dyDescent="0.25">
      <c r="A288" s="3" t="s">
        <v>300</v>
      </c>
      <c r="B288" s="16">
        <v>11765728.3737446</v>
      </c>
      <c r="C288" s="10"/>
    </row>
    <row r="290" spans="1:10" ht="21" customHeight="1" x14ac:dyDescent="0.3">
      <c r="A290" s="1" t="s">
        <v>301</v>
      </c>
    </row>
    <row r="292" spans="1:10" x14ac:dyDescent="0.25">
      <c r="B292" s="12" t="s">
        <v>302</v>
      </c>
      <c r="C292" s="12" t="s">
        <v>303</v>
      </c>
      <c r="D292" s="12" t="s">
        <v>304</v>
      </c>
      <c r="E292" s="12" t="s">
        <v>305</v>
      </c>
    </row>
    <row r="293" spans="1:10" x14ac:dyDescent="0.25">
      <c r="A293" s="3" t="s">
        <v>306</v>
      </c>
      <c r="B293" s="16">
        <v>24217737.451595407</v>
      </c>
      <c r="C293" s="16">
        <v>109692210.56020558</v>
      </c>
      <c r="D293" s="22">
        <v>0.6</v>
      </c>
      <c r="E293" s="16">
        <v>42938905.549500003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12" t="s">
        <v>311</v>
      </c>
      <c r="C300" s="12" t="s">
        <v>312</v>
      </c>
      <c r="D300" s="12" t="s">
        <v>313</v>
      </c>
      <c r="E300" s="12" t="s">
        <v>314</v>
      </c>
      <c r="F300" s="12" t="s">
        <v>315</v>
      </c>
      <c r="G300" s="12" t="s">
        <v>316</v>
      </c>
      <c r="H300" s="12" t="s">
        <v>317</v>
      </c>
      <c r="I300" s="12" t="s">
        <v>318</v>
      </c>
    </row>
    <row r="301" spans="1:10" x14ac:dyDescent="0.25">
      <c r="A301" s="3" t="s">
        <v>319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  <c r="G301" s="22">
        <v>0.47913351897273304</v>
      </c>
      <c r="H301" s="22">
        <v>0.70892384564689981</v>
      </c>
      <c r="I301" s="22">
        <v>0.93871417232106646</v>
      </c>
      <c r="J301" s="10"/>
    </row>
    <row r="302" spans="1:10" x14ac:dyDescent="0.25">
      <c r="A302" s="3" t="s">
        <v>320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  <c r="G302" s="22">
        <v>0.47913351897273304</v>
      </c>
      <c r="H302" s="22">
        <v>0.70892384564689981</v>
      </c>
      <c r="I302" s="8"/>
      <c r="J302" s="10"/>
    </row>
    <row r="303" spans="1:10" x14ac:dyDescent="0.25">
      <c r="A303" s="3" t="s">
        <v>321</v>
      </c>
      <c r="B303" s="22">
        <v>0</v>
      </c>
      <c r="C303" s="22">
        <v>0</v>
      </c>
      <c r="D303" s="22">
        <v>6.5420049562801799E-2</v>
      </c>
      <c r="E303" s="22">
        <v>0.35162962287700078</v>
      </c>
      <c r="F303" s="22">
        <v>0.35162962287700078</v>
      </c>
      <c r="G303" s="22">
        <v>0.63783919619119978</v>
      </c>
      <c r="H303" s="8"/>
      <c r="I303" s="8"/>
      <c r="J303" s="10"/>
    </row>
    <row r="304" spans="1:10" x14ac:dyDescent="0.25">
      <c r="A304" s="3" t="s">
        <v>322</v>
      </c>
      <c r="B304" s="22">
        <v>0</v>
      </c>
      <c r="C304" s="22">
        <v>0</v>
      </c>
      <c r="D304" s="22">
        <v>6.5420049562801799E-2</v>
      </c>
      <c r="E304" s="22">
        <v>0.35162962287700078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12" t="s">
        <v>324</v>
      </c>
      <c r="C308" s="12" t="s">
        <v>325</v>
      </c>
      <c r="D308" s="12" t="s">
        <v>326</v>
      </c>
    </row>
    <row r="309" spans="1:5" x14ac:dyDescent="0.25">
      <c r="A309" s="3" t="s">
        <v>171</v>
      </c>
      <c r="B309" s="22">
        <v>0.15175181316585787</v>
      </c>
      <c r="C309" s="22">
        <v>0.41863554592191193</v>
      </c>
      <c r="D309" s="22">
        <v>0.42961264091223023</v>
      </c>
      <c r="E309" s="10"/>
    </row>
    <row r="310" spans="1:5" x14ac:dyDescent="0.25">
      <c r="A310" s="3" t="s">
        <v>172</v>
      </c>
      <c r="B310" s="22">
        <v>0.14988930992043384</v>
      </c>
      <c r="C310" s="22">
        <v>0.4152479315395457</v>
      </c>
      <c r="D310" s="22">
        <v>0.43486275854002043</v>
      </c>
      <c r="E310" s="10"/>
    </row>
    <row r="311" spans="1:5" x14ac:dyDescent="0.25">
      <c r="A311" s="3" t="s">
        <v>211</v>
      </c>
      <c r="B311" s="22">
        <v>4.5066324872684214E-2</v>
      </c>
      <c r="C311" s="22">
        <v>0.31786379114093172</v>
      </c>
      <c r="D311" s="22">
        <v>0.63706988398638409</v>
      </c>
      <c r="E311" s="10"/>
    </row>
    <row r="312" spans="1:5" x14ac:dyDescent="0.25">
      <c r="A312" s="3" t="s">
        <v>173</v>
      </c>
      <c r="B312" s="22">
        <v>0.13197139495307864</v>
      </c>
      <c r="C312" s="22">
        <v>0.58632136343692398</v>
      </c>
      <c r="D312" s="22">
        <v>0.28170724160999738</v>
      </c>
      <c r="E312" s="10"/>
    </row>
    <row r="313" spans="1:5" x14ac:dyDescent="0.25">
      <c r="A313" s="3" t="s">
        <v>174</v>
      </c>
      <c r="B313" s="22">
        <v>0.12559343520484603</v>
      </c>
      <c r="C313" s="22">
        <v>0.51496750573007233</v>
      </c>
      <c r="D313" s="22">
        <v>0.35943905906508161</v>
      </c>
      <c r="E313" s="10"/>
    </row>
    <row r="314" spans="1:5" x14ac:dyDescent="0.25">
      <c r="A314" s="3" t="s">
        <v>212</v>
      </c>
      <c r="B314" s="22">
        <v>1.6883539413977185E-2</v>
      </c>
      <c r="C314" s="22">
        <v>0.18706611656932615</v>
      </c>
      <c r="D314" s="22">
        <v>0.79605034401669661</v>
      </c>
      <c r="E314" s="10"/>
    </row>
    <row r="315" spans="1:5" x14ac:dyDescent="0.25">
      <c r="A315" s="3" t="s">
        <v>175</v>
      </c>
      <c r="B315" s="22">
        <v>0.13523228476397686</v>
      </c>
      <c r="C315" s="22">
        <v>0.52748359976013814</v>
      </c>
      <c r="D315" s="22">
        <v>0.33728411547588505</v>
      </c>
      <c r="E315" s="10"/>
    </row>
    <row r="316" spans="1:5" x14ac:dyDescent="0.25">
      <c r="A316" s="3" t="s">
        <v>176</v>
      </c>
      <c r="B316" s="22">
        <v>0.13381599890228998</v>
      </c>
      <c r="C316" s="22">
        <v>0.52877228703891521</v>
      </c>
      <c r="D316" s="22">
        <v>0.33741171405879483</v>
      </c>
      <c r="E316" s="10"/>
    </row>
    <row r="317" spans="1:5" x14ac:dyDescent="0.25">
      <c r="A317" s="3" t="s">
        <v>192</v>
      </c>
      <c r="B317" s="22">
        <v>0.1339102608901872</v>
      </c>
      <c r="C317" s="22">
        <v>0.53961901757848463</v>
      </c>
      <c r="D317" s="22">
        <v>0.32647072153132822</v>
      </c>
      <c r="E317" s="10"/>
    </row>
    <row r="319" spans="1:5" ht="21" customHeight="1" x14ac:dyDescent="0.3">
      <c r="A319" s="1" t="s">
        <v>327</v>
      </c>
    </row>
    <row r="321" spans="1:5" x14ac:dyDescent="0.25">
      <c r="B321" s="12" t="s">
        <v>324</v>
      </c>
      <c r="C321" s="12" t="s">
        <v>325</v>
      </c>
      <c r="D321" s="12" t="s">
        <v>326</v>
      </c>
    </row>
    <row r="322" spans="1:5" x14ac:dyDescent="0.25">
      <c r="A322" s="3" t="s">
        <v>172</v>
      </c>
      <c r="B322" s="22">
        <v>0</v>
      </c>
      <c r="C322" s="22">
        <v>0</v>
      </c>
      <c r="D322" s="22">
        <v>1</v>
      </c>
      <c r="E322" s="10"/>
    </row>
    <row r="323" spans="1:5" x14ac:dyDescent="0.25">
      <c r="A323" s="3" t="s">
        <v>174</v>
      </c>
      <c r="B323" s="22">
        <v>0</v>
      </c>
      <c r="C323" s="22">
        <v>0</v>
      </c>
      <c r="D323" s="22">
        <v>1</v>
      </c>
      <c r="E323" s="10"/>
    </row>
    <row r="324" spans="1:5" x14ac:dyDescent="0.25">
      <c r="A324" s="3" t="s">
        <v>175</v>
      </c>
      <c r="B324" s="22">
        <v>0</v>
      </c>
      <c r="C324" s="22">
        <v>0</v>
      </c>
      <c r="D324" s="22">
        <v>1</v>
      </c>
      <c r="E324" s="10"/>
    </row>
    <row r="325" spans="1:5" x14ac:dyDescent="0.25">
      <c r="A325" s="3" t="s">
        <v>176</v>
      </c>
      <c r="B325" s="22">
        <v>0</v>
      </c>
      <c r="C325" s="22">
        <v>0</v>
      </c>
      <c r="D325" s="22">
        <v>1</v>
      </c>
      <c r="E325" s="10"/>
    </row>
    <row r="326" spans="1:5" x14ac:dyDescent="0.25">
      <c r="A326" s="3" t="s">
        <v>192</v>
      </c>
      <c r="B326" s="22">
        <v>0</v>
      </c>
      <c r="C326" s="22">
        <v>0</v>
      </c>
      <c r="D326" s="22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12" t="s">
        <v>329</v>
      </c>
      <c r="C330" s="12" t="s">
        <v>330</v>
      </c>
      <c r="D330" s="12" t="s">
        <v>326</v>
      </c>
    </row>
    <row r="331" spans="1:5" x14ac:dyDescent="0.25">
      <c r="A331" s="3" t="s">
        <v>213</v>
      </c>
      <c r="B331" s="22">
        <v>2.9337899543378995E-2</v>
      </c>
      <c r="C331" s="22">
        <v>0.37237442922374431</v>
      </c>
      <c r="D331" s="22">
        <v>0.59828767123287674</v>
      </c>
      <c r="E331" s="10"/>
    </row>
    <row r="332" spans="1:5" x14ac:dyDescent="0.25">
      <c r="A332" s="3" t="s">
        <v>214</v>
      </c>
      <c r="B332" s="22">
        <v>4.9474083998010586E-2</v>
      </c>
      <c r="C332" s="22">
        <v>8.916622669344576E-2</v>
      </c>
      <c r="D332" s="22">
        <v>0.86135968930854367</v>
      </c>
      <c r="E332" s="10"/>
    </row>
    <row r="333" spans="1:5" x14ac:dyDescent="0.25">
      <c r="A333" s="3" t="s">
        <v>215</v>
      </c>
      <c r="B333" s="22">
        <v>8.99870184446908E-2</v>
      </c>
      <c r="C333" s="22">
        <v>0.15413944608086702</v>
      </c>
      <c r="D333" s="22">
        <v>0.75587353547444225</v>
      </c>
      <c r="E333" s="10"/>
    </row>
    <row r="334" spans="1:5" x14ac:dyDescent="0.25">
      <c r="A334" s="3" t="s">
        <v>216</v>
      </c>
      <c r="B334" s="22">
        <v>9.5948033573188957E-3</v>
      </c>
      <c r="C334" s="22">
        <v>0.6347847105654707</v>
      </c>
      <c r="D334" s="22">
        <v>0.35562048607721053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12" t="s">
        <v>329</v>
      </c>
      <c r="C340" s="12" t="s">
        <v>330</v>
      </c>
      <c r="D340" s="12" t="s">
        <v>326</v>
      </c>
    </row>
    <row r="341" spans="1:5" x14ac:dyDescent="0.25">
      <c r="A341" s="3" t="s">
        <v>334</v>
      </c>
      <c r="B341" s="26">
        <v>258</v>
      </c>
      <c r="C341" s="26">
        <v>3252</v>
      </c>
      <c r="D341" s="26">
        <v>5250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12" t="s">
        <v>324</v>
      </c>
      <c r="C347" s="12" t="s">
        <v>325</v>
      </c>
      <c r="D347" s="12" t="s">
        <v>326</v>
      </c>
    </row>
    <row r="348" spans="1:5" x14ac:dyDescent="0.25">
      <c r="A348" s="3" t="s">
        <v>334</v>
      </c>
      <c r="B348" s="26">
        <v>780</v>
      </c>
      <c r="C348" s="26">
        <v>2730</v>
      </c>
      <c r="D348" s="26">
        <v>5250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7" t="s">
        <v>338</v>
      </c>
      <c r="C353" s="27"/>
      <c r="D353" s="27"/>
    </row>
    <row r="354" spans="1:6" ht="30" x14ac:dyDescent="0.25">
      <c r="B354" s="12" t="s">
        <v>324</v>
      </c>
      <c r="C354" s="12" t="s">
        <v>325</v>
      </c>
      <c r="D354" s="12" t="s">
        <v>326</v>
      </c>
      <c r="E354" s="12" t="s">
        <v>339</v>
      </c>
    </row>
    <row r="355" spans="1:6" x14ac:dyDescent="0.25">
      <c r="A355" s="3" t="s">
        <v>139</v>
      </c>
      <c r="B355" s="22">
        <v>0.98260220093464345</v>
      </c>
      <c r="C355" s="22">
        <v>0</v>
      </c>
      <c r="D355" s="22">
        <v>1.7397799065356524E-2</v>
      </c>
      <c r="E355" s="22">
        <v>0.98260220093464345</v>
      </c>
      <c r="F355" s="10"/>
    </row>
    <row r="356" spans="1:6" x14ac:dyDescent="0.25">
      <c r="A356" s="3" t="s">
        <v>140</v>
      </c>
      <c r="B356" s="22">
        <v>0.85756549301791341</v>
      </c>
      <c r="C356" s="22">
        <v>0.13246822025442007</v>
      </c>
      <c r="D356" s="22">
        <v>9.9662867276665724E-3</v>
      </c>
      <c r="E356" s="22">
        <v>0.85674691747275189</v>
      </c>
      <c r="F356" s="10"/>
    </row>
    <row r="357" spans="1:6" x14ac:dyDescent="0.25">
      <c r="A357" s="3" t="s">
        <v>141</v>
      </c>
      <c r="B357" s="22">
        <v>0.85756549301791341</v>
      </c>
      <c r="C357" s="22">
        <v>0.13246822025442007</v>
      </c>
      <c r="D357" s="22">
        <v>9.9662867276665724E-3</v>
      </c>
      <c r="E357" s="22">
        <v>0.85674691747275189</v>
      </c>
      <c r="F357" s="10"/>
    </row>
    <row r="358" spans="1:6" x14ac:dyDescent="0.25">
      <c r="A358" s="3" t="s">
        <v>142</v>
      </c>
      <c r="B358" s="22">
        <v>0.67045710295130456</v>
      </c>
      <c r="C358" s="22">
        <v>0.28665186374780161</v>
      </c>
      <c r="D358" s="22">
        <v>4.2891033300893812E-2</v>
      </c>
      <c r="E358" s="22">
        <v>0.6642812698025824</v>
      </c>
      <c r="F358" s="10"/>
    </row>
    <row r="359" spans="1:6" x14ac:dyDescent="0.25">
      <c r="A359" s="3" t="s">
        <v>143</v>
      </c>
      <c r="B359" s="22">
        <v>0.67045710295130456</v>
      </c>
      <c r="C359" s="22">
        <v>0.28665186374780161</v>
      </c>
      <c r="D359" s="22">
        <v>4.2891033300893812E-2</v>
      </c>
      <c r="E359" s="22">
        <v>0.6642812698025824</v>
      </c>
      <c r="F359" s="10"/>
    </row>
    <row r="360" spans="1:6" x14ac:dyDescent="0.25">
      <c r="A360" s="3" t="s">
        <v>148</v>
      </c>
      <c r="B360" s="22">
        <v>0.85756549301791341</v>
      </c>
      <c r="C360" s="22">
        <v>0.13246822025442007</v>
      </c>
      <c r="D360" s="22">
        <v>9.9662867276665724E-3</v>
      </c>
      <c r="E360" s="22">
        <v>0.85674691747275189</v>
      </c>
      <c r="F360" s="10"/>
    </row>
    <row r="361" spans="1:6" x14ac:dyDescent="0.25">
      <c r="A361" s="3" t="s">
        <v>144</v>
      </c>
      <c r="B361" s="22">
        <v>0.67045710295130456</v>
      </c>
      <c r="C361" s="22">
        <v>0.28665186374780161</v>
      </c>
      <c r="D361" s="22">
        <v>4.2891033300893812E-2</v>
      </c>
      <c r="E361" s="22">
        <v>0.6642812698025824</v>
      </c>
      <c r="F361" s="10"/>
    </row>
    <row r="362" spans="1:6" x14ac:dyDescent="0.25">
      <c r="A362" s="3" t="s">
        <v>145</v>
      </c>
      <c r="B362" s="22">
        <v>0.67045710295130456</v>
      </c>
      <c r="C362" s="22">
        <v>0.28665186374780161</v>
      </c>
      <c r="D362" s="22">
        <v>4.2891033300893812E-2</v>
      </c>
      <c r="E362" s="22">
        <v>0.6642812698025824</v>
      </c>
      <c r="F362" s="10"/>
    </row>
    <row r="363" spans="1:6" x14ac:dyDescent="0.25">
      <c r="A363" s="3" t="s">
        <v>146</v>
      </c>
      <c r="B363" s="22">
        <v>0.67045710295130456</v>
      </c>
      <c r="C363" s="22">
        <v>0.28665186374780161</v>
      </c>
      <c r="D363" s="22">
        <v>4.2891033300893812E-2</v>
      </c>
      <c r="E363" s="22">
        <v>0.6642812698025824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12" t="s">
        <v>139</v>
      </c>
      <c r="C369" s="12" t="s">
        <v>140</v>
      </c>
      <c r="D369" s="12" t="s">
        <v>141</v>
      </c>
      <c r="E369" s="12" t="s">
        <v>142</v>
      </c>
      <c r="F369" s="12" t="s">
        <v>143</v>
      </c>
      <c r="G369" s="12" t="s">
        <v>148</v>
      </c>
      <c r="H369" s="12" t="s">
        <v>144</v>
      </c>
      <c r="I369" s="12" t="s">
        <v>145</v>
      </c>
      <c r="J369" s="12" t="s">
        <v>146</v>
      </c>
    </row>
    <row r="370" spans="1:11" x14ac:dyDescent="0.25">
      <c r="A370" s="3" t="s">
        <v>343</v>
      </c>
      <c r="B370" s="18">
        <v>0.29065630826556399</v>
      </c>
      <c r="C370" s="18">
        <v>0.29065630826556399</v>
      </c>
      <c r="D370" s="18">
        <v>0.29065630826556399</v>
      </c>
      <c r="E370" s="18">
        <v>0.29065630826556399</v>
      </c>
      <c r="F370" s="18">
        <v>0.29065630826556399</v>
      </c>
      <c r="G370" s="18">
        <v>0.29065630826556399</v>
      </c>
      <c r="H370" s="18">
        <v>0.29065630826556399</v>
      </c>
      <c r="I370" s="18">
        <v>0.29065630826556399</v>
      </c>
      <c r="J370" s="18">
        <v>0.29065630826556399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12" t="s">
        <v>345</v>
      </c>
      <c r="C374" s="12" t="s">
        <v>346</v>
      </c>
      <c r="D374" s="12" t="s">
        <v>347</v>
      </c>
      <c r="E374" s="12" t="s">
        <v>348</v>
      </c>
      <c r="F374" s="12" t="s">
        <v>349</v>
      </c>
      <c r="G374" s="12" t="s">
        <v>350</v>
      </c>
      <c r="H374" s="12" t="s">
        <v>351</v>
      </c>
    </row>
    <row r="375" spans="1:11" x14ac:dyDescent="0.25">
      <c r="A375" s="3" t="s">
        <v>171</v>
      </c>
      <c r="B375" s="16"/>
      <c r="C375" s="18">
        <v>2.1459999999999999</v>
      </c>
      <c r="D375" s="8">
        <v>0</v>
      </c>
      <c r="E375" s="8">
        <v>0</v>
      </c>
      <c r="F375" s="28">
        <v>3.05</v>
      </c>
      <c r="G375" s="8">
        <v>0</v>
      </c>
      <c r="H375" s="8">
        <v>0</v>
      </c>
      <c r="I375" s="10"/>
    </row>
    <row r="376" spans="1:11" x14ac:dyDescent="0.25">
      <c r="A376" s="3" t="s">
        <v>172</v>
      </c>
      <c r="B376" s="16"/>
      <c r="C376" s="18">
        <v>2.4889999999999999</v>
      </c>
      <c r="D376" s="18">
        <v>6.7000000000000004E-2</v>
      </c>
      <c r="E376" s="8">
        <v>0</v>
      </c>
      <c r="F376" s="28">
        <v>3.05</v>
      </c>
      <c r="G376" s="8">
        <v>0</v>
      </c>
      <c r="H376" s="8">
        <v>0</v>
      </c>
      <c r="I376" s="10"/>
    </row>
    <row r="377" spans="1:11" x14ac:dyDescent="0.25">
      <c r="A377" s="3" t="s">
        <v>211</v>
      </c>
      <c r="B377" s="16"/>
      <c r="C377" s="18">
        <v>0.61799999999999999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3" t="s">
        <v>173</v>
      </c>
      <c r="B378" s="16"/>
      <c r="C378" s="18">
        <v>1.8939999999999999</v>
      </c>
      <c r="D378" s="8">
        <v>0</v>
      </c>
      <c r="E378" s="8">
        <v>0</v>
      </c>
      <c r="F378" s="28">
        <v>5.07</v>
      </c>
      <c r="G378" s="8">
        <v>0</v>
      </c>
      <c r="H378" s="8">
        <v>0</v>
      </c>
      <c r="I378" s="10"/>
    </row>
    <row r="379" spans="1:11" x14ac:dyDescent="0.25">
      <c r="A379" s="3" t="s">
        <v>174</v>
      </c>
      <c r="B379" s="16"/>
      <c r="C379" s="18">
        <v>2.1030000000000002</v>
      </c>
      <c r="D379" s="18">
        <v>6.4000000000000001E-2</v>
      </c>
      <c r="E379" s="8">
        <v>0</v>
      </c>
      <c r="F379" s="28">
        <v>5.07</v>
      </c>
      <c r="G379" s="8">
        <v>0</v>
      </c>
      <c r="H379" s="8">
        <v>0</v>
      </c>
      <c r="I379" s="10"/>
    </row>
    <row r="380" spans="1:11" x14ac:dyDescent="0.25">
      <c r="A380" s="3" t="s">
        <v>212</v>
      </c>
      <c r="B380" s="16"/>
      <c r="C380" s="18">
        <v>0.28699999999999998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3" t="s">
        <v>175</v>
      </c>
      <c r="B381" s="16"/>
      <c r="C381" s="18">
        <v>2.073</v>
      </c>
      <c r="D381" s="18">
        <v>0.06</v>
      </c>
      <c r="E381" s="8">
        <v>0</v>
      </c>
      <c r="F381" s="28">
        <v>31.45</v>
      </c>
      <c r="G381" s="8">
        <v>0</v>
      </c>
      <c r="H381" s="8">
        <v>0</v>
      </c>
      <c r="I381" s="10"/>
    </row>
    <row r="382" spans="1:11" x14ac:dyDescent="0.25">
      <c r="A382" s="3" t="s">
        <v>176</v>
      </c>
      <c r="B382" s="16"/>
      <c r="C382" s="18">
        <v>1.4419999999999999</v>
      </c>
      <c r="D382" s="18">
        <v>0.04</v>
      </c>
      <c r="E382" s="8">
        <v>0</v>
      </c>
      <c r="F382" s="28">
        <v>3.29</v>
      </c>
      <c r="G382" s="8">
        <v>0</v>
      </c>
      <c r="H382" s="8">
        <v>0</v>
      </c>
      <c r="I382" s="10"/>
    </row>
    <row r="383" spans="1:11" x14ac:dyDescent="0.25">
      <c r="A383" s="3" t="s">
        <v>192</v>
      </c>
      <c r="B383" s="16"/>
      <c r="C383" s="18">
        <v>1.329</v>
      </c>
      <c r="D383" s="18">
        <v>2.5999999999999999E-2</v>
      </c>
      <c r="E383" s="8">
        <v>0</v>
      </c>
      <c r="F383" s="28">
        <v>209.83</v>
      </c>
      <c r="G383" s="8">
        <v>0</v>
      </c>
      <c r="H383" s="8">
        <v>0</v>
      </c>
      <c r="I383" s="10"/>
    </row>
    <row r="384" spans="1:11" x14ac:dyDescent="0.25">
      <c r="A384" s="3" t="s">
        <v>177</v>
      </c>
      <c r="B384" s="16"/>
      <c r="C384" s="18">
        <v>13.135999999999999</v>
      </c>
      <c r="D384" s="18">
        <v>0.59499999999999997</v>
      </c>
      <c r="E384" s="18">
        <v>6.0999999999999999E-2</v>
      </c>
      <c r="F384" s="28">
        <v>3.05</v>
      </c>
      <c r="G384" s="8">
        <v>0</v>
      </c>
      <c r="H384" s="8">
        <v>0</v>
      </c>
      <c r="I384" s="10"/>
    </row>
    <row r="385" spans="1:9" x14ac:dyDescent="0.25">
      <c r="A385" s="3" t="s">
        <v>178</v>
      </c>
      <c r="B385" s="16"/>
      <c r="C385" s="18">
        <v>13.14</v>
      </c>
      <c r="D385" s="18">
        <v>0.57299999999999995</v>
      </c>
      <c r="E385" s="18">
        <v>0.06</v>
      </c>
      <c r="F385" s="28">
        <v>5.07</v>
      </c>
      <c r="G385" s="8">
        <v>0</v>
      </c>
      <c r="H385" s="8">
        <v>0</v>
      </c>
      <c r="I385" s="10"/>
    </row>
    <row r="386" spans="1:9" x14ac:dyDescent="0.25">
      <c r="A386" s="3" t="s">
        <v>179</v>
      </c>
      <c r="B386" s="16"/>
      <c r="C386" s="18">
        <v>11.301</v>
      </c>
      <c r="D386" s="18">
        <v>0.433</v>
      </c>
      <c r="E386" s="18">
        <v>4.8000000000000001E-2</v>
      </c>
      <c r="F386" s="28">
        <v>7.47</v>
      </c>
      <c r="G386" s="28">
        <v>2.5</v>
      </c>
      <c r="H386" s="18">
        <v>0.39300000000000002</v>
      </c>
      <c r="I386" s="10"/>
    </row>
    <row r="387" spans="1:9" x14ac:dyDescent="0.25">
      <c r="A387" s="3" t="s">
        <v>180</v>
      </c>
      <c r="B387" s="16"/>
      <c r="C387" s="18">
        <v>9.7080000000000002</v>
      </c>
      <c r="D387" s="18">
        <v>0.26800000000000002</v>
      </c>
      <c r="E387" s="18">
        <v>3.4000000000000002E-2</v>
      </c>
      <c r="F387" s="28">
        <v>5.75</v>
      </c>
      <c r="G387" s="28">
        <v>3.29</v>
      </c>
      <c r="H387" s="18">
        <v>0.31900000000000001</v>
      </c>
      <c r="I387" s="10"/>
    </row>
    <row r="388" spans="1:9" x14ac:dyDescent="0.25">
      <c r="A388" s="3" t="s">
        <v>193</v>
      </c>
      <c r="B388" s="16"/>
      <c r="C388" s="18">
        <v>7.4249999999999998</v>
      </c>
      <c r="D388" s="18">
        <v>0.115</v>
      </c>
      <c r="E388" s="18">
        <v>2.1000000000000001E-2</v>
      </c>
      <c r="F388" s="28">
        <v>57.08</v>
      </c>
      <c r="G388" s="28">
        <v>3.92</v>
      </c>
      <c r="H388" s="18">
        <v>0.218</v>
      </c>
      <c r="I388" s="10"/>
    </row>
    <row r="389" spans="1:9" x14ac:dyDescent="0.25">
      <c r="A389" s="3" t="s">
        <v>213</v>
      </c>
      <c r="B389" s="16"/>
      <c r="C389" s="18">
        <v>1.8420000000000001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3" t="s">
        <v>214</v>
      </c>
      <c r="B390" s="16"/>
      <c r="C390" s="18">
        <v>2.4580000000000002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3" t="s">
        <v>215</v>
      </c>
      <c r="B391" s="16"/>
      <c r="C391" s="18">
        <v>3.98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3" t="s">
        <v>216</v>
      </c>
      <c r="B392" s="16"/>
      <c r="C392" s="18">
        <v>1.232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3" t="s">
        <v>217</v>
      </c>
      <c r="B393" s="16"/>
      <c r="C393" s="18">
        <v>37.447000000000003</v>
      </c>
      <c r="D393" s="18">
        <v>1.0409999999999999</v>
      </c>
      <c r="E393" s="18">
        <v>0.59499999999999997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365</formula1>
      <formula2>366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J31" sqref="J31:J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 for "&amp;Input!B7&amp;" in "&amp;Input!C7&amp;" ("&amp;Input!D7&amp;")"</f>
        <v>Tariffs for WPD East Midlands in April 17 (Final)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1" t="s">
        <v>1561</v>
      </c>
    </row>
    <row r="6" spans="1:11" x14ac:dyDescent="0.25">
      <c r="A6" s="11" t="s">
        <v>1562</v>
      </c>
    </row>
    <row r="7" spans="1:11" x14ac:dyDescent="0.25">
      <c r="A7" s="11" t="s">
        <v>1563</v>
      </c>
    </row>
    <row r="8" spans="1:11" x14ac:dyDescent="0.25">
      <c r="A8" s="11" t="s">
        <v>1564</v>
      </c>
    </row>
    <row r="9" spans="1:11" x14ac:dyDescent="0.25">
      <c r="A9" s="11" t="s">
        <v>1565</v>
      </c>
    </row>
    <row r="10" spans="1:11" x14ac:dyDescent="0.25">
      <c r="A10" s="11" t="s">
        <v>1566</v>
      </c>
    </row>
    <row r="11" spans="1:11" x14ac:dyDescent="0.25">
      <c r="A11" s="29" t="s">
        <v>359</v>
      </c>
      <c r="B11" s="29" t="s">
        <v>1567</v>
      </c>
      <c r="C11" s="29" t="s">
        <v>360</v>
      </c>
      <c r="D11" s="29" t="s">
        <v>418</v>
      </c>
      <c r="E11" s="29" t="s">
        <v>418</v>
      </c>
      <c r="F11" s="29" t="s">
        <v>418</v>
      </c>
      <c r="G11" s="29" t="s">
        <v>418</v>
      </c>
      <c r="H11" s="29" t="s">
        <v>418</v>
      </c>
      <c r="I11" s="29" t="s">
        <v>418</v>
      </c>
      <c r="J11" s="29" t="s">
        <v>1567</v>
      </c>
    </row>
    <row r="12" spans="1:11" x14ac:dyDescent="0.25">
      <c r="A12" s="29" t="s">
        <v>362</v>
      </c>
      <c r="B12" s="29" t="s">
        <v>363</v>
      </c>
      <c r="C12" s="29" t="s">
        <v>363</v>
      </c>
      <c r="D12" s="29" t="s">
        <v>1568</v>
      </c>
      <c r="E12" s="29" t="s">
        <v>421</v>
      </c>
      <c r="F12" s="29" t="s">
        <v>1569</v>
      </c>
      <c r="G12" s="29" t="s">
        <v>1019</v>
      </c>
      <c r="H12" s="29" t="s">
        <v>912</v>
      </c>
      <c r="I12" s="29" t="s">
        <v>1570</v>
      </c>
      <c r="J12" s="29" t="s">
        <v>363</v>
      </c>
    </row>
    <row r="14" spans="1:11" ht="30" x14ac:dyDescent="0.25">
      <c r="B14" s="12" t="s">
        <v>1571</v>
      </c>
      <c r="C14" s="12" t="s">
        <v>1572</v>
      </c>
      <c r="D14" s="12" t="s">
        <v>1489</v>
      </c>
      <c r="E14" s="12" t="s">
        <v>1490</v>
      </c>
      <c r="F14" s="12" t="s">
        <v>1491</v>
      </c>
      <c r="G14" s="12" t="s">
        <v>1492</v>
      </c>
      <c r="H14" s="12" t="s">
        <v>1493</v>
      </c>
      <c r="I14" s="12" t="s">
        <v>1104</v>
      </c>
      <c r="J14" s="12" t="s">
        <v>1573</v>
      </c>
    </row>
    <row r="15" spans="1:11" x14ac:dyDescent="0.25">
      <c r="A15" s="3" t="s">
        <v>171</v>
      </c>
      <c r="B15" s="13" t="s">
        <v>1906</v>
      </c>
      <c r="C15" s="43">
        <v>1</v>
      </c>
      <c r="D15" s="34">
        <f>Adjust!B$223</f>
        <v>2.069</v>
      </c>
      <c r="E15" s="34">
        <f>Adjust!C$223</f>
        <v>0</v>
      </c>
      <c r="F15" s="34">
        <f>Adjust!D$223</f>
        <v>0</v>
      </c>
      <c r="G15" s="42">
        <f>Adjust!E$223</f>
        <v>3.12</v>
      </c>
      <c r="H15" s="42">
        <f>Adjust!F$223</f>
        <v>0</v>
      </c>
      <c r="I15" s="34">
        <f>Adjust!G$223</f>
        <v>0</v>
      </c>
      <c r="J15" s="13"/>
      <c r="K15" s="10"/>
    </row>
    <row r="16" spans="1:11" x14ac:dyDescent="0.25">
      <c r="A16" s="3" t="s">
        <v>172</v>
      </c>
      <c r="B16" s="13" t="s">
        <v>1907</v>
      </c>
      <c r="C16" s="43">
        <v>2</v>
      </c>
      <c r="D16" s="34">
        <f>Adjust!B$227</f>
        <v>2.5070000000000001</v>
      </c>
      <c r="E16" s="34">
        <f>Adjust!C$227</f>
        <v>6.8000000000000005E-2</v>
      </c>
      <c r="F16" s="34">
        <f>Adjust!D$227</f>
        <v>0</v>
      </c>
      <c r="G16" s="42">
        <f>Adjust!E$227</f>
        <v>3.12</v>
      </c>
      <c r="H16" s="42">
        <f>Adjust!F$227</f>
        <v>0</v>
      </c>
      <c r="I16" s="34">
        <f>Adjust!G$227</f>
        <v>0</v>
      </c>
      <c r="J16" s="13" t="s">
        <v>1931</v>
      </c>
      <c r="K16" s="10"/>
    </row>
    <row r="17" spans="1:11" x14ac:dyDescent="0.25">
      <c r="A17" s="3" t="s">
        <v>211</v>
      </c>
      <c r="B17" s="13" t="s">
        <v>1908</v>
      </c>
      <c r="C17" s="43">
        <v>2</v>
      </c>
      <c r="D17" s="34">
        <f>Adjust!B$231</f>
        <v>0.628</v>
      </c>
      <c r="E17" s="34">
        <f>Adjust!C$231</f>
        <v>0</v>
      </c>
      <c r="F17" s="34">
        <f>Adjust!D$231</f>
        <v>0</v>
      </c>
      <c r="G17" s="42">
        <f>Adjust!E$231</f>
        <v>0</v>
      </c>
      <c r="H17" s="42">
        <f>Adjust!F$231</f>
        <v>0</v>
      </c>
      <c r="I17" s="34">
        <f>Adjust!G$231</f>
        <v>0</v>
      </c>
      <c r="J17" s="13" t="s">
        <v>1932</v>
      </c>
      <c r="K17" s="10"/>
    </row>
    <row r="18" spans="1:11" x14ac:dyDescent="0.25">
      <c r="A18" s="3" t="s">
        <v>173</v>
      </c>
      <c r="B18" s="13" t="s">
        <v>1909</v>
      </c>
      <c r="C18" s="43">
        <v>3</v>
      </c>
      <c r="D18" s="34">
        <f>Adjust!B$235</f>
        <v>1.946</v>
      </c>
      <c r="E18" s="34">
        <f>Adjust!C$235</f>
        <v>0</v>
      </c>
      <c r="F18" s="34">
        <f>Adjust!D$235</f>
        <v>0</v>
      </c>
      <c r="G18" s="42">
        <f>Adjust!E$235</f>
        <v>5.28</v>
      </c>
      <c r="H18" s="42">
        <f>Adjust!F$235</f>
        <v>0</v>
      </c>
      <c r="I18" s="34">
        <f>Adjust!G$235</f>
        <v>0</v>
      </c>
      <c r="J18" s="13" t="s">
        <v>1933</v>
      </c>
      <c r="K18" s="10"/>
    </row>
    <row r="19" spans="1:11" x14ac:dyDescent="0.25">
      <c r="A19" s="3" t="s">
        <v>174</v>
      </c>
      <c r="B19" s="13" t="s">
        <v>1910</v>
      </c>
      <c r="C19" s="43">
        <v>4</v>
      </c>
      <c r="D19" s="34">
        <f>Adjust!B$239</f>
        <v>2.1230000000000002</v>
      </c>
      <c r="E19" s="34">
        <f>Adjust!C$239</f>
        <v>6.5000000000000002E-2</v>
      </c>
      <c r="F19" s="34">
        <f>Adjust!D$239</f>
        <v>0</v>
      </c>
      <c r="G19" s="42">
        <f>Adjust!E$239</f>
        <v>5.28</v>
      </c>
      <c r="H19" s="42">
        <f>Adjust!F$239</f>
        <v>0</v>
      </c>
      <c r="I19" s="34">
        <f>Adjust!G$239</f>
        <v>0</v>
      </c>
      <c r="J19" s="13" t="s">
        <v>1934</v>
      </c>
      <c r="K19" s="10"/>
    </row>
    <row r="20" spans="1:11" x14ac:dyDescent="0.25">
      <c r="A20" s="3" t="s">
        <v>212</v>
      </c>
      <c r="B20" s="13" t="s">
        <v>1911</v>
      </c>
      <c r="C20" s="43">
        <v>4</v>
      </c>
      <c r="D20" s="34">
        <f>Adjust!B$243</f>
        <v>0.29299999999999998</v>
      </c>
      <c r="E20" s="34">
        <f>Adjust!C$243</f>
        <v>0</v>
      </c>
      <c r="F20" s="34">
        <f>Adjust!D$243</f>
        <v>0</v>
      </c>
      <c r="G20" s="42">
        <f>Adjust!E$243</f>
        <v>0</v>
      </c>
      <c r="H20" s="42">
        <f>Adjust!F$243</f>
        <v>0</v>
      </c>
      <c r="I20" s="34">
        <f>Adjust!G$243</f>
        <v>0</v>
      </c>
      <c r="J20" s="13"/>
      <c r="K20" s="10"/>
    </row>
    <row r="21" spans="1:11" x14ac:dyDescent="0.25">
      <c r="A21" s="3" t="s">
        <v>175</v>
      </c>
      <c r="B21" s="13" t="s">
        <v>1912</v>
      </c>
      <c r="C21" s="43" t="s">
        <v>1574</v>
      </c>
      <c r="D21" s="34">
        <f>Adjust!B$247</f>
        <v>1.6160000000000001</v>
      </c>
      <c r="E21" s="34">
        <f>Adjust!C$247</f>
        <v>4.7E-2</v>
      </c>
      <c r="F21" s="34">
        <f>Adjust!D$247</f>
        <v>0</v>
      </c>
      <c r="G21" s="42">
        <f>Adjust!E$247</f>
        <v>4.7300000000000004</v>
      </c>
      <c r="H21" s="42">
        <f>Adjust!F$247</f>
        <v>0</v>
      </c>
      <c r="I21" s="34">
        <f>Adjust!G$247</f>
        <v>0</v>
      </c>
      <c r="J21" s="13" t="s">
        <v>1935</v>
      </c>
      <c r="K21" s="10"/>
    </row>
    <row r="22" spans="1:11" x14ac:dyDescent="0.25">
      <c r="A22" s="3" t="s">
        <v>176</v>
      </c>
      <c r="B22" s="13" t="s">
        <v>1913</v>
      </c>
      <c r="C22" s="43" t="s">
        <v>1574</v>
      </c>
      <c r="D22" s="34">
        <f>Adjust!B$251</f>
        <v>1.456</v>
      </c>
      <c r="E22" s="34">
        <f>Adjust!C$251</f>
        <v>4.1000000000000002E-2</v>
      </c>
      <c r="F22" s="34">
        <f>Adjust!D$251</f>
        <v>0</v>
      </c>
      <c r="G22" s="42">
        <f>Adjust!E$251</f>
        <v>3.5</v>
      </c>
      <c r="H22" s="42">
        <f>Adjust!F$251</f>
        <v>0</v>
      </c>
      <c r="I22" s="34">
        <f>Adjust!G$251</f>
        <v>0</v>
      </c>
      <c r="J22" s="13"/>
      <c r="K22" s="10"/>
    </row>
    <row r="23" spans="1:11" x14ac:dyDescent="0.25">
      <c r="A23" s="3" t="s">
        <v>192</v>
      </c>
      <c r="B23" s="13" t="s">
        <v>1914</v>
      </c>
      <c r="C23" s="43" t="s">
        <v>1574</v>
      </c>
      <c r="D23" s="34">
        <f>Adjust!B$253</f>
        <v>0.97299999999999998</v>
      </c>
      <c r="E23" s="34">
        <f>Adjust!C$253</f>
        <v>1.9E-2</v>
      </c>
      <c r="F23" s="34">
        <f>Adjust!D$253</f>
        <v>0</v>
      </c>
      <c r="G23" s="42">
        <f>Adjust!E$253</f>
        <v>60.87</v>
      </c>
      <c r="H23" s="42">
        <f>Adjust!F$253</f>
        <v>0</v>
      </c>
      <c r="I23" s="34">
        <f>Adjust!G$253</f>
        <v>0</v>
      </c>
      <c r="J23" s="13"/>
      <c r="K23" s="10"/>
    </row>
    <row r="24" spans="1:11" x14ac:dyDescent="0.25">
      <c r="A24" s="3" t="s">
        <v>177</v>
      </c>
      <c r="B24" s="13">
        <v>246</v>
      </c>
      <c r="C24" s="43"/>
      <c r="D24" s="34">
        <f>Adjust!B$255</f>
        <v>12.865</v>
      </c>
      <c r="E24" s="34">
        <f>Adjust!C$255</f>
        <v>0.58899999999999997</v>
      </c>
      <c r="F24" s="34">
        <f>Adjust!D$255</f>
        <v>0.06</v>
      </c>
      <c r="G24" s="42">
        <f>Adjust!E$255</f>
        <v>3.12</v>
      </c>
      <c r="H24" s="42">
        <f>Adjust!F$255</f>
        <v>0</v>
      </c>
      <c r="I24" s="34">
        <f>Adjust!G$255</f>
        <v>0</v>
      </c>
      <c r="J24" s="13"/>
      <c r="K24" s="10"/>
    </row>
    <row r="25" spans="1:11" x14ac:dyDescent="0.25">
      <c r="A25" s="3" t="s">
        <v>178</v>
      </c>
      <c r="B25" s="13">
        <v>247</v>
      </c>
      <c r="C25" s="43"/>
      <c r="D25" s="34">
        <f>Adjust!B$259</f>
        <v>13.25</v>
      </c>
      <c r="E25" s="34">
        <f>Adjust!C$259</f>
        <v>0.60699999999999998</v>
      </c>
      <c r="F25" s="34">
        <f>Adjust!D$259</f>
        <v>6.0999999999999999E-2</v>
      </c>
      <c r="G25" s="42">
        <f>Adjust!E$259</f>
        <v>5.28</v>
      </c>
      <c r="H25" s="42">
        <f>Adjust!F$259</f>
        <v>0</v>
      </c>
      <c r="I25" s="34">
        <f>Adjust!G$259</f>
        <v>0</v>
      </c>
      <c r="J25" s="13"/>
      <c r="K25" s="10"/>
    </row>
    <row r="26" spans="1:11" x14ac:dyDescent="0.25">
      <c r="A26" s="3" t="s">
        <v>179</v>
      </c>
      <c r="B26" s="13" t="s">
        <v>1915</v>
      </c>
      <c r="C26" s="43"/>
      <c r="D26" s="34">
        <f>Adjust!B$263</f>
        <v>11.372999999999999</v>
      </c>
      <c r="E26" s="34">
        <f>Adjust!C$263</f>
        <v>0.45400000000000001</v>
      </c>
      <c r="F26" s="34">
        <f>Adjust!D$263</f>
        <v>4.8000000000000001E-2</v>
      </c>
      <c r="G26" s="42">
        <f>Adjust!E$263</f>
        <v>7.97</v>
      </c>
      <c r="H26" s="42">
        <f>Adjust!F$263</f>
        <v>2.5499999999999998</v>
      </c>
      <c r="I26" s="34">
        <f>Adjust!G$263</f>
        <v>0.39500000000000002</v>
      </c>
      <c r="J26" s="13"/>
      <c r="K26" s="10"/>
    </row>
    <row r="27" spans="1:11" x14ac:dyDescent="0.25">
      <c r="A27" s="3" t="s">
        <v>180</v>
      </c>
      <c r="B27" s="13" t="s">
        <v>1916</v>
      </c>
      <c r="C27" s="43"/>
      <c r="D27" s="34">
        <f>Adjust!B$267</f>
        <v>9.7249999999999996</v>
      </c>
      <c r="E27" s="34">
        <f>Adjust!C$267</f>
        <v>0.28000000000000003</v>
      </c>
      <c r="F27" s="34">
        <f>Adjust!D$267</f>
        <v>3.5000000000000003E-2</v>
      </c>
      <c r="G27" s="42">
        <f>Adjust!E$267</f>
        <v>6.14</v>
      </c>
      <c r="H27" s="42">
        <f>Adjust!F$267</f>
        <v>3.44</v>
      </c>
      <c r="I27" s="34">
        <f>Adjust!G$267</f>
        <v>0.318</v>
      </c>
      <c r="J27" s="13"/>
      <c r="K27" s="10"/>
    </row>
    <row r="28" spans="1:11" x14ac:dyDescent="0.25">
      <c r="A28" s="3" t="s">
        <v>193</v>
      </c>
      <c r="B28" s="13" t="s">
        <v>1917</v>
      </c>
      <c r="C28" s="43"/>
      <c r="D28" s="34">
        <f>Adjust!B$270</f>
        <v>7.391</v>
      </c>
      <c r="E28" s="34">
        <f>Adjust!C$270</f>
        <v>0.121</v>
      </c>
      <c r="F28" s="34">
        <f>Adjust!D$270</f>
        <v>2.1000000000000001E-2</v>
      </c>
      <c r="G28" s="42">
        <f>Adjust!E$270</f>
        <v>60.87</v>
      </c>
      <c r="H28" s="42">
        <f>Adjust!F$270</f>
        <v>4.09</v>
      </c>
      <c r="I28" s="34">
        <f>Adjust!G$270</f>
        <v>0.216</v>
      </c>
      <c r="J28" s="13" t="s">
        <v>1936</v>
      </c>
      <c r="K28" s="10"/>
    </row>
    <row r="29" spans="1:11" x14ac:dyDescent="0.25">
      <c r="A29" s="3" t="s">
        <v>213</v>
      </c>
      <c r="B29" s="13" t="s">
        <v>1918</v>
      </c>
      <c r="C29" s="43">
        <v>8</v>
      </c>
      <c r="D29" s="34">
        <f>Adjust!B$273</f>
        <v>1.8939999999999999</v>
      </c>
      <c r="E29" s="34">
        <f>Adjust!C$273</f>
        <v>0</v>
      </c>
      <c r="F29" s="34">
        <f>Adjust!D$273</f>
        <v>0</v>
      </c>
      <c r="G29" s="42">
        <f>Adjust!E$273</f>
        <v>0</v>
      </c>
      <c r="H29" s="42">
        <f>Adjust!F$273</f>
        <v>0</v>
      </c>
      <c r="I29" s="34">
        <f>Adjust!G$273</f>
        <v>0</v>
      </c>
      <c r="J29" s="13"/>
      <c r="K29" s="10"/>
    </row>
    <row r="30" spans="1:11" x14ac:dyDescent="0.25">
      <c r="A30" s="3" t="s">
        <v>214</v>
      </c>
      <c r="B30" s="13" t="s">
        <v>1919</v>
      </c>
      <c r="C30" s="43">
        <v>1</v>
      </c>
      <c r="D30" s="34">
        <f>Adjust!B$277</f>
        <v>2.508</v>
      </c>
      <c r="E30" s="34">
        <f>Adjust!C$277</f>
        <v>0</v>
      </c>
      <c r="F30" s="34">
        <f>Adjust!D$277</f>
        <v>0</v>
      </c>
      <c r="G30" s="42">
        <f>Adjust!E$277</f>
        <v>0</v>
      </c>
      <c r="H30" s="42">
        <f>Adjust!F$277</f>
        <v>0</v>
      </c>
      <c r="I30" s="34">
        <f>Adjust!G$277</f>
        <v>0</v>
      </c>
      <c r="J30" s="13"/>
      <c r="K30" s="10"/>
    </row>
    <row r="31" spans="1:11" x14ac:dyDescent="0.25">
      <c r="A31" s="3" t="s">
        <v>215</v>
      </c>
      <c r="B31" s="13" t="s">
        <v>1920</v>
      </c>
      <c r="C31" s="43">
        <v>1</v>
      </c>
      <c r="D31" s="34">
        <f>Adjust!B$281</f>
        <v>4.04</v>
      </c>
      <c r="E31" s="34">
        <f>Adjust!C$281</f>
        <v>0</v>
      </c>
      <c r="F31" s="34">
        <f>Adjust!D$281</f>
        <v>0</v>
      </c>
      <c r="G31" s="42">
        <f>Adjust!E$281</f>
        <v>0</v>
      </c>
      <c r="H31" s="42">
        <f>Adjust!F$281</f>
        <v>0</v>
      </c>
      <c r="I31" s="34">
        <f>Adjust!G$281</f>
        <v>0</v>
      </c>
      <c r="J31" s="13"/>
      <c r="K31" s="10"/>
    </row>
    <row r="32" spans="1:11" x14ac:dyDescent="0.25">
      <c r="A32" s="3" t="s">
        <v>216</v>
      </c>
      <c r="B32" s="13" t="s">
        <v>1921</v>
      </c>
      <c r="C32" s="43">
        <v>1</v>
      </c>
      <c r="D32" s="34">
        <f>Adjust!B$285</f>
        <v>1.2849999999999999</v>
      </c>
      <c r="E32" s="34">
        <f>Adjust!C$285</f>
        <v>0</v>
      </c>
      <c r="F32" s="34">
        <f>Adjust!D$285</f>
        <v>0</v>
      </c>
      <c r="G32" s="42">
        <f>Adjust!E$285</f>
        <v>0</v>
      </c>
      <c r="H32" s="42">
        <f>Adjust!F$285</f>
        <v>0</v>
      </c>
      <c r="I32" s="34">
        <f>Adjust!G$285</f>
        <v>0</v>
      </c>
      <c r="J32" s="13"/>
      <c r="K32" s="10"/>
    </row>
    <row r="33" spans="1:11" x14ac:dyDescent="0.25">
      <c r="A33" s="3" t="s">
        <v>217</v>
      </c>
      <c r="B33" s="13" t="s">
        <v>1922</v>
      </c>
      <c r="C33" s="43"/>
      <c r="D33" s="34">
        <f>Adjust!B$289</f>
        <v>37.704000000000001</v>
      </c>
      <c r="E33" s="34">
        <f>Adjust!C$289</f>
        <v>1.101</v>
      </c>
      <c r="F33" s="34">
        <f>Adjust!D$289</f>
        <v>0.63200000000000001</v>
      </c>
      <c r="G33" s="42">
        <f>Adjust!E$289</f>
        <v>0</v>
      </c>
      <c r="H33" s="42">
        <f>Adjust!F$289</f>
        <v>0</v>
      </c>
      <c r="I33" s="34">
        <f>Adjust!G$289</f>
        <v>0</v>
      </c>
      <c r="J33" s="13"/>
      <c r="K33" s="10"/>
    </row>
    <row r="34" spans="1:11" x14ac:dyDescent="0.25">
      <c r="A34" s="3" t="s">
        <v>181</v>
      </c>
      <c r="B34" s="13" t="s">
        <v>1923</v>
      </c>
      <c r="C34" s="43" t="s">
        <v>1575</v>
      </c>
      <c r="D34" s="34">
        <f>Adjust!B$293</f>
        <v>-0.626</v>
      </c>
      <c r="E34" s="34">
        <f>Adjust!C$293</f>
        <v>0</v>
      </c>
      <c r="F34" s="34">
        <f>Adjust!D$293</f>
        <v>0</v>
      </c>
      <c r="G34" s="42">
        <f>Adjust!E$293</f>
        <v>0</v>
      </c>
      <c r="H34" s="42">
        <f>Adjust!F$293</f>
        <v>0</v>
      </c>
      <c r="I34" s="34">
        <f>Adjust!G$293</f>
        <v>0</v>
      </c>
      <c r="J34" s="13"/>
      <c r="K34" s="10"/>
    </row>
    <row r="35" spans="1:11" x14ac:dyDescent="0.25">
      <c r="A35" s="3" t="s">
        <v>182</v>
      </c>
      <c r="B35" s="13" t="s">
        <v>1924</v>
      </c>
      <c r="C35" s="43">
        <v>8</v>
      </c>
      <c r="D35" s="34">
        <f>Adjust!B$297</f>
        <v>-0.54600000000000004</v>
      </c>
      <c r="E35" s="34">
        <f>Adjust!C$297</f>
        <v>0</v>
      </c>
      <c r="F35" s="34">
        <f>Adjust!D$297</f>
        <v>0</v>
      </c>
      <c r="G35" s="42">
        <f>Adjust!E$297</f>
        <v>0</v>
      </c>
      <c r="H35" s="42">
        <f>Adjust!F$297</f>
        <v>0</v>
      </c>
      <c r="I35" s="34">
        <f>Adjust!G$297</f>
        <v>0</v>
      </c>
      <c r="J35" s="13"/>
      <c r="K35" s="10"/>
    </row>
    <row r="36" spans="1:11" x14ac:dyDescent="0.25">
      <c r="A36" s="3" t="s">
        <v>183</v>
      </c>
      <c r="B36" s="13" t="s">
        <v>1925</v>
      </c>
      <c r="C36" s="43"/>
      <c r="D36" s="34">
        <f>Adjust!B$300</f>
        <v>-0.626</v>
      </c>
      <c r="E36" s="34">
        <f>Adjust!C$300</f>
        <v>0</v>
      </c>
      <c r="F36" s="34">
        <f>Adjust!D$300</f>
        <v>0</v>
      </c>
      <c r="G36" s="42">
        <f>Adjust!E$300</f>
        <v>0</v>
      </c>
      <c r="H36" s="42">
        <f>Adjust!F$300</f>
        <v>0</v>
      </c>
      <c r="I36" s="34">
        <f>Adjust!G$300</f>
        <v>0.23200000000000001</v>
      </c>
      <c r="J36" s="13"/>
      <c r="K36" s="10"/>
    </row>
    <row r="37" spans="1:11" x14ac:dyDescent="0.25">
      <c r="A37" s="3" t="s">
        <v>184</v>
      </c>
      <c r="B37" s="13" t="s">
        <v>1926</v>
      </c>
      <c r="C37" s="43"/>
      <c r="D37" s="34">
        <f>Adjust!B$304</f>
        <v>-5.1929999999999996</v>
      </c>
      <c r="E37" s="34">
        <f>Adjust!C$304</f>
        <v>-0.46</v>
      </c>
      <c r="F37" s="34">
        <f>Adjust!D$304</f>
        <v>-3.4000000000000002E-2</v>
      </c>
      <c r="G37" s="42">
        <f>Adjust!E$304</f>
        <v>0</v>
      </c>
      <c r="H37" s="42">
        <f>Adjust!F$304</f>
        <v>0</v>
      </c>
      <c r="I37" s="34">
        <f>Adjust!G$304</f>
        <v>0.23200000000000001</v>
      </c>
      <c r="J37" s="13"/>
      <c r="K37" s="10"/>
    </row>
    <row r="38" spans="1:11" x14ac:dyDescent="0.25">
      <c r="A38" s="3" t="s">
        <v>185</v>
      </c>
      <c r="B38" s="13" t="s">
        <v>1927</v>
      </c>
      <c r="C38" s="43"/>
      <c r="D38" s="34">
        <f>Adjust!B$308</f>
        <v>-0.54600000000000004</v>
      </c>
      <c r="E38" s="34">
        <f>Adjust!C$308</f>
        <v>0</v>
      </c>
      <c r="F38" s="34">
        <f>Adjust!D$308</f>
        <v>0</v>
      </c>
      <c r="G38" s="42">
        <f>Adjust!E$308</f>
        <v>0</v>
      </c>
      <c r="H38" s="42">
        <f>Adjust!F$308</f>
        <v>0</v>
      </c>
      <c r="I38" s="34">
        <f>Adjust!G$308</f>
        <v>0.20200000000000001</v>
      </c>
      <c r="J38" s="13"/>
      <c r="K38" s="10"/>
    </row>
    <row r="39" spans="1:11" x14ac:dyDescent="0.25">
      <c r="A39" s="3" t="s">
        <v>186</v>
      </c>
      <c r="B39" s="13" t="s">
        <v>1928</v>
      </c>
      <c r="C39" s="43"/>
      <c r="D39" s="34">
        <f>Adjust!B$311</f>
        <v>-4.5720000000000001</v>
      </c>
      <c r="E39" s="34">
        <f>Adjust!C$311</f>
        <v>-0.39</v>
      </c>
      <c r="F39" s="34">
        <f>Adjust!D$311</f>
        <v>-2.9000000000000001E-2</v>
      </c>
      <c r="G39" s="42">
        <f>Adjust!E$311</f>
        <v>0</v>
      </c>
      <c r="H39" s="42">
        <f>Adjust!F$311</f>
        <v>0</v>
      </c>
      <c r="I39" s="34">
        <f>Adjust!G$311</f>
        <v>0.20200000000000001</v>
      </c>
      <c r="J39" s="13"/>
      <c r="K39" s="10"/>
    </row>
    <row r="40" spans="1:11" x14ac:dyDescent="0.25">
      <c r="A40" s="3" t="s">
        <v>194</v>
      </c>
      <c r="B40" s="13" t="s">
        <v>1929</v>
      </c>
      <c r="C40" s="43"/>
      <c r="D40" s="34">
        <f>Adjust!B$314</f>
        <v>-0.33300000000000002</v>
      </c>
      <c r="E40" s="34">
        <f>Adjust!C$314</f>
        <v>0</v>
      </c>
      <c r="F40" s="34">
        <f>Adjust!D$314</f>
        <v>0</v>
      </c>
      <c r="G40" s="42">
        <f>Adjust!E$314</f>
        <v>29.35</v>
      </c>
      <c r="H40" s="42">
        <f>Adjust!F$314</f>
        <v>0</v>
      </c>
      <c r="I40" s="34">
        <f>Adjust!G$314</f>
        <v>0.159</v>
      </c>
      <c r="J40" s="13"/>
      <c r="K40" s="10"/>
    </row>
    <row r="41" spans="1:11" x14ac:dyDescent="0.25">
      <c r="A41" s="3" t="s">
        <v>195</v>
      </c>
      <c r="B41" s="13" t="s">
        <v>1930</v>
      </c>
      <c r="C41" s="43"/>
      <c r="D41" s="34">
        <f>Adjust!B$317</f>
        <v>-2.9550000000000001</v>
      </c>
      <c r="E41" s="34">
        <f>Adjust!C$317</f>
        <v>-0.19700000000000001</v>
      </c>
      <c r="F41" s="34">
        <f>Adjust!D$317</f>
        <v>-1.4E-2</v>
      </c>
      <c r="G41" s="42">
        <f>Adjust!E$317</f>
        <v>29.35</v>
      </c>
      <c r="H41" s="42">
        <f>Adjust!F$317</f>
        <v>0</v>
      </c>
      <c r="I41" s="34">
        <f>Adjust!G$317</f>
        <v>0.159</v>
      </c>
      <c r="J41" s="13"/>
      <c r="K41" s="10"/>
    </row>
    <row r="42" spans="1:11" x14ac:dyDescent="0.25">
      <c r="A42" s="3" t="s">
        <v>229</v>
      </c>
      <c r="B42" s="13"/>
      <c r="C42" s="43">
        <v>1</v>
      </c>
      <c r="D42" s="34">
        <f>Adjust!B$224</f>
        <v>1.446</v>
      </c>
      <c r="E42" s="34">
        <f>Adjust!C$224</f>
        <v>0</v>
      </c>
      <c r="F42" s="34">
        <f>Adjust!D$224</f>
        <v>0</v>
      </c>
      <c r="G42" s="42">
        <f>Adjust!E$224</f>
        <v>2.1800000000000002</v>
      </c>
      <c r="H42" s="42">
        <f>Adjust!F$224</f>
        <v>0</v>
      </c>
      <c r="I42" s="34">
        <f>Adjust!G$224</f>
        <v>0</v>
      </c>
      <c r="J42" s="13"/>
      <c r="K42" s="10"/>
    </row>
    <row r="43" spans="1:11" x14ac:dyDescent="0.25">
      <c r="A43" s="3" t="s">
        <v>232</v>
      </c>
      <c r="B43" s="13"/>
      <c r="C43" s="43">
        <v>2</v>
      </c>
      <c r="D43" s="34">
        <f>Adjust!B$228</f>
        <v>1.752</v>
      </c>
      <c r="E43" s="34">
        <f>Adjust!C$228</f>
        <v>4.8000000000000001E-2</v>
      </c>
      <c r="F43" s="34">
        <f>Adjust!D$228</f>
        <v>0</v>
      </c>
      <c r="G43" s="42">
        <f>Adjust!E$228</f>
        <v>2.1800000000000002</v>
      </c>
      <c r="H43" s="42">
        <f>Adjust!F$228</f>
        <v>0</v>
      </c>
      <c r="I43" s="34">
        <f>Adjust!G$228</f>
        <v>0</v>
      </c>
      <c r="J43" s="13"/>
      <c r="K43" s="10"/>
    </row>
    <row r="44" spans="1:11" x14ac:dyDescent="0.25">
      <c r="A44" s="3" t="s">
        <v>235</v>
      </c>
      <c r="B44" s="13"/>
      <c r="C44" s="43">
        <v>2</v>
      </c>
      <c r="D44" s="34">
        <f>Adjust!B$232</f>
        <v>0.439</v>
      </c>
      <c r="E44" s="34">
        <f>Adjust!C$232</f>
        <v>0</v>
      </c>
      <c r="F44" s="34">
        <f>Adjust!D$232</f>
        <v>0</v>
      </c>
      <c r="G44" s="42">
        <f>Adjust!E$232</f>
        <v>0</v>
      </c>
      <c r="H44" s="42">
        <f>Adjust!F$232</f>
        <v>0</v>
      </c>
      <c r="I44" s="34">
        <f>Adjust!G$232</f>
        <v>0</v>
      </c>
      <c r="J44" s="13"/>
      <c r="K44" s="10"/>
    </row>
    <row r="45" spans="1:11" x14ac:dyDescent="0.25">
      <c r="A45" s="3" t="s">
        <v>238</v>
      </c>
      <c r="B45" s="13"/>
      <c r="C45" s="43">
        <v>3</v>
      </c>
      <c r="D45" s="34">
        <f>Adjust!B$236</f>
        <v>1.36</v>
      </c>
      <c r="E45" s="34">
        <f>Adjust!C$236</f>
        <v>0</v>
      </c>
      <c r="F45" s="34">
        <f>Adjust!D$236</f>
        <v>0</v>
      </c>
      <c r="G45" s="42">
        <f>Adjust!E$236</f>
        <v>3.69</v>
      </c>
      <c r="H45" s="42">
        <f>Adjust!F$236</f>
        <v>0</v>
      </c>
      <c r="I45" s="34">
        <f>Adjust!G$236</f>
        <v>0</v>
      </c>
      <c r="J45" s="13"/>
      <c r="K45" s="10"/>
    </row>
    <row r="46" spans="1:11" x14ac:dyDescent="0.25">
      <c r="A46" s="3" t="s">
        <v>241</v>
      </c>
      <c r="B46" s="13"/>
      <c r="C46" s="43">
        <v>4</v>
      </c>
      <c r="D46" s="34">
        <f>Adjust!B$240</f>
        <v>1.484</v>
      </c>
      <c r="E46" s="34">
        <f>Adjust!C$240</f>
        <v>4.4999999999999998E-2</v>
      </c>
      <c r="F46" s="34">
        <f>Adjust!D$240</f>
        <v>0</v>
      </c>
      <c r="G46" s="42">
        <f>Adjust!E$240</f>
        <v>3.69</v>
      </c>
      <c r="H46" s="42">
        <f>Adjust!F$240</f>
        <v>0</v>
      </c>
      <c r="I46" s="34">
        <f>Adjust!G$240</f>
        <v>0</v>
      </c>
      <c r="J46" s="13"/>
      <c r="K46" s="10"/>
    </row>
    <row r="47" spans="1:11" ht="30" x14ac:dyDescent="0.25">
      <c r="A47" s="3" t="s">
        <v>244</v>
      </c>
      <c r="B47" s="13"/>
      <c r="C47" s="43">
        <v>4</v>
      </c>
      <c r="D47" s="34">
        <f>Adjust!B$244</f>
        <v>0.20499999999999999</v>
      </c>
      <c r="E47" s="34">
        <f>Adjust!C$244</f>
        <v>0</v>
      </c>
      <c r="F47" s="34">
        <f>Adjust!D$244</f>
        <v>0</v>
      </c>
      <c r="G47" s="42">
        <f>Adjust!E$244</f>
        <v>0</v>
      </c>
      <c r="H47" s="42">
        <f>Adjust!F$244</f>
        <v>0</v>
      </c>
      <c r="I47" s="34">
        <f>Adjust!G$244</f>
        <v>0</v>
      </c>
      <c r="J47" s="13"/>
      <c r="K47" s="10"/>
    </row>
    <row r="48" spans="1:11" x14ac:dyDescent="0.25">
      <c r="A48" s="3" t="s">
        <v>247</v>
      </c>
      <c r="B48" s="13"/>
      <c r="C48" s="43" t="s">
        <v>1574</v>
      </c>
      <c r="D48" s="34">
        <f>Adjust!B$248</f>
        <v>1.129</v>
      </c>
      <c r="E48" s="34">
        <f>Adjust!C$248</f>
        <v>3.3000000000000002E-2</v>
      </c>
      <c r="F48" s="34">
        <f>Adjust!D$248</f>
        <v>0</v>
      </c>
      <c r="G48" s="42">
        <f>Adjust!E$248</f>
        <v>3.31</v>
      </c>
      <c r="H48" s="42">
        <f>Adjust!F$248</f>
        <v>0</v>
      </c>
      <c r="I48" s="34">
        <f>Adjust!G$248</f>
        <v>0</v>
      </c>
      <c r="J48" s="13"/>
      <c r="K48" s="10"/>
    </row>
    <row r="49" spans="1:11" x14ac:dyDescent="0.25">
      <c r="A49" s="3" t="s">
        <v>252</v>
      </c>
      <c r="B49" s="13"/>
      <c r="C49" s="43"/>
      <c r="D49" s="34">
        <f>Adjust!B$256</f>
        <v>8.99</v>
      </c>
      <c r="E49" s="34">
        <f>Adjust!C$256</f>
        <v>0.41199999999999998</v>
      </c>
      <c r="F49" s="34">
        <f>Adjust!D$256</f>
        <v>4.2000000000000003E-2</v>
      </c>
      <c r="G49" s="42">
        <f>Adjust!E$256</f>
        <v>2.1800000000000002</v>
      </c>
      <c r="H49" s="42">
        <f>Adjust!F$256</f>
        <v>0</v>
      </c>
      <c r="I49" s="34">
        <f>Adjust!G$256</f>
        <v>0</v>
      </c>
      <c r="J49" s="13"/>
      <c r="K49" s="10"/>
    </row>
    <row r="50" spans="1:11" x14ac:dyDescent="0.25">
      <c r="A50" s="3" t="s">
        <v>255</v>
      </c>
      <c r="B50" s="13"/>
      <c r="C50" s="43"/>
      <c r="D50" s="34">
        <f>Adjust!B$260</f>
        <v>9.2590000000000003</v>
      </c>
      <c r="E50" s="34">
        <f>Adjust!C$260</f>
        <v>0.42399999999999999</v>
      </c>
      <c r="F50" s="34">
        <f>Adjust!D$260</f>
        <v>4.2999999999999997E-2</v>
      </c>
      <c r="G50" s="42">
        <f>Adjust!E$260</f>
        <v>3.69</v>
      </c>
      <c r="H50" s="42">
        <f>Adjust!F$260</f>
        <v>0</v>
      </c>
      <c r="I50" s="34">
        <f>Adjust!G$260</f>
        <v>0</v>
      </c>
      <c r="J50" s="13"/>
      <c r="K50" s="10"/>
    </row>
    <row r="51" spans="1:11" x14ac:dyDescent="0.25">
      <c r="A51" s="3" t="s">
        <v>258</v>
      </c>
      <c r="B51" s="13"/>
      <c r="C51" s="43"/>
      <c r="D51" s="34">
        <f>Adjust!B$264</f>
        <v>7.9470000000000001</v>
      </c>
      <c r="E51" s="34">
        <f>Adjust!C$264</f>
        <v>0.317</v>
      </c>
      <c r="F51" s="34">
        <f>Adjust!D$264</f>
        <v>3.4000000000000002E-2</v>
      </c>
      <c r="G51" s="42">
        <f>Adjust!E$264</f>
        <v>5.57</v>
      </c>
      <c r="H51" s="42">
        <f>Adjust!F$264</f>
        <v>1.78</v>
      </c>
      <c r="I51" s="34">
        <f>Adjust!G$264</f>
        <v>0.27600000000000002</v>
      </c>
      <c r="J51" s="13"/>
      <c r="K51" s="10"/>
    </row>
    <row r="52" spans="1:11" x14ac:dyDescent="0.25">
      <c r="A52" s="3" t="s">
        <v>265</v>
      </c>
      <c r="B52" s="13"/>
      <c r="C52" s="43">
        <v>8</v>
      </c>
      <c r="D52" s="34">
        <f>Adjust!B$274</f>
        <v>1.323</v>
      </c>
      <c r="E52" s="34">
        <f>Adjust!C$274</f>
        <v>0</v>
      </c>
      <c r="F52" s="34">
        <f>Adjust!D$274</f>
        <v>0</v>
      </c>
      <c r="G52" s="42">
        <f>Adjust!E$274</f>
        <v>0</v>
      </c>
      <c r="H52" s="42">
        <f>Adjust!F$274</f>
        <v>0</v>
      </c>
      <c r="I52" s="34">
        <f>Adjust!G$274</f>
        <v>0</v>
      </c>
      <c r="J52" s="13"/>
      <c r="K52" s="10"/>
    </row>
    <row r="53" spans="1:11" x14ac:dyDescent="0.25">
      <c r="A53" s="3" t="s">
        <v>268</v>
      </c>
      <c r="B53" s="13"/>
      <c r="C53" s="43">
        <v>1</v>
      </c>
      <c r="D53" s="34">
        <f>Adjust!B$278</f>
        <v>1.7529999999999999</v>
      </c>
      <c r="E53" s="34">
        <f>Adjust!C$278</f>
        <v>0</v>
      </c>
      <c r="F53" s="34">
        <f>Adjust!D$278</f>
        <v>0</v>
      </c>
      <c r="G53" s="42">
        <f>Adjust!E$278</f>
        <v>0</v>
      </c>
      <c r="H53" s="42">
        <f>Adjust!F$278</f>
        <v>0</v>
      </c>
      <c r="I53" s="34">
        <f>Adjust!G$278</f>
        <v>0</v>
      </c>
      <c r="J53" s="13"/>
      <c r="K53" s="10"/>
    </row>
    <row r="54" spans="1:11" x14ac:dyDescent="0.25">
      <c r="A54" s="3" t="s">
        <v>271</v>
      </c>
      <c r="B54" s="13"/>
      <c r="C54" s="43">
        <v>1</v>
      </c>
      <c r="D54" s="34">
        <f>Adjust!B$282</f>
        <v>2.823</v>
      </c>
      <c r="E54" s="34">
        <f>Adjust!C$282</f>
        <v>0</v>
      </c>
      <c r="F54" s="34">
        <f>Adjust!D$282</f>
        <v>0</v>
      </c>
      <c r="G54" s="42">
        <f>Adjust!E$282</f>
        <v>0</v>
      </c>
      <c r="H54" s="42">
        <f>Adjust!F$282</f>
        <v>0</v>
      </c>
      <c r="I54" s="34">
        <f>Adjust!G$282</f>
        <v>0</v>
      </c>
      <c r="J54" s="13"/>
      <c r="K54" s="10"/>
    </row>
    <row r="55" spans="1:11" x14ac:dyDescent="0.25">
      <c r="A55" s="3" t="s">
        <v>274</v>
      </c>
      <c r="B55" s="13"/>
      <c r="C55" s="43">
        <v>1</v>
      </c>
      <c r="D55" s="34">
        <f>Adjust!B$286</f>
        <v>0.89800000000000002</v>
      </c>
      <c r="E55" s="34">
        <f>Adjust!C$286</f>
        <v>0</v>
      </c>
      <c r="F55" s="34">
        <f>Adjust!D$286</f>
        <v>0</v>
      </c>
      <c r="G55" s="42">
        <f>Adjust!E$286</f>
        <v>0</v>
      </c>
      <c r="H55" s="42">
        <f>Adjust!F$286</f>
        <v>0</v>
      </c>
      <c r="I55" s="34">
        <f>Adjust!G$286</f>
        <v>0</v>
      </c>
      <c r="J55" s="13"/>
      <c r="K55" s="10"/>
    </row>
    <row r="56" spans="1:11" x14ac:dyDescent="0.25">
      <c r="A56" s="3" t="s">
        <v>277</v>
      </c>
      <c r="B56" s="13"/>
      <c r="C56" s="43"/>
      <c r="D56" s="34">
        <f>Adjust!B$290</f>
        <v>26.347000000000001</v>
      </c>
      <c r="E56" s="34">
        <f>Adjust!C$290</f>
        <v>0.76900000000000002</v>
      </c>
      <c r="F56" s="34">
        <f>Adjust!D$290</f>
        <v>0.442</v>
      </c>
      <c r="G56" s="42">
        <f>Adjust!E$290</f>
        <v>0</v>
      </c>
      <c r="H56" s="42">
        <f>Adjust!F$290</f>
        <v>0</v>
      </c>
      <c r="I56" s="34">
        <f>Adjust!G$290</f>
        <v>0</v>
      </c>
      <c r="J56" s="13"/>
      <c r="K56" s="10"/>
    </row>
    <row r="57" spans="1:11" x14ac:dyDescent="0.25">
      <c r="A57" s="3" t="s">
        <v>280</v>
      </c>
      <c r="B57" s="13"/>
      <c r="C57" s="43" t="s">
        <v>1575</v>
      </c>
      <c r="D57" s="34">
        <f>Adjust!B$294</f>
        <v>-0.626</v>
      </c>
      <c r="E57" s="34">
        <f>Adjust!C$294</f>
        <v>0</v>
      </c>
      <c r="F57" s="34">
        <f>Adjust!D$294</f>
        <v>0</v>
      </c>
      <c r="G57" s="42">
        <f>Adjust!E$294</f>
        <v>0</v>
      </c>
      <c r="H57" s="42">
        <f>Adjust!F$294</f>
        <v>0</v>
      </c>
      <c r="I57" s="34">
        <f>Adjust!G$294</f>
        <v>0</v>
      </c>
      <c r="J57" s="13"/>
      <c r="K57" s="10"/>
    </row>
    <row r="58" spans="1:11" x14ac:dyDescent="0.25">
      <c r="A58" s="3" t="s">
        <v>285</v>
      </c>
      <c r="B58" s="13"/>
      <c r="C58" s="43"/>
      <c r="D58" s="34">
        <f>Adjust!B$301</f>
        <v>-0.626</v>
      </c>
      <c r="E58" s="34">
        <f>Adjust!C$301</f>
        <v>0</v>
      </c>
      <c r="F58" s="34">
        <f>Adjust!D$301</f>
        <v>0</v>
      </c>
      <c r="G58" s="42">
        <f>Adjust!E$301</f>
        <v>0</v>
      </c>
      <c r="H58" s="42">
        <f>Adjust!F$301</f>
        <v>0</v>
      </c>
      <c r="I58" s="34">
        <f>Adjust!G$301</f>
        <v>0.23200000000000001</v>
      </c>
      <c r="J58" s="13"/>
      <c r="K58" s="10"/>
    </row>
    <row r="59" spans="1:11" x14ac:dyDescent="0.25">
      <c r="A59" s="3" t="s">
        <v>288</v>
      </c>
      <c r="B59" s="13"/>
      <c r="C59" s="43"/>
      <c r="D59" s="34">
        <f>Adjust!B$305</f>
        <v>-5.1929999999999996</v>
      </c>
      <c r="E59" s="34">
        <f>Adjust!C$305</f>
        <v>-0.46</v>
      </c>
      <c r="F59" s="34">
        <f>Adjust!D$305</f>
        <v>-3.4000000000000002E-2</v>
      </c>
      <c r="G59" s="42">
        <f>Adjust!E$305</f>
        <v>0</v>
      </c>
      <c r="H59" s="42">
        <f>Adjust!F$305</f>
        <v>0</v>
      </c>
      <c r="I59" s="34">
        <f>Adjust!G$305</f>
        <v>0.23200000000000001</v>
      </c>
      <c r="J59" s="13"/>
      <c r="K59" s="10"/>
    </row>
    <row r="60" spans="1:11" x14ac:dyDescent="0.25">
      <c r="A60" s="3" t="s">
        <v>230</v>
      </c>
      <c r="B60" s="13"/>
      <c r="C60" s="43">
        <v>1</v>
      </c>
      <c r="D60" s="34">
        <f>Adjust!B$225</f>
        <v>1.0589999999999999</v>
      </c>
      <c r="E60" s="34">
        <f>Adjust!C$225</f>
        <v>0</v>
      </c>
      <c r="F60" s="34">
        <f>Adjust!D$225</f>
        <v>0</v>
      </c>
      <c r="G60" s="42">
        <f>Adjust!E$225</f>
        <v>1.6</v>
      </c>
      <c r="H60" s="42">
        <f>Adjust!F$225</f>
        <v>0</v>
      </c>
      <c r="I60" s="34">
        <f>Adjust!G$225</f>
        <v>0</v>
      </c>
      <c r="J60" s="13"/>
      <c r="K60" s="10"/>
    </row>
    <row r="61" spans="1:11" x14ac:dyDescent="0.25">
      <c r="A61" s="3" t="s">
        <v>233</v>
      </c>
      <c r="B61" s="13"/>
      <c r="C61" s="43">
        <v>2</v>
      </c>
      <c r="D61" s="34">
        <f>Adjust!B$229</f>
        <v>1.2829999999999999</v>
      </c>
      <c r="E61" s="34">
        <f>Adjust!C$229</f>
        <v>3.5000000000000003E-2</v>
      </c>
      <c r="F61" s="34">
        <f>Adjust!D$229</f>
        <v>0</v>
      </c>
      <c r="G61" s="42">
        <f>Adjust!E$229</f>
        <v>1.6</v>
      </c>
      <c r="H61" s="42">
        <f>Adjust!F$229</f>
        <v>0</v>
      </c>
      <c r="I61" s="34">
        <f>Adjust!G$229</f>
        <v>0</v>
      </c>
      <c r="J61" s="13"/>
      <c r="K61" s="10"/>
    </row>
    <row r="62" spans="1:11" x14ac:dyDescent="0.25">
      <c r="A62" s="3" t="s">
        <v>236</v>
      </c>
      <c r="B62" s="13"/>
      <c r="C62" s="43">
        <v>2</v>
      </c>
      <c r="D62" s="34">
        <f>Adjust!B$233</f>
        <v>0.32100000000000001</v>
      </c>
      <c r="E62" s="34">
        <f>Adjust!C$233</f>
        <v>0</v>
      </c>
      <c r="F62" s="34">
        <f>Adjust!D$233</f>
        <v>0</v>
      </c>
      <c r="G62" s="42">
        <f>Adjust!E$233</f>
        <v>0</v>
      </c>
      <c r="H62" s="42">
        <f>Adjust!F$233</f>
        <v>0</v>
      </c>
      <c r="I62" s="34">
        <f>Adjust!G$233</f>
        <v>0</v>
      </c>
      <c r="J62" s="13"/>
      <c r="K62" s="10"/>
    </row>
    <row r="63" spans="1:11" x14ac:dyDescent="0.25">
      <c r="A63" s="3" t="s">
        <v>239</v>
      </c>
      <c r="B63" s="13"/>
      <c r="C63" s="43">
        <v>3</v>
      </c>
      <c r="D63" s="34">
        <f>Adjust!B$237</f>
        <v>0.996</v>
      </c>
      <c r="E63" s="34">
        <f>Adjust!C$237</f>
        <v>0</v>
      </c>
      <c r="F63" s="34">
        <f>Adjust!D$237</f>
        <v>0</v>
      </c>
      <c r="G63" s="42">
        <f>Adjust!E$237</f>
        <v>2.7</v>
      </c>
      <c r="H63" s="42">
        <f>Adjust!F$237</f>
        <v>0</v>
      </c>
      <c r="I63" s="34">
        <f>Adjust!G$237</f>
        <v>0</v>
      </c>
      <c r="J63" s="13"/>
      <c r="K63" s="10"/>
    </row>
    <row r="64" spans="1:11" x14ac:dyDescent="0.25">
      <c r="A64" s="3" t="s">
        <v>242</v>
      </c>
      <c r="B64" s="13"/>
      <c r="C64" s="43">
        <v>4</v>
      </c>
      <c r="D64" s="34">
        <f>Adjust!B$241</f>
        <v>1.087</v>
      </c>
      <c r="E64" s="34">
        <f>Adjust!C$241</f>
        <v>3.3000000000000002E-2</v>
      </c>
      <c r="F64" s="34">
        <f>Adjust!D$241</f>
        <v>0</v>
      </c>
      <c r="G64" s="42">
        <f>Adjust!E$241</f>
        <v>2.7</v>
      </c>
      <c r="H64" s="42">
        <f>Adjust!F$241</f>
        <v>0</v>
      </c>
      <c r="I64" s="34">
        <f>Adjust!G$241</f>
        <v>0</v>
      </c>
      <c r="J64" s="13"/>
      <c r="K64" s="10"/>
    </row>
    <row r="65" spans="1:11" ht="30" x14ac:dyDescent="0.25">
      <c r="A65" s="3" t="s">
        <v>245</v>
      </c>
      <c r="B65" s="13"/>
      <c r="C65" s="43">
        <v>4</v>
      </c>
      <c r="D65" s="34">
        <f>Adjust!B$245</f>
        <v>0.15</v>
      </c>
      <c r="E65" s="34">
        <f>Adjust!C$245</f>
        <v>0</v>
      </c>
      <c r="F65" s="34">
        <f>Adjust!D$245</f>
        <v>0</v>
      </c>
      <c r="G65" s="42">
        <f>Adjust!E$245</f>
        <v>0</v>
      </c>
      <c r="H65" s="42">
        <f>Adjust!F$245</f>
        <v>0</v>
      </c>
      <c r="I65" s="34">
        <f>Adjust!G$245</f>
        <v>0</v>
      </c>
      <c r="J65" s="13"/>
      <c r="K65" s="10"/>
    </row>
    <row r="66" spans="1:11" x14ac:dyDescent="0.25">
      <c r="A66" s="3" t="s">
        <v>248</v>
      </c>
      <c r="B66" s="13"/>
      <c r="C66" s="43" t="s">
        <v>1574</v>
      </c>
      <c r="D66" s="34">
        <f>Adjust!B$249</f>
        <v>0.82699999999999996</v>
      </c>
      <c r="E66" s="34">
        <f>Adjust!C$249</f>
        <v>2.4E-2</v>
      </c>
      <c r="F66" s="34">
        <f>Adjust!D$249</f>
        <v>0</v>
      </c>
      <c r="G66" s="42">
        <f>Adjust!E$249</f>
        <v>2.42</v>
      </c>
      <c r="H66" s="42">
        <f>Adjust!F$249</f>
        <v>0</v>
      </c>
      <c r="I66" s="34">
        <f>Adjust!G$249</f>
        <v>0</v>
      </c>
      <c r="J66" s="13"/>
      <c r="K66" s="10"/>
    </row>
    <row r="67" spans="1:11" x14ac:dyDescent="0.25">
      <c r="A67" s="3" t="s">
        <v>253</v>
      </c>
      <c r="B67" s="13"/>
      <c r="C67" s="43"/>
      <c r="D67" s="34">
        <f>Adjust!B$257</f>
        <v>6.5839999999999996</v>
      </c>
      <c r="E67" s="34">
        <f>Adjust!C$257</f>
        <v>0.30099999999999999</v>
      </c>
      <c r="F67" s="34">
        <f>Adjust!D$257</f>
        <v>3.1E-2</v>
      </c>
      <c r="G67" s="42">
        <f>Adjust!E$257</f>
        <v>1.6</v>
      </c>
      <c r="H67" s="42">
        <f>Adjust!F$257</f>
        <v>0</v>
      </c>
      <c r="I67" s="34">
        <f>Adjust!G$257</f>
        <v>0</v>
      </c>
      <c r="J67" s="13"/>
      <c r="K67" s="10"/>
    </row>
    <row r="68" spans="1:11" x14ac:dyDescent="0.25">
      <c r="A68" s="3" t="s">
        <v>256</v>
      </c>
      <c r="B68" s="13"/>
      <c r="C68" s="43"/>
      <c r="D68" s="34">
        <f>Adjust!B$261</f>
        <v>6.7809999999999997</v>
      </c>
      <c r="E68" s="34">
        <f>Adjust!C$261</f>
        <v>0.311</v>
      </c>
      <c r="F68" s="34">
        <f>Adjust!D$261</f>
        <v>3.1E-2</v>
      </c>
      <c r="G68" s="42">
        <f>Adjust!E$261</f>
        <v>2.7</v>
      </c>
      <c r="H68" s="42">
        <f>Adjust!F$261</f>
        <v>0</v>
      </c>
      <c r="I68" s="34">
        <f>Adjust!G$261</f>
        <v>0</v>
      </c>
      <c r="J68" s="13"/>
      <c r="K68" s="10"/>
    </row>
    <row r="69" spans="1:11" x14ac:dyDescent="0.25">
      <c r="A69" s="3" t="s">
        <v>259</v>
      </c>
      <c r="B69" s="13"/>
      <c r="C69" s="43"/>
      <c r="D69" s="34">
        <f>Adjust!B$265</f>
        <v>5.8209999999999997</v>
      </c>
      <c r="E69" s="34">
        <f>Adjust!C$265</f>
        <v>0.23200000000000001</v>
      </c>
      <c r="F69" s="34">
        <f>Adjust!D$265</f>
        <v>2.5000000000000001E-2</v>
      </c>
      <c r="G69" s="42">
        <f>Adjust!E$265</f>
        <v>4.08</v>
      </c>
      <c r="H69" s="42">
        <f>Adjust!F$265</f>
        <v>1.31</v>
      </c>
      <c r="I69" s="34">
        <f>Adjust!G$265</f>
        <v>0.20200000000000001</v>
      </c>
      <c r="J69" s="13"/>
      <c r="K69" s="10"/>
    </row>
    <row r="70" spans="1:11" x14ac:dyDescent="0.25">
      <c r="A70" s="3" t="s">
        <v>261</v>
      </c>
      <c r="B70" s="13"/>
      <c r="C70" s="43"/>
      <c r="D70" s="34">
        <f>Adjust!B$268</f>
        <v>7.2119999999999997</v>
      </c>
      <c r="E70" s="34">
        <f>Adjust!C$268</f>
        <v>0.20799999999999999</v>
      </c>
      <c r="F70" s="34">
        <f>Adjust!D$268</f>
        <v>2.5999999999999999E-2</v>
      </c>
      <c r="G70" s="42">
        <f>Adjust!E$268</f>
        <v>4.55</v>
      </c>
      <c r="H70" s="42">
        <f>Adjust!F$268</f>
        <v>2.5499999999999998</v>
      </c>
      <c r="I70" s="34">
        <f>Adjust!G$268</f>
        <v>0.23599999999999999</v>
      </c>
      <c r="J70" s="13"/>
      <c r="K70" s="10"/>
    </row>
    <row r="71" spans="1:11" x14ac:dyDescent="0.25">
      <c r="A71" s="3" t="s">
        <v>263</v>
      </c>
      <c r="B71" s="13"/>
      <c r="C71" s="43"/>
      <c r="D71" s="34">
        <f>Adjust!B$271</f>
        <v>6.2119999999999997</v>
      </c>
      <c r="E71" s="34">
        <f>Adjust!C$271</f>
        <v>0.10199999999999999</v>
      </c>
      <c r="F71" s="34">
        <f>Adjust!D$271</f>
        <v>1.7999999999999999E-2</v>
      </c>
      <c r="G71" s="42">
        <f>Adjust!E$271</f>
        <v>51.16</v>
      </c>
      <c r="H71" s="42">
        <f>Adjust!F$271</f>
        <v>3.44</v>
      </c>
      <c r="I71" s="34">
        <f>Adjust!G$271</f>
        <v>0.182</v>
      </c>
      <c r="J71" s="13"/>
      <c r="K71" s="10"/>
    </row>
    <row r="72" spans="1:11" x14ac:dyDescent="0.25">
      <c r="A72" s="3" t="s">
        <v>266</v>
      </c>
      <c r="B72" s="13"/>
      <c r="C72" s="43">
        <v>8</v>
      </c>
      <c r="D72" s="34">
        <f>Adjust!B$275</f>
        <v>0.96899999999999997</v>
      </c>
      <c r="E72" s="34">
        <f>Adjust!C$275</f>
        <v>0</v>
      </c>
      <c r="F72" s="34">
        <f>Adjust!D$275</f>
        <v>0</v>
      </c>
      <c r="G72" s="42">
        <f>Adjust!E$275</f>
        <v>0</v>
      </c>
      <c r="H72" s="42">
        <f>Adjust!F$275</f>
        <v>0</v>
      </c>
      <c r="I72" s="34">
        <f>Adjust!G$275</f>
        <v>0</v>
      </c>
      <c r="J72" s="13"/>
      <c r="K72" s="10"/>
    </row>
    <row r="73" spans="1:11" x14ac:dyDescent="0.25">
      <c r="A73" s="3" t="s">
        <v>269</v>
      </c>
      <c r="B73" s="13"/>
      <c r="C73" s="43">
        <v>1</v>
      </c>
      <c r="D73" s="34">
        <f>Adjust!B$279</f>
        <v>1.284</v>
      </c>
      <c r="E73" s="34">
        <f>Adjust!C$279</f>
        <v>0</v>
      </c>
      <c r="F73" s="34">
        <f>Adjust!D$279</f>
        <v>0</v>
      </c>
      <c r="G73" s="42">
        <f>Adjust!E$279</f>
        <v>0</v>
      </c>
      <c r="H73" s="42">
        <f>Adjust!F$279</f>
        <v>0</v>
      </c>
      <c r="I73" s="34">
        <f>Adjust!G$279</f>
        <v>0</v>
      </c>
      <c r="J73" s="13"/>
      <c r="K73" s="10"/>
    </row>
    <row r="74" spans="1:11" x14ac:dyDescent="0.25">
      <c r="A74" s="3" t="s">
        <v>272</v>
      </c>
      <c r="B74" s="13"/>
      <c r="C74" s="43">
        <v>1</v>
      </c>
      <c r="D74" s="34">
        <f>Adjust!B$283</f>
        <v>2.0680000000000001</v>
      </c>
      <c r="E74" s="34">
        <f>Adjust!C$283</f>
        <v>0</v>
      </c>
      <c r="F74" s="34">
        <f>Adjust!D$283</f>
        <v>0</v>
      </c>
      <c r="G74" s="42">
        <f>Adjust!E$283</f>
        <v>0</v>
      </c>
      <c r="H74" s="42">
        <f>Adjust!F$283</f>
        <v>0</v>
      </c>
      <c r="I74" s="34">
        <f>Adjust!G$283</f>
        <v>0</v>
      </c>
      <c r="J74" s="13"/>
      <c r="K74" s="10"/>
    </row>
    <row r="75" spans="1:11" x14ac:dyDescent="0.25">
      <c r="A75" s="3" t="s">
        <v>275</v>
      </c>
      <c r="B75" s="13"/>
      <c r="C75" s="43">
        <v>1</v>
      </c>
      <c r="D75" s="34">
        <f>Adjust!B$287</f>
        <v>0.65800000000000003</v>
      </c>
      <c r="E75" s="34">
        <f>Adjust!C$287</f>
        <v>0</v>
      </c>
      <c r="F75" s="34">
        <f>Adjust!D$287</f>
        <v>0</v>
      </c>
      <c r="G75" s="42">
        <f>Adjust!E$287</f>
        <v>0</v>
      </c>
      <c r="H75" s="42">
        <f>Adjust!F$287</f>
        <v>0</v>
      </c>
      <c r="I75" s="34">
        <f>Adjust!G$287</f>
        <v>0</v>
      </c>
      <c r="J75" s="13"/>
      <c r="K75" s="10"/>
    </row>
    <row r="76" spans="1:11" x14ac:dyDescent="0.25">
      <c r="A76" s="3" t="s">
        <v>278</v>
      </c>
      <c r="B76" s="13"/>
      <c r="C76" s="43"/>
      <c r="D76" s="34">
        <f>Adjust!B$291</f>
        <v>19.297000000000001</v>
      </c>
      <c r="E76" s="34">
        <f>Adjust!C$291</f>
        <v>0.56299999999999994</v>
      </c>
      <c r="F76" s="34">
        <f>Adjust!D$291</f>
        <v>0.32300000000000001</v>
      </c>
      <c r="G76" s="42">
        <f>Adjust!E$291</f>
        <v>0</v>
      </c>
      <c r="H76" s="42">
        <f>Adjust!F$291</f>
        <v>0</v>
      </c>
      <c r="I76" s="34">
        <f>Adjust!G$291</f>
        <v>0</v>
      </c>
      <c r="J76" s="13"/>
      <c r="K76" s="10"/>
    </row>
    <row r="77" spans="1:11" x14ac:dyDescent="0.25">
      <c r="A77" s="3" t="s">
        <v>281</v>
      </c>
      <c r="B77" s="13"/>
      <c r="C77" s="43" t="s">
        <v>1575</v>
      </c>
      <c r="D77" s="34">
        <f>Adjust!B$295</f>
        <v>-0.626</v>
      </c>
      <c r="E77" s="34">
        <f>Adjust!C$295</f>
        <v>0</v>
      </c>
      <c r="F77" s="34">
        <f>Adjust!D$295</f>
        <v>0</v>
      </c>
      <c r="G77" s="42">
        <f>Adjust!E$295</f>
        <v>0</v>
      </c>
      <c r="H77" s="42">
        <f>Adjust!F$295</f>
        <v>0</v>
      </c>
      <c r="I77" s="34">
        <f>Adjust!G$295</f>
        <v>0</v>
      </c>
      <c r="J77" s="13"/>
      <c r="K77" s="10"/>
    </row>
    <row r="78" spans="1:11" x14ac:dyDescent="0.25">
      <c r="A78" s="3" t="s">
        <v>283</v>
      </c>
      <c r="B78" s="13"/>
      <c r="C78" s="43">
        <v>8</v>
      </c>
      <c r="D78" s="34">
        <f>Adjust!B$298</f>
        <v>-0.54600000000000004</v>
      </c>
      <c r="E78" s="34">
        <f>Adjust!C$298</f>
        <v>0</v>
      </c>
      <c r="F78" s="34">
        <f>Adjust!D$298</f>
        <v>0</v>
      </c>
      <c r="G78" s="42">
        <f>Adjust!E$298</f>
        <v>0</v>
      </c>
      <c r="H78" s="42">
        <f>Adjust!F$298</f>
        <v>0</v>
      </c>
      <c r="I78" s="34">
        <f>Adjust!G$298</f>
        <v>0</v>
      </c>
      <c r="J78" s="13"/>
      <c r="K78" s="10"/>
    </row>
    <row r="79" spans="1:11" x14ac:dyDescent="0.25">
      <c r="A79" s="3" t="s">
        <v>286</v>
      </c>
      <c r="B79" s="13"/>
      <c r="C79" s="43"/>
      <c r="D79" s="34">
        <f>Adjust!B$302</f>
        <v>-0.626</v>
      </c>
      <c r="E79" s="34">
        <f>Adjust!C$302</f>
        <v>0</v>
      </c>
      <c r="F79" s="34">
        <f>Adjust!D$302</f>
        <v>0</v>
      </c>
      <c r="G79" s="42">
        <f>Adjust!E$302</f>
        <v>0</v>
      </c>
      <c r="H79" s="42">
        <f>Adjust!F$302</f>
        <v>0</v>
      </c>
      <c r="I79" s="34">
        <f>Adjust!G$302</f>
        <v>0.23200000000000001</v>
      </c>
      <c r="J79" s="13"/>
      <c r="K79" s="10"/>
    </row>
    <row r="80" spans="1:11" x14ac:dyDescent="0.25">
      <c r="A80" s="3" t="s">
        <v>289</v>
      </c>
      <c r="B80" s="13"/>
      <c r="C80" s="43"/>
      <c r="D80" s="34">
        <f>Adjust!B$306</f>
        <v>-5.1929999999999996</v>
      </c>
      <c r="E80" s="34">
        <f>Adjust!C$306</f>
        <v>-0.46</v>
      </c>
      <c r="F80" s="34">
        <f>Adjust!D$306</f>
        <v>-3.4000000000000002E-2</v>
      </c>
      <c r="G80" s="42">
        <f>Adjust!E$306</f>
        <v>0</v>
      </c>
      <c r="H80" s="42">
        <f>Adjust!F$306</f>
        <v>0</v>
      </c>
      <c r="I80" s="34">
        <f>Adjust!G$306</f>
        <v>0.23200000000000001</v>
      </c>
      <c r="J80" s="13"/>
      <c r="K80" s="10"/>
    </row>
    <row r="81" spans="1:11" x14ac:dyDescent="0.25">
      <c r="A81" s="3" t="s">
        <v>291</v>
      </c>
      <c r="B81" s="13"/>
      <c r="C81" s="43"/>
      <c r="D81" s="34">
        <f>Adjust!B$309</f>
        <v>-0.54600000000000004</v>
      </c>
      <c r="E81" s="34">
        <f>Adjust!C$309</f>
        <v>0</v>
      </c>
      <c r="F81" s="34">
        <f>Adjust!D$309</f>
        <v>0</v>
      </c>
      <c r="G81" s="42">
        <f>Adjust!E$309</f>
        <v>0</v>
      </c>
      <c r="H81" s="42">
        <f>Adjust!F$309</f>
        <v>0</v>
      </c>
      <c r="I81" s="34">
        <f>Adjust!G$309</f>
        <v>0.20200000000000001</v>
      </c>
      <c r="J81" s="13"/>
      <c r="K81" s="10"/>
    </row>
    <row r="82" spans="1:11" x14ac:dyDescent="0.25">
      <c r="A82" s="3" t="s">
        <v>293</v>
      </c>
      <c r="B82" s="13"/>
      <c r="C82" s="43"/>
      <c r="D82" s="34">
        <f>Adjust!B$312</f>
        <v>-4.5720000000000001</v>
      </c>
      <c r="E82" s="34">
        <f>Adjust!C$312</f>
        <v>-0.39</v>
      </c>
      <c r="F82" s="34">
        <f>Adjust!D$312</f>
        <v>-2.9000000000000001E-2</v>
      </c>
      <c r="G82" s="42">
        <f>Adjust!E$312</f>
        <v>0</v>
      </c>
      <c r="H82" s="42">
        <f>Adjust!F$312</f>
        <v>0</v>
      </c>
      <c r="I82" s="34">
        <f>Adjust!G$312</f>
        <v>0.20200000000000001</v>
      </c>
      <c r="J82" s="13"/>
      <c r="K82" s="10"/>
    </row>
    <row r="83" spans="1:11" x14ac:dyDescent="0.25">
      <c r="A83" s="3" t="s">
        <v>295</v>
      </c>
      <c r="B83" s="13"/>
      <c r="C83" s="43"/>
      <c r="D83" s="34">
        <f>Adjust!B$315</f>
        <v>-0.33300000000000002</v>
      </c>
      <c r="E83" s="34">
        <f>Adjust!C$315</f>
        <v>0</v>
      </c>
      <c r="F83" s="34">
        <f>Adjust!D$315</f>
        <v>0</v>
      </c>
      <c r="G83" s="42">
        <f>Adjust!E$315</f>
        <v>0</v>
      </c>
      <c r="H83" s="42">
        <f>Adjust!F$315</f>
        <v>0</v>
      </c>
      <c r="I83" s="34">
        <f>Adjust!G$315</f>
        <v>0.159</v>
      </c>
      <c r="J83" s="13"/>
      <c r="K83" s="10"/>
    </row>
    <row r="84" spans="1:11" x14ac:dyDescent="0.25">
      <c r="A84" s="3" t="s">
        <v>297</v>
      </c>
      <c r="B84" s="13"/>
      <c r="C84" s="43"/>
      <c r="D84" s="34">
        <f>Adjust!B$318</f>
        <v>-2.9550000000000001</v>
      </c>
      <c r="E84" s="34">
        <f>Adjust!C$318</f>
        <v>-0.19700000000000001</v>
      </c>
      <c r="F84" s="34">
        <f>Adjust!D$318</f>
        <v>-1.4E-2</v>
      </c>
      <c r="G84" s="42">
        <f>Adjust!E$318</f>
        <v>0</v>
      </c>
      <c r="H84" s="42">
        <f>Adjust!F$318</f>
        <v>0</v>
      </c>
      <c r="I84" s="34">
        <f>Adjust!G$318</f>
        <v>0.159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East Midlands in April 17 (Final)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1" t="s">
        <v>473</v>
      </c>
    </row>
    <row r="7" spans="1:6" x14ac:dyDescent="0.25">
      <c r="A7" s="11" t="s">
        <v>1578</v>
      </c>
    </row>
    <row r="8" spans="1:6" x14ac:dyDescent="0.25">
      <c r="A8" s="11" t="s">
        <v>1579</v>
      </c>
    </row>
    <row r="9" spans="1:6" x14ac:dyDescent="0.25">
      <c r="A9" s="11" t="s">
        <v>1580</v>
      </c>
    </row>
    <row r="10" spans="1:6" x14ac:dyDescent="0.25">
      <c r="A10" s="29" t="s">
        <v>359</v>
      </c>
      <c r="B10" s="29" t="s">
        <v>418</v>
      </c>
      <c r="C10" s="29" t="s">
        <v>418</v>
      </c>
      <c r="D10" s="29" t="s">
        <v>418</v>
      </c>
      <c r="E10" s="29" t="s">
        <v>489</v>
      </c>
    </row>
    <row r="11" spans="1:6" x14ac:dyDescent="0.25">
      <c r="A11" s="29" t="s">
        <v>362</v>
      </c>
      <c r="B11" s="29" t="s">
        <v>1568</v>
      </c>
      <c r="C11" s="29" t="s">
        <v>421</v>
      </c>
      <c r="D11" s="29" t="s">
        <v>1569</v>
      </c>
      <c r="E11" s="29" t="s">
        <v>1581</v>
      </c>
    </row>
    <row r="13" spans="1:6" ht="45" x14ac:dyDescent="0.25">
      <c r="B13" s="12" t="s">
        <v>128</v>
      </c>
      <c r="C13" s="12" t="s">
        <v>1540</v>
      </c>
      <c r="D13" s="12" t="s">
        <v>1543</v>
      </c>
      <c r="E13" s="12" t="s">
        <v>1582</v>
      </c>
    </row>
    <row r="14" spans="1:6" x14ac:dyDescent="0.25">
      <c r="A14" s="3" t="s">
        <v>1583</v>
      </c>
      <c r="B14" s="23">
        <f>Input!D58</f>
        <v>0</v>
      </c>
      <c r="C14" s="39">
        <f>Adjust!C206</f>
        <v>165229051.68684292</v>
      </c>
      <c r="D14" s="39">
        <f>Adjust!F206</f>
        <v>-39369.71141564846</v>
      </c>
      <c r="E14" s="35">
        <f>Adjust!F206/Revenue!B$58</f>
        <v>-8.7414538564971727E-5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1" t="s">
        <v>1585</v>
      </c>
    </row>
    <row r="19" spans="1:1" x14ac:dyDescent="0.25">
      <c r="A19" s="11" t="s">
        <v>1586</v>
      </c>
    </row>
    <row r="20" spans="1:1" x14ac:dyDescent="0.25">
      <c r="A20" s="11" t="s">
        <v>1587</v>
      </c>
    </row>
    <row r="21" spans="1:1" x14ac:dyDescent="0.25">
      <c r="A21" s="11" t="s">
        <v>1588</v>
      </c>
    </row>
    <row r="22" spans="1:1" x14ac:dyDescent="0.25">
      <c r="A22" s="11" t="s">
        <v>746</v>
      </c>
    </row>
    <row r="23" spans="1:1" x14ac:dyDescent="0.25">
      <c r="A23" s="11" t="s">
        <v>1589</v>
      </c>
    </row>
    <row r="24" spans="1:1" x14ac:dyDescent="0.25">
      <c r="A24" s="11" t="s">
        <v>1590</v>
      </c>
    </row>
    <row r="25" spans="1:1" x14ac:dyDescent="0.25">
      <c r="A25" s="11" t="s">
        <v>1591</v>
      </c>
    </row>
    <row r="26" spans="1:1" x14ac:dyDescent="0.25">
      <c r="A26" s="11" t="s">
        <v>1592</v>
      </c>
    </row>
    <row r="27" spans="1:1" x14ac:dyDescent="0.25">
      <c r="A27" s="11" t="s">
        <v>1593</v>
      </c>
    </row>
    <row r="28" spans="1:1" x14ac:dyDescent="0.25">
      <c r="A28" s="11" t="s">
        <v>1594</v>
      </c>
    </row>
    <row r="29" spans="1:1" x14ac:dyDescent="0.25">
      <c r="A29" s="11" t="s">
        <v>1595</v>
      </c>
    </row>
    <row r="30" spans="1:1" x14ac:dyDescent="0.25">
      <c r="A30" s="11" t="s">
        <v>1596</v>
      </c>
    </row>
    <row r="31" spans="1:1" x14ac:dyDescent="0.25">
      <c r="A31" s="11" t="s">
        <v>1597</v>
      </c>
    </row>
    <row r="32" spans="1:1" x14ac:dyDescent="0.25">
      <c r="A32" s="11" t="s">
        <v>1598</v>
      </c>
    </row>
    <row r="33" spans="1:21" x14ac:dyDescent="0.25">
      <c r="A33" s="11" t="s">
        <v>1599</v>
      </c>
    </row>
    <row r="34" spans="1:21" x14ac:dyDescent="0.25">
      <c r="A34" s="11" t="s">
        <v>1600</v>
      </c>
    </row>
    <row r="35" spans="1:21" x14ac:dyDescent="0.25">
      <c r="A35" s="11" t="s">
        <v>1601</v>
      </c>
    </row>
    <row r="36" spans="1:21" x14ac:dyDescent="0.25">
      <c r="A36" s="11" t="s">
        <v>1602</v>
      </c>
    </row>
    <row r="37" spans="1:21" x14ac:dyDescent="0.25">
      <c r="A37" s="11" t="s">
        <v>1603</v>
      </c>
    </row>
    <row r="38" spans="1:21" x14ac:dyDescent="0.25">
      <c r="A38" s="11" t="s">
        <v>1604</v>
      </c>
    </row>
    <row r="39" spans="1:21" x14ac:dyDescent="0.25">
      <c r="A39" s="11" t="s">
        <v>1605</v>
      </c>
    </row>
    <row r="40" spans="1:21" x14ac:dyDescent="0.25">
      <c r="A40" s="11" t="s">
        <v>1606</v>
      </c>
    </row>
    <row r="41" spans="1:21" x14ac:dyDescent="0.25">
      <c r="A41" s="29" t="s">
        <v>359</v>
      </c>
      <c r="B41" s="29" t="s">
        <v>489</v>
      </c>
      <c r="C41" s="29" t="s">
        <v>418</v>
      </c>
      <c r="D41" s="29" t="s">
        <v>489</v>
      </c>
      <c r="E41" s="29" t="s">
        <v>489</v>
      </c>
      <c r="F41" s="29" t="s">
        <v>489</v>
      </c>
      <c r="G41" s="29" t="s">
        <v>489</v>
      </c>
      <c r="H41" s="29" t="s">
        <v>489</v>
      </c>
      <c r="I41" s="29" t="s">
        <v>489</v>
      </c>
      <c r="J41" s="29" t="s">
        <v>489</v>
      </c>
      <c r="K41" s="29" t="s">
        <v>489</v>
      </c>
      <c r="L41" s="29" t="s">
        <v>489</v>
      </c>
      <c r="M41" s="29" t="s">
        <v>489</v>
      </c>
      <c r="N41" s="29" t="s">
        <v>489</v>
      </c>
      <c r="O41" s="29" t="s">
        <v>489</v>
      </c>
      <c r="P41" s="29" t="s">
        <v>489</v>
      </c>
      <c r="Q41" s="29" t="s">
        <v>489</v>
      </c>
      <c r="R41" s="29" t="s">
        <v>489</v>
      </c>
      <c r="S41" s="29" t="s">
        <v>489</v>
      </c>
      <c r="T41" s="29" t="s">
        <v>489</v>
      </c>
    </row>
    <row r="42" spans="1:21" ht="45" x14ac:dyDescent="0.25">
      <c r="A42" s="29" t="s">
        <v>362</v>
      </c>
      <c r="B42" s="29" t="s">
        <v>1607</v>
      </c>
      <c r="C42" s="29" t="s">
        <v>1019</v>
      </c>
      <c r="D42" s="29" t="s">
        <v>1608</v>
      </c>
      <c r="E42" s="29" t="s">
        <v>1609</v>
      </c>
      <c r="F42" s="29" t="s">
        <v>1610</v>
      </c>
      <c r="G42" s="29" t="s">
        <v>1611</v>
      </c>
      <c r="H42" s="29" t="s">
        <v>1612</v>
      </c>
      <c r="I42" s="29" t="s">
        <v>1613</v>
      </c>
      <c r="J42" s="29" t="s">
        <v>1614</v>
      </c>
      <c r="K42" s="29" t="s">
        <v>1615</v>
      </c>
      <c r="L42" s="29" t="s">
        <v>1616</v>
      </c>
      <c r="M42" s="29" t="s">
        <v>1617</v>
      </c>
      <c r="N42" s="29" t="s">
        <v>1618</v>
      </c>
      <c r="O42" s="29" t="s">
        <v>1619</v>
      </c>
      <c r="P42" s="29" t="s">
        <v>1620</v>
      </c>
      <c r="Q42" s="29" t="s">
        <v>1621</v>
      </c>
      <c r="R42" s="29" t="s">
        <v>1622</v>
      </c>
      <c r="S42" s="29" t="s">
        <v>1623</v>
      </c>
      <c r="T42" s="29" t="s">
        <v>1624</v>
      </c>
    </row>
    <row r="44" spans="1:21" ht="45" x14ac:dyDescent="0.25">
      <c r="B44" s="12" t="s">
        <v>577</v>
      </c>
      <c r="C44" s="12" t="s">
        <v>225</v>
      </c>
      <c r="D44" s="12" t="s">
        <v>1625</v>
      </c>
      <c r="E44" s="12" t="s">
        <v>1626</v>
      </c>
      <c r="F44" s="12" t="s">
        <v>1627</v>
      </c>
      <c r="G44" s="12" t="s">
        <v>1628</v>
      </c>
      <c r="H44" s="12" t="s">
        <v>1629</v>
      </c>
      <c r="I44" s="12" t="s">
        <v>1630</v>
      </c>
      <c r="J44" s="12" t="s">
        <v>1631</v>
      </c>
      <c r="K44" s="12" t="s">
        <v>1632</v>
      </c>
      <c r="L44" s="12" t="s">
        <v>1633</v>
      </c>
      <c r="M44" s="12" t="s">
        <v>1634</v>
      </c>
      <c r="N44" s="12" t="s">
        <v>1635</v>
      </c>
      <c r="O44" s="12" t="s">
        <v>1636</v>
      </c>
      <c r="P44" s="12" t="s">
        <v>1637</v>
      </c>
      <c r="Q44" s="12" t="s">
        <v>1638</v>
      </c>
      <c r="R44" s="12" t="s">
        <v>1639</v>
      </c>
      <c r="S44" s="12" t="s">
        <v>1640</v>
      </c>
      <c r="T44" s="12" t="s">
        <v>1641</v>
      </c>
    </row>
    <row r="45" spans="1:21" x14ac:dyDescent="0.25">
      <c r="A45" s="24" t="s">
        <v>228</v>
      </c>
      <c r="U45" s="10"/>
    </row>
    <row r="46" spans="1:21" x14ac:dyDescent="0.25">
      <c r="A46" s="3" t="s">
        <v>171</v>
      </c>
      <c r="B46" s="17">
        <f>Input!B187+Input!C187+Input!D187</f>
        <v>5135811.7457730779</v>
      </c>
      <c r="C46" s="39">
        <f>Input!E187</f>
        <v>1545669.8679699886</v>
      </c>
      <c r="D46" s="17">
        <f>0.01*Input!F$58*(Adjust!$E223*Input!E187+Adjust!$F223*Input!F187)+10*(Adjust!$B223*Input!B187+Adjust!$C223*Input!C187+Adjust!$D223*Input!D187+Adjust!$G223*Input!G187)</f>
        <v>123862033.47648722</v>
      </c>
      <c r="E46" s="17">
        <f>10*(Adjust!$B223*Input!B187+Adjust!$C223*Input!C187+Adjust!$D223*Input!D187)</f>
        <v>106259945.02004498</v>
      </c>
      <c r="F46" s="17">
        <f>Adjust!E223*Input!$F$58*Input!$E187/100</f>
        <v>17602088.456442229</v>
      </c>
      <c r="G46" s="17">
        <f>Adjust!F223*Input!$F$58*Input!$F187/100</f>
        <v>0</v>
      </c>
      <c r="H46" s="17">
        <f>Adjust!G223*Input!$G187*10</f>
        <v>0</v>
      </c>
      <c r="I46" s="33">
        <f>IF(B46&lt;&gt;0,0.1*D46/B46,"")</f>
        <v>2.4117323532824053</v>
      </c>
      <c r="J46" s="41">
        <f>IF(C46&lt;&gt;0,D46/C46,"")</f>
        <v>80.134856765475988</v>
      </c>
      <c r="K46" s="33">
        <f>IF(B46&lt;&gt;0,0.1*E46/B46,0)</f>
        <v>2.069</v>
      </c>
      <c r="L46" s="17">
        <f>Adjust!B223*Input!$B187*10</f>
        <v>106259945.02004498</v>
      </c>
      <c r="M46" s="17">
        <f>Adjust!C223*Input!$C187*10</f>
        <v>0</v>
      </c>
      <c r="N46" s="17">
        <f>Adjust!D223*Input!$D187*10</f>
        <v>0</v>
      </c>
      <c r="O46" s="35">
        <f>IF(E46&lt;&gt;0,$L46/E46,"")</f>
        <v>1</v>
      </c>
      <c r="P46" s="35">
        <f>IF(E46&lt;&gt;0,$M46/E46,"")</f>
        <v>0</v>
      </c>
      <c r="Q46" s="35">
        <f>IF(E46&lt;&gt;0,$N46/E46,"")</f>
        <v>0</v>
      </c>
      <c r="R46" s="35">
        <f>IF(D46&lt;&gt;0,$F46/D46,"")</f>
        <v>0.1421104430663464</v>
      </c>
      <c r="S46" s="35">
        <f>IF(D46&lt;&gt;0,$G46/D46,"")</f>
        <v>0</v>
      </c>
      <c r="T46" s="35">
        <f>IF(D46&lt;&gt;0,$H46/D46,"")</f>
        <v>0</v>
      </c>
      <c r="U46" s="10"/>
    </row>
    <row r="47" spans="1:21" x14ac:dyDescent="0.25">
      <c r="A47" s="3" t="s">
        <v>229</v>
      </c>
      <c r="B47" s="17">
        <f>Input!B188+Input!C188+Input!D188</f>
        <v>62399.733089655958</v>
      </c>
      <c r="C47" s="39">
        <f>Input!E188</f>
        <v>20838.152011367252</v>
      </c>
      <c r="D47" s="17">
        <f>0.01*Input!F$58*(Adjust!$E224*Input!E188+Adjust!$F224*Input!F188)+10*(Adjust!$B224*Input!B188+Adjust!$C224*Input!C188+Adjust!$D224*Input!D188+Adjust!$G224*Input!G188)</f>
        <v>1068109.3160308744</v>
      </c>
      <c r="E47" s="17">
        <f>10*(Adjust!$B224*Input!B188+Adjust!$C224*Input!C188+Adjust!$D224*Input!D188)</f>
        <v>902300.14047642518</v>
      </c>
      <c r="F47" s="17">
        <f>Adjust!E224*Input!$F$58*Input!$E188/100</f>
        <v>165809.17555444923</v>
      </c>
      <c r="G47" s="17">
        <f>Adjust!F224*Input!$F$58*Input!$F188/100</f>
        <v>0</v>
      </c>
      <c r="H47" s="17">
        <f>Adjust!G224*Input!$G188*10</f>
        <v>0</v>
      </c>
      <c r="I47" s="33">
        <f>IF(B47&lt;&gt;0,0.1*D47/B47,"")</f>
        <v>1.7117209692166706</v>
      </c>
      <c r="J47" s="41">
        <f>IF(C47&lt;&gt;0,D47/C47,"")</f>
        <v>51.257391511887363</v>
      </c>
      <c r="K47" s="33">
        <f>IF(B47&lt;&gt;0,0.1*E47/B47,0)</f>
        <v>1.4460000000000002</v>
      </c>
      <c r="L47" s="17">
        <f>Adjust!B224*Input!$B188*10</f>
        <v>902300.14047642518</v>
      </c>
      <c r="M47" s="17">
        <f>Adjust!C224*Input!$C188*10</f>
        <v>0</v>
      </c>
      <c r="N47" s="17">
        <f>Adjust!D224*Input!$D188*10</f>
        <v>0</v>
      </c>
      <c r="O47" s="35">
        <f>IF(E47&lt;&gt;0,$L47/E47,"")</f>
        <v>1</v>
      </c>
      <c r="P47" s="35">
        <f>IF(E47&lt;&gt;0,$M47/E47,"")</f>
        <v>0</v>
      </c>
      <c r="Q47" s="35">
        <f>IF(E47&lt;&gt;0,$N47/E47,"")</f>
        <v>0</v>
      </c>
      <c r="R47" s="35">
        <f>IF(D47&lt;&gt;0,$F47/D47,"")</f>
        <v>0.15523614771061167</v>
      </c>
      <c r="S47" s="35">
        <f>IF(D47&lt;&gt;0,$G47/D47,"")</f>
        <v>0</v>
      </c>
      <c r="T47" s="35">
        <f>IF(D47&lt;&gt;0,$H47/D47,"")</f>
        <v>0</v>
      </c>
      <c r="U47" s="10"/>
    </row>
    <row r="48" spans="1:21" x14ac:dyDescent="0.25">
      <c r="A48" s="3" t="s">
        <v>230</v>
      </c>
      <c r="B48" s="17">
        <f>Input!B189+Input!C189+Input!D189</f>
        <v>78378.602782708025</v>
      </c>
      <c r="C48" s="39">
        <f>Input!E189</f>
        <v>26677.288250313217</v>
      </c>
      <c r="D48" s="17">
        <f>0.01*Input!F$58*(Adjust!$E225*Input!E189+Adjust!$F225*Input!F189)+10*(Adjust!$B225*Input!B189+Adjust!$C225*Input!C189+Adjust!$D225*Input!D189+Adjust!$G225*Input!G189)</f>
        <v>985824.76685070724</v>
      </c>
      <c r="E48" s="17">
        <f>10*(Adjust!$B225*Input!B189+Adjust!$C225*Input!C189+Adjust!$D225*Input!D189)</f>
        <v>830029.40346887801</v>
      </c>
      <c r="F48" s="17">
        <f>Adjust!E225*Input!$F$58*Input!$E189/100</f>
        <v>155795.3633818292</v>
      </c>
      <c r="G48" s="17">
        <f>Adjust!F225*Input!$F$58*Input!$F189/100</f>
        <v>0</v>
      </c>
      <c r="H48" s="17">
        <f>Adjust!G225*Input!$G189*10</f>
        <v>0</v>
      </c>
      <c r="I48" s="33">
        <f>IF(B48&lt;&gt;0,0.1*D48/B48,"")</f>
        <v>1.2577728255551412</v>
      </c>
      <c r="J48" s="41">
        <f>IF(C48&lt;&gt;0,D48/C48,"")</f>
        <v>36.953709747434047</v>
      </c>
      <c r="K48" s="33">
        <f>IF(B48&lt;&gt;0,0.1*E48/B48,0)</f>
        <v>1.0589999999999999</v>
      </c>
      <c r="L48" s="17">
        <f>Adjust!B225*Input!$B189*10</f>
        <v>830029.40346887801</v>
      </c>
      <c r="M48" s="17">
        <f>Adjust!C225*Input!$C189*10</f>
        <v>0</v>
      </c>
      <c r="N48" s="17">
        <f>Adjust!D225*Input!$D189*10</f>
        <v>0</v>
      </c>
      <c r="O48" s="35">
        <f>IF(E48&lt;&gt;0,$L48/E48,"")</f>
        <v>1</v>
      </c>
      <c r="P48" s="35">
        <f>IF(E48&lt;&gt;0,$M48/E48,"")</f>
        <v>0</v>
      </c>
      <c r="Q48" s="35">
        <f>IF(E48&lt;&gt;0,$N48/E48,"")</f>
        <v>0</v>
      </c>
      <c r="R48" s="35">
        <f>IF(D48&lt;&gt;0,$F48/D48,"")</f>
        <v>0.15803555420861401</v>
      </c>
      <c r="S48" s="35">
        <f>IF(D48&lt;&gt;0,$G48/D48,"")</f>
        <v>0</v>
      </c>
      <c r="T48" s="35">
        <f>IF(D48&lt;&gt;0,$H48/D48,"")</f>
        <v>0</v>
      </c>
      <c r="U48" s="10"/>
    </row>
    <row r="49" spans="1:21" x14ac:dyDescent="0.25">
      <c r="A49" s="24" t="s">
        <v>231</v>
      </c>
      <c r="U49" s="10"/>
    </row>
    <row r="50" spans="1:21" x14ac:dyDescent="0.25">
      <c r="A50" s="3" t="s">
        <v>172</v>
      </c>
      <c r="B50" s="17">
        <f>Input!B191+Input!C191+Input!D191</f>
        <v>3912790.5152047924</v>
      </c>
      <c r="C50" s="39">
        <f>Input!E191</f>
        <v>890301.56713661191</v>
      </c>
      <c r="D50" s="17">
        <f>0.01*Input!F$58*(Adjust!$E227*Input!E191+Adjust!$F227*Input!F191)+10*(Adjust!$B227*Input!B191+Adjust!$C227*Input!C191+Adjust!$D227*Input!D191+Adjust!$G227*Input!G191)</f>
        <v>78039826.893379703</v>
      </c>
      <c r="E50" s="17">
        <f>10*(Adjust!$B227*Input!B191+Adjust!$C227*Input!C191+Adjust!$D227*Input!D191)</f>
        <v>67901072.646827966</v>
      </c>
      <c r="F50" s="17">
        <f>Adjust!E227*Input!$F$58*Input!$E191/100</f>
        <v>10138754.246551735</v>
      </c>
      <c r="G50" s="17">
        <f>Adjust!F227*Input!$F$58*Input!$F191/100</f>
        <v>0</v>
      </c>
      <c r="H50" s="17">
        <f>Adjust!G227*Input!$G191*10</f>
        <v>0</v>
      </c>
      <c r="I50" s="33">
        <f>IF(B50&lt;&gt;0,0.1*D50/B50,"")</f>
        <v>1.9944800671061524</v>
      </c>
      <c r="J50" s="41">
        <f>IF(C50&lt;&gt;0,D50/C50,"")</f>
        <v>87.655497613433852</v>
      </c>
      <c r="K50" s="33">
        <f>IF(B50&lt;&gt;0,0.1*E50/B50,0)</f>
        <v>1.7353618187063633</v>
      </c>
      <c r="L50" s="17">
        <f>Adjust!B227*Input!$B191*10</f>
        <v>67059294.943377271</v>
      </c>
      <c r="M50" s="17">
        <f>Adjust!C227*Input!$C191*10</f>
        <v>841777.70345068525</v>
      </c>
      <c r="N50" s="17">
        <f>Adjust!D227*Input!$D191*10</f>
        <v>0</v>
      </c>
      <c r="O50" s="35">
        <f>IF(E50&lt;&gt;0,$L50/E50,"")</f>
        <v>0.98760288062268164</v>
      </c>
      <c r="P50" s="35">
        <f>IF(E50&lt;&gt;0,$M50/E50,"")</f>
        <v>1.2397119377318251E-2</v>
      </c>
      <c r="Q50" s="35">
        <f>IF(E50&lt;&gt;0,$N50/E50,"")</f>
        <v>0</v>
      </c>
      <c r="R50" s="35">
        <f>IF(D50&lt;&gt;0,$F50/D50,"")</f>
        <v>0.12991769267253242</v>
      </c>
      <c r="S50" s="35">
        <f>IF(D50&lt;&gt;0,$G50/D50,"")</f>
        <v>0</v>
      </c>
      <c r="T50" s="35">
        <f>IF(D50&lt;&gt;0,$H50/D50,"")</f>
        <v>0</v>
      </c>
      <c r="U50" s="10"/>
    </row>
    <row r="51" spans="1:21" x14ac:dyDescent="0.25">
      <c r="A51" s="3" t="s">
        <v>232</v>
      </c>
      <c r="B51" s="17">
        <f>Input!B192+Input!C192+Input!D192</f>
        <v>5435.7449848463966</v>
      </c>
      <c r="C51" s="39">
        <f>Input!E192</f>
        <v>1174.2552334267209</v>
      </c>
      <c r="D51" s="17">
        <f>0.01*Input!F$58*(Adjust!$E228*Input!E192+Adjust!$F228*Input!F192)+10*(Adjust!$B228*Input!B192+Adjust!$C228*Input!C192+Adjust!$D228*Input!D192+Adjust!$G228*Input!G192)</f>
        <v>82373.230888255101</v>
      </c>
      <c r="E51" s="17">
        <f>10*(Adjust!$B228*Input!B192+Adjust!$C228*Input!C192+Adjust!$D228*Input!D192)</f>
        <v>73029.68199587868</v>
      </c>
      <c r="F51" s="17">
        <f>Adjust!E228*Input!$F$58*Input!$E192/100</f>
        <v>9343.5488923764187</v>
      </c>
      <c r="G51" s="17">
        <f>Adjust!F228*Input!$F$58*Input!$F192/100</f>
        <v>0</v>
      </c>
      <c r="H51" s="17">
        <f>Adjust!G228*Input!$G192*10</f>
        <v>0</v>
      </c>
      <c r="I51" s="33">
        <f>IF(B51&lt;&gt;0,0.1*D51/B51,"")</f>
        <v>1.5153991056955887</v>
      </c>
      <c r="J51" s="41">
        <f>IF(C51&lt;&gt;0,D51/C51,"")</f>
        <v>70.149341083090505</v>
      </c>
      <c r="K51" s="33">
        <f>IF(B51&lt;&gt;0,0.1*E51/B51,0)</f>
        <v>1.3435082440303692</v>
      </c>
      <c r="L51" s="17">
        <f>Adjust!B228*Input!$B192*10</f>
        <v>72404.201146903186</v>
      </c>
      <c r="M51" s="17">
        <f>Adjust!C228*Input!$C192*10</f>
        <v>625.48084897549802</v>
      </c>
      <c r="N51" s="17">
        <f>Adjust!D228*Input!$D192*10</f>
        <v>0</v>
      </c>
      <c r="O51" s="35">
        <f>IF(E51&lt;&gt;0,$L51/E51,"")</f>
        <v>0.99143525164178048</v>
      </c>
      <c r="P51" s="35">
        <f>IF(E51&lt;&gt;0,$M51/E51,"")</f>
        <v>8.5647483582195535E-3</v>
      </c>
      <c r="Q51" s="35">
        <f>IF(E51&lt;&gt;0,$N51/E51,"")</f>
        <v>0</v>
      </c>
      <c r="R51" s="35">
        <f>IF(D51&lt;&gt;0,$F51/D51,"")</f>
        <v>0.11342943322268832</v>
      </c>
      <c r="S51" s="35">
        <f>IF(D51&lt;&gt;0,$G51/D51,"")</f>
        <v>0</v>
      </c>
      <c r="T51" s="35">
        <f>IF(D51&lt;&gt;0,$H51/D51,"")</f>
        <v>0</v>
      </c>
      <c r="U51" s="10"/>
    </row>
    <row r="52" spans="1:21" x14ac:dyDescent="0.25">
      <c r="A52" s="3" t="s">
        <v>233</v>
      </c>
      <c r="B52" s="17">
        <f>Input!B193+Input!C193+Input!D193</f>
        <v>7290.503009630278</v>
      </c>
      <c r="C52" s="39">
        <f>Input!E193</f>
        <v>1733.2604129759031</v>
      </c>
      <c r="D52" s="17">
        <f>0.01*Input!F$58*(Adjust!$E229*Input!E193+Adjust!$F229*Input!F193)+10*(Adjust!$B229*Input!B193+Adjust!$C229*Input!C193+Adjust!$D229*Input!D193+Adjust!$G229*Input!G193)</f>
        <v>81176.497632609899</v>
      </c>
      <c r="E52" s="17">
        <f>10*(Adjust!$B229*Input!B193+Adjust!$C229*Input!C193+Adjust!$D229*Input!D193)</f>
        <v>71054.256820830618</v>
      </c>
      <c r="F52" s="17">
        <f>Adjust!E229*Input!$F$58*Input!$E193/100</f>
        <v>10122.240811779275</v>
      </c>
      <c r="G52" s="17">
        <f>Adjust!F229*Input!$F$58*Input!$F193/100</f>
        <v>0</v>
      </c>
      <c r="H52" s="17">
        <f>Adjust!G229*Input!$G193*10</f>
        <v>0</v>
      </c>
      <c r="I52" s="33">
        <f>IF(B52&lt;&gt;0,0.1*D52/B52,"")</f>
        <v>1.1134553751007448</v>
      </c>
      <c r="J52" s="41">
        <f>IF(C52&lt;&gt;0,D52/C52,"")</f>
        <v>46.834565091828743</v>
      </c>
      <c r="K52" s="33">
        <f>IF(B52&lt;&gt;0,0.1*E52/B52,0)</f>
        <v>0.97461391521233298</v>
      </c>
      <c r="L52" s="17">
        <f>Adjust!B229*Input!$B193*10</f>
        <v>70423.726862701282</v>
      </c>
      <c r="M52" s="17">
        <f>Adjust!C229*Input!$C193*10</f>
        <v>630.52995812933045</v>
      </c>
      <c r="N52" s="17">
        <f>Adjust!D229*Input!$D193*10</f>
        <v>0</v>
      </c>
      <c r="O52" s="35">
        <f>IF(E52&lt;&gt;0,$L52/E52,"")</f>
        <v>0.99112607764346516</v>
      </c>
      <c r="P52" s="35">
        <f>IF(E52&lt;&gt;0,$M52/E52,"")</f>
        <v>8.873922356534749E-3</v>
      </c>
      <c r="Q52" s="35">
        <f>IF(E52&lt;&gt;0,$N52/E52,"")</f>
        <v>0</v>
      </c>
      <c r="R52" s="35">
        <f>IF(D52&lt;&gt;0,$F52/D52,"")</f>
        <v>0.1246942293271964</v>
      </c>
      <c r="S52" s="35">
        <f>IF(D52&lt;&gt;0,$G52/D52,"")</f>
        <v>0</v>
      </c>
      <c r="T52" s="35">
        <f>IF(D52&lt;&gt;0,$H52/D52,"")</f>
        <v>0</v>
      </c>
      <c r="U52" s="10"/>
    </row>
    <row r="53" spans="1:21" x14ac:dyDescent="0.25">
      <c r="A53" s="24" t="s">
        <v>234</v>
      </c>
      <c r="U53" s="10"/>
    </row>
    <row r="54" spans="1:21" x14ac:dyDescent="0.25">
      <c r="A54" s="3" t="s">
        <v>211</v>
      </c>
      <c r="B54" s="17">
        <f>Input!B195+Input!C195+Input!D195</f>
        <v>126246.1428114313</v>
      </c>
      <c r="C54" s="39">
        <f>Input!E195</f>
        <v>37550</v>
      </c>
      <c r="D54" s="17">
        <f>0.01*Input!F$58*(Adjust!$E231*Input!E195+Adjust!$F231*Input!F195)+10*(Adjust!$B231*Input!B195+Adjust!$C231*Input!C195+Adjust!$D231*Input!D195+Adjust!$G231*Input!G195)</f>
        <v>792825.77685578854</v>
      </c>
      <c r="E54" s="17">
        <f>10*(Adjust!$B231*Input!B195+Adjust!$C231*Input!C195+Adjust!$D231*Input!D195)</f>
        <v>792825.77685578854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33">
        <f>IF(B54&lt;&gt;0,0.1*D54/B54,"")</f>
        <v>0.628</v>
      </c>
      <c r="J54" s="41">
        <f>IF(C54&lt;&gt;0,D54/C54,"")</f>
        <v>21.113868890966405</v>
      </c>
      <c r="K54" s="33">
        <f>IF(B54&lt;&gt;0,0.1*E54/B54,0)</f>
        <v>0.628</v>
      </c>
      <c r="L54" s="17">
        <f>Adjust!B231*Input!$B195*10</f>
        <v>792825.77685578854</v>
      </c>
      <c r="M54" s="17">
        <f>Adjust!C231*Input!$C195*10</f>
        <v>0</v>
      </c>
      <c r="N54" s="17">
        <f>Adjust!D231*Input!$D195*10</f>
        <v>0</v>
      </c>
      <c r="O54" s="35">
        <f>IF(E54&lt;&gt;0,$L54/E54,"")</f>
        <v>1</v>
      </c>
      <c r="P54" s="35">
        <f>IF(E54&lt;&gt;0,$M54/E54,"")</f>
        <v>0</v>
      </c>
      <c r="Q54" s="35">
        <f>IF(E54&lt;&gt;0,$N54/E54,"")</f>
        <v>0</v>
      </c>
      <c r="R54" s="35">
        <f>IF(D54&lt;&gt;0,$F54/D54,"")</f>
        <v>0</v>
      </c>
      <c r="S54" s="35">
        <f>IF(D54&lt;&gt;0,$G54/D54,"")</f>
        <v>0</v>
      </c>
      <c r="T54" s="35">
        <f>IF(D54&lt;&gt;0,$H54/D54,"")</f>
        <v>0</v>
      </c>
      <c r="U54" s="10"/>
    </row>
    <row r="55" spans="1:21" x14ac:dyDescent="0.25">
      <c r="A55" s="3" t="s">
        <v>235</v>
      </c>
      <c r="B55" s="17">
        <f>Input!B196+Input!C196+Input!D196</f>
        <v>0</v>
      </c>
      <c r="C55" s="39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33" t="str">
        <f>IF(B55&lt;&gt;0,0.1*D55/B55,"")</f>
        <v/>
      </c>
      <c r="J55" s="41" t="str">
        <f>IF(C55&lt;&gt;0,D55/C55,"")</f>
        <v/>
      </c>
      <c r="K55" s="33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35" t="str">
        <f>IF(E55&lt;&gt;0,$L55/E55,"")</f>
        <v/>
      </c>
      <c r="P55" s="35" t="str">
        <f>IF(E55&lt;&gt;0,$M55/E55,"")</f>
        <v/>
      </c>
      <c r="Q55" s="35" t="str">
        <f>IF(E55&lt;&gt;0,$N55/E55,"")</f>
        <v/>
      </c>
      <c r="R55" s="35" t="str">
        <f>IF(D55&lt;&gt;0,$F55/D55,"")</f>
        <v/>
      </c>
      <c r="S55" s="35" t="str">
        <f>IF(D55&lt;&gt;0,$G55/D55,"")</f>
        <v/>
      </c>
      <c r="T55" s="35" t="str">
        <f>IF(D55&lt;&gt;0,$H55/D55,"")</f>
        <v/>
      </c>
      <c r="U55" s="10"/>
    </row>
    <row r="56" spans="1:21" x14ac:dyDescent="0.25">
      <c r="A56" s="3" t="s">
        <v>236</v>
      </c>
      <c r="B56" s="17">
        <f>Input!B197+Input!C197+Input!D197</f>
        <v>0</v>
      </c>
      <c r="C56" s="39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33" t="str">
        <f>IF(B56&lt;&gt;0,0.1*D56/B56,"")</f>
        <v/>
      </c>
      <c r="J56" s="41" t="str">
        <f>IF(C56&lt;&gt;0,D56/C56,"")</f>
        <v/>
      </c>
      <c r="K56" s="33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35" t="str">
        <f>IF(E56&lt;&gt;0,$L56/E56,"")</f>
        <v/>
      </c>
      <c r="P56" s="35" t="str">
        <f>IF(E56&lt;&gt;0,$M56/E56,"")</f>
        <v/>
      </c>
      <c r="Q56" s="35" t="str">
        <f>IF(E56&lt;&gt;0,$N56/E56,"")</f>
        <v/>
      </c>
      <c r="R56" s="35" t="str">
        <f>IF(D56&lt;&gt;0,$F56/D56,"")</f>
        <v/>
      </c>
      <c r="S56" s="35" t="str">
        <f>IF(D56&lt;&gt;0,$G56/D56,"")</f>
        <v/>
      </c>
      <c r="T56" s="35" t="str">
        <f>IF(D56&lt;&gt;0,$H56/D56,"")</f>
        <v/>
      </c>
      <c r="U56" s="10"/>
    </row>
    <row r="57" spans="1:21" x14ac:dyDescent="0.25">
      <c r="A57" s="24" t="s">
        <v>237</v>
      </c>
      <c r="U57" s="10"/>
    </row>
    <row r="58" spans="1:21" x14ac:dyDescent="0.25">
      <c r="A58" s="3" t="s">
        <v>173</v>
      </c>
      <c r="B58" s="17">
        <f>Input!B199+Input!C199+Input!D199</f>
        <v>1110178.3066284719</v>
      </c>
      <c r="C58" s="39">
        <f>Input!E199</f>
        <v>95231.738896922456</v>
      </c>
      <c r="D58" s="17">
        <f>0.01*Input!F$58*(Adjust!$E235*Input!E199+Adjust!$F235*Input!F199)+10*(Adjust!$B235*Input!B199+Adjust!$C235*Input!C199+Adjust!$D235*Input!D199+Adjust!$G235*Input!G199)</f>
        <v>23439375.919011552</v>
      </c>
      <c r="E58" s="17">
        <f>10*(Adjust!$B235*Input!B199+Adjust!$C235*Input!C199+Adjust!$D235*Input!D199)</f>
        <v>21604069.846990064</v>
      </c>
      <c r="F58" s="17">
        <f>Adjust!E235*Input!$F$58*Input!$E199/100</f>
        <v>1835306.0720214897</v>
      </c>
      <c r="G58" s="17">
        <f>Adjust!F235*Input!$F$58*Input!$F199/100</f>
        <v>0</v>
      </c>
      <c r="H58" s="17">
        <f>Adjust!G235*Input!$G199*10</f>
        <v>0</v>
      </c>
      <c r="I58" s="33">
        <f>IF(B58&lt;&gt;0,0.1*D58/B58,"")</f>
        <v>2.1113163335171965</v>
      </c>
      <c r="J58" s="41">
        <f>IF(C58&lt;&gt;0,D58/C58,"")</f>
        <v>246.12987424688333</v>
      </c>
      <c r="K58" s="33">
        <f>IF(B58&lt;&gt;0,0.1*E58/B58,0)</f>
        <v>1.9460000000000002</v>
      </c>
      <c r="L58" s="17">
        <f>Adjust!B235*Input!$B199*10</f>
        <v>21604069.846990064</v>
      </c>
      <c r="M58" s="17">
        <f>Adjust!C235*Input!$C199*10</f>
        <v>0</v>
      </c>
      <c r="N58" s="17">
        <f>Adjust!D235*Input!$D199*10</f>
        <v>0</v>
      </c>
      <c r="O58" s="35">
        <f>IF(E58&lt;&gt;0,$L58/E58,"")</f>
        <v>1</v>
      </c>
      <c r="P58" s="35">
        <f>IF(E58&lt;&gt;0,$M58/E58,"")</f>
        <v>0</v>
      </c>
      <c r="Q58" s="35">
        <f>IF(E58&lt;&gt;0,$N58/E58,"")</f>
        <v>0</v>
      </c>
      <c r="R58" s="35">
        <f>IF(D58&lt;&gt;0,$F58/D58,"")</f>
        <v>7.8300125325985445E-2</v>
      </c>
      <c r="S58" s="35">
        <f>IF(D58&lt;&gt;0,$G58/D58,"")</f>
        <v>0</v>
      </c>
      <c r="T58" s="35">
        <f>IF(D58&lt;&gt;0,$H58/D58,"")</f>
        <v>0</v>
      </c>
      <c r="U58" s="10"/>
    </row>
    <row r="59" spans="1:21" x14ac:dyDescent="0.25">
      <c r="A59" s="3" t="s">
        <v>238</v>
      </c>
      <c r="B59" s="17">
        <f>Input!B200+Input!C200+Input!D200</f>
        <v>4173.4418265738759</v>
      </c>
      <c r="C59" s="39">
        <f>Input!E200</f>
        <v>536.04808798658723</v>
      </c>
      <c r="D59" s="17">
        <f>0.01*Input!F$58*(Adjust!$E236*Input!E200+Adjust!$F236*Input!F200)+10*(Adjust!$B236*Input!B200+Adjust!$C236*Input!C200+Adjust!$D236*Input!D200+Adjust!$G236*Input!G200)</f>
        <v>63978.572514452069</v>
      </c>
      <c r="E59" s="17">
        <f>10*(Adjust!$B236*Input!B200+Adjust!$C236*Input!C200+Adjust!$D236*Input!D200)</f>
        <v>56758.808841404716</v>
      </c>
      <c r="F59" s="17">
        <f>Adjust!E236*Input!$F$58*Input!$E200/100</f>
        <v>7219.7636730473496</v>
      </c>
      <c r="G59" s="17">
        <f>Adjust!F236*Input!$F$58*Input!$F200/100</f>
        <v>0</v>
      </c>
      <c r="H59" s="17">
        <f>Adjust!G236*Input!$G200*10</f>
        <v>0</v>
      </c>
      <c r="I59" s="33">
        <f>IF(B59&lt;&gt;0,0.1*D59/B59,"")</f>
        <v>1.5329930348394076</v>
      </c>
      <c r="J59" s="41">
        <f>IF(C59&lt;&gt;0,D59/C59,"")</f>
        <v>119.35230056459582</v>
      </c>
      <c r="K59" s="33">
        <f>IF(B59&lt;&gt;0,0.1*E59/B59,0)</f>
        <v>1.36</v>
      </c>
      <c r="L59" s="17">
        <f>Adjust!B236*Input!$B200*10</f>
        <v>56758.808841404716</v>
      </c>
      <c r="M59" s="17">
        <f>Adjust!C236*Input!$C200*10</f>
        <v>0</v>
      </c>
      <c r="N59" s="17">
        <f>Adjust!D236*Input!$D200*10</f>
        <v>0</v>
      </c>
      <c r="O59" s="35">
        <f>IF(E59&lt;&gt;0,$L59/E59,"")</f>
        <v>1</v>
      </c>
      <c r="P59" s="35">
        <f>IF(E59&lt;&gt;0,$M59/E59,"")</f>
        <v>0</v>
      </c>
      <c r="Q59" s="35">
        <f>IF(E59&lt;&gt;0,$N59/E59,"")</f>
        <v>0</v>
      </c>
      <c r="R59" s="35">
        <f>IF(D59&lt;&gt;0,$F59/D59,"")</f>
        <v>0.11284658893282563</v>
      </c>
      <c r="S59" s="35">
        <f>IF(D59&lt;&gt;0,$G59/D59,"")</f>
        <v>0</v>
      </c>
      <c r="T59" s="35">
        <f>IF(D59&lt;&gt;0,$H59/D59,"")</f>
        <v>0</v>
      </c>
      <c r="U59" s="10"/>
    </row>
    <row r="60" spans="1:21" x14ac:dyDescent="0.25">
      <c r="A60" s="3" t="s">
        <v>239</v>
      </c>
      <c r="B60" s="17">
        <f>Input!B201+Input!C201+Input!D201</f>
        <v>9216.1408176926307</v>
      </c>
      <c r="C60" s="39">
        <f>Input!E201</f>
        <v>740.36620289368045</v>
      </c>
      <c r="D60" s="17">
        <f>0.01*Input!F$58*(Adjust!$E237*Input!E201+Adjust!$F237*Input!F201)+10*(Adjust!$B237*Input!B201+Adjust!$C237*Input!C201+Adjust!$D237*Input!D201+Adjust!$G237*Input!G201)</f>
        <v>99089.071473735821</v>
      </c>
      <c r="E60" s="17">
        <f>10*(Adjust!$B237*Input!B201+Adjust!$C237*Input!C201+Adjust!$D237*Input!D201)</f>
        <v>91792.762544218596</v>
      </c>
      <c r="F60" s="17">
        <f>Adjust!E237*Input!$F$58*Input!$E201/100</f>
        <v>7296.3089295172213</v>
      </c>
      <c r="G60" s="17">
        <f>Adjust!F237*Input!$F$58*Input!$F201/100</f>
        <v>0</v>
      </c>
      <c r="H60" s="17">
        <f>Adjust!G237*Input!$G201*10</f>
        <v>0</v>
      </c>
      <c r="I60" s="33">
        <f>IF(B60&lt;&gt;0,0.1*D60/B60,"")</f>
        <v>1.0751688090910045</v>
      </c>
      <c r="J60" s="41">
        <f>IF(C60&lt;&gt;0,D60/C60,"")</f>
        <v>133.83791843340722</v>
      </c>
      <c r="K60" s="33">
        <f>IF(B60&lt;&gt;0,0.1*E60/B60,0)</f>
        <v>0.996</v>
      </c>
      <c r="L60" s="17">
        <f>Adjust!B237*Input!$B201*10</f>
        <v>91792.762544218596</v>
      </c>
      <c r="M60" s="17">
        <f>Adjust!C237*Input!$C201*10</f>
        <v>0</v>
      </c>
      <c r="N60" s="17">
        <f>Adjust!D237*Input!$D201*10</f>
        <v>0</v>
      </c>
      <c r="O60" s="35">
        <f>IF(E60&lt;&gt;0,$L60/E60,"")</f>
        <v>1</v>
      </c>
      <c r="P60" s="35">
        <f>IF(E60&lt;&gt;0,$M60/E60,"")</f>
        <v>0</v>
      </c>
      <c r="Q60" s="35">
        <f>IF(E60&lt;&gt;0,$N60/E60,"")</f>
        <v>0</v>
      </c>
      <c r="R60" s="35">
        <f>IF(D60&lt;&gt;0,$F60/D60,"")</f>
        <v>7.363384095743751E-2</v>
      </c>
      <c r="S60" s="35">
        <f>IF(D60&lt;&gt;0,$G60/D60,"")</f>
        <v>0</v>
      </c>
      <c r="T60" s="35">
        <f>IF(D60&lt;&gt;0,$H60/D60,"")</f>
        <v>0</v>
      </c>
      <c r="U60" s="10"/>
    </row>
    <row r="61" spans="1:21" x14ac:dyDescent="0.25">
      <c r="A61" s="24" t="s">
        <v>240</v>
      </c>
      <c r="U61" s="10"/>
    </row>
    <row r="62" spans="1:21" x14ac:dyDescent="0.25">
      <c r="A62" s="3" t="s">
        <v>174</v>
      </c>
      <c r="B62" s="17">
        <f>Input!B203+Input!C203+Input!D203</f>
        <v>2056876.6681393674</v>
      </c>
      <c r="C62" s="39">
        <f>Input!E203</f>
        <v>83250.607318122653</v>
      </c>
      <c r="D62" s="17">
        <f>0.01*Input!F$58*(Adjust!$E239*Input!E203+Adjust!$F239*Input!F203)+10*(Adjust!$B239*Input!B203+Adjust!$C239*Input!C203+Adjust!$D239*Input!D203+Adjust!$G239*Input!G203)</f>
        <v>35110257.564350948</v>
      </c>
      <c r="E62" s="17">
        <f>10*(Adjust!$B239*Input!B203+Adjust!$C239*Input!C203+Adjust!$D239*Input!D203)</f>
        <v>33505851.860116087</v>
      </c>
      <c r="F62" s="17">
        <f>Adjust!E239*Input!$F$58*Input!$E203/100</f>
        <v>1604405.7042348599</v>
      </c>
      <c r="G62" s="17">
        <f>Adjust!F239*Input!$F$58*Input!$F203/100</f>
        <v>0</v>
      </c>
      <c r="H62" s="17">
        <f>Adjust!G239*Input!$G203*10</f>
        <v>0</v>
      </c>
      <c r="I62" s="33">
        <f>IF(B62&lt;&gt;0,0.1*D62/B62,"")</f>
        <v>1.7069695090717996</v>
      </c>
      <c r="J62" s="41">
        <f>IF(C62&lt;&gt;0,D62/C62,"")</f>
        <v>421.74175895420609</v>
      </c>
      <c r="K62" s="33">
        <f>IF(B62&lt;&gt;0,0.1*E62/B62,0)</f>
        <v>1.6289674718526117</v>
      </c>
      <c r="L62" s="17">
        <f>Adjust!B239*Input!$B203*10</f>
        <v>33184905.996514838</v>
      </c>
      <c r="M62" s="17">
        <f>Adjust!C239*Input!$C203*10</f>
        <v>320945.86360125081</v>
      </c>
      <c r="N62" s="17">
        <f>Adjust!D239*Input!$D203*10</f>
        <v>0</v>
      </c>
      <c r="O62" s="35">
        <f>IF(E62&lt;&gt;0,$L62/E62,"")</f>
        <v>0.99042119970740727</v>
      </c>
      <c r="P62" s="35">
        <f>IF(E62&lt;&gt;0,$M62/E62,"")</f>
        <v>9.5788002925927939E-3</v>
      </c>
      <c r="Q62" s="35">
        <f>IF(E62&lt;&gt;0,$N62/E62,"")</f>
        <v>0</v>
      </c>
      <c r="R62" s="35">
        <f>IF(D62&lt;&gt;0,$F62/D62,"")</f>
        <v>4.5696210040449443E-2</v>
      </c>
      <c r="S62" s="35">
        <f>IF(D62&lt;&gt;0,$G62/D62,"")</f>
        <v>0</v>
      </c>
      <c r="T62" s="35">
        <f>IF(D62&lt;&gt;0,$H62/D62,"")</f>
        <v>0</v>
      </c>
      <c r="U62" s="10"/>
    </row>
    <row r="63" spans="1:21" x14ac:dyDescent="0.25">
      <c r="A63" s="3" t="s">
        <v>241</v>
      </c>
      <c r="B63" s="17">
        <f>Input!B204+Input!C204+Input!D204</f>
        <v>266.647111937896</v>
      </c>
      <c r="C63" s="39">
        <f>Input!E204</f>
        <v>6.887127468778421</v>
      </c>
      <c r="D63" s="17">
        <f>0.01*Input!F$58*(Adjust!$E240*Input!E204+Adjust!$F240*Input!F204)+10*(Adjust!$B240*Input!B204+Adjust!$C240*Input!C204+Adjust!$D240*Input!D204+Adjust!$G240*Input!G204)</f>
        <v>2960.518591481296</v>
      </c>
      <c r="E63" s="17">
        <f>10*(Adjust!$B240*Input!B204+Adjust!$C240*Input!C204+Adjust!$D240*Input!D204)</f>
        <v>2867.7593151680539</v>
      </c>
      <c r="F63" s="17">
        <f>Adjust!E240*Input!$F$58*Input!$E204/100</f>
        <v>92.759276313242154</v>
      </c>
      <c r="G63" s="17">
        <f>Adjust!F240*Input!$F$58*Input!$F204/100</f>
        <v>0</v>
      </c>
      <c r="H63" s="17">
        <f>Adjust!G240*Input!$G204*10</f>
        <v>0</v>
      </c>
      <c r="I63" s="33">
        <f>IF(B63&lt;&gt;0,0.1*D63/B63,"")</f>
        <v>1.1102758885949688</v>
      </c>
      <c r="J63" s="41">
        <f>IF(C63&lt;&gt;0,D63/C63,"")</f>
        <v>429.86261034114517</v>
      </c>
      <c r="K63" s="33">
        <f>IF(B63&lt;&gt;0,0.1*E63/B63,0)</f>
        <v>1.0754886090181901</v>
      </c>
      <c r="L63" s="17">
        <f>Adjust!B240*Input!$B204*10</f>
        <v>2833.6955402065773</v>
      </c>
      <c r="M63" s="17">
        <f>Adjust!C240*Input!$C204*10</f>
        <v>34.063774961476398</v>
      </c>
      <c r="N63" s="17">
        <f>Adjust!D240*Input!$D204*10</f>
        <v>0</v>
      </c>
      <c r="O63" s="35">
        <f>IF(E63&lt;&gt;0,$L63/E63,"")</f>
        <v>0.98812181525091469</v>
      </c>
      <c r="P63" s="35">
        <f>IF(E63&lt;&gt;0,$M63/E63,"")</f>
        <v>1.1878184749085271E-2</v>
      </c>
      <c r="Q63" s="35">
        <f>IF(E63&lt;&gt;0,$N63/E63,"")</f>
        <v>0</v>
      </c>
      <c r="R63" s="35">
        <f>IF(D63&lt;&gt;0,$F63/D63,"")</f>
        <v>3.1332103969943334E-2</v>
      </c>
      <c r="S63" s="35">
        <f>IF(D63&lt;&gt;0,$G63/D63,"")</f>
        <v>0</v>
      </c>
      <c r="T63" s="35">
        <f>IF(D63&lt;&gt;0,$H63/D63,"")</f>
        <v>0</v>
      </c>
      <c r="U63" s="10"/>
    </row>
    <row r="64" spans="1:21" x14ac:dyDescent="0.25">
      <c r="A64" s="3" t="s">
        <v>242</v>
      </c>
      <c r="B64" s="17">
        <f>Input!B205+Input!C205+Input!D205</f>
        <v>1226.0712369689852</v>
      </c>
      <c r="C64" s="39">
        <f>Input!E205</f>
        <v>33.287782765762373</v>
      </c>
      <c r="D64" s="17">
        <f>0.01*Input!F$58*(Adjust!$E241*Input!E205+Adjust!$F241*Input!F205)+10*(Adjust!$B241*Input!B205+Adjust!$C241*Input!C205+Adjust!$D241*Input!D205+Adjust!$G241*Input!G205)</f>
        <v>11219.008684862925</v>
      </c>
      <c r="E64" s="17">
        <f>10*(Adjust!$B241*Input!B205+Adjust!$C241*Input!C205+Adjust!$D241*Input!D205)</f>
        <v>10890.957585706337</v>
      </c>
      <c r="F64" s="17">
        <f>Adjust!E241*Input!$F$58*Input!$E205/100</f>
        <v>328.05109915658824</v>
      </c>
      <c r="G64" s="17">
        <f>Adjust!F241*Input!$F$58*Input!$F205/100</f>
        <v>0</v>
      </c>
      <c r="H64" s="17">
        <f>Adjust!G241*Input!$G205*10</f>
        <v>0</v>
      </c>
      <c r="I64" s="33">
        <f>IF(B64&lt;&gt;0,0.1*D64/B64,"")</f>
        <v>0.91503726264697649</v>
      </c>
      <c r="J64" s="41">
        <f>IF(C64&lt;&gt;0,D64/C64,"")</f>
        <v>337.03081889857987</v>
      </c>
      <c r="K64" s="33">
        <f>IF(B64&lt;&gt;0,0.1*E64/B64,0)</f>
        <v>0.88828097889566882</v>
      </c>
      <c r="L64" s="17">
        <f>Adjust!B241*Input!$B205*10</f>
        <v>10814.674461337421</v>
      </c>
      <c r="M64" s="17">
        <f>Adjust!C241*Input!$C205*10</f>
        <v>76.283124368914173</v>
      </c>
      <c r="N64" s="17">
        <f>Adjust!D241*Input!$D205*10</f>
        <v>0</v>
      </c>
      <c r="O64" s="35">
        <f>IF(E64&lt;&gt;0,$L64/E64,"")</f>
        <v>0.99299573763201199</v>
      </c>
      <c r="P64" s="35">
        <f>IF(E64&lt;&gt;0,$M64/E64,"")</f>
        <v>7.0042623679878006E-3</v>
      </c>
      <c r="Q64" s="35">
        <f>IF(E64&lt;&gt;0,$N64/E64,"")</f>
        <v>0</v>
      </c>
      <c r="R64" s="35">
        <f>IF(D64&lt;&gt;0,$F64/D64,"")</f>
        <v>2.9240649363183588E-2</v>
      </c>
      <c r="S64" s="35">
        <f>IF(D64&lt;&gt;0,$G64/D64,"")</f>
        <v>0</v>
      </c>
      <c r="T64" s="35">
        <f>IF(D64&lt;&gt;0,$H64/D64,"")</f>
        <v>0</v>
      </c>
      <c r="U64" s="10"/>
    </row>
    <row r="65" spans="1:21" x14ac:dyDescent="0.25">
      <c r="A65" s="24" t="s">
        <v>243</v>
      </c>
      <c r="U65" s="10"/>
    </row>
    <row r="66" spans="1:21" x14ac:dyDescent="0.25">
      <c r="A66" s="3" t="s">
        <v>212</v>
      </c>
      <c r="B66" s="17">
        <f>Input!B207+Input!C207+Input!D207</f>
        <v>4232.4037128975033</v>
      </c>
      <c r="C66" s="39">
        <f>Input!E207</f>
        <v>725</v>
      </c>
      <c r="D66" s="17">
        <f>0.01*Input!F$58*(Adjust!$E243*Input!E207+Adjust!$F243*Input!F207)+10*(Adjust!$B243*Input!B207+Adjust!$C243*Input!C207+Adjust!$D243*Input!D207+Adjust!$G243*Input!G207)</f>
        <v>12400.942878789683</v>
      </c>
      <c r="E66" s="17">
        <f>10*(Adjust!$B243*Input!B207+Adjust!$C243*Input!C207+Adjust!$D243*Input!D207)</f>
        <v>12400.942878789683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33">
        <f>IF(B66&lt;&gt;0,0.1*D66/B66,"")</f>
        <v>0.29299999999999998</v>
      </c>
      <c r="J66" s="41">
        <f>IF(C66&lt;&gt;0,D66/C66,"")</f>
        <v>17.104748798330597</v>
      </c>
      <c r="K66" s="33">
        <f>IF(B66&lt;&gt;0,0.1*E66/B66,0)</f>
        <v>0.29299999999999998</v>
      </c>
      <c r="L66" s="17">
        <f>Adjust!B243*Input!$B207*10</f>
        <v>12400.942878789683</v>
      </c>
      <c r="M66" s="17">
        <f>Adjust!C243*Input!$C207*10</f>
        <v>0</v>
      </c>
      <c r="N66" s="17">
        <f>Adjust!D243*Input!$D207*10</f>
        <v>0</v>
      </c>
      <c r="O66" s="35">
        <f>IF(E66&lt;&gt;0,$L66/E66,"")</f>
        <v>1</v>
      </c>
      <c r="P66" s="35">
        <f>IF(E66&lt;&gt;0,$M66/E66,"")</f>
        <v>0</v>
      </c>
      <c r="Q66" s="35">
        <f>IF(E66&lt;&gt;0,$N66/E66,"")</f>
        <v>0</v>
      </c>
      <c r="R66" s="35">
        <f>IF(D66&lt;&gt;0,$F66/D66,"")</f>
        <v>0</v>
      </c>
      <c r="S66" s="35">
        <f>IF(D66&lt;&gt;0,$G66/D66,"")</f>
        <v>0</v>
      </c>
      <c r="T66" s="35">
        <f>IF(D66&lt;&gt;0,$H66/D66,"")</f>
        <v>0</v>
      </c>
      <c r="U66" s="10"/>
    </row>
    <row r="67" spans="1:21" ht="30" x14ac:dyDescent="0.25">
      <c r="A67" s="3" t="s">
        <v>244</v>
      </c>
      <c r="B67" s="17">
        <f>Input!B208+Input!C208+Input!D208</f>
        <v>0</v>
      </c>
      <c r="C67" s="39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33" t="str">
        <f>IF(B67&lt;&gt;0,0.1*D67/B67,"")</f>
        <v/>
      </c>
      <c r="J67" s="41" t="str">
        <f>IF(C67&lt;&gt;0,D67/C67,"")</f>
        <v/>
      </c>
      <c r="K67" s="33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35" t="str">
        <f>IF(E67&lt;&gt;0,$L67/E67,"")</f>
        <v/>
      </c>
      <c r="P67" s="35" t="str">
        <f>IF(E67&lt;&gt;0,$M67/E67,"")</f>
        <v/>
      </c>
      <c r="Q67" s="35" t="str">
        <f>IF(E67&lt;&gt;0,$N67/E67,"")</f>
        <v/>
      </c>
      <c r="R67" s="35" t="str">
        <f>IF(D67&lt;&gt;0,$F67/D67,"")</f>
        <v/>
      </c>
      <c r="S67" s="35" t="str">
        <f>IF(D67&lt;&gt;0,$G67/D67,"")</f>
        <v/>
      </c>
      <c r="T67" s="35" t="str">
        <f>IF(D67&lt;&gt;0,$H67/D67,"")</f>
        <v/>
      </c>
      <c r="U67" s="10"/>
    </row>
    <row r="68" spans="1:21" ht="30" x14ac:dyDescent="0.25">
      <c r="A68" s="3" t="s">
        <v>245</v>
      </c>
      <c r="B68" s="17">
        <f>Input!B209+Input!C209+Input!D209</f>
        <v>0</v>
      </c>
      <c r="C68" s="39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33" t="str">
        <f>IF(B68&lt;&gt;0,0.1*D68/B68,"")</f>
        <v/>
      </c>
      <c r="J68" s="41" t="str">
        <f>IF(C68&lt;&gt;0,D68/C68,"")</f>
        <v/>
      </c>
      <c r="K68" s="33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35" t="str">
        <f>IF(E68&lt;&gt;0,$L68/E68,"")</f>
        <v/>
      </c>
      <c r="P68" s="35" t="str">
        <f>IF(E68&lt;&gt;0,$M68/E68,"")</f>
        <v/>
      </c>
      <c r="Q68" s="35" t="str">
        <f>IF(E68&lt;&gt;0,$N68/E68,"")</f>
        <v/>
      </c>
      <c r="R68" s="35" t="str">
        <f>IF(D68&lt;&gt;0,$F68/D68,"")</f>
        <v/>
      </c>
      <c r="S68" s="35" t="str">
        <f>IF(D68&lt;&gt;0,$G68/D68,"")</f>
        <v/>
      </c>
      <c r="T68" s="35" t="str">
        <f>IF(D68&lt;&gt;0,$H68/D68,"")</f>
        <v/>
      </c>
      <c r="U68" s="10"/>
    </row>
    <row r="69" spans="1:21" x14ac:dyDescent="0.25">
      <c r="A69" s="24" t="s">
        <v>246</v>
      </c>
      <c r="U69" s="10"/>
    </row>
    <row r="70" spans="1:21" x14ac:dyDescent="0.25">
      <c r="A70" s="3" t="s">
        <v>175</v>
      </c>
      <c r="B70" s="17">
        <f>Input!B211+Input!C211+Input!D211</f>
        <v>0</v>
      </c>
      <c r="C70" s="39">
        <f>Input!E211</f>
        <v>0</v>
      </c>
      <c r="D70" s="17">
        <f>0.01*Input!F$58*(Adjust!$E247*Input!E211+Adjust!$F247*Input!F211)+10*(Adjust!$B247*Input!B211+Adjust!$C247*Input!C211+Adjust!$D247*Input!D211+Adjust!$G247*Input!G211)</f>
        <v>0</v>
      </c>
      <c r="E70" s="17">
        <f>10*(Adjust!$B247*Input!B211+Adjust!$C247*Input!C211+Adjust!$D247*Input!D211)</f>
        <v>0</v>
      </c>
      <c r="F70" s="17">
        <f>Adjust!E247*Input!$F$58*Input!$E211/100</f>
        <v>0</v>
      </c>
      <c r="G70" s="17">
        <f>Adjust!F247*Input!$F$58*Input!$F211/100</f>
        <v>0</v>
      </c>
      <c r="H70" s="17">
        <f>Adjust!G247*Input!$G211*10</f>
        <v>0</v>
      </c>
      <c r="I70" s="33" t="str">
        <f>IF(B70&lt;&gt;0,0.1*D70/B70,"")</f>
        <v/>
      </c>
      <c r="J70" s="41" t="str">
        <f>IF(C70&lt;&gt;0,D70/C70,"")</f>
        <v/>
      </c>
      <c r="K70" s="33">
        <f>IF(B70&lt;&gt;0,0.1*E70/B70,0)</f>
        <v>0</v>
      </c>
      <c r="L70" s="17">
        <f>Adjust!B247*Input!$B211*10</f>
        <v>0</v>
      </c>
      <c r="M70" s="17">
        <f>Adjust!C247*Input!$C211*10</f>
        <v>0</v>
      </c>
      <c r="N70" s="17">
        <f>Adjust!D247*Input!$D211*10</f>
        <v>0</v>
      </c>
      <c r="O70" s="35" t="str">
        <f>IF(E70&lt;&gt;0,$L70/E70,"")</f>
        <v/>
      </c>
      <c r="P70" s="35" t="str">
        <f>IF(E70&lt;&gt;0,$M70/E70,"")</f>
        <v/>
      </c>
      <c r="Q70" s="35" t="str">
        <f>IF(E70&lt;&gt;0,$N70/E70,"")</f>
        <v/>
      </c>
      <c r="R70" s="35" t="str">
        <f>IF(D70&lt;&gt;0,$F70/D70,"")</f>
        <v/>
      </c>
      <c r="S70" s="35" t="str">
        <f>IF(D70&lt;&gt;0,$G70/D70,"")</f>
        <v/>
      </c>
      <c r="T70" s="35" t="str">
        <f>IF(D70&lt;&gt;0,$H70/D70,"")</f>
        <v/>
      </c>
      <c r="U70" s="10"/>
    </row>
    <row r="71" spans="1:21" x14ac:dyDescent="0.25">
      <c r="A71" s="3" t="s">
        <v>247</v>
      </c>
      <c r="B71" s="17">
        <f>Input!B212+Input!C212+Input!D212</f>
        <v>0</v>
      </c>
      <c r="C71" s="39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33" t="str">
        <f>IF(B71&lt;&gt;0,0.1*D71/B71,"")</f>
        <v/>
      </c>
      <c r="J71" s="41" t="str">
        <f>IF(C71&lt;&gt;0,D71/C71,"")</f>
        <v/>
      </c>
      <c r="K71" s="33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35" t="str">
        <f>IF(E71&lt;&gt;0,$L71/E71,"")</f>
        <v/>
      </c>
      <c r="P71" s="35" t="str">
        <f>IF(E71&lt;&gt;0,$M71/E71,"")</f>
        <v/>
      </c>
      <c r="Q71" s="35" t="str">
        <f>IF(E71&lt;&gt;0,$N71/E71,"")</f>
        <v/>
      </c>
      <c r="R71" s="35" t="str">
        <f>IF(D71&lt;&gt;0,$F71/D71,"")</f>
        <v/>
      </c>
      <c r="S71" s="35" t="str">
        <f>IF(D71&lt;&gt;0,$G71/D71,"")</f>
        <v/>
      </c>
      <c r="T71" s="35" t="str">
        <f>IF(D71&lt;&gt;0,$H71/D71,"")</f>
        <v/>
      </c>
      <c r="U71" s="10"/>
    </row>
    <row r="72" spans="1:21" x14ac:dyDescent="0.25">
      <c r="A72" s="3" t="s">
        <v>248</v>
      </c>
      <c r="B72" s="17">
        <f>Input!B213+Input!C213+Input!D213</f>
        <v>0</v>
      </c>
      <c r="C72" s="39">
        <f>Input!E213</f>
        <v>0</v>
      </c>
      <c r="D72" s="17">
        <f>0.01*Input!F$58*(Adjust!$E249*Input!E213+Adjust!$F249*Input!F213)+10*(Adjust!$B249*Input!B213+Adjust!$C249*Input!C213+Adjust!$D249*Input!D213+Adjust!$G249*Input!G213)</f>
        <v>0</v>
      </c>
      <c r="E72" s="17">
        <f>10*(Adjust!$B249*Input!B213+Adjust!$C249*Input!C213+Adjust!$D249*Input!D213)</f>
        <v>0</v>
      </c>
      <c r="F72" s="17">
        <f>Adjust!E249*Input!$F$58*Input!$E213/100</f>
        <v>0</v>
      </c>
      <c r="G72" s="17">
        <f>Adjust!F249*Input!$F$58*Input!$F213/100</f>
        <v>0</v>
      </c>
      <c r="H72" s="17">
        <f>Adjust!G249*Input!$G213*10</f>
        <v>0</v>
      </c>
      <c r="I72" s="33" t="str">
        <f>IF(B72&lt;&gt;0,0.1*D72/B72,"")</f>
        <v/>
      </c>
      <c r="J72" s="41" t="str">
        <f>IF(C72&lt;&gt;0,D72/C72,"")</f>
        <v/>
      </c>
      <c r="K72" s="33">
        <f>IF(B72&lt;&gt;0,0.1*E72/B72,0)</f>
        <v>0</v>
      </c>
      <c r="L72" s="17">
        <f>Adjust!B249*Input!$B213*10</f>
        <v>0</v>
      </c>
      <c r="M72" s="17">
        <f>Adjust!C249*Input!$C213*10</f>
        <v>0</v>
      </c>
      <c r="N72" s="17">
        <f>Adjust!D249*Input!$D213*10</f>
        <v>0</v>
      </c>
      <c r="O72" s="35" t="str">
        <f>IF(E72&lt;&gt;0,$L72/E72,"")</f>
        <v/>
      </c>
      <c r="P72" s="35" t="str">
        <f>IF(E72&lt;&gt;0,$M72/E72,"")</f>
        <v/>
      </c>
      <c r="Q72" s="35" t="str">
        <f>IF(E72&lt;&gt;0,$N72/E72,"")</f>
        <v/>
      </c>
      <c r="R72" s="35" t="str">
        <f>IF(D72&lt;&gt;0,$F72/D72,"")</f>
        <v/>
      </c>
      <c r="S72" s="35" t="str">
        <f>IF(D72&lt;&gt;0,$G72/D72,"")</f>
        <v/>
      </c>
      <c r="T72" s="35" t="str">
        <f>IF(D72&lt;&gt;0,$H72/D72,"")</f>
        <v/>
      </c>
      <c r="U72" s="10"/>
    </row>
    <row r="73" spans="1:21" x14ac:dyDescent="0.25">
      <c r="A73" s="24" t="s">
        <v>249</v>
      </c>
      <c r="U73" s="10"/>
    </row>
    <row r="74" spans="1:21" x14ac:dyDescent="0.25">
      <c r="A74" s="3" t="s">
        <v>176</v>
      </c>
      <c r="B74" s="17">
        <f>Input!B215+Input!C215+Input!D215</f>
        <v>0</v>
      </c>
      <c r="C74" s="39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33" t="str">
        <f>IF(B74&lt;&gt;0,0.1*D74/B74,"")</f>
        <v/>
      </c>
      <c r="J74" s="41" t="str">
        <f>IF(C74&lt;&gt;0,D74/C74,"")</f>
        <v/>
      </c>
      <c r="K74" s="33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35" t="str">
        <f>IF(E74&lt;&gt;0,$L74/E74,"")</f>
        <v/>
      </c>
      <c r="P74" s="35" t="str">
        <f>IF(E74&lt;&gt;0,$M74/E74,"")</f>
        <v/>
      </c>
      <c r="Q74" s="35" t="str">
        <f>IF(E74&lt;&gt;0,$N74/E74,"")</f>
        <v/>
      </c>
      <c r="R74" s="35" t="str">
        <f>IF(D74&lt;&gt;0,$F74/D74,"")</f>
        <v/>
      </c>
      <c r="S74" s="35" t="str">
        <f>IF(D74&lt;&gt;0,$G74/D74,"")</f>
        <v/>
      </c>
      <c r="T74" s="35" t="str">
        <f>IF(D74&lt;&gt;0,$H74/D74,"")</f>
        <v/>
      </c>
      <c r="U74" s="10"/>
    </row>
    <row r="75" spans="1:21" x14ac:dyDescent="0.25">
      <c r="A75" s="24" t="s">
        <v>250</v>
      </c>
      <c r="U75" s="10"/>
    </row>
    <row r="76" spans="1:21" x14ac:dyDescent="0.25">
      <c r="A76" s="3" t="s">
        <v>192</v>
      </c>
      <c r="B76" s="17">
        <f>Input!B217+Input!C217+Input!D217</f>
        <v>0</v>
      </c>
      <c r="C76" s="39">
        <f>Input!E217</f>
        <v>0</v>
      </c>
      <c r="D76" s="17">
        <f>0.01*Input!F$58*(Adjust!$E253*Input!E217+Adjust!$F253*Input!F217)+10*(Adjust!$B253*Input!B217+Adjust!$C253*Input!C217+Adjust!$D253*Input!D217+Adjust!$G253*Input!G217)</f>
        <v>0</v>
      </c>
      <c r="E76" s="17">
        <f>10*(Adjust!$B253*Input!B217+Adjust!$C253*Input!C217+Adjust!$D253*Input!D217)</f>
        <v>0</v>
      </c>
      <c r="F76" s="17">
        <f>Adjust!E253*Input!$F$58*Input!$E217/100</f>
        <v>0</v>
      </c>
      <c r="G76" s="17">
        <f>Adjust!F253*Input!$F$58*Input!$F217/100</f>
        <v>0</v>
      </c>
      <c r="H76" s="17">
        <f>Adjust!G253*Input!$G217*10</f>
        <v>0</v>
      </c>
      <c r="I76" s="33" t="str">
        <f>IF(B76&lt;&gt;0,0.1*D76/B76,"")</f>
        <v/>
      </c>
      <c r="J76" s="41" t="str">
        <f>IF(C76&lt;&gt;0,D76/C76,"")</f>
        <v/>
      </c>
      <c r="K76" s="33">
        <f>IF(B76&lt;&gt;0,0.1*E76/B76,0)</f>
        <v>0</v>
      </c>
      <c r="L76" s="17">
        <f>Adjust!B253*Input!$B217*10</f>
        <v>0</v>
      </c>
      <c r="M76" s="17">
        <f>Adjust!C253*Input!$C217*10</f>
        <v>0</v>
      </c>
      <c r="N76" s="17">
        <f>Adjust!D253*Input!$D217*10</f>
        <v>0</v>
      </c>
      <c r="O76" s="35" t="str">
        <f>IF(E76&lt;&gt;0,$L76/E76,"")</f>
        <v/>
      </c>
      <c r="P76" s="35" t="str">
        <f>IF(E76&lt;&gt;0,$M76/E76,"")</f>
        <v/>
      </c>
      <c r="Q76" s="35" t="str">
        <f>IF(E76&lt;&gt;0,$N76/E76,"")</f>
        <v/>
      </c>
      <c r="R76" s="35" t="str">
        <f>IF(D76&lt;&gt;0,$F76/D76,"")</f>
        <v/>
      </c>
      <c r="S76" s="35" t="str">
        <f>IF(D76&lt;&gt;0,$G76/D76,"")</f>
        <v/>
      </c>
      <c r="T76" s="35" t="str">
        <f>IF(D76&lt;&gt;0,$H76/D76,"")</f>
        <v/>
      </c>
      <c r="U76" s="10"/>
    </row>
    <row r="77" spans="1:21" x14ac:dyDescent="0.25">
      <c r="A77" s="24" t="s">
        <v>251</v>
      </c>
      <c r="U77" s="10"/>
    </row>
    <row r="78" spans="1:21" x14ac:dyDescent="0.25">
      <c r="A78" s="3" t="s">
        <v>177</v>
      </c>
      <c r="B78" s="17">
        <f>Input!B219+Input!C219+Input!D219</f>
        <v>0</v>
      </c>
      <c r="C78" s="39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33" t="str">
        <f>IF(B78&lt;&gt;0,0.1*D78/B78,"")</f>
        <v/>
      </c>
      <c r="J78" s="41" t="str">
        <f>IF(C78&lt;&gt;0,D78/C78,"")</f>
        <v/>
      </c>
      <c r="K78" s="33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35" t="str">
        <f>IF(E78&lt;&gt;0,$L78/E78,"")</f>
        <v/>
      </c>
      <c r="P78" s="35" t="str">
        <f>IF(E78&lt;&gt;0,$M78/E78,"")</f>
        <v/>
      </c>
      <c r="Q78" s="35" t="str">
        <f>IF(E78&lt;&gt;0,$N78/E78,"")</f>
        <v/>
      </c>
      <c r="R78" s="35" t="str">
        <f>IF(D78&lt;&gt;0,$F78/D78,"")</f>
        <v/>
      </c>
      <c r="S78" s="35" t="str">
        <f>IF(D78&lt;&gt;0,$G78/D78,"")</f>
        <v/>
      </c>
      <c r="T78" s="35" t="str">
        <f>IF(D78&lt;&gt;0,$H78/D78,"")</f>
        <v/>
      </c>
      <c r="U78" s="10"/>
    </row>
    <row r="79" spans="1:21" x14ac:dyDescent="0.25">
      <c r="A79" s="3" t="s">
        <v>252</v>
      </c>
      <c r="B79" s="17">
        <f>Input!B220+Input!C220+Input!D220</f>
        <v>0</v>
      </c>
      <c r="C79" s="39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33" t="str">
        <f>IF(B79&lt;&gt;0,0.1*D79/B79,"")</f>
        <v/>
      </c>
      <c r="J79" s="41" t="str">
        <f>IF(C79&lt;&gt;0,D79/C79,"")</f>
        <v/>
      </c>
      <c r="K79" s="33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35" t="str">
        <f>IF(E79&lt;&gt;0,$L79/E79,"")</f>
        <v/>
      </c>
      <c r="P79" s="35" t="str">
        <f>IF(E79&lt;&gt;0,$M79/E79,"")</f>
        <v/>
      </c>
      <c r="Q79" s="35" t="str">
        <f>IF(E79&lt;&gt;0,$N79/E79,"")</f>
        <v/>
      </c>
      <c r="R79" s="35" t="str">
        <f>IF(D79&lt;&gt;0,$F79/D79,"")</f>
        <v/>
      </c>
      <c r="S79" s="35" t="str">
        <f>IF(D79&lt;&gt;0,$G79/D79,"")</f>
        <v/>
      </c>
      <c r="T79" s="35" t="str">
        <f>IF(D79&lt;&gt;0,$H79/D79,"")</f>
        <v/>
      </c>
      <c r="U79" s="10"/>
    </row>
    <row r="80" spans="1:21" x14ac:dyDescent="0.25">
      <c r="A80" s="3" t="s">
        <v>253</v>
      </c>
      <c r="B80" s="17">
        <f>Input!B221+Input!C221+Input!D221</f>
        <v>0</v>
      </c>
      <c r="C80" s="39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33" t="str">
        <f>IF(B80&lt;&gt;0,0.1*D80/B80,"")</f>
        <v/>
      </c>
      <c r="J80" s="41" t="str">
        <f>IF(C80&lt;&gt;0,D80/C80,"")</f>
        <v/>
      </c>
      <c r="K80" s="33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35" t="str">
        <f>IF(E80&lt;&gt;0,$L80/E80,"")</f>
        <v/>
      </c>
      <c r="P80" s="35" t="str">
        <f>IF(E80&lt;&gt;0,$M80/E80,"")</f>
        <v/>
      </c>
      <c r="Q80" s="35" t="str">
        <f>IF(E80&lt;&gt;0,$N80/E80,"")</f>
        <v/>
      </c>
      <c r="R80" s="35" t="str">
        <f>IF(D80&lt;&gt;0,$F80/D80,"")</f>
        <v/>
      </c>
      <c r="S80" s="35" t="str">
        <f>IF(D80&lt;&gt;0,$G80/D80,"")</f>
        <v/>
      </c>
      <c r="T80" s="35" t="str">
        <f>IF(D80&lt;&gt;0,$H80/D80,"")</f>
        <v/>
      </c>
      <c r="U80" s="10"/>
    </row>
    <row r="81" spans="1:21" x14ac:dyDescent="0.25">
      <c r="A81" s="24" t="s">
        <v>254</v>
      </c>
      <c r="U81" s="10"/>
    </row>
    <row r="82" spans="1:21" x14ac:dyDescent="0.25">
      <c r="A82" s="3" t="s">
        <v>178</v>
      </c>
      <c r="B82" s="17">
        <f>Input!B223+Input!C223+Input!D223</f>
        <v>153849.80074539123</v>
      </c>
      <c r="C82" s="39">
        <f>Input!E223</f>
        <v>2537.8966696577436</v>
      </c>
      <c r="D82" s="17">
        <f>0.01*Input!F$58*(Adjust!$E259*Input!E223+Adjust!$F259*Input!F223)+10*(Adjust!$B259*Input!B223+Adjust!$C259*Input!C223+Adjust!$D259*Input!D223+Adjust!$G259*Input!G223)</f>
        <v>2682576.2728501982</v>
      </c>
      <c r="E82" s="17">
        <f>10*(Adjust!$B259*Input!B223+Adjust!$C259*Input!C223+Adjust!$D259*Input!D223)</f>
        <v>2633665.9282325543</v>
      </c>
      <c r="F82" s="17">
        <f>Adjust!E259*Input!$F$58*Input!$E223/100</f>
        <v>48910.344617644034</v>
      </c>
      <c r="G82" s="17">
        <f>Adjust!F259*Input!$F$58*Input!$F223/100</f>
        <v>0</v>
      </c>
      <c r="H82" s="17">
        <f>Adjust!G259*Input!$G223*10</f>
        <v>0</v>
      </c>
      <c r="I82" s="33">
        <f>IF(B82&lt;&gt;0,0.1*D82/B82,"")</f>
        <v>1.7436332447967493</v>
      </c>
      <c r="J82" s="41">
        <f>IF(C82&lt;&gt;0,D82/C82,"")</f>
        <v>1057.0076807784164</v>
      </c>
      <c r="K82" s="33">
        <f>IF(B82&lt;&gt;0,0.1*E82/B82,0)</f>
        <v>1.7118422743953079</v>
      </c>
      <c r="L82" s="17">
        <f>Adjust!B259*Input!$B223*10</f>
        <v>2197517.1606545984</v>
      </c>
      <c r="M82" s="17">
        <f>Adjust!C259*Input!$C223*10</f>
        <v>391789.88493036409</v>
      </c>
      <c r="N82" s="17">
        <f>Adjust!D259*Input!$D223*10</f>
        <v>44358.88264759224</v>
      </c>
      <c r="O82" s="35">
        <f>IF(E82&lt;&gt;0,$L82/E82,"")</f>
        <v>0.83439480197450322</v>
      </c>
      <c r="P82" s="35">
        <f>IF(E82&lt;&gt;0,$M82/E82,"")</f>
        <v>0.1487621800207945</v>
      </c>
      <c r="Q82" s="35">
        <f>IF(E82&lt;&gt;0,$N82/E82,"")</f>
        <v>1.6843018004702427E-2</v>
      </c>
      <c r="R82" s="35">
        <f>IF(D82&lt;&gt;0,$F82/D82,"")</f>
        <v>1.8232601664547456E-2</v>
      </c>
      <c r="S82" s="35">
        <f>IF(D82&lt;&gt;0,$G82/D82,"")</f>
        <v>0</v>
      </c>
      <c r="T82" s="35">
        <f>IF(D82&lt;&gt;0,$H82/D82,"")</f>
        <v>0</v>
      </c>
      <c r="U82" s="10"/>
    </row>
    <row r="83" spans="1:21" x14ac:dyDescent="0.25">
      <c r="A83" s="3" t="s">
        <v>255</v>
      </c>
      <c r="B83" s="17">
        <f>Input!B224+Input!C224+Input!D224</f>
        <v>173.88453917080025</v>
      </c>
      <c r="C83" s="39">
        <f>Input!E224</f>
        <v>4.4920778614375108</v>
      </c>
      <c r="D83" s="17">
        <f>0.01*Input!F$58*(Adjust!$E260*Input!E224+Adjust!$F260*Input!F224)+10*(Adjust!$B260*Input!B224+Adjust!$C260*Input!C224+Adjust!$D260*Input!D224+Adjust!$G260*Input!G224)</f>
        <v>2016.888114299036</v>
      </c>
      <c r="E83" s="17">
        <f>10*(Adjust!$B260*Input!B224+Adjust!$C260*Input!C224+Adjust!$D260*Input!D224)</f>
        <v>1956.3865636222649</v>
      </c>
      <c r="F83" s="17">
        <f>Adjust!E260*Input!$F$58*Input!$E224/100</f>
        <v>60.50155067677111</v>
      </c>
      <c r="G83" s="17">
        <f>Adjust!F260*Input!$F$58*Input!$F224/100</f>
        <v>0</v>
      </c>
      <c r="H83" s="17">
        <f>Adjust!G260*Input!$G224*10</f>
        <v>0</v>
      </c>
      <c r="I83" s="33">
        <f>IF(B83&lt;&gt;0,0.1*D83/B83,"")</f>
        <v>1.1599007731894568</v>
      </c>
      <c r="J83" s="41">
        <f>IF(C83&lt;&gt;0,D83/C83,"")</f>
        <v>448.98779061982049</v>
      </c>
      <c r="K83" s="33">
        <f>IF(B83&lt;&gt;0,0.1*E83/B83,0)</f>
        <v>1.1251066788063198</v>
      </c>
      <c r="L83" s="17">
        <f>Adjust!B260*Input!$B224*10</f>
        <v>1628.401050349604</v>
      </c>
      <c r="M83" s="17">
        <f>Adjust!C260*Input!$C224*10</f>
        <v>290.2092679439873</v>
      </c>
      <c r="N83" s="17">
        <f>Adjust!D260*Input!$D224*10</f>
        <v>37.776245328673866</v>
      </c>
      <c r="O83" s="35">
        <f>IF(E83&lt;&gt;0,$L83/E83,"")</f>
        <v>0.83235137708909979</v>
      </c>
      <c r="P83" s="35">
        <f>IF(E83&lt;&gt;0,$M83/E83,"")</f>
        <v>0.14833943012093814</v>
      </c>
      <c r="Q83" s="35">
        <f>IF(E83&lt;&gt;0,$N83/E83,"")</f>
        <v>1.9309192789962151E-2</v>
      </c>
      <c r="R83" s="35">
        <f>IF(D83&lt;&gt;0,$F83/D83,"")</f>
        <v>2.9997474945603644E-2</v>
      </c>
      <c r="S83" s="35">
        <f>IF(D83&lt;&gt;0,$G83/D83,"")</f>
        <v>0</v>
      </c>
      <c r="T83" s="35">
        <f>IF(D83&lt;&gt;0,$H83/D83,"")</f>
        <v>0</v>
      </c>
      <c r="U83" s="10"/>
    </row>
    <row r="84" spans="1:21" x14ac:dyDescent="0.25">
      <c r="A84" s="3" t="s">
        <v>256</v>
      </c>
      <c r="B84" s="17">
        <f>Input!B225+Input!C225+Input!D225</f>
        <v>1426.2025067377458</v>
      </c>
      <c r="C84" s="39">
        <f>Input!E225</f>
        <v>21.078211503668321</v>
      </c>
      <c r="D84" s="17">
        <f>0.01*Input!F$58*(Adjust!$E261*Input!E225+Adjust!$F261*Input!F225)+10*(Adjust!$B261*Input!B225+Adjust!$C261*Input!C225+Adjust!$D261*Input!D225+Adjust!$G261*Input!G225)</f>
        <v>12935.521393149545</v>
      </c>
      <c r="E84" s="17">
        <f>10*(Adjust!$B261*Input!B225+Adjust!$C261*Input!C225+Adjust!$D261*Input!D225)</f>
        <v>12727.795618780894</v>
      </c>
      <c r="F84" s="17">
        <f>Adjust!E261*Input!$F$58*Input!$E225/100</f>
        <v>207.72577436865132</v>
      </c>
      <c r="G84" s="17">
        <f>Adjust!F261*Input!$F$58*Input!$F225/100</f>
        <v>0</v>
      </c>
      <c r="H84" s="17">
        <f>Adjust!G261*Input!$G225*10</f>
        <v>0</v>
      </c>
      <c r="I84" s="33">
        <f>IF(B84&lt;&gt;0,0.1*D84/B84,"")</f>
        <v>0.9069905102563508</v>
      </c>
      <c r="J84" s="41">
        <f>IF(C84&lt;&gt;0,D84/C84,"")</f>
        <v>613.69160238753307</v>
      </c>
      <c r="K84" s="33">
        <f>IF(B84&lt;&gt;0,0.1*E84/B84,0)</f>
        <v>0.89242555378016297</v>
      </c>
      <c r="L84" s="17">
        <f>Adjust!B261*Input!$B225*10</f>
        <v>10626.576087818741</v>
      </c>
      <c r="M84" s="17">
        <f>Adjust!C261*Input!$C225*10</f>
        <v>1896.7414374384305</v>
      </c>
      <c r="N84" s="17">
        <f>Adjust!D261*Input!$D225*10</f>
        <v>204.478093523723</v>
      </c>
      <c r="O84" s="35">
        <f>IF(E84&lt;&gt;0,$L84/E84,"")</f>
        <v>0.83491096228308115</v>
      </c>
      <c r="P84" s="35">
        <f>IF(E84&lt;&gt;0,$M84/E84,"")</f>
        <v>0.14902356183655516</v>
      </c>
      <c r="Q84" s="35">
        <f>IF(E84&lt;&gt;0,$N84/E84,"")</f>
        <v>1.6065475880363684E-2</v>
      </c>
      <c r="R84" s="35">
        <f>IF(D84&lt;&gt;0,$F84/D84,"")</f>
        <v>1.6058554429716279E-2</v>
      </c>
      <c r="S84" s="35">
        <f>IF(D84&lt;&gt;0,$G84/D84,"")</f>
        <v>0</v>
      </c>
      <c r="T84" s="35">
        <f>IF(D84&lt;&gt;0,$H84/D84,"")</f>
        <v>0</v>
      </c>
      <c r="U84" s="10"/>
    </row>
    <row r="85" spans="1:21" x14ac:dyDescent="0.25">
      <c r="A85" s="24" t="s">
        <v>257</v>
      </c>
      <c r="U85" s="10"/>
    </row>
    <row r="86" spans="1:21" x14ac:dyDescent="0.25">
      <c r="A86" s="3" t="s">
        <v>179</v>
      </c>
      <c r="B86" s="17">
        <f>Input!B227+Input!C227+Input!D227</f>
        <v>3599989.4437514022</v>
      </c>
      <c r="C86" s="39">
        <f>Input!E227</f>
        <v>14377.710046664228</v>
      </c>
      <c r="D86" s="17">
        <f>0.01*Input!F$58*(Adjust!$E263*Input!E227+Adjust!$F263*Input!F227)+10*(Adjust!$B263*Input!B227+Adjust!$C263*Input!C227+Adjust!$D263*Input!D227+Adjust!$G263*Input!G227)</f>
        <v>72129086.186302647</v>
      </c>
      <c r="E86" s="17">
        <f>10*(Adjust!$B263*Input!B227+Adjust!$C263*Input!C227+Adjust!$D263*Input!D227)</f>
        <v>51869410.892396353</v>
      </c>
      <c r="F86" s="17">
        <f>Adjust!E263*Input!$F$58*Input!$E227/100</f>
        <v>418254.77411248564</v>
      </c>
      <c r="G86" s="17">
        <f>Adjust!F263*Input!$F$58*Input!$F227/100</f>
        <v>18542103.751605958</v>
      </c>
      <c r="H86" s="17">
        <f>Adjust!G263*Input!$G227*10</f>
        <v>1299316.7681878437</v>
      </c>
      <c r="I86" s="33">
        <f>IF(B86&lt;&gt;0,0.1*D86/B86,"")</f>
        <v>2.0035916025114751</v>
      </c>
      <c r="J86" s="41">
        <f>IF(C86&lt;&gt;0,D86/C86,"")</f>
        <v>5016.7297818776997</v>
      </c>
      <c r="K86" s="33">
        <f>IF(B86&lt;&gt;0,0.1*E86/B86,0)</f>
        <v>1.4408211941406517</v>
      </c>
      <c r="L86" s="17">
        <f>Adjust!B263*Input!$B227*10</f>
        <v>44094899.840149224</v>
      </c>
      <c r="M86" s="17">
        <f>Adjust!C263*Input!$C227*10</f>
        <v>6969481.0606008712</v>
      </c>
      <c r="N86" s="17">
        <f>Adjust!D263*Input!$D227*10</f>
        <v>805029.99164625769</v>
      </c>
      <c r="O86" s="35">
        <f>IF(E86&lt;&gt;0,$L86/E86,"")</f>
        <v>0.85011375840810233</v>
      </c>
      <c r="P86" s="35">
        <f>IF(E86&lt;&gt;0,$M86/E86,"")</f>
        <v>0.13436591896251018</v>
      </c>
      <c r="Q86" s="35">
        <f>IF(E86&lt;&gt;0,$N86/E86,"")</f>
        <v>1.5520322629387502E-2</v>
      </c>
      <c r="R86" s="35">
        <f>IF(D86&lt;&gt;0,$F86/D86,"")</f>
        <v>5.7986978100924898E-3</v>
      </c>
      <c r="S86" s="35">
        <f>IF(D86&lt;&gt;0,$G86/D86,"")</f>
        <v>0.25706833029484732</v>
      </c>
      <c r="T86" s="35">
        <f>IF(D86&lt;&gt;0,$H86/D86,"")</f>
        <v>1.8013769990539334E-2</v>
      </c>
      <c r="U86" s="10"/>
    </row>
    <row r="87" spans="1:21" x14ac:dyDescent="0.25">
      <c r="A87" s="3" t="s">
        <v>258</v>
      </c>
      <c r="B87" s="17">
        <f>Input!B228+Input!C228+Input!D228</f>
        <v>6266.3245814279053</v>
      </c>
      <c r="C87" s="39">
        <f>Input!E228</f>
        <v>29.943559482454592</v>
      </c>
      <c r="D87" s="17">
        <f>0.01*Input!F$58*(Adjust!$E264*Input!E228+Adjust!$F264*Input!F228)+10*(Adjust!$B264*Input!B228+Adjust!$C264*Input!C228+Adjust!$D264*Input!D228+Adjust!$G264*Input!G228)</f>
        <v>98849.723797374521</v>
      </c>
      <c r="E87" s="17">
        <f>10*(Adjust!$B264*Input!B228+Adjust!$C264*Input!C228+Adjust!$D264*Input!D228)</f>
        <v>62293.206424657757</v>
      </c>
      <c r="F87" s="17">
        <f>Adjust!E264*Input!$F$58*Input!$E228/100</f>
        <v>608.76753605804311</v>
      </c>
      <c r="G87" s="17">
        <f>Adjust!F264*Input!$F$58*Input!$F228/100</f>
        <v>34573.918872471542</v>
      </c>
      <c r="H87" s="17">
        <f>Adjust!G264*Input!$G228*10</f>
        <v>1373.8309641871797</v>
      </c>
      <c r="I87" s="33">
        <f>IF(B87&lt;&gt;0,0.1*D87/B87,"")</f>
        <v>1.577475320865835</v>
      </c>
      <c r="J87" s="41">
        <f>IF(C87&lt;&gt;0,D87/C87,"")</f>
        <v>3301.2015106385547</v>
      </c>
      <c r="K87" s="33">
        <f>IF(B87&lt;&gt;0,0.1*E87/B87,0)</f>
        <v>0.99409479376925336</v>
      </c>
      <c r="L87" s="17">
        <f>Adjust!B264*Input!$B228*10</f>
        <v>53207.106145776335</v>
      </c>
      <c r="M87" s="17">
        <f>Adjust!C264*Input!$C228*10</f>
        <v>8046.1861048376841</v>
      </c>
      <c r="N87" s="17">
        <f>Adjust!D264*Input!$D228*10</f>
        <v>1039.9141740437392</v>
      </c>
      <c r="O87" s="35">
        <f>IF(E87&lt;&gt;0,$L87/E87,"")</f>
        <v>0.85413978826293269</v>
      </c>
      <c r="P87" s="35">
        <f>IF(E87&lt;&gt;0,$M87/E87,"")</f>
        <v>0.12916635001875151</v>
      </c>
      <c r="Q87" s="35">
        <f>IF(E87&lt;&gt;0,$N87/E87,"")</f>
        <v>1.6693861718315821E-2</v>
      </c>
      <c r="R87" s="35">
        <f>IF(D87&lt;&gt;0,$F87/D87,"")</f>
        <v>6.1585152964707844E-3</v>
      </c>
      <c r="S87" s="35">
        <f>IF(D87&lt;&gt;0,$G87/D87,"")</f>
        <v>0.34976242263804724</v>
      </c>
      <c r="T87" s="35">
        <f>IF(D87&lt;&gt;0,$H87/D87,"")</f>
        <v>1.3898177065252145E-2</v>
      </c>
      <c r="U87" s="10"/>
    </row>
    <row r="88" spans="1:21" x14ac:dyDescent="0.25">
      <c r="A88" s="3" t="s">
        <v>259</v>
      </c>
      <c r="B88" s="17">
        <f>Input!B229+Input!C229+Input!D229</f>
        <v>104628.62077997482</v>
      </c>
      <c r="C88" s="39">
        <f>Input!E229</f>
        <v>224.56266821609549</v>
      </c>
      <c r="D88" s="17">
        <f>0.01*Input!F$58*(Adjust!$E265*Input!E229+Adjust!$F265*Input!F229)+10*(Adjust!$B265*Input!B229+Adjust!$C265*Input!C229+Adjust!$D265*Input!D229+Adjust!$G265*Input!G229)</f>
        <v>1111194.7481413793</v>
      </c>
      <c r="E88" s="17">
        <f>10*(Adjust!$B265*Input!B229+Adjust!$C265*Input!C229+Adjust!$D265*Input!D229)</f>
        <v>767310.59082403441</v>
      </c>
      <c r="F88" s="17">
        <f>Adjust!E265*Input!$F$58*Input!$E229/100</f>
        <v>3344.1872550740941</v>
      </c>
      <c r="G88" s="17">
        <f>Adjust!F265*Input!$F$58*Input!$F229/100</f>
        <v>323734.90313794342</v>
      </c>
      <c r="H88" s="17">
        <f>Adjust!G265*Input!$G229*10</f>
        <v>16805.066924327442</v>
      </c>
      <c r="I88" s="33">
        <f>IF(B88&lt;&gt;0,0.1*D88/B88,"")</f>
        <v>1.0620370792023803</v>
      </c>
      <c r="J88" s="41">
        <f>IF(C88&lt;&gt;0,D88/C88,"")</f>
        <v>4948.2612447055644</v>
      </c>
      <c r="K88" s="33">
        <f>IF(B88&lt;&gt;0,0.1*E88/B88,0)</f>
        <v>0.73336586595901321</v>
      </c>
      <c r="L88" s="17">
        <f>Adjust!B265*Input!$B229*10</f>
        <v>654591.44798408868</v>
      </c>
      <c r="M88" s="17">
        <f>Adjust!C265*Input!$C229*10</f>
        <v>100167.20318583425</v>
      </c>
      <c r="N88" s="17">
        <f>Adjust!D265*Input!$D229*10</f>
        <v>12551.939654111522</v>
      </c>
      <c r="O88" s="35">
        <f>IF(E88&lt;&gt;0,$L88/E88,"")</f>
        <v>0.85309841387840901</v>
      </c>
      <c r="P88" s="35">
        <f>IF(E88&lt;&gt;0,$M88/E88,"")</f>
        <v>0.13054323032119514</v>
      </c>
      <c r="Q88" s="35">
        <f>IF(E88&lt;&gt;0,$N88/E88,"")</f>
        <v>1.6358355800395866E-2</v>
      </c>
      <c r="R88" s="35">
        <f>IF(D88&lt;&gt;0,$F88/D88,"")</f>
        <v>3.009541991327525E-3</v>
      </c>
      <c r="S88" s="35">
        <f>IF(D88&lt;&gt;0,$G88/D88,"")</f>
        <v>0.29133948273192706</v>
      </c>
      <c r="T88" s="35">
        <f>IF(D88&lt;&gt;0,$H88/D88,"")</f>
        <v>1.5123421841613405E-2</v>
      </c>
      <c r="U88" s="10"/>
    </row>
    <row r="89" spans="1:21" x14ac:dyDescent="0.25">
      <c r="A89" s="24" t="s">
        <v>260</v>
      </c>
      <c r="U89" s="10"/>
    </row>
    <row r="90" spans="1:21" x14ac:dyDescent="0.25">
      <c r="A90" s="3" t="s">
        <v>180</v>
      </c>
      <c r="B90" s="17">
        <f>Input!B231+Input!C231+Input!D231</f>
        <v>102561.73532646611</v>
      </c>
      <c r="C90" s="39">
        <f>Input!E231</f>
        <v>151.30238565583156</v>
      </c>
      <c r="D90" s="17">
        <f>0.01*Input!F$58*(Adjust!$E267*Input!E231+Adjust!$F267*Input!F231)+10*(Adjust!$B267*Input!B231+Adjust!$C267*Input!C231+Adjust!$D267*Input!D231+Adjust!$G267*Input!G231)</f>
        <v>2070547.1252374437</v>
      </c>
      <c r="E90" s="17">
        <f>10*(Adjust!$B267*Input!B231+Adjust!$C267*Input!C231+Adjust!$D267*Input!D231)</f>
        <v>1183884.0709246879</v>
      </c>
      <c r="F90" s="17">
        <f>Adjust!E267*Input!$F$58*Input!$E231/100</f>
        <v>3390.8377649328409</v>
      </c>
      <c r="G90" s="17">
        <f>Adjust!F267*Input!$F$58*Input!$F231/100</f>
        <v>845362.44273838832</v>
      </c>
      <c r="H90" s="17">
        <f>Adjust!G267*Input!$G231*10</f>
        <v>37909.773809434708</v>
      </c>
      <c r="I90" s="33">
        <f>IF(B90&lt;&gt;0,0.1*D90/B90,"")</f>
        <v>2.0188300428484833</v>
      </c>
      <c r="J90" s="41">
        <f>IF(C90&lt;&gt;0,D90/C90,"")</f>
        <v>13684.828010229328</v>
      </c>
      <c r="K90" s="33">
        <f>IF(B90&lt;&gt;0,0.1*E90/B90,0)</f>
        <v>1.1543136113641654</v>
      </c>
      <c r="L90" s="17">
        <f>Adjust!B267*Input!$B231*10</f>
        <v>1049823.787126357</v>
      </c>
      <c r="M90" s="17">
        <f>Adjust!C267*Input!$C231*10</f>
        <v>116505.10006560205</v>
      </c>
      <c r="N90" s="17">
        <f>Adjust!D267*Input!$D231*10</f>
        <v>17555.18373272895</v>
      </c>
      <c r="O90" s="35">
        <f>IF(E90&lt;&gt;0,$L90/E90,"")</f>
        <v>0.88676232150532996</v>
      </c>
      <c r="P90" s="35">
        <f>IF(E90&lt;&gt;0,$M90/E90,"")</f>
        <v>9.8409213306336854E-2</v>
      </c>
      <c r="Q90" s="35">
        <f>IF(E90&lt;&gt;0,$N90/E90,"")</f>
        <v>1.482846518833322E-2</v>
      </c>
      <c r="R90" s="35">
        <f>IF(D90&lt;&gt;0,$F90/D90,"")</f>
        <v>1.6376530259092704E-3</v>
      </c>
      <c r="S90" s="35">
        <f>IF(D90&lt;&gt;0,$G90/D90,"")</f>
        <v>0.40827974038091253</v>
      </c>
      <c r="T90" s="35">
        <f>IF(D90&lt;&gt;0,$H90/D90,"")</f>
        <v>1.8309061091805547E-2</v>
      </c>
      <c r="U90" s="10"/>
    </row>
    <row r="91" spans="1:21" x14ac:dyDescent="0.25">
      <c r="A91" s="3" t="s">
        <v>261</v>
      </c>
      <c r="B91" s="17">
        <f>Input!B232+Input!C232+Input!D232</f>
        <v>0</v>
      </c>
      <c r="C91" s="39">
        <f>Input!E232</f>
        <v>0</v>
      </c>
      <c r="D91" s="17">
        <f>0.01*Input!F$58*(Adjust!$E268*Input!E232+Adjust!$F268*Input!F232)+10*(Adjust!$B268*Input!B232+Adjust!$C268*Input!C232+Adjust!$D268*Input!D232+Adjust!$G268*Input!G232)</f>
        <v>0</v>
      </c>
      <c r="E91" s="17">
        <f>10*(Adjust!$B268*Input!B232+Adjust!$C268*Input!C232+Adjust!$D268*Input!D232)</f>
        <v>0</v>
      </c>
      <c r="F91" s="17">
        <f>Adjust!E268*Input!$F$58*Input!$E232/100</f>
        <v>0</v>
      </c>
      <c r="G91" s="17">
        <f>Adjust!F268*Input!$F$58*Input!$F232/100</f>
        <v>0</v>
      </c>
      <c r="H91" s="17">
        <f>Adjust!G268*Input!$G232*10</f>
        <v>0</v>
      </c>
      <c r="I91" s="33" t="str">
        <f>IF(B91&lt;&gt;0,0.1*D91/B91,"")</f>
        <v/>
      </c>
      <c r="J91" s="41" t="str">
        <f>IF(C91&lt;&gt;0,D91/C91,"")</f>
        <v/>
      </c>
      <c r="K91" s="33">
        <f>IF(B91&lt;&gt;0,0.1*E91/B91,0)</f>
        <v>0</v>
      </c>
      <c r="L91" s="17">
        <f>Adjust!B268*Input!$B232*10</f>
        <v>0</v>
      </c>
      <c r="M91" s="17">
        <f>Adjust!C268*Input!$C232*10</f>
        <v>0</v>
      </c>
      <c r="N91" s="17">
        <f>Adjust!D268*Input!$D232*10</f>
        <v>0</v>
      </c>
      <c r="O91" s="35" t="str">
        <f>IF(E91&lt;&gt;0,$L91/E91,"")</f>
        <v/>
      </c>
      <c r="P91" s="35" t="str">
        <f>IF(E91&lt;&gt;0,$M91/E91,"")</f>
        <v/>
      </c>
      <c r="Q91" s="35" t="str">
        <f>IF(E91&lt;&gt;0,$N91/E91,"")</f>
        <v/>
      </c>
      <c r="R91" s="35" t="str">
        <f>IF(D91&lt;&gt;0,$F91/D91,"")</f>
        <v/>
      </c>
      <c r="S91" s="35" t="str">
        <f>IF(D91&lt;&gt;0,$G91/D91,"")</f>
        <v/>
      </c>
      <c r="T91" s="35" t="str">
        <f>IF(D91&lt;&gt;0,$H91/D91,"")</f>
        <v/>
      </c>
      <c r="U91" s="10"/>
    </row>
    <row r="92" spans="1:21" x14ac:dyDescent="0.25">
      <c r="A92" s="24" t="s">
        <v>262</v>
      </c>
      <c r="U92" s="10"/>
    </row>
    <row r="93" spans="1:21" x14ac:dyDescent="0.25">
      <c r="A93" s="3" t="s">
        <v>193</v>
      </c>
      <c r="B93" s="17">
        <f>Input!B234+Input!C234+Input!D234</f>
        <v>7648623.7914554421</v>
      </c>
      <c r="C93" s="39">
        <f>Input!E234</f>
        <v>3193.4890199090846</v>
      </c>
      <c r="D93" s="17">
        <f>0.01*Input!F$58*(Adjust!$E270*Input!E234+Adjust!$F270*Input!F234)+10*(Adjust!$B270*Input!B234+Adjust!$C270*Input!C234+Adjust!$D270*Input!D234+Adjust!$G270*Input!G234)</f>
        <v>103136237.96689323</v>
      </c>
      <c r="E93" s="17">
        <f>10*(Adjust!$B270*Input!B234+Adjust!$C270*Input!C234+Adjust!$D270*Input!D234)</f>
        <v>59838781.205950126</v>
      </c>
      <c r="F93" s="17">
        <f>Adjust!E270*Input!$F$58*Input!$E234/100</f>
        <v>709515.01974281087</v>
      </c>
      <c r="G93" s="17">
        <f>Adjust!F270*Input!$F$58*Input!$F234/100</f>
        <v>41101038.805052519</v>
      </c>
      <c r="H93" s="17">
        <f>Adjust!G270*Input!$G234*10</f>
        <v>1486902.9361477722</v>
      </c>
      <c r="I93" s="33">
        <f>IF(B93&lt;&gt;0,0.1*D93/B93,"")</f>
        <v>1.3484286948733248</v>
      </c>
      <c r="J93" s="41">
        <f>IF(C93&lt;&gt;0,D93/C93,"")</f>
        <v>32295.785995791339</v>
      </c>
      <c r="K93" s="33">
        <f>IF(B93&lt;&gt;0,0.1*E93/B93,0)</f>
        <v>0.78234703179934439</v>
      </c>
      <c r="L93" s="17">
        <f>Adjust!B270*Input!$B234*10</f>
        <v>55488655.447564229</v>
      </c>
      <c r="M93" s="17">
        <f>Adjust!C270*Input!$C234*10</f>
        <v>3510904.9227066063</v>
      </c>
      <c r="N93" s="17">
        <f>Adjust!D270*Input!$D234*10</f>
        <v>839220.83567929815</v>
      </c>
      <c r="O93" s="35">
        <f>IF(E93&lt;&gt;0,$L93/E93,"")</f>
        <v>0.92730256748689699</v>
      </c>
      <c r="P93" s="35">
        <f>IF(E93&lt;&gt;0,$M93/E93,"")</f>
        <v>5.8672734503447677E-2</v>
      </c>
      <c r="Q93" s="35">
        <f>IF(E93&lt;&gt;0,$N93/E93,"")</f>
        <v>1.4024698009655475E-2</v>
      </c>
      <c r="R93" s="35">
        <f>IF(D93&lt;&gt;0,$F93/D93,"")</f>
        <v>6.8793959691506824E-3</v>
      </c>
      <c r="S93" s="35">
        <f>IF(D93&lt;&gt;0,$G93/D93,"")</f>
        <v>0.39851210025952244</v>
      </c>
      <c r="T93" s="35">
        <f>IF(D93&lt;&gt;0,$H93/D93,"")</f>
        <v>1.4416881645664337E-2</v>
      </c>
      <c r="U93" s="10"/>
    </row>
    <row r="94" spans="1:21" x14ac:dyDescent="0.25">
      <c r="A94" s="3" t="s">
        <v>263</v>
      </c>
      <c r="B94" s="17">
        <f>Input!B235+Input!C235+Input!D235</f>
        <v>41723.030045478459</v>
      </c>
      <c r="C94" s="39">
        <f>Input!E235</f>
        <v>17.217818671946052</v>
      </c>
      <c r="D94" s="17">
        <f>0.01*Input!F$58*(Adjust!$E271*Input!E235+Adjust!$F271*Input!F235)+10*(Adjust!$B271*Input!B235+Adjust!$C271*Input!C235+Adjust!$D271*Input!D235+Adjust!$G271*Input!G235)</f>
        <v>581606.97359939036</v>
      </c>
      <c r="E94" s="17">
        <f>10*(Adjust!$B271*Input!B235+Adjust!$C271*Input!C235+Adjust!$D271*Input!D235)</f>
        <v>287787.14569146564</v>
      </c>
      <c r="F94" s="17">
        <f>Adjust!E271*Input!$F$58*Input!$E235/100</f>
        <v>3215.1521518871737</v>
      </c>
      <c r="G94" s="17">
        <f>Adjust!F271*Input!$F$58*Input!$F235/100</f>
        <v>288249.24165993964</v>
      </c>
      <c r="H94" s="17">
        <f>Adjust!G271*Input!$G235*10</f>
        <v>2355.4340960978052</v>
      </c>
      <c r="I94" s="33">
        <f>IF(B94&lt;&gt;0,0.1*D94/B94,"")</f>
        <v>1.3939710825542484</v>
      </c>
      <c r="J94" s="41">
        <f>IF(C94&lt;&gt;0,D94/C94,"")</f>
        <v>33779.364545581775</v>
      </c>
      <c r="K94" s="33">
        <f>IF(B94&lt;&gt;0,0.1*E94/B94,0)</f>
        <v>0.68975610203231941</v>
      </c>
      <c r="L94" s="17">
        <f>Adjust!B271*Input!$B235*10</f>
        <v>268003.27077615843</v>
      </c>
      <c r="M94" s="17">
        <f>Adjust!C271*Input!$C235*10</f>
        <v>15846.793438132701</v>
      </c>
      <c r="N94" s="17">
        <f>Adjust!D271*Input!$D235*10</f>
        <v>3937.0814771745563</v>
      </c>
      <c r="O94" s="35">
        <f>IF(E94&lt;&gt;0,$L94/E94,"")</f>
        <v>0.93125518213201453</v>
      </c>
      <c r="P94" s="35">
        <f>IF(E94&lt;&gt;0,$M94/E94,"")</f>
        <v>5.506428509882761E-2</v>
      </c>
      <c r="Q94" s="35">
        <f>IF(E94&lt;&gt;0,$N94/E94,"")</f>
        <v>1.3680532769158045E-2</v>
      </c>
      <c r="R94" s="35">
        <f>IF(D94&lt;&gt;0,$F94/D94,"")</f>
        <v>5.5280495211217388E-3</v>
      </c>
      <c r="S94" s="35">
        <f>IF(D94&lt;&gt;0,$G94/D94,"")</f>
        <v>0.49560829691578817</v>
      </c>
      <c r="T94" s="35">
        <f>IF(D94&lt;&gt;0,$H94/D94,"")</f>
        <v>4.0498725135992321E-3</v>
      </c>
      <c r="U94" s="10"/>
    </row>
    <row r="95" spans="1:21" x14ac:dyDescent="0.25">
      <c r="A95" s="24" t="s">
        <v>264</v>
      </c>
      <c r="U95" s="10"/>
    </row>
    <row r="96" spans="1:21" x14ac:dyDescent="0.25">
      <c r="A96" s="3" t="s">
        <v>213</v>
      </c>
      <c r="B96" s="17">
        <f>Input!B237+Input!C237+Input!D237</f>
        <v>50361.555657214129</v>
      </c>
      <c r="C96" s="39">
        <f>Input!E237</f>
        <v>1442.8949741099771</v>
      </c>
      <c r="D96" s="17">
        <f>0.01*Input!F$58*(Adjust!$E273*Input!E237+Adjust!$F273*Input!F237)+10*(Adjust!$B273*Input!B237+Adjust!$C273*Input!C237+Adjust!$D273*Input!D237+Adjust!$G273*Input!G237)</f>
        <v>953847.86414763553</v>
      </c>
      <c r="E96" s="17">
        <f>10*(Adjust!$B273*Input!B237+Adjust!$C273*Input!C237+Adjust!$D273*Input!D237)</f>
        <v>953847.86414763553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33">
        <f>IF(B96&lt;&gt;0,0.1*D96/B96,"")</f>
        <v>1.8939999999999999</v>
      </c>
      <c r="J96" s="41">
        <f>IF(C96&lt;&gt;0,D96/C96,"")</f>
        <v>661.06534520019295</v>
      </c>
      <c r="K96" s="33">
        <f>IF(B96&lt;&gt;0,0.1*E96/B96,0)</f>
        <v>1.8939999999999999</v>
      </c>
      <c r="L96" s="17">
        <f>Adjust!B273*Input!$B237*10</f>
        <v>953847.86414763553</v>
      </c>
      <c r="M96" s="17">
        <f>Adjust!C273*Input!$C237*10</f>
        <v>0</v>
      </c>
      <c r="N96" s="17">
        <f>Adjust!D273*Input!$D237*10</f>
        <v>0</v>
      </c>
      <c r="O96" s="35">
        <f>IF(E96&lt;&gt;0,$L96/E96,"")</f>
        <v>1</v>
      </c>
      <c r="P96" s="35">
        <f>IF(E96&lt;&gt;0,$M96/E96,"")</f>
        <v>0</v>
      </c>
      <c r="Q96" s="35">
        <f>IF(E96&lt;&gt;0,$N96/E96,"")</f>
        <v>0</v>
      </c>
      <c r="R96" s="35">
        <f>IF(D96&lt;&gt;0,$F96/D96,"")</f>
        <v>0</v>
      </c>
      <c r="S96" s="35">
        <f>IF(D96&lt;&gt;0,$G96/D96,"")</f>
        <v>0</v>
      </c>
      <c r="T96" s="35">
        <f>IF(D96&lt;&gt;0,$H96/D96,"")</f>
        <v>0</v>
      </c>
      <c r="U96" s="10"/>
    </row>
    <row r="97" spans="1:21" x14ac:dyDescent="0.25">
      <c r="A97" s="3" t="s">
        <v>265</v>
      </c>
      <c r="B97" s="17">
        <f>Input!B238+Input!C238+Input!D238</f>
        <v>287.06806943279832</v>
      </c>
      <c r="C97" s="39">
        <f>Input!E238</f>
        <v>0</v>
      </c>
      <c r="D97" s="17">
        <f>0.01*Input!F$58*(Adjust!$E274*Input!E238+Adjust!$F274*Input!F238)+10*(Adjust!$B274*Input!B238+Adjust!$C274*Input!C238+Adjust!$D274*Input!D238+Adjust!$G274*Input!G238)</f>
        <v>3797.9105585959219</v>
      </c>
      <c r="E97" s="17">
        <f>10*(Adjust!$B274*Input!B238+Adjust!$C274*Input!C238+Adjust!$D274*Input!D238)</f>
        <v>3797.9105585959219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33">
        <f>IF(B97&lt;&gt;0,0.1*D97/B97,"")</f>
        <v>1.3230000000000002</v>
      </c>
      <c r="J97" s="41" t="str">
        <f>IF(C97&lt;&gt;0,D97/C97,"")</f>
        <v/>
      </c>
      <c r="K97" s="33">
        <f>IF(B97&lt;&gt;0,0.1*E97/B97,0)</f>
        <v>1.3230000000000002</v>
      </c>
      <c r="L97" s="17">
        <f>Adjust!B274*Input!$B238*10</f>
        <v>3797.9105585959219</v>
      </c>
      <c r="M97" s="17">
        <f>Adjust!C274*Input!$C238*10</f>
        <v>0</v>
      </c>
      <c r="N97" s="17">
        <f>Adjust!D274*Input!$D238*10</f>
        <v>0</v>
      </c>
      <c r="O97" s="35">
        <f>IF(E97&lt;&gt;0,$L97/E97,"")</f>
        <v>1</v>
      </c>
      <c r="P97" s="35">
        <f>IF(E97&lt;&gt;0,$M97/E97,"")</f>
        <v>0</v>
      </c>
      <c r="Q97" s="35">
        <f>IF(E97&lt;&gt;0,$N97/E97,"")</f>
        <v>0</v>
      </c>
      <c r="R97" s="35">
        <f>IF(D97&lt;&gt;0,$F97/D97,"")</f>
        <v>0</v>
      </c>
      <c r="S97" s="35">
        <f>IF(D97&lt;&gt;0,$G97/D97,"")</f>
        <v>0</v>
      </c>
      <c r="T97" s="35">
        <f>IF(D97&lt;&gt;0,$H97/D97,"")</f>
        <v>0</v>
      </c>
      <c r="U97" s="10"/>
    </row>
    <row r="98" spans="1:21" x14ac:dyDescent="0.25">
      <c r="A98" s="3" t="s">
        <v>266</v>
      </c>
      <c r="B98" s="17">
        <f>Input!B239+Input!C239+Input!D239</f>
        <v>357.06898387142911</v>
      </c>
      <c r="C98" s="39">
        <f>Input!E239</f>
        <v>0</v>
      </c>
      <c r="D98" s="17">
        <f>0.01*Input!F$58*(Adjust!$E275*Input!E239+Adjust!$F275*Input!F239)+10*(Adjust!$B275*Input!B239+Adjust!$C275*Input!C239+Adjust!$D275*Input!D239+Adjust!$G275*Input!G239)</f>
        <v>3459.9984537141477</v>
      </c>
      <c r="E98" s="17">
        <f>10*(Adjust!$B275*Input!B239+Adjust!$C275*Input!C239+Adjust!$D275*Input!D239)</f>
        <v>3459.9984537141477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33">
        <f>IF(B98&lt;&gt;0,0.1*D98/B98,"")</f>
        <v>0.96899999999999986</v>
      </c>
      <c r="J98" s="41" t="str">
        <f>IF(C98&lt;&gt;0,D98/C98,"")</f>
        <v/>
      </c>
      <c r="K98" s="33">
        <f>IF(B98&lt;&gt;0,0.1*E98/B98,0)</f>
        <v>0.96899999999999986</v>
      </c>
      <c r="L98" s="17">
        <f>Adjust!B275*Input!$B239*10</f>
        <v>3459.9984537141477</v>
      </c>
      <c r="M98" s="17">
        <f>Adjust!C275*Input!$C239*10</f>
        <v>0</v>
      </c>
      <c r="N98" s="17">
        <f>Adjust!D275*Input!$D239*10</f>
        <v>0</v>
      </c>
      <c r="O98" s="35">
        <f>IF(E98&lt;&gt;0,$L98/E98,"")</f>
        <v>1</v>
      </c>
      <c r="P98" s="35">
        <f>IF(E98&lt;&gt;0,$M98/E98,"")</f>
        <v>0</v>
      </c>
      <c r="Q98" s="35">
        <f>IF(E98&lt;&gt;0,$N98/E98,"")</f>
        <v>0</v>
      </c>
      <c r="R98" s="35">
        <f>IF(D98&lt;&gt;0,$F98/D98,"")</f>
        <v>0</v>
      </c>
      <c r="S98" s="35">
        <f>IF(D98&lt;&gt;0,$G98/D98,"")</f>
        <v>0</v>
      </c>
      <c r="T98" s="35">
        <f>IF(D98&lt;&gt;0,$H98/D98,"")</f>
        <v>0</v>
      </c>
      <c r="U98" s="10"/>
    </row>
    <row r="99" spans="1:21" x14ac:dyDescent="0.25">
      <c r="A99" s="24" t="s">
        <v>267</v>
      </c>
      <c r="U99" s="10"/>
    </row>
    <row r="100" spans="1:21" x14ac:dyDescent="0.25">
      <c r="A100" s="3" t="s">
        <v>214</v>
      </c>
      <c r="B100" s="17">
        <f>Input!B241+Input!C241+Input!D241</f>
        <v>22903.185120682123</v>
      </c>
      <c r="C100" s="39">
        <f>Input!E241</f>
        <v>1187.4883179029223</v>
      </c>
      <c r="D100" s="17">
        <f>0.01*Input!F$58*(Adjust!$E277*Input!E241+Adjust!$F277*Input!F241)+10*(Adjust!$B277*Input!B241+Adjust!$C277*Input!C241+Adjust!$D277*Input!D241+Adjust!$G277*Input!G241)</f>
        <v>574411.88282670768</v>
      </c>
      <c r="E100" s="17">
        <f>10*(Adjust!$B277*Input!B241+Adjust!$C277*Input!C241+Adjust!$D277*Input!D241)</f>
        <v>574411.88282670768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33">
        <f>IF(B100&lt;&gt;0,0.1*D100/B100,"")</f>
        <v>2.5080000000000005</v>
      </c>
      <c r="J100" s="41">
        <f>IF(C100&lt;&gt;0,D100/C100,"")</f>
        <v>483.72002837140002</v>
      </c>
      <c r="K100" s="33">
        <f>IF(B100&lt;&gt;0,0.1*E100/B100,0)</f>
        <v>2.5080000000000005</v>
      </c>
      <c r="L100" s="17">
        <f>Adjust!B277*Input!$B241*10</f>
        <v>574411.88282670768</v>
      </c>
      <c r="M100" s="17">
        <f>Adjust!C277*Input!$C241*10</f>
        <v>0</v>
      </c>
      <c r="N100" s="17">
        <f>Adjust!D277*Input!$D241*10</f>
        <v>0</v>
      </c>
      <c r="O100" s="35">
        <f>IF(E100&lt;&gt;0,$L100/E100,"")</f>
        <v>1</v>
      </c>
      <c r="P100" s="35">
        <f>IF(E100&lt;&gt;0,$M100/E100,"")</f>
        <v>0</v>
      </c>
      <c r="Q100" s="35">
        <f>IF(E100&lt;&gt;0,$N100/E100,"")</f>
        <v>0</v>
      </c>
      <c r="R100" s="35">
        <f>IF(D100&lt;&gt;0,$F100/D100,"")</f>
        <v>0</v>
      </c>
      <c r="S100" s="35">
        <f>IF(D100&lt;&gt;0,$G100/D100,"")</f>
        <v>0</v>
      </c>
      <c r="T100" s="35">
        <f>IF(D100&lt;&gt;0,$H100/D100,"")</f>
        <v>0</v>
      </c>
      <c r="U100" s="10"/>
    </row>
    <row r="101" spans="1:21" x14ac:dyDescent="0.25">
      <c r="A101" s="3" t="s">
        <v>268</v>
      </c>
      <c r="B101" s="17">
        <f>Input!B242+Input!C242+Input!D242</f>
        <v>189.88869009192086</v>
      </c>
      <c r="C101" s="39">
        <f>Input!E242</f>
        <v>0</v>
      </c>
      <c r="D101" s="17">
        <f>0.01*Input!F$58*(Adjust!$E278*Input!E242+Adjust!$F278*Input!F242)+10*(Adjust!$B278*Input!B242+Adjust!$C278*Input!C242+Adjust!$D278*Input!D242+Adjust!$G278*Input!G242)</f>
        <v>3328.7487373113727</v>
      </c>
      <c r="E101" s="17">
        <f>10*(Adjust!$B278*Input!B242+Adjust!$C278*Input!C242+Adjust!$D278*Input!D242)</f>
        <v>3328.7487373113727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33">
        <f>IF(B101&lt;&gt;0,0.1*D101/B101,"")</f>
        <v>1.7530000000000001</v>
      </c>
      <c r="J101" s="41" t="str">
        <f>IF(C101&lt;&gt;0,D101/C101,"")</f>
        <v/>
      </c>
      <c r="K101" s="33">
        <f>IF(B101&lt;&gt;0,0.1*E101/B101,0)</f>
        <v>1.7530000000000001</v>
      </c>
      <c r="L101" s="17">
        <f>Adjust!B278*Input!$B242*10</f>
        <v>3328.7487373113727</v>
      </c>
      <c r="M101" s="17">
        <f>Adjust!C278*Input!$C242*10</f>
        <v>0</v>
      </c>
      <c r="N101" s="17">
        <f>Adjust!D278*Input!$D242*10</f>
        <v>0</v>
      </c>
      <c r="O101" s="35">
        <f>IF(E101&lt;&gt;0,$L101/E101,"")</f>
        <v>1</v>
      </c>
      <c r="P101" s="35">
        <f>IF(E101&lt;&gt;0,$M101/E101,"")</f>
        <v>0</v>
      </c>
      <c r="Q101" s="35">
        <f>IF(E101&lt;&gt;0,$N101/E101,"")</f>
        <v>0</v>
      </c>
      <c r="R101" s="35">
        <f>IF(D101&lt;&gt;0,$F101/D101,"")</f>
        <v>0</v>
      </c>
      <c r="S101" s="35">
        <f>IF(D101&lt;&gt;0,$G101/D101,"")</f>
        <v>0</v>
      </c>
      <c r="T101" s="35">
        <f>IF(D101&lt;&gt;0,$H101/D101,"")</f>
        <v>0</v>
      </c>
      <c r="U101" s="10"/>
    </row>
    <row r="102" spans="1:21" x14ac:dyDescent="0.25">
      <c r="A102" s="3" t="s">
        <v>269</v>
      </c>
      <c r="B102" s="17">
        <f>Input!B243+Input!C243+Input!D243</f>
        <v>571.69382909061801</v>
      </c>
      <c r="C102" s="39">
        <f>Input!E243</f>
        <v>0</v>
      </c>
      <c r="D102" s="17">
        <f>0.01*Input!F$58*(Adjust!$E279*Input!E243+Adjust!$F279*Input!F243)+10*(Adjust!$B279*Input!B243+Adjust!$C279*Input!C243+Adjust!$D279*Input!D243+Adjust!$G279*Input!G243)</f>
        <v>7340.5487655235356</v>
      </c>
      <c r="E102" s="17">
        <f>10*(Adjust!$B279*Input!B243+Adjust!$C279*Input!C243+Adjust!$D279*Input!D243)</f>
        <v>7340.5487655235356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33">
        <f>IF(B102&lt;&gt;0,0.1*D102/B102,"")</f>
        <v>1.284</v>
      </c>
      <c r="J102" s="41" t="str">
        <f>IF(C102&lt;&gt;0,D102/C102,"")</f>
        <v/>
      </c>
      <c r="K102" s="33">
        <f>IF(B102&lt;&gt;0,0.1*E102/B102,0)</f>
        <v>1.284</v>
      </c>
      <c r="L102" s="17">
        <f>Adjust!B279*Input!$B243*10</f>
        <v>7340.5487655235356</v>
      </c>
      <c r="M102" s="17">
        <f>Adjust!C279*Input!$C243*10</f>
        <v>0</v>
      </c>
      <c r="N102" s="17">
        <f>Adjust!D279*Input!$D243*10</f>
        <v>0</v>
      </c>
      <c r="O102" s="35">
        <f>IF(E102&lt;&gt;0,$L102/E102,"")</f>
        <v>1</v>
      </c>
      <c r="P102" s="35">
        <f>IF(E102&lt;&gt;0,$M102/E102,"")</f>
        <v>0</v>
      </c>
      <c r="Q102" s="35">
        <f>IF(E102&lt;&gt;0,$N102/E102,"")</f>
        <v>0</v>
      </c>
      <c r="R102" s="35">
        <f>IF(D102&lt;&gt;0,$F102/D102,"")</f>
        <v>0</v>
      </c>
      <c r="S102" s="35">
        <f>IF(D102&lt;&gt;0,$G102/D102,"")</f>
        <v>0</v>
      </c>
      <c r="T102" s="35">
        <f>IF(D102&lt;&gt;0,$H102/D102,"")</f>
        <v>0</v>
      </c>
      <c r="U102" s="10"/>
    </row>
    <row r="103" spans="1:21" x14ac:dyDescent="0.25">
      <c r="A103" s="24" t="s">
        <v>270</v>
      </c>
      <c r="U103" s="10"/>
    </row>
    <row r="104" spans="1:21" x14ac:dyDescent="0.25">
      <c r="A104" s="3" t="s">
        <v>215</v>
      </c>
      <c r="B104" s="17">
        <f>Input!B245+Input!C245+Input!D245</f>
        <v>356.22882700287499</v>
      </c>
      <c r="C104" s="39">
        <f>Input!E245</f>
        <v>161.79146747777602</v>
      </c>
      <c r="D104" s="17">
        <f>0.01*Input!F$58*(Adjust!$E281*Input!E245+Adjust!$F281*Input!F245)+10*(Adjust!$B281*Input!B245+Adjust!$C281*Input!C245+Adjust!$D281*Input!D245+Adjust!$G281*Input!G245)</f>
        <v>14391.644610916152</v>
      </c>
      <c r="E104" s="17">
        <f>10*(Adjust!$B281*Input!B245+Adjust!$C281*Input!C245+Adjust!$D281*Input!D245)</f>
        <v>14391.644610916152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33">
        <f>IF(B104&lt;&gt;0,0.1*D104/B104,"")</f>
        <v>4.0400000000000009</v>
      </c>
      <c r="J104" s="41">
        <f>IF(C104&lt;&gt;0,D104/C104,"")</f>
        <v>88.951814550374948</v>
      </c>
      <c r="K104" s="33">
        <f>IF(B104&lt;&gt;0,0.1*E104/B104,0)</f>
        <v>4.0400000000000009</v>
      </c>
      <c r="L104" s="17">
        <f>Adjust!B281*Input!$B245*10</f>
        <v>14391.644610916152</v>
      </c>
      <c r="M104" s="17">
        <f>Adjust!C281*Input!$C245*10</f>
        <v>0</v>
      </c>
      <c r="N104" s="17">
        <f>Adjust!D281*Input!$D245*10</f>
        <v>0</v>
      </c>
      <c r="O104" s="35">
        <f>IF(E104&lt;&gt;0,$L104/E104,"")</f>
        <v>1</v>
      </c>
      <c r="P104" s="35">
        <f>IF(E104&lt;&gt;0,$M104/E104,"")</f>
        <v>0</v>
      </c>
      <c r="Q104" s="35">
        <f>IF(E104&lt;&gt;0,$N104/E104,"")</f>
        <v>0</v>
      </c>
      <c r="R104" s="35">
        <f>IF(D104&lt;&gt;0,$F104/D104,"")</f>
        <v>0</v>
      </c>
      <c r="S104" s="35">
        <f>IF(D104&lt;&gt;0,$G104/D104,"")</f>
        <v>0</v>
      </c>
      <c r="T104" s="35">
        <f>IF(D104&lt;&gt;0,$H104/D104,"")</f>
        <v>0</v>
      </c>
      <c r="U104" s="10"/>
    </row>
    <row r="105" spans="1:21" x14ac:dyDescent="0.25">
      <c r="A105" s="3" t="s">
        <v>271</v>
      </c>
      <c r="B105" s="17">
        <f>Input!B246+Input!C246+Input!D246</f>
        <v>0</v>
      </c>
      <c r="C105" s="39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33" t="str">
        <f>IF(B105&lt;&gt;0,0.1*D105/B105,"")</f>
        <v/>
      </c>
      <c r="J105" s="41" t="str">
        <f>IF(C105&lt;&gt;0,D105/C105,"")</f>
        <v/>
      </c>
      <c r="K105" s="33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35" t="str">
        <f>IF(E105&lt;&gt;0,$L105/E105,"")</f>
        <v/>
      </c>
      <c r="P105" s="35" t="str">
        <f>IF(E105&lt;&gt;0,$M105/E105,"")</f>
        <v/>
      </c>
      <c r="Q105" s="35" t="str">
        <f>IF(E105&lt;&gt;0,$N105/E105,"")</f>
        <v/>
      </c>
      <c r="R105" s="35" t="str">
        <f>IF(D105&lt;&gt;0,$F105/D105,"")</f>
        <v/>
      </c>
      <c r="S105" s="35" t="str">
        <f>IF(D105&lt;&gt;0,$G105/D105,"")</f>
        <v/>
      </c>
      <c r="T105" s="35" t="str">
        <f>IF(D105&lt;&gt;0,$H105/D105,"")</f>
        <v/>
      </c>
      <c r="U105" s="10"/>
    </row>
    <row r="106" spans="1:21" x14ac:dyDescent="0.25">
      <c r="A106" s="3" t="s">
        <v>272</v>
      </c>
      <c r="B106" s="17">
        <f>Input!B247+Input!C247+Input!D247</f>
        <v>0</v>
      </c>
      <c r="C106" s="39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33" t="str">
        <f>IF(B106&lt;&gt;0,0.1*D106/B106,"")</f>
        <v/>
      </c>
      <c r="J106" s="41" t="str">
        <f>IF(C106&lt;&gt;0,D106/C106,"")</f>
        <v/>
      </c>
      <c r="K106" s="33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35" t="str">
        <f>IF(E106&lt;&gt;0,$L106/E106,"")</f>
        <v/>
      </c>
      <c r="P106" s="35" t="str">
        <f>IF(E106&lt;&gt;0,$M106/E106,"")</f>
        <v/>
      </c>
      <c r="Q106" s="35" t="str">
        <f>IF(E106&lt;&gt;0,$N106/E106,"")</f>
        <v/>
      </c>
      <c r="R106" s="35" t="str">
        <f>IF(D106&lt;&gt;0,$F106/D106,"")</f>
        <v/>
      </c>
      <c r="S106" s="35" t="str">
        <f>IF(D106&lt;&gt;0,$G106/D106,"")</f>
        <v/>
      </c>
      <c r="T106" s="35" t="str">
        <f>IF(D106&lt;&gt;0,$H106/D106,"")</f>
        <v/>
      </c>
      <c r="U106" s="10"/>
    </row>
    <row r="107" spans="1:21" x14ac:dyDescent="0.25">
      <c r="A107" s="24" t="s">
        <v>273</v>
      </c>
      <c r="U107" s="10"/>
    </row>
    <row r="108" spans="1:21" x14ac:dyDescent="0.25">
      <c r="A108" s="3" t="s">
        <v>216</v>
      </c>
      <c r="B108" s="17">
        <f>Input!B249+Input!C249+Input!D249</f>
        <v>8317.3632405332482</v>
      </c>
      <c r="C108" s="39">
        <f>Input!E249</f>
        <v>261.51199460244294</v>
      </c>
      <c r="D108" s="17">
        <f>0.01*Input!F$58*(Adjust!$E285*Input!E249+Adjust!$F285*Input!F249)+10*(Adjust!$B285*Input!B249+Adjust!$C285*Input!C249+Adjust!$D285*Input!D249+Adjust!$G285*Input!G249)</f>
        <v>106878.11764085223</v>
      </c>
      <c r="E108" s="17">
        <f>10*(Adjust!$B285*Input!B249+Adjust!$C285*Input!C249+Adjust!$D285*Input!D249)</f>
        <v>106878.11764085223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33">
        <f>IF(B108&lt;&gt;0,0.1*D108/B108,"")</f>
        <v>1.2849999999999999</v>
      </c>
      <c r="J108" s="41">
        <f>IF(C108&lt;&gt;0,D108/C108,"")</f>
        <v>408.69298482209587</v>
      </c>
      <c r="K108" s="33">
        <f>IF(B108&lt;&gt;0,0.1*E108/B108,0)</f>
        <v>1.2849999999999999</v>
      </c>
      <c r="L108" s="17">
        <f>Adjust!B285*Input!$B249*10</f>
        <v>106878.11764085223</v>
      </c>
      <c r="M108" s="17">
        <f>Adjust!C285*Input!$C249*10</f>
        <v>0</v>
      </c>
      <c r="N108" s="17">
        <f>Adjust!D285*Input!$D249*10</f>
        <v>0</v>
      </c>
      <c r="O108" s="35">
        <f>IF(E108&lt;&gt;0,$L108/E108,"")</f>
        <v>1</v>
      </c>
      <c r="P108" s="35">
        <f>IF(E108&lt;&gt;0,$M108/E108,"")</f>
        <v>0</v>
      </c>
      <c r="Q108" s="35">
        <f>IF(E108&lt;&gt;0,$N108/E108,"")</f>
        <v>0</v>
      </c>
      <c r="R108" s="35">
        <f>IF(D108&lt;&gt;0,$F108/D108,"")</f>
        <v>0</v>
      </c>
      <c r="S108" s="35">
        <f>IF(D108&lt;&gt;0,$G108/D108,"")</f>
        <v>0</v>
      </c>
      <c r="T108" s="35">
        <f>IF(D108&lt;&gt;0,$H108/D108,"")</f>
        <v>0</v>
      </c>
      <c r="U108" s="10"/>
    </row>
    <row r="109" spans="1:21" x14ac:dyDescent="0.25">
      <c r="A109" s="3" t="s">
        <v>274</v>
      </c>
      <c r="B109" s="17">
        <f>Input!B250+Input!C250+Input!D250</f>
        <v>0</v>
      </c>
      <c r="C109" s="39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33" t="str">
        <f>IF(B109&lt;&gt;0,0.1*D109/B109,"")</f>
        <v/>
      </c>
      <c r="J109" s="41" t="str">
        <f>IF(C109&lt;&gt;0,D109/C109,"")</f>
        <v/>
      </c>
      <c r="K109" s="33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35" t="str">
        <f>IF(E109&lt;&gt;0,$L109/E109,"")</f>
        <v/>
      </c>
      <c r="P109" s="35" t="str">
        <f>IF(E109&lt;&gt;0,$M109/E109,"")</f>
        <v/>
      </c>
      <c r="Q109" s="35" t="str">
        <f>IF(E109&lt;&gt;0,$N109/E109,"")</f>
        <v/>
      </c>
      <c r="R109" s="35" t="str">
        <f>IF(D109&lt;&gt;0,$F109/D109,"")</f>
        <v/>
      </c>
      <c r="S109" s="35" t="str">
        <f>IF(D109&lt;&gt;0,$G109/D109,"")</f>
        <v/>
      </c>
      <c r="T109" s="35" t="str">
        <f>IF(D109&lt;&gt;0,$H109/D109,"")</f>
        <v/>
      </c>
      <c r="U109" s="10"/>
    </row>
    <row r="110" spans="1:21" x14ac:dyDescent="0.25">
      <c r="A110" s="3" t="s">
        <v>275</v>
      </c>
      <c r="B110" s="17">
        <f>Input!B251+Input!C251+Input!D251</f>
        <v>0</v>
      </c>
      <c r="C110" s="39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33" t="str">
        <f>IF(B110&lt;&gt;0,0.1*D110/B110,"")</f>
        <v/>
      </c>
      <c r="J110" s="41" t="str">
        <f>IF(C110&lt;&gt;0,D110/C110,"")</f>
        <v/>
      </c>
      <c r="K110" s="33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35" t="str">
        <f>IF(E110&lt;&gt;0,$L110/E110,"")</f>
        <v/>
      </c>
      <c r="P110" s="35" t="str">
        <f>IF(E110&lt;&gt;0,$M110/E110,"")</f>
        <v/>
      </c>
      <c r="Q110" s="35" t="str">
        <f>IF(E110&lt;&gt;0,$N110/E110,"")</f>
        <v/>
      </c>
      <c r="R110" s="35" t="str">
        <f>IF(D110&lt;&gt;0,$F110/D110,"")</f>
        <v/>
      </c>
      <c r="S110" s="35" t="str">
        <f>IF(D110&lt;&gt;0,$G110/D110,"")</f>
        <v/>
      </c>
      <c r="T110" s="35" t="str">
        <f>IF(D110&lt;&gt;0,$H110/D110,"")</f>
        <v/>
      </c>
      <c r="U110" s="10"/>
    </row>
    <row r="111" spans="1:21" x14ac:dyDescent="0.25">
      <c r="A111" s="24" t="s">
        <v>276</v>
      </c>
      <c r="U111" s="10"/>
    </row>
    <row r="112" spans="1:21" x14ac:dyDescent="0.25">
      <c r="A112" s="3" t="s">
        <v>217</v>
      </c>
      <c r="B112" s="17">
        <f>Input!B253+Input!C253+Input!D253</f>
        <v>241377.91585398733</v>
      </c>
      <c r="C112" s="39">
        <f>Input!E253</f>
        <v>117.01898591159899</v>
      </c>
      <c r="D112" s="17">
        <f>0.01*Input!F$58*(Adjust!$E289*Input!E253+Adjust!$F289*Input!F253)+10*(Adjust!$B289*Input!B253+Adjust!$C289*Input!C253+Adjust!$D289*Input!D253+Adjust!$G289*Input!G253)</f>
        <v>6445343.5828408683</v>
      </c>
      <c r="E112" s="17">
        <f>10*(Adjust!$B289*Input!B253+Adjust!$C289*Input!C253+Adjust!$D289*Input!D253)</f>
        <v>6445343.5828408683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33">
        <f>IF(B112&lt;&gt;0,0.1*D112/B112,"")</f>
        <v>2.6702291964190055</v>
      </c>
      <c r="J112" s="41">
        <f>IF(C112&lt;&gt;0,D112/C112,"")</f>
        <v>55079.468794148917</v>
      </c>
      <c r="K112" s="33">
        <f>IF(B112&lt;&gt;0,0.1*E112/B112,0)</f>
        <v>2.6702291964190055</v>
      </c>
      <c r="L112" s="17">
        <f>Adjust!B289*Input!$B253*10</f>
        <v>4862484.4566136701</v>
      </c>
      <c r="M112" s="17">
        <f>Adjust!C289*Input!$C253*10</f>
        <v>325972.01009073615</v>
      </c>
      <c r="N112" s="17">
        <f>Adjust!D289*Input!$D253*10</f>
        <v>1256887.1161364615</v>
      </c>
      <c r="O112" s="35">
        <f>IF(E112&lt;&gt;0,$L112/E112,"")</f>
        <v>0.75441819262495657</v>
      </c>
      <c r="P112" s="35">
        <f>IF(E112&lt;&gt;0,$M112/E112,"")</f>
        <v>5.0574807363032735E-2</v>
      </c>
      <c r="Q112" s="35">
        <f>IF(E112&lt;&gt;0,$N112/E112,"")</f>
        <v>0.19500700001201057</v>
      </c>
      <c r="R112" s="35">
        <f>IF(D112&lt;&gt;0,$F112/D112,"")</f>
        <v>0</v>
      </c>
      <c r="S112" s="35">
        <f>IF(D112&lt;&gt;0,$G112/D112,"")</f>
        <v>0</v>
      </c>
      <c r="T112" s="35">
        <f>IF(D112&lt;&gt;0,$H112/D112,"")</f>
        <v>0</v>
      </c>
      <c r="U112" s="10"/>
    </row>
    <row r="113" spans="1:21" x14ac:dyDescent="0.25">
      <c r="A113" s="3" t="s">
        <v>277</v>
      </c>
      <c r="B113" s="17">
        <f>Input!B254+Input!C254+Input!D254</f>
        <v>0</v>
      </c>
      <c r="C113" s="39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33" t="str">
        <f>IF(B113&lt;&gt;0,0.1*D113/B113,"")</f>
        <v/>
      </c>
      <c r="J113" s="41" t="str">
        <f>IF(C113&lt;&gt;0,D113/C113,"")</f>
        <v/>
      </c>
      <c r="K113" s="33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35" t="str">
        <f>IF(E113&lt;&gt;0,$L113/E113,"")</f>
        <v/>
      </c>
      <c r="P113" s="35" t="str">
        <f>IF(E113&lt;&gt;0,$M113/E113,"")</f>
        <v/>
      </c>
      <c r="Q113" s="35" t="str">
        <f>IF(E113&lt;&gt;0,$N113/E113,"")</f>
        <v/>
      </c>
      <c r="R113" s="35" t="str">
        <f>IF(D113&lt;&gt;0,$F113/D113,"")</f>
        <v/>
      </c>
      <c r="S113" s="35" t="str">
        <f>IF(D113&lt;&gt;0,$G113/D113,"")</f>
        <v/>
      </c>
      <c r="T113" s="35" t="str">
        <f>IF(D113&lt;&gt;0,$H113/D113,"")</f>
        <v/>
      </c>
      <c r="U113" s="10"/>
    </row>
    <row r="114" spans="1:21" x14ac:dyDescent="0.25">
      <c r="A114" s="3" t="s">
        <v>278</v>
      </c>
      <c r="B114" s="17">
        <f>Input!B255+Input!C255+Input!D255</f>
        <v>0</v>
      </c>
      <c r="C114" s="39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33" t="str">
        <f>IF(B114&lt;&gt;0,0.1*D114/B114,"")</f>
        <v/>
      </c>
      <c r="J114" s="41" t="str">
        <f>IF(C114&lt;&gt;0,D114/C114,"")</f>
        <v/>
      </c>
      <c r="K114" s="33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35" t="str">
        <f>IF(E114&lt;&gt;0,$L114/E114,"")</f>
        <v/>
      </c>
      <c r="P114" s="35" t="str">
        <f>IF(E114&lt;&gt;0,$M114/E114,"")</f>
        <v/>
      </c>
      <c r="Q114" s="35" t="str">
        <f>IF(E114&lt;&gt;0,$N114/E114,"")</f>
        <v/>
      </c>
      <c r="R114" s="35" t="str">
        <f>IF(D114&lt;&gt;0,$F114/D114,"")</f>
        <v/>
      </c>
      <c r="S114" s="35" t="str">
        <f>IF(D114&lt;&gt;0,$G114/D114,"")</f>
        <v/>
      </c>
      <c r="T114" s="35" t="str">
        <f>IF(D114&lt;&gt;0,$H114/D114,"")</f>
        <v/>
      </c>
      <c r="U114" s="10"/>
    </row>
    <row r="115" spans="1:21" x14ac:dyDescent="0.25">
      <c r="A115" s="24" t="s">
        <v>279</v>
      </c>
      <c r="U115" s="10"/>
    </row>
    <row r="116" spans="1:21" x14ac:dyDescent="0.25">
      <c r="A116" s="3" t="s">
        <v>181</v>
      </c>
      <c r="B116" s="17">
        <f>Input!B257+Input!C257+Input!D257</f>
        <v>1315.3859367110706</v>
      </c>
      <c r="C116" s="39">
        <f>Input!E257</f>
        <v>18.316015186163327</v>
      </c>
      <c r="D116" s="17">
        <f>0.01*Input!F$58*(Adjust!$E293*Input!E257+Adjust!$F293*Input!F257)+10*(Adjust!$B293*Input!B257+Adjust!$C293*Input!C257+Adjust!$D293*Input!D257+Adjust!$G293*Input!G257)</f>
        <v>-8234.3159638113029</v>
      </c>
      <c r="E116" s="17">
        <f>10*(Adjust!$B293*Input!B257+Adjust!$C293*Input!C257+Adjust!$D293*Input!D257)</f>
        <v>-8234.3159638113029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33">
        <f>IF(B116&lt;&gt;0,0.1*D116/B116,"")</f>
        <v>-0.62600000000000011</v>
      </c>
      <c r="J116" s="41">
        <f>IF(C116&lt;&gt;0,D116/C116,"")</f>
        <v>-449.56918194913078</v>
      </c>
      <c r="K116" s="33">
        <f>IF(B116&lt;&gt;0,0.1*E116/B116,0)</f>
        <v>-0.62600000000000011</v>
      </c>
      <c r="L116" s="17">
        <f>Adjust!B293*Input!$B257*10</f>
        <v>-8234.3159638113029</v>
      </c>
      <c r="M116" s="17">
        <f>Adjust!C293*Input!$C257*10</f>
        <v>0</v>
      </c>
      <c r="N116" s="17">
        <f>Adjust!D293*Input!$D257*10</f>
        <v>0</v>
      </c>
      <c r="O116" s="35">
        <f>IF(E116&lt;&gt;0,$L116/E116,"")</f>
        <v>1</v>
      </c>
      <c r="P116" s="35">
        <f>IF(E116&lt;&gt;0,$M116/E116,"")</f>
        <v>0</v>
      </c>
      <c r="Q116" s="35">
        <f>IF(E116&lt;&gt;0,$N116/E116,"")</f>
        <v>0</v>
      </c>
      <c r="R116" s="35">
        <f>IF(D116&lt;&gt;0,$F116/D116,"")</f>
        <v>0</v>
      </c>
      <c r="S116" s="35">
        <f>IF(D116&lt;&gt;0,$G116/D116,"")</f>
        <v>0</v>
      </c>
      <c r="T116" s="35">
        <f>IF(D116&lt;&gt;0,$H116/D116,"")</f>
        <v>0</v>
      </c>
      <c r="U116" s="10"/>
    </row>
    <row r="117" spans="1:21" x14ac:dyDescent="0.25">
      <c r="A117" s="3" t="s">
        <v>280</v>
      </c>
      <c r="B117" s="17">
        <f>Input!B258+Input!C258+Input!D258</f>
        <v>37.465485085945801</v>
      </c>
      <c r="C117" s="39">
        <f>Input!E258</f>
        <v>0</v>
      </c>
      <c r="D117" s="17">
        <f>0.01*Input!F$58*(Adjust!$E294*Input!E258+Adjust!$F294*Input!F258)+10*(Adjust!$B294*Input!B258+Adjust!$C294*Input!C258+Adjust!$D294*Input!D258+Adjust!$G294*Input!G258)</f>
        <v>-234.53393663802072</v>
      </c>
      <c r="E117" s="17">
        <f>10*(Adjust!$B294*Input!B258+Adjust!$C294*Input!C258+Adjust!$D294*Input!D258)</f>
        <v>-234.53393663802072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33">
        <f>IF(B117&lt;&gt;0,0.1*D117/B117,"")</f>
        <v>-0.62600000000000011</v>
      </c>
      <c r="J117" s="41" t="str">
        <f>IF(C117&lt;&gt;0,D117/C117,"")</f>
        <v/>
      </c>
      <c r="K117" s="33">
        <f>IF(B117&lt;&gt;0,0.1*E117/B117,0)</f>
        <v>-0.62600000000000011</v>
      </c>
      <c r="L117" s="17">
        <f>Adjust!B294*Input!$B258*10</f>
        <v>-234.53393663802072</v>
      </c>
      <c r="M117" s="17">
        <f>Adjust!C294*Input!$C258*10</f>
        <v>0</v>
      </c>
      <c r="N117" s="17">
        <f>Adjust!D294*Input!$D258*10</f>
        <v>0</v>
      </c>
      <c r="O117" s="35">
        <f>IF(E117&lt;&gt;0,$L117/E117,"")</f>
        <v>1</v>
      </c>
      <c r="P117" s="35">
        <f>IF(E117&lt;&gt;0,$M117/E117,"")</f>
        <v>0</v>
      </c>
      <c r="Q117" s="35">
        <f>IF(E117&lt;&gt;0,$N117/E117,"")</f>
        <v>0</v>
      </c>
      <c r="R117" s="35">
        <f>IF(D117&lt;&gt;0,$F117/D117,"")</f>
        <v>0</v>
      </c>
      <c r="S117" s="35">
        <f>IF(D117&lt;&gt;0,$G117/D117,"")</f>
        <v>0</v>
      </c>
      <c r="T117" s="35">
        <f>IF(D117&lt;&gt;0,$H117/D117,"")</f>
        <v>0</v>
      </c>
      <c r="U117" s="10"/>
    </row>
    <row r="118" spans="1:21" x14ac:dyDescent="0.25">
      <c r="A118" s="3" t="s">
        <v>281</v>
      </c>
      <c r="B118" s="17">
        <f>Input!B259+Input!C259+Input!D259</f>
        <v>0</v>
      </c>
      <c r="C118" s="39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33" t="str">
        <f>IF(B118&lt;&gt;0,0.1*D118/B118,"")</f>
        <v/>
      </c>
      <c r="J118" s="41" t="str">
        <f>IF(C118&lt;&gt;0,D118/C118,"")</f>
        <v/>
      </c>
      <c r="K118" s="33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35" t="str">
        <f>IF(E118&lt;&gt;0,$L118/E118,"")</f>
        <v/>
      </c>
      <c r="P118" s="35" t="str">
        <f>IF(E118&lt;&gt;0,$M118/E118,"")</f>
        <v/>
      </c>
      <c r="Q118" s="35" t="str">
        <f>IF(E118&lt;&gt;0,$N118/E118,"")</f>
        <v/>
      </c>
      <c r="R118" s="35" t="str">
        <f>IF(D118&lt;&gt;0,$F118/D118,"")</f>
        <v/>
      </c>
      <c r="S118" s="35" t="str">
        <f>IF(D118&lt;&gt;0,$G118/D118,"")</f>
        <v/>
      </c>
      <c r="T118" s="35" t="str">
        <f>IF(D118&lt;&gt;0,$H118/D118,"")</f>
        <v/>
      </c>
      <c r="U118" s="10"/>
    </row>
    <row r="119" spans="1:21" x14ac:dyDescent="0.25">
      <c r="A119" s="24" t="s">
        <v>282</v>
      </c>
      <c r="U119" s="10"/>
    </row>
    <row r="120" spans="1:21" x14ac:dyDescent="0.25">
      <c r="A120" s="3" t="s">
        <v>182</v>
      </c>
      <c r="B120" s="17">
        <f>Input!B261+Input!C261+Input!D261</f>
        <v>0</v>
      </c>
      <c r="C120" s="39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33" t="str">
        <f>IF(B120&lt;&gt;0,0.1*D120/B120,"")</f>
        <v/>
      </c>
      <c r="J120" s="41" t="str">
        <f>IF(C120&lt;&gt;0,D120/C120,"")</f>
        <v/>
      </c>
      <c r="K120" s="33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35" t="str">
        <f>IF(E120&lt;&gt;0,$L120/E120,"")</f>
        <v/>
      </c>
      <c r="P120" s="35" t="str">
        <f>IF(E120&lt;&gt;0,$M120/E120,"")</f>
        <v/>
      </c>
      <c r="Q120" s="35" t="str">
        <f>IF(E120&lt;&gt;0,$N120/E120,"")</f>
        <v/>
      </c>
      <c r="R120" s="35" t="str">
        <f>IF(D120&lt;&gt;0,$F120/D120,"")</f>
        <v/>
      </c>
      <c r="S120" s="35" t="str">
        <f>IF(D120&lt;&gt;0,$G120/D120,"")</f>
        <v/>
      </c>
      <c r="T120" s="35" t="str">
        <f>IF(D120&lt;&gt;0,$H120/D120,"")</f>
        <v/>
      </c>
      <c r="U120" s="10"/>
    </row>
    <row r="121" spans="1:21" x14ac:dyDescent="0.25">
      <c r="A121" s="3" t="s">
        <v>283</v>
      </c>
      <c r="B121" s="17">
        <f>Input!B262+Input!C262+Input!D262</f>
        <v>0</v>
      </c>
      <c r="C121" s="39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33" t="str">
        <f>IF(B121&lt;&gt;0,0.1*D121/B121,"")</f>
        <v/>
      </c>
      <c r="J121" s="41" t="str">
        <f>IF(C121&lt;&gt;0,D121/C121,"")</f>
        <v/>
      </c>
      <c r="K121" s="33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35" t="str">
        <f>IF(E121&lt;&gt;0,$L121/E121,"")</f>
        <v/>
      </c>
      <c r="P121" s="35" t="str">
        <f>IF(E121&lt;&gt;0,$M121/E121,"")</f>
        <v/>
      </c>
      <c r="Q121" s="35" t="str">
        <f>IF(E121&lt;&gt;0,$N121/E121,"")</f>
        <v/>
      </c>
      <c r="R121" s="35" t="str">
        <f>IF(D121&lt;&gt;0,$F121/D121,"")</f>
        <v/>
      </c>
      <c r="S121" s="35" t="str">
        <f>IF(D121&lt;&gt;0,$G121/D121,"")</f>
        <v/>
      </c>
      <c r="T121" s="35" t="str">
        <f>IF(D121&lt;&gt;0,$H121/D121,"")</f>
        <v/>
      </c>
      <c r="U121" s="10"/>
    </row>
    <row r="122" spans="1:21" x14ac:dyDescent="0.25">
      <c r="A122" s="24" t="s">
        <v>284</v>
      </c>
      <c r="U122" s="10"/>
    </row>
    <row r="123" spans="1:21" x14ac:dyDescent="0.25">
      <c r="A123" s="3" t="s">
        <v>183</v>
      </c>
      <c r="B123" s="17">
        <f>Input!B264+Input!C264+Input!D264</f>
        <v>37363.575641600008</v>
      </c>
      <c r="C123" s="39">
        <f>Input!E264</f>
        <v>190.28304665625231</v>
      </c>
      <c r="D123" s="17">
        <f>0.01*Input!F$58*(Adjust!$E300*Input!E264+Adjust!$F300*Input!F264)+10*(Adjust!$B300*Input!B264+Adjust!$C300*Input!C264+Adjust!$D300*Input!D264+Adjust!$G300*Input!G264)</f>
        <v>-228563.71740594562</v>
      </c>
      <c r="E123" s="17">
        <f>10*(Adjust!$B300*Input!B264+Adjust!$C300*Input!C264+Adjust!$D300*Input!D264)</f>
        <v>-233895.98351641605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5332.266110470453</v>
      </c>
      <c r="I123" s="33">
        <f>IF(B123&lt;&gt;0,0.1*D123/B123,"")</f>
        <v>-0.61172870497829568</v>
      </c>
      <c r="J123" s="41">
        <f>IF(C123&lt;&gt;0,D123/C123,"")</f>
        <v>-1201.1775164544617</v>
      </c>
      <c r="K123" s="33">
        <f>IF(B123&lt;&gt;0,0.1*E123/B123,0)</f>
        <v>-0.626</v>
      </c>
      <c r="L123" s="17">
        <f>Adjust!B300*Input!$B264*10</f>
        <v>-233895.98351641605</v>
      </c>
      <c r="M123" s="17">
        <f>Adjust!C300*Input!$C264*10</f>
        <v>0</v>
      </c>
      <c r="N123" s="17">
        <f>Adjust!D300*Input!$D264*10</f>
        <v>0</v>
      </c>
      <c r="O123" s="35">
        <f>IF(E123&lt;&gt;0,$L123/E123,"")</f>
        <v>1</v>
      </c>
      <c r="P123" s="35">
        <f>IF(E123&lt;&gt;0,$M123/E123,"")</f>
        <v>0</v>
      </c>
      <c r="Q123" s="35">
        <f>IF(E123&lt;&gt;0,$N123/E123,"")</f>
        <v>0</v>
      </c>
      <c r="R123" s="35">
        <f>IF(D123&lt;&gt;0,$F123/D123,"")</f>
        <v>0</v>
      </c>
      <c r="S123" s="35">
        <f>IF(D123&lt;&gt;0,$G123/D123,"")</f>
        <v>0</v>
      </c>
      <c r="T123" s="35">
        <f>IF(D123&lt;&gt;0,$H123/D123,"")</f>
        <v>-2.3329451283818439E-2</v>
      </c>
      <c r="U123" s="10"/>
    </row>
    <row r="124" spans="1:21" x14ac:dyDescent="0.25">
      <c r="A124" s="3" t="s">
        <v>285</v>
      </c>
      <c r="B124" s="17">
        <f>Input!B265+Input!C265+Input!D265</f>
        <v>0</v>
      </c>
      <c r="C124" s="39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33" t="str">
        <f>IF(B124&lt;&gt;0,0.1*D124/B124,"")</f>
        <v/>
      </c>
      <c r="J124" s="41" t="str">
        <f>IF(C124&lt;&gt;0,D124/C124,"")</f>
        <v/>
      </c>
      <c r="K124" s="33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35" t="str">
        <f>IF(E124&lt;&gt;0,$L124/E124,"")</f>
        <v/>
      </c>
      <c r="P124" s="35" t="str">
        <f>IF(E124&lt;&gt;0,$M124/E124,"")</f>
        <v/>
      </c>
      <c r="Q124" s="35" t="str">
        <f>IF(E124&lt;&gt;0,$N124/E124,"")</f>
        <v/>
      </c>
      <c r="R124" s="35" t="str">
        <f>IF(D124&lt;&gt;0,$F124/D124,"")</f>
        <v/>
      </c>
      <c r="S124" s="35" t="str">
        <f>IF(D124&lt;&gt;0,$G124/D124,"")</f>
        <v/>
      </c>
      <c r="T124" s="35" t="str">
        <f>IF(D124&lt;&gt;0,$H124/D124,"")</f>
        <v/>
      </c>
      <c r="U124" s="10"/>
    </row>
    <row r="125" spans="1:21" x14ac:dyDescent="0.25">
      <c r="A125" s="3" t="s">
        <v>286</v>
      </c>
      <c r="B125" s="17">
        <f>Input!B266+Input!C266+Input!D266</f>
        <v>101.5981142431738</v>
      </c>
      <c r="C125" s="39">
        <f>Input!E266</f>
        <v>0</v>
      </c>
      <c r="D125" s="17">
        <f>0.01*Input!F$58*(Adjust!$E302*Input!E266+Adjust!$F302*Input!F266)+10*(Adjust!$B302*Input!B266+Adjust!$C302*Input!C266+Adjust!$D302*Input!D266+Adjust!$G302*Input!G266)</f>
        <v>-408.61668260065574</v>
      </c>
      <c r="E125" s="17">
        <f>10*(Adjust!$B302*Input!B266+Adjust!$C302*Input!C266+Adjust!$D302*Input!D266)</f>
        <v>-636.00419516226793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227.3875125616122</v>
      </c>
      <c r="I125" s="33">
        <f>IF(B125&lt;&gt;0,0.1*D125/B125,"")</f>
        <v>-0.40218923908630522</v>
      </c>
      <c r="J125" s="41" t="str">
        <f>IF(C125&lt;&gt;0,D125/C125,"")</f>
        <v/>
      </c>
      <c r="K125" s="33">
        <f>IF(B125&lt;&gt;0,0.1*E125/B125,0)</f>
        <v>-0.626</v>
      </c>
      <c r="L125" s="17">
        <f>Adjust!B302*Input!$B266*10</f>
        <v>-636.00419516226793</v>
      </c>
      <c r="M125" s="17">
        <f>Adjust!C302*Input!$C266*10</f>
        <v>0</v>
      </c>
      <c r="N125" s="17">
        <f>Adjust!D302*Input!$D266*10</f>
        <v>0</v>
      </c>
      <c r="O125" s="35">
        <f>IF(E125&lt;&gt;0,$L125/E125,"")</f>
        <v>1</v>
      </c>
      <c r="P125" s="35">
        <f>IF(E125&lt;&gt;0,$M125/E125,"")</f>
        <v>0</v>
      </c>
      <c r="Q125" s="35">
        <f>IF(E125&lt;&gt;0,$N125/E125,"")</f>
        <v>0</v>
      </c>
      <c r="R125" s="35">
        <f>IF(D125&lt;&gt;0,$F125/D125,"")</f>
        <v>0</v>
      </c>
      <c r="S125" s="35">
        <f>IF(D125&lt;&gt;0,$G125/D125,"")</f>
        <v>0</v>
      </c>
      <c r="T125" s="35">
        <f>IF(D125&lt;&gt;0,$H125/D125,"")</f>
        <v>-0.55648122615649487</v>
      </c>
      <c r="U125" s="10"/>
    </row>
    <row r="126" spans="1:21" x14ac:dyDescent="0.25">
      <c r="A126" s="24" t="s">
        <v>287</v>
      </c>
      <c r="U126" s="10"/>
    </row>
    <row r="127" spans="1:21" x14ac:dyDescent="0.25">
      <c r="A127" s="3" t="s">
        <v>184</v>
      </c>
      <c r="B127" s="17">
        <f>Input!B268+Input!C268+Input!D268</f>
        <v>7624.0329628287272</v>
      </c>
      <c r="C127" s="39">
        <f>Input!E268</f>
        <v>71.228947946190701</v>
      </c>
      <c r="D127" s="17">
        <f>0.01*Input!F$58*(Adjust!$E304*Input!E268+Adjust!$F304*Input!F268)+10*(Adjust!$B304*Input!B268+Adjust!$C304*Input!C268+Adjust!$D304*Input!D268+Adjust!$G304*Input!G268)</f>
        <v>-52465.904720757098</v>
      </c>
      <c r="E127" s="17">
        <f>10*(Adjust!$B304*Input!B268+Adjust!$C304*Input!C268+Adjust!$D304*Input!D268)</f>
        <v>-54055.801103399441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1589.896382642346</v>
      </c>
      <c r="I127" s="33">
        <f>IF(B127&lt;&gt;0,0.1*D127/B127,"")</f>
        <v>-0.68816471513904365</v>
      </c>
      <c r="J127" s="41">
        <f>IF(C127&lt;&gt;0,D127/C127,"")</f>
        <v>-736.58121077952774</v>
      </c>
      <c r="K127" s="33">
        <f>IF(B127&lt;&gt;0,0.1*E127/B127,0)</f>
        <v>-0.7090184600060182</v>
      </c>
      <c r="L127" s="17">
        <f>Adjust!B304*Input!$B268*10</f>
        <v>-37854.453909716176</v>
      </c>
      <c r="M127" s="17">
        <f>Adjust!C304*Input!$C268*10</f>
        <v>-14962.978816623427</v>
      </c>
      <c r="N127" s="17">
        <f>Adjust!D304*Input!$D268*10</f>
        <v>-1238.368377059845</v>
      </c>
      <c r="O127" s="35">
        <f>IF(E127&lt;&gt;0,$L127/E127,"")</f>
        <v>0.70028476383704175</v>
      </c>
      <c r="P127" s="35">
        <f>IF(E127&lt;&gt;0,$M127/E127,"")</f>
        <v>0.27680616161809951</v>
      </c>
      <c r="Q127" s="35">
        <f>IF(E127&lt;&gt;0,$N127/E127,"")</f>
        <v>2.2909074544858923E-2</v>
      </c>
      <c r="R127" s="35">
        <f>IF(D127&lt;&gt;0,$F127/D127,"")</f>
        <v>0</v>
      </c>
      <c r="S127" s="35">
        <f>IF(D127&lt;&gt;0,$G127/D127,"")</f>
        <v>0</v>
      </c>
      <c r="T127" s="35">
        <f>IF(D127&lt;&gt;0,$H127/D127,"")</f>
        <v>-3.0303420690148415E-2</v>
      </c>
      <c r="U127" s="10"/>
    </row>
    <row r="128" spans="1:21" x14ac:dyDescent="0.25">
      <c r="A128" s="3" t="s">
        <v>288</v>
      </c>
      <c r="B128" s="17">
        <f>Input!B269+Input!C269+Input!D269</f>
        <v>0</v>
      </c>
      <c r="C128" s="39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33" t="str">
        <f>IF(B128&lt;&gt;0,0.1*D128/B128,"")</f>
        <v/>
      </c>
      <c r="J128" s="41" t="str">
        <f>IF(C128&lt;&gt;0,D128/C128,"")</f>
        <v/>
      </c>
      <c r="K128" s="33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35" t="str">
        <f>IF(E128&lt;&gt;0,$L128/E128,"")</f>
        <v/>
      </c>
      <c r="P128" s="35" t="str">
        <f>IF(E128&lt;&gt;0,$M128/E128,"")</f>
        <v/>
      </c>
      <c r="Q128" s="35" t="str">
        <f>IF(E128&lt;&gt;0,$N128/E128,"")</f>
        <v/>
      </c>
      <c r="R128" s="35" t="str">
        <f>IF(D128&lt;&gt;0,$F128/D128,"")</f>
        <v/>
      </c>
      <c r="S128" s="35" t="str">
        <f>IF(D128&lt;&gt;0,$G128/D128,"")</f>
        <v/>
      </c>
      <c r="T128" s="35" t="str">
        <f>IF(D128&lt;&gt;0,$H128/D128,"")</f>
        <v/>
      </c>
      <c r="U128" s="10"/>
    </row>
    <row r="129" spans="1:21" x14ac:dyDescent="0.25">
      <c r="A129" s="3" t="s">
        <v>289</v>
      </c>
      <c r="B129" s="17">
        <f>Input!B270+Input!C270+Input!D270</f>
        <v>0</v>
      </c>
      <c r="C129" s="39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33" t="str">
        <f>IF(B129&lt;&gt;0,0.1*D129/B129,"")</f>
        <v/>
      </c>
      <c r="J129" s="41" t="str">
        <f>IF(C129&lt;&gt;0,D129/C129,"")</f>
        <v/>
      </c>
      <c r="K129" s="33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35" t="str">
        <f>IF(E129&lt;&gt;0,$L129/E129,"")</f>
        <v/>
      </c>
      <c r="P129" s="35" t="str">
        <f>IF(E129&lt;&gt;0,$M129/E129,"")</f>
        <v/>
      </c>
      <c r="Q129" s="35" t="str">
        <f>IF(E129&lt;&gt;0,$N129/E129,"")</f>
        <v/>
      </c>
      <c r="R129" s="35" t="str">
        <f>IF(D129&lt;&gt;0,$F129/D129,"")</f>
        <v/>
      </c>
      <c r="S129" s="35" t="str">
        <f>IF(D129&lt;&gt;0,$G129/D129,"")</f>
        <v/>
      </c>
      <c r="T129" s="35" t="str">
        <f>IF(D129&lt;&gt;0,$H129/D129,"")</f>
        <v/>
      </c>
      <c r="U129" s="10"/>
    </row>
    <row r="130" spans="1:21" x14ac:dyDescent="0.25">
      <c r="A130" s="24" t="s">
        <v>290</v>
      </c>
      <c r="U130" s="10"/>
    </row>
    <row r="131" spans="1:21" x14ac:dyDescent="0.25">
      <c r="A131" s="3" t="s">
        <v>185</v>
      </c>
      <c r="B131" s="17">
        <f>Input!B272+Input!C272+Input!D272</f>
        <v>1081.2841728000003</v>
      </c>
      <c r="C131" s="39">
        <f>Input!E272</f>
        <v>4.0702255969251837</v>
      </c>
      <c r="D131" s="17">
        <f>0.01*Input!F$58*(Adjust!$E308*Input!E272+Adjust!$F308*Input!F272)+10*(Adjust!$B308*Input!B272+Adjust!$C308*Input!C272+Adjust!$D308*Input!D272+Adjust!$G308*Input!G272)</f>
        <v>-5642.5389059331792</v>
      </c>
      <c r="E131" s="17">
        <f>10*(Adjust!$B308*Input!B272+Adjust!$C308*Input!C272+Adjust!$D308*Input!D272)</f>
        <v>-5903.8115834880027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261.27267755482359</v>
      </c>
      <c r="I131" s="33">
        <f>IF(B131&lt;&gt;0,0.1*D131/B131,"")</f>
        <v>-0.52183681661794301</v>
      </c>
      <c r="J131" s="41">
        <f>IF(C131&lt;&gt;0,D131/C131,"")</f>
        <v>-1386.2963542354473</v>
      </c>
      <c r="K131" s="33">
        <f>IF(B131&lt;&gt;0,0.1*E131/B131,0)</f>
        <v>-0.54600000000000015</v>
      </c>
      <c r="L131" s="17">
        <f>Adjust!B308*Input!$B272*10</f>
        <v>-5903.8115834880027</v>
      </c>
      <c r="M131" s="17">
        <f>Adjust!C308*Input!$C272*10</f>
        <v>0</v>
      </c>
      <c r="N131" s="17">
        <f>Adjust!D308*Input!$D272*10</f>
        <v>0</v>
      </c>
      <c r="O131" s="35">
        <f>IF(E131&lt;&gt;0,$L131/E131,"")</f>
        <v>1</v>
      </c>
      <c r="P131" s="35">
        <f>IF(E131&lt;&gt;0,$M131/E131,"")</f>
        <v>0</v>
      </c>
      <c r="Q131" s="35">
        <f>IF(E131&lt;&gt;0,$N131/E131,"")</f>
        <v>0</v>
      </c>
      <c r="R131" s="35">
        <f>IF(D131&lt;&gt;0,$F131/D131,"")</f>
        <v>0</v>
      </c>
      <c r="S131" s="35">
        <f>IF(D131&lt;&gt;0,$G131/D131,"")</f>
        <v>0</v>
      </c>
      <c r="T131" s="35">
        <f>IF(D131&lt;&gt;0,$H131/D131,"")</f>
        <v>-4.6304098546860364E-2</v>
      </c>
      <c r="U131" s="10"/>
    </row>
    <row r="132" spans="1:21" x14ac:dyDescent="0.25">
      <c r="A132" s="3" t="s">
        <v>291</v>
      </c>
      <c r="B132" s="17">
        <f>Input!B273+Input!C273+Input!D273</f>
        <v>0</v>
      </c>
      <c r="C132" s="39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33" t="str">
        <f>IF(B132&lt;&gt;0,0.1*D132/B132,"")</f>
        <v/>
      </c>
      <c r="J132" s="41" t="str">
        <f>IF(C132&lt;&gt;0,D132/C132,"")</f>
        <v/>
      </c>
      <c r="K132" s="33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35" t="str">
        <f>IF(E132&lt;&gt;0,$L132/E132,"")</f>
        <v/>
      </c>
      <c r="P132" s="35" t="str">
        <f>IF(E132&lt;&gt;0,$M132/E132,"")</f>
        <v/>
      </c>
      <c r="Q132" s="35" t="str">
        <f>IF(E132&lt;&gt;0,$N132/E132,"")</f>
        <v/>
      </c>
      <c r="R132" s="35" t="str">
        <f>IF(D132&lt;&gt;0,$F132/D132,"")</f>
        <v/>
      </c>
      <c r="S132" s="35" t="str">
        <f>IF(D132&lt;&gt;0,$G132/D132,"")</f>
        <v/>
      </c>
      <c r="T132" s="35" t="str">
        <f>IF(D132&lt;&gt;0,$H132/D132,"")</f>
        <v/>
      </c>
      <c r="U132" s="10"/>
    </row>
    <row r="133" spans="1:21" x14ac:dyDescent="0.25">
      <c r="A133" s="24" t="s">
        <v>292</v>
      </c>
      <c r="U133" s="10"/>
    </row>
    <row r="134" spans="1:21" x14ac:dyDescent="0.25">
      <c r="A134" s="3" t="s">
        <v>186</v>
      </c>
      <c r="B134" s="17">
        <f>Input!B275+Input!C275+Input!D275</f>
        <v>4568.3279616</v>
      </c>
      <c r="C134" s="39">
        <f>Input!E275</f>
        <v>1.0175563992312959</v>
      </c>
      <c r="D134" s="17">
        <f>0.01*Input!F$58*(Adjust!$E311*Input!E275+Adjust!$F311*Input!F275)+10*(Adjust!$B311*Input!B275+Adjust!$C311*Input!C275+Adjust!$D311*Input!D275+Adjust!$G311*Input!G275)</f>
        <v>-23489.840706437855</v>
      </c>
      <c r="E134" s="17">
        <f>10*(Adjust!$B311*Input!B275+Adjust!$C311*Input!C275+Adjust!$D311*Input!D275)</f>
        <v>-23558.675625472006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68.834919034150317</v>
      </c>
      <c r="I134" s="33">
        <f>IF(B134&lt;&gt;0,0.1*D134/B134,"")</f>
        <v>-0.5141890184742961</v>
      </c>
      <c r="J134" s="41">
        <f>IF(C134&lt;&gt;0,D134/C134,"")</f>
        <v>-23084.558973028965</v>
      </c>
      <c r="K134" s="33">
        <f>IF(B134&lt;&gt;0,0.1*E134/B134,0)</f>
        <v>-0.51569580431832374</v>
      </c>
      <c r="L134" s="17">
        <f>Adjust!B311*Input!$B275*10</f>
        <v>-17518.423403520006</v>
      </c>
      <c r="M134" s="17">
        <f>Adjust!C311*Input!$C275*10</f>
        <v>-5214.2845747200008</v>
      </c>
      <c r="N134" s="17">
        <f>Adjust!D311*Input!$D275*10</f>
        <v>-825.9676472320001</v>
      </c>
      <c r="O134" s="35">
        <f>IF(E134&lt;&gt;0,$L134/E134,"")</f>
        <v>0.74360815871070507</v>
      </c>
      <c r="P134" s="35">
        <f>IF(E134&lt;&gt;0,$M134/E134,"")</f>
        <v>0.22133182092299941</v>
      </c>
      <c r="Q134" s="35">
        <f>IF(E134&lt;&gt;0,$N134/E134,"")</f>
        <v>3.5060020366295595E-2</v>
      </c>
      <c r="R134" s="35">
        <f>IF(D134&lt;&gt;0,$F134/D134,"")</f>
        <v>0</v>
      </c>
      <c r="S134" s="35">
        <f>IF(D134&lt;&gt;0,$G134/D134,"")</f>
        <v>0</v>
      </c>
      <c r="T134" s="35">
        <f>IF(D134&lt;&gt;0,$H134/D134,"")</f>
        <v>-2.9304123384406239E-3</v>
      </c>
      <c r="U134" s="10"/>
    </row>
    <row r="135" spans="1:21" x14ac:dyDescent="0.25">
      <c r="A135" s="3" t="s">
        <v>293</v>
      </c>
      <c r="B135" s="17">
        <f>Input!B276+Input!C276+Input!D276</f>
        <v>0</v>
      </c>
      <c r="C135" s="39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33" t="str">
        <f>IF(B135&lt;&gt;0,0.1*D135/B135,"")</f>
        <v/>
      </c>
      <c r="J135" s="41" t="str">
        <f>IF(C135&lt;&gt;0,D135/C135,"")</f>
        <v/>
      </c>
      <c r="K135" s="33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35" t="str">
        <f>IF(E135&lt;&gt;0,$L135/E135,"")</f>
        <v/>
      </c>
      <c r="P135" s="35" t="str">
        <f>IF(E135&lt;&gt;0,$M135/E135,"")</f>
        <v/>
      </c>
      <c r="Q135" s="35" t="str">
        <f>IF(E135&lt;&gt;0,$N135/E135,"")</f>
        <v/>
      </c>
      <c r="R135" s="35" t="str">
        <f>IF(D135&lt;&gt;0,$F135/D135,"")</f>
        <v/>
      </c>
      <c r="S135" s="35" t="str">
        <f>IF(D135&lt;&gt;0,$G135/D135,"")</f>
        <v/>
      </c>
      <c r="T135" s="35" t="str">
        <f>IF(D135&lt;&gt;0,$H135/D135,"")</f>
        <v/>
      </c>
      <c r="U135" s="10"/>
    </row>
    <row r="136" spans="1:21" x14ac:dyDescent="0.25">
      <c r="A136" s="24" t="s">
        <v>294</v>
      </c>
      <c r="U136" s="10"/>
    </row>
    <row r="137" spans="1:21" x14ac:dyDescent="0.25">
      <c r="A137" s="3" t="s">
        <v>194</v>
      </c>
      <c r="B137" s="17">
        <f>Input!B278+Input!C278+Input!D278</f>
        <v>159023.41678079998</v>
      </c>
      <c r="C137" s="39">
        <f>Input!E278</f>
        <v>73.633827685838014</v>
      </c>
      <c r="D137" s="17">
        <f>0.01*Input!F$58*(Adjust!$E314*Input!E278+Adjust!$F314*Input!F278)+10*(Adjust!$B314*Input!B278+Adjust!$C314*Input!C278+Adjust!$D314*Input!D278+Adjust!$G314*Input!G278)</f>
        <v>-516120.45860884234</v>
      </c>
      <c r="E137" s="17">
        <f>10*(Adjust!$B314*Input!B278+Adjust!$C314*Input!C278+Adjust!$D314*Input!D278)</f>
        <v>-529547.97788006393</v>
      </c>
      <c r="F137" s="17">
        <f>Adjust!E314*Input!$F$58*Input!$E278/100</f>
        <v>7888.2078754146114</v>
      </c>
      <c r="G137" s="17">
        <f>Adjust!F314*Input!$F$58*Input!$F278/100</f>
        <v>0</v>
      </c>
      <c r="H137" s="17">
        <f>Adjust!G314*Input!$G278*10</f>
        <v>5539.3113958069516</v>
      </c>
      <c r="I137" s="33">
        <f>IF(B137&lt;&gt;0,0.1*D137/B137,"")</f>
        <v>-0.32455626288062328</v>
      </c>
      <c r="J137" s="41">
        <f>IF(C137&lt;&gt;0,D137/C137,"")</f>
        <v>-7009.2846566511944</v>
      </c>
      <c r="K137" s="33">
        <f>IF(B137&lt;&gt;0,0.1*E137/B137,0)</f>
        <v>-0.33300000000000002</v>
      </c>
      <c r="L137" s="17">
        <f>Adjust!B314*Input!$B278*10</f>
        <v>-529547.97788006393</v>
      </c>
      <c r="M137" s="17">
        <f>Adjust!C314*Input!$C278*10</f>
        <v>0</v>
      </c>
      <c r="N137" s="17">
        <f>Adjust!D314*Input!$D278*10</f>
        <v>0</v>
      </c>
      <c r="O137" s="35">
        <f>IF(E137&lt;&gt;0,$L137/E137,"")</f>
        <v>1</v>
      </c>
      <c r="P137" s="35">
        <f>IF(E137&lt;&gt;0,$M137/E137,"")</f>
        <v>0</v>
      </c>
      <c r="Q137" s="35">
        <f>IF(E137&lt;&gt;0,$N137/E137,"")</f>
        <v>0</v>
      </c>
      <c r="R137" s="35">
        <f>IF(D137&lt;&gt;0,$F137/D137,"")</f>
        <v>-1.5283656642243145E-2</v>
      </c>
      <c r="S137" s="35">
        <f>IF(D137&lt;&gt;0,$G137/D137,"")</f>
        <v>0</v>
      </c>
      <c r="T137" s="35">
        <f>IF(D137&lt;&gt;0,$H137/D137,"")</f>
        <v>-1.0732594113276738E-2</v>
      </c>
      <c r="U137" s="10"/>
    </row>
    <row r="138" spans="1:21" x14ac:dyDescent="0.25">
      <c r="A138" s="3" t="s">
        <v>295</v>
      </c>
      <c r="B138" s="17">
        <f>Input!B279+Input!C279+Input!D279</f>
        <v>72.840429052638285</v>
      </c>
      <c r="C138" s="39">
        <f>Input!E279</f>
        <v>0</v>
      </c>
      <c r="D138" s="17">
        <f>0.01*Input!F$58*(Adjust!$E315*Input!E279+Adjust!$F315*Input!F279)+10*(Adjust!$B315*Input!B279+Adjust!$C315*Input!C279+Adjust!$D315*Input!D279+Adjust!$G315*Input!G279)</f>
        <v>-242.55862874528549</v>
      </c>
      <c r="E138" s="17">
        <f>10*(Adjust!$B315*Input!B279+Adjust!$C315*Input!C279+Adjust!$D315*Input!D279)</f>
        <v>-242.55862874528549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33">
        <f>IF(B138&lt;&gt;0,0.1*D138/B138,"")</f>
        <v>-0.33300000000000002</v>
      </c>
      <c r="J138" s="41" t="str">
        <f>IF(C138&lt;&gt;0,D138/C138,"")</f>
        <v/>
      </c>
      <c r="K138" s="33">
        <f>IF(B138&lt;&gt;0,0.1*E138/B138,0)</f>
        <v>-0.33300000000000002</v>
      </c>
      <c r="L138" s="17">
        <f>Adjust!B315*Input!$B279*10</f>
        <v>-242.55862874528549</v>
      </c>
      <c r="M138" s="17">
        <f>Adjust!C315*Input!$C279*10</f>
        <v>0</v>
      </c>
      <c r="N138" s="17">
        <f>Adjust!D315*Input!$D279*10</f>
        <v>0</v>
      </c>
      <c r="O138" s="35">
        <f>IF(E138&lt;&gt;0,$L138/E138,"")</f>
        <v>1</v>
      </c>
      <c r="P138" s="35">
        <f>IF(E138&lt;&gt;0,$M138/E138,"")</f>
        <v>0</v>
      </c>
      <c r="Q138" s="35">
        <f>IF(E138&lt;&gt;0,$N138/E138,"")</f>
        <v>0</v>
      </c>
      <c r="R138" s="35">
        <f>IF(D138&lt;&gt;0,$F138/D138,"")</f>
        <v>0</v>
      </c>
      <c r="S138" s="35">
        <f>IF(D138&lt;&gt;0,$G138/D138,"")</f>
        <v>0</v>
      </c>
      <c r="T138" s="35">
        <f>IF(D138&lt;&gt;0,$H138/D138,"")</f>
        <v>0</v>
      </c>
      <c r="U138" s="10"/>
    </row>
    <row r="139" spans="1:21" x14ac:dyDescent="0.25">
      <c r="A139" s="24" t="s">
        <v>296</v>
      </c>
      <c r="U139" s="10"/>
    </row>
    <row r="140" spans="1:21" x14ac:dyDescent="0.25">
      <c r="A140" s="3" t="s">
        <v>195</v>
      </c>
      <c r="B140" s="17">
        <f>Input!B281+Input!C281+Input!D281</f>
        <v>679703.31246292731</v>
      </c>
      <c r="C140" s="39">
        <f>Input!E281</f>
        <v>163.40657650829806</v>
      </c>
      <c r="D140" s="17">
        <f>0.01*Input!F$58*(Adjust!$E317*Input!E281+Adjust!$F317*Input!F281)+10*(Adjust!$B317*Input!B281+Adjust!$C317*Input!C281+Adjust!$D317*Input!D281+Adjust!$G317*Input!G281)</f>
        <v>-2411683.4956822433</v>
      </c>
      <c r="E140" s="17">
        <f>10*(Adjust!$B317*Input!B281+Adjust!$C317*Input!C281+Adjust!$D317*Input!D281)</f>
        <v>-2443319.4299727101</v>
      </c>
      <c r="F140" s="17">
        <f>Adjust!E317*Input!$F$58*Input!$E281/100</f>
        <v>17505.338024892699</v>
      </c>
      <c r="G140" s="17">
        <f>Adjust!F317*Input!$F$58*Input!$F281/100</f>
        <v>0</v>
      </c>
      <c r="H140" s="17">
        <f>Adjust!G317*Input!$G281*10</f>
        <v>14130.596265574086</v>
      </c>
      <c r="I140" s="33">
        <f>IF(B140&lt;&gt;0,0.1*D140/B140,"")</f>
        <v>-0.35481414485732443</v>
      </c>
      <c r="J140" s="41">
        <f>IF(C140&lt;&gt;0,D140/C140,"")</f>
        <v>-14758.790908025503</v>
      </c>
      <c r="K140" s="33">
        <f>IF(B140&lt;&gt;0,0.1*E140/B140,0)</f>
        <v>-0.35946851886292297</v>
      </c>
      <c r="L140" s="17">
        <f>Adjust!B317*Input!$B281*10</f>
        <v>-1969049.4329886918</v>
      </c>
      <c r="M140" s="17">
        <f>Adjust!C317*Input!$C281*10</f>
        <v>-418157.11212521035</v>
      </c>
      <c r="N140" s="17">
        <f>Adjust!D317*Input!$D281*10</f>
        <v>-56112.88485880784</v>
      </c>
      <c r="O140" s="35">
        <f>IF(E140&lt;&gt;0,$L140/E140,"")</f>
        <v>0.80589112042983446</v>
      </c>
      <c r="P140" s="35">
        <f>IF(E140&lt;&gt;0,$M140/E140,"")</f>
        <v>0.17114303884935783</v>
      </c>
      <c r="Q140" s="35">
        <f>IF(E140&lt;&gt;0,$N140/E140,"")</f>
        <v>2.2965840720807665E-2</v>
      </c>
      <c r="R140" s="35">
        <f>IF(D140&lt;&gt;0,$F140/D140,"")</f>
        <v>-7.2585553022332218E-3</v>
      </c>
      <c r="S140" s="35">
        <f>IF(D140&lt;&gt;0,$G140/D140,"")</f>
        <v>0</v>
      </c>
      <c r="T140" s="35">
        <f>IF(D140&lt;&gt;0,$H140/D140,"")</f>
        <v>-5.8592250147553749E-3</v>
      </c>
      <c r="U140" s="10"/>
    </row>
    <row r="141" spans="1:21" x14ac:dyDescent="0.25">
      <c r="A141" s="3" t="s">
        <v>297</v>
      </c>
      <c r="B141" s="17">
        <f>Input!B282+Input!C282+Input!D282</f>
        <v>0</v>
      </c>
      <c r="C141" s="39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33" t="str">
        <f>IF(B141&lt;&gt;0,0.1*D141/B141,"")</f>
        <v/>
      </c>
      <c r="J141" s="41" t="str">
        <f>IF(C141&lt;&gt;0,D141/C141,"")</f>
        <v/>
      </c>
      <c r="K141" s="33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35" t="str">
        <f>IF(E141&lt;&gt;0,$L141/E141,"")</f>
        <v/>
      </c>
      <c r="P141" s="35" t="str">
        <f>IF(E141&lt;&gt;0,$M141/E141,"")</f>
        <v/>
      </c>
      <c r="Q141" s="35" t="str">
        <f>IF(E141&lt;&gt;0,$N141/E141,"")</f>
        <v/>
      </c>
      <c r="R141" s="35" t="str">
        <f>IF(D141&lt;&gt;0,$F141/D141,"")</f>
        <v/>
      </c>
      <c r="S141" s="35" t="str">
        <f>IF(D141&lt;&gt;0,$G141/D141,"")</f>
        <v/>
      </c>
      <c r="T141" s="35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1" t="s">
        <v>1643</v>
      </c>
    </row>
    <row r="146" spans="1:9" x14ac:dyDescent="0.25">
      <c r="A146" s="11" t="s">
        <v>1644</v>
      </c>
    </row>
    <row r="147" spans="1:9" x14ac:dyDescent="0.25">
      <c r="A147" s="11" t="s">
        <v>1645</v>
      </c>
    </row>
    <row r="148" spans="1:9" x14ac:dyDescent="0.25">
      <c r="A148" s="11" t="s">
        <v>1646</v>
      </c>
    </row>
    <row r="149" spans="1:9" x14ac:dyDescent="0.25">
      <c r="A149" s="11" t="s">
        <v>1647</v>
      </c>
    </row>
    <row r="150" spans="1:9" x14ac:dyDescent="0.25">
      <c r="A150" s="11" t="s">
        <v>1648</v>
      </c>
    </row>
    <row r="151" spans="1:9" x14ac:dyDescent="0.25">
      <c r="A151" s="11" t="s">
        <v>1649</v>
      </c>
    </row>
    <row r="152" spans="1:9" x14ac:dyDescent="0.25">
      <c r="A152" s="29" t="s">
        <v>359</v>
      </c>
      <c r="B152" s="29" t="s">
        <v>490</v>
      </c>
      <c r="C152" s="29" t="s">
        <v>490</v>
      </c>
      <c r="D152" s="29" t="s">
        <v>490</v>
      </c>
      <c r="E152" s="29" t="s">
        <v>490</v>
      </c>
      <c r="F152" s="29" t="s">
        <v>490</v>
      </c>
      <c r="G152" s="29" t="s">
        <v>490</v>
      </c>
      <c r="H152" s="29" t="s">
        <v>490</v>
      </c>
    </row>
    <row r="153" spans="1:9" x14ac:dyDescent="0.25">
      <c r="A153" s="29" t="s">
        <v>362</v>
      </c>
      <c r="B153" s="29" t="s">
        <v>540</v>
      </c>
      <c r="C153" s="29" t="s">
        <v>541</v>
      </c>
      <c r="D153" s="29" t="s">
        <v>542</v>
      </c>
      <c r="E153" s="29" t="s">
        <v>543</v>
      </c>
      <c r="F153" s="29" t="s">
        <v>492</v>
      </c>
      <c r="G153" s="29" t="s">
        <v>544</v>
      </c>
      <c r="H153" s="29" t="s">
        <v>1650</v>
      </c>
    </row>
    <row r="155" spans="1:9" ht="45" x14ac:dyDescent="0.25">
      <c r="B155" s="12" t="s">
        <v>1651</v>
      </c>
      <c r="C155" s="12" t="s">
        <v>1652</v>
      </c>
      <c r="D155" s="12" t="s">
        <v>1542</v>
      </c>
      <c r="E155" s="12" t="s">
        <v>1653</v>
      </c>
      <c r="F155" s="12" t="s">
        <v>1654</v>
      </c>
      <c r="G155" s="12" t="s">
        <v>1655</v>
      </c>
      <c r="H155" s="12" t="s">
        <v>1656</v>
      </c>
    </row>
    <row r="156" spans="1:9" x14ac:dyDescent="0.25">
      <c r="A156" s="3" t="s">
        <v>1657</v>
      </c>
      <c r="B156" s="17">
        <f>SUM(B$45:B$141)</f>
        <v>25389378.709081095</v>
      </c>
      <c r="C156" s="17">
        <f>SUM(C$45:C$141)</f>
        <v>2728718.6808244498</v>
      </c>
      <c r="D156" s="17">
        <f>SUM(D$45:D$141)</f>
        <v>450342217.27930033</v>
      </c>
      <c r="E156" s="17">
        <f>SUM(E$45:E$141)</f>
        <v>353585878.2935648</v>
      </c>
      <c r="F156" s="17">
        <f>SUM($F$45:$F$141)</f>
        <v>32749462.547275029</v>
      </c>
      <c r="G156" s="17">
        <f>SUM($G$45:$G$141)</f>
        <v>61135063.06306722</v>
      </c>
      <c r="H156" s="17">
        <f>SUM($H$45:$H$141)</f>
        <v>2871813.3753933068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East Midlands in April 17 (Final)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1" t="s">
        <v>171</v>
      </c>
    </row>
    <row r="5" spans="1:1" x14ac:dyDescent="0.25">
      <c r="A5" s="11" t="s">
        <v>172</v>
      </c>
    </row>
    <row r="6" spans="1:1" x14ac:dyDescent="0.25">
      <c r="A6" s="11" t="s">
        <v>211</v>
      </c>
    </row>
    <row r="7" spans="1:1" x14ac:dyDescent="0.25">
      <c r="A7" s="11" t="s">
        <v>173</v>
      </c>
    </row>
    <row r="8" spans="1:1" x14ac:dyDescent="0.25">
      <c r="A8" s="11" t="s">
        <v>174</v>
      </c>
    </row>
    <row r="9" spans="1:1" x14ac:dyDescent="0.25">
      <c r="A9" s="11" t="s">
        <v>212</v>
      </c>
    </row>
    <row r="10" spans="1:1" x14ac:dyDescent="0.25">
      <c r="A10" s="11" t="s">
        <v>175</v>
      </c>
    </row>
    <row r="11" spans="1:1" x14ac:dyDescent="0.25">
      <c r="A11" s="11" t="s">
        <v>176</v>
      </c>
    </row>
    <row r="12" spans="1:1" x14ac:dyDescent="0.25">
      <c r="A12" s="11" t="s">
        <v>192</v>
      </c>
    </row>
    <row r="13" spans="1:1" x14ac:dyDescent="0.25">
      <c r="A13" s="11" t="s">
        <v>177</v>
      </c>
    </row>
    <row r="14" spans="1:1" x14ac:dyDescent="0.25">
      <c r="A14" s="11" t="s">
        <v>178</v>
      </c>
    </row>
    <row r="15" spans="1:1" x14ac:dyDescent="0.25">
      <c r="A15" s="11" t="s">
        <v>179</v>
      </c>
    </row>
    <row r="16" spans="1:1" x14ac:dyDescent="0.25">
      <c r="A16" s="11" t="s">
        <v>180</v>
      </c>
    </row>
    <row r="17" spans="1:1" x14ac:dyDescent="0.25">
      <c r="A17" s="11" t="s">
        <v>193</v>
      </c>
    </row>
    <row r="18" spans="1:1" x14ac:dyDescent="0.25">
      <c r="A18" s="11" t="s">
        <v>213</v>
      </c>
    </row>
    <row r="19" spans="1:1" x14ac:dyDescent="0.25">
      <c r="A19" s="11" t="s">
        <v>214</v>
      </c>
    </row>
    <row r="20" spans="1:1" x14ac:dyDescent="0.25">
      <c r="A20" s="11" t="s">
        <v>215</v>
      </c>
    </row>
    <row r="21" spans="1:1" x14ac:dyDescent="0.25">
      <c r="A21" s="11" t="s">
        <v>216</v>
      </c>
    </row>
    <row r="22" spans="1:1" x14ac:dyDescent="0.25">
      <c r="A22" s="11" t="s">
        <v>217</v>
      </c>
    </row>
    <row r="23" spans="1:1" x14ac:dyDescent="0.25">
      <c r="A23" s="11" t="s">
        <v>181</v>
      </c>
    </row>
    <row r="24" spans="1:1" x14ac:dyDescent="0.25">
      <c r="A24" s="11" t="s">
        <v>182</v>
      </c>
    </row>
    <row r="25" spans="1:1" x14ac:dyDescent="0.25">
      <c r="A25" s="11" t="s">
        <v>183</v>
      </c>
    </row>
    <row r="26" spans="1:1" x14ac:dyDescent="0.25">
      <c r="A26" s="11" t="s">
        <v>184</v>
      </c>
    </row>
    <row r="27" spans="1:1" x14ac:dyDescent="0.25">
      <c r="A27" s="11" t="s">
        <v>185</v>
      </c>
    </row>
    <row r="28" spans="1:1" x14ac:dyDescent="0.25">
      <c r="A28" s="11" t="s">
        <v>186</v>
      </c>
    </row>
    <row r="29" spans="1:1" x14ac:dyDescent="0.25">
      <c r="A29" s="11" t="s">
        <v>194</v>
      </c>
    </row>
    <row r="30" spans="1:1" x14ac:dyDescent="0.25">
      <c r="A30" s="11" t="s">
        <v>195</v>
      </c>
    </row>
    <row r="33" spans="1:7" ht="21" customHeight="1" x14ac:dyDescent="0.3">
      <c r="A33" s="1" t="s">
        <v>171</v>
      </c>
    </row>
    <row r="35" spans="1:7" x14ac:dyDescent="0.25">
      <c r="B35" s="12" t="s">
        <v>222</v>
      </c>
      <c r="C35" s="12" t="s">
        <v>225</v>
      </c>
      <c r="D35" s="12" t="s">
        <v>1658</v>
      </c>
      <c r="E35" s="12" t="s">
        <v>1659</v>
      </c>
    </row>
    <row r="36" spans="1:7" x14ac:dyDescent="0.25">
      <c r="A36" s="3" t="s">
        <v>171</v>
      </c>
      <c r="B36" s="39">
        <f>Loads!B$302</f>
        <v>5219529.2468754714</v>
      </c>
      <c r="C36" s="39">
        <f>Loads!E$302</f>
        <v>1573884.4683723808</v>
      </c>
      <c r="D36" s="39">
        <f>Multi!B$119</f>
        <v>5219529.2468754714</v>
      </c>
      <c r="E36" s="33">
        <f>IF(C36,D36/C36,"")</f>
        <v>3.3163356979265468</v>
      </c>
      <c r="F36" s="10"/>
    </row>
    <row r="38" spans="1:7" ht="30" x14ac:dyDescent="0.25">
      <c r="B38" s="12" t="s">
        <v>1489</v>
      </c>
      <c r="C38" s="12" t="s">
        <v>1492</v>
      </c>
      <c r="D38" s="12" t="s">
        <v>1660</v>
      </c>
      <c r="E38" s="12" t="s">
        <v>1630</v>
      </c>
      <c r="F38" s="12" t="s">
        <v>1661</v>
      </c>
    </row>
    <row r="39" spans="1:7" x14ac:dyDescent="0.25">
      <c r="A39" s="3" t="s">
        <v>456</v>
      </c>
      <c r="B39" s="34">
        <f>Standing!$C$79</f>
        <v>0.14852313018664284</v>
      </c>
      <c r="C39" s="42">
        <f>AggCap!$C$89</f>
        <v>0</v>
      </c>
      <c r="D39" s="17">
        <f>0.01*Input!$F$58*(C39*$C$36)+10*(B39*$B$36)</f>
        <v>7752208.218466755</v>
      </c>
      <c r="E39" s="33">
        <f t="shared" ref="E39:E61" si="0">IF($D$36&lt;&gt;0,0.1*D39/$D$36,"")</f>
        <v>0.14852313018664287</v>
      </c>
      <c r="F39" s="41">
        <f t="shared" ref="F39:F61" si="1">IF($C$36&lt;&gt;0,D39/$C$36,"")</f>
        <v>4.9255255860575557</v>
      </c>
      <c r="G39" s="10"/>
    </row>
    <row r="40" spans="1:7" x14ac:dyDescent="0.25">
      <c r="A40" s="3" t="s">
        <v>457</v>
      </c>
      <c r="B40" s="34">
        <f>Standing!$D$79</f>
        <v>7.4754271398667582E-2</v>
      </c>
      <c r="C40" s="42">
        <f>AggCap!$D$89</f>
        <v>0</v>
      </c>
      <c r="D40" s="17">
        <f>0.01*Input!$F$58*(C40*$C$36)+10*(B40*$B$36)</f>
        <v>3901821.0589421205</v>
      </c>
      <c r="E40" s="33">
        <f t="shared" si="0"/>
        <v>7.4754271398667596E-2</v>
      </c>
      <c r="F40" s="41">
        <f t="shared" si="1"/>
        <v>2.4791025881189079</v>
      </c>
      <c r="G40" s="10"/>
    </row>
    <row r="41" spans="1:7" x14ac:dyDescent="0.25">
      <c r="A41" s="3" t="s">
        <v>458</v>
      </c>
      <c r="B41" s="34">
        <f>Standing!$E$79</f>
        <v>8.62399448715995E-2</v>
      </c>
      <c r="C41" s="42">
        <f>AggCap!$E$89</f>
        <v>0</v>
      </c>
      <c r="D41" s="17">
        <f>0.01*Input!$F$58*(C41*$C$36)+10*(B41*$B$36)</f>
        <v>4501319.1450624187</v>
      </c>
      <c r="E41" s="33">
        <f t="shared" si="0"/>
        <v>8.62399448715995E-2</v>
      </c>
      <c r="F41" s="41">
        <f t="shared" si="1"/>
        <v>2.8600060776490279</v>
      </c>
      <c r="G41" s="10"/>
    </row>
    <row r="42" spans="1:7" x14ac:dyDescent="0.25">
      <c r="A42" s="3" t="s">
        <v>459</v>
      </c>
      <c r="B42" s="34">
        <f>Standing!$F$79</f>
        <v>0.13973897707816488</v>
      </c>
      <c r="C42" s="42">
        <f>AggCap!$F$89</f>
        <v>0</v>
      </c>
      <c r="D42" s="17">
        <f>0.01*Input!$F$58*(C42*$C$36)+10*(B42*$B$36)</f>
        <v>7293716.7778794272</v>
      </c>
      <c r="E42" s="33">
        <f t="shared" si="0"/>
        <v>0.13973897707816491</v>
      </c>
      <c r="F42" s="41">
        <f t="shared" si="1"/>
        <v>4.6342135807605764</v>
      </c>
      <c r="G42" s="10"/>
    </row>
    <row r="43" spans="1:7" x14ac:dyDescent="0.25">
      <c r="A43" s="3" t="s">
        <v>460</v>
      </c>
      <c r="B43" s="34">
        <f>Standing!$G$79</f>
        <v>1.2414163943780492E-2</v>
      </c>
      <c r="C43" s="42">
        <f>AggCap!$G$89</f>
        <v>0</v>
      </c>
      <c r="D43" s="17">
        <f>0.01*Input!$F$58*(C43*$C$36)+10*(B43*$B$36)</f>
        <v>647960.91780069226</v>
      </c>
      <c r="E43" s="33">
        <f t="shared" si="0"/>
        <v>1.2414163943780492E-2</v>
      </c>
      <c r="F43" s="41">
        <f t="shared" si="1"/>
        <v>0.41169535046671851</v>
      </c>
      <c r="G43" s="10"/>
    </row>
    <row r="44" spans="1:7" x14ac:dyDescent="0.25">
      <c r="A44" s="3" t="s">
        <v>461</v>
      </c>
      <c r="B44" s="34">
        <f>Standing!$H$79</f>
        <v>0.18204787888387178</v>
      </c>
      <c r="C44" s="42">
        <f>AggCap!$H$89</f>
        <v>0</v>
      </c>
      <c r="D44" s="17">
        <f>0.01*Input!$F$58*(C44*$C$36)+10*(B44*$B$36)</f>
        <v>9502042.2816601228</v>
      </c>
      <c r="E44" s="33">
        <f t="shared" si="0"/>
        <v>0.18204787888387178</v>
      </c>
      <c r="F44" s="41">
        <f t="shared" si="1"/>
        <v>6.0373187947439231</v>
      </c>
      <c r="G44" s="10"/>
    </row>
    <row r="45" spans="1:7" x14ac:dyDescent="0.25">
      <c r="A45" s="3" t="s">
        <v>462</v>
      </c>
      <c r="B45" s="34">
        <f>Standing!$I$79</f>
        <v>4.3206831031642211E-2</v>
      </c>
      <c r="C45" s="42">
        <f>AggCap!$I$89</f>
        <v>0</v>
      </c>
      <c r="D45" s="17">
        <f>0.01*Input!$F$58*(C45*$C$36)+10*(B45*$B$36)</f>
        <v>2255193.1823446322</v>
      </c>
      <c r="E45" s="33">
        <f t="shared" si="0"/>
        <v>4.3206831031642211E-2</v>
      </c>
      <c r="F45" s="41">
        <f t="shared" si="1"/>
        <v>1.4328835614451554</v>
      </c>
      <c r="G45" s="10"/>
    </row>
    <row r="46" spans="1:7" x14ac:dyDescent="0.25">
      <c r="A46" s="3" t="s">
        <v>463</v>
      </c>
      <c r="B46" s="34">
        <f>Standing!$J$79</f>
        <v>0</v>
      </c>
      <c r="C46" s="42">
        <f>AggCap!$J$89</f>
        <v>0.16643941058449349</v>
      </c>
      <c r="D46" s="17">
        <f>0.01*Input!$F$58*(C46*$C$36)+10*(B46*$B$36)</f>
        <v>956140.87184055604</v>
      </c>
      <c r="E46" s="33">
        <f t="shared" si="0"/>
        <v>1.8318526951696338E-2</v>
      </c>
      <c r="F46" s="41">
        <f t="shared" si="1"/>
        <v>0.60750384863340123</v>
      </c>
      <c r="G46" s="10"/>
    </row>
    <row r="47" spans="1:7" x14ac:dyDescent="0.25">
      <c r="A47" s="3" t="s">
        <v>1662</v>
      </c>
      <c r="B47" s="9"/>
      <c r="C47" s="42">
        <f>SM!$B$106</f>
        <v>0</v>
      </c>
      <c r="D47" s="17">
        <f>0.01*Input!$F$58*(C47*$C$36)+10*(B47*$B$36)</f>
        <v>0</v>
      </c>
      <c r="E47" s="33">
        <f t="shared" si="0"/>
        <v>0</v>
      </c>
      <c r="F47" s="41">
        <f t="shared" si="1"/>
        <v>0</v>
      </c>
      <c r="G47" s="10"/>
    </row>
    <row r="48" spans="1:7" x14ac:dyDescent="0.25">
      <c r="A48" s="3" t="s">
        <v>1663</v>
      </c>
      <c r="B48" s="9"/>
      <c r="C48" s="42">
        <f>SM!$C$106</f>
        <v>0</v>
      </c>
      <c r="D48" s="17">
        <f>0.01*Input!$F$58*(C48*$C$36)+10*(B48*$B$36)</f>
        <v>0</v>
      </c>
      <c r="E48" s="33">
        <f t="shared" si="0"/>
        <v>0</v>
      </c>
      <c r="F48" s="41">
        <f t="shared" si="1"/>
        <v>0</v>
      </c>
      <c r="G48" s="10"/>
    </row>
    <row r="49" spans="1:7" x14ac:dyDescent="0.25">
      <c r="A49" s="3" t="s">
        <v>1664</v>
      </c>
      <c r="B49" s="34">
        <f>Standing!$K$79</f>
        <v>6.5046388581286266E-2</v>
      </c>
      <c r="C49" s="42">
        <f>AggCap!$K$89</f>
        <v>0</v>
      </c>
      <c r="D49" s="17">
        <f>0.01*Input!$F$58*(C49*$C$36)+10*(B49*$B$36)</f>
        <v>3395115.2760365037</v>
      </c>
      <c r="E49" s="33">
        <f t="shared" si="0"/>
        <v>6.504638858128628E-2</v>
      </c>
      <c r="F49" s="41">
        <f t="shared" si="1"/>
        <v>2.1571566047332134</v>
      </c>
      <c r="G49" s="10"/>
    </row>
    <row r="50" spans="1:7" x14ac:dyDescent="0.25">
      <c r="A50" s="3" t="s">
        <v>1665</v>
      </c>
      <c r="B50" s="34">
        <f>Standing!$L$79</f>
        <v>6.7217662935232222E-2</v>
      </c>
      <c r="C50" s="42">
        <f>AggCap!$L$89</f>
        <v>0</v>
      </c>
      <c r="D50" s="17">
        <f>0.01*Input!$F$58*(C50*$C$36)+10*(B50*$B$36)</f>
        <v>3508445.575970619</v>
      </c>
      <c r="E50" s="33">
        <f t="shared" si="0"/>
        <v>6.7217662935232222E-2</v>
      </c>
      <c r="F50" s="41">
        <f t="shared" si="1"/>
        <v>2.2291633512330469</v>
      </c>
      <c r="G50" s="10"/>
    </row>
    <row r="51" spans="1:7" x14ac:dyDescent="0.25">
      <c r="A51" s="3" t="s">
        <v>1666</v>
      </c>
      <c r="B51" s="34">
        <f>Standing!$M$79</f>
        <v>3.3831817384470962E-2</v>
      </c>
      <c r="C51" s="42">
        <f>AggCap!$M$89</f>
        <v>0</v>
      </c>
      <c r="D51" s="17">
        <f>0.01*Input!$F$58*(C51*$C$36)+10*(B51*$B$36)</f>
        <v>1765861.603131962</v>
      </c>
      <c r="E51" s="33">
        <f t="shared" si="0"/>
        <v>3.3831817384470962E-2</v>
      </c>
      <c r="F51" s="41">
        <f t="shared" si="1"/>
        <v>1.1219766371785298</v>
      </c>
      <c r="G51" s="10"/>
    </row>
    <row r="52" spans="1:7" x14ac:dyDescent="0.25">
      <c r="A52" s="3" t="s">
        <v>1667</v>
      </c>
      <c r="B52" s="34">
        <f>Standing!$N$79</f>
        <v>3.9029931153804306E-2</v>
      </c>
      <c r="C52" s="42">
        <f>AggCap!$N$89</f>
        <v>0</v>
      </c>
      <c r="D52" s="17">
        <f>0.01*Input!$F$58*(C52*$C$36)+10*(B52*$B$36)</f>
        <v>2037178.671608177</v>
      </c>
      <c r="E52" s="33">
        <f t="shared" si="0"/>
        <v>3.9029931153804313E-2</v>
      </c>
      <c r="F52" s="41">
        <f t="shared" si="1"/>
        <v>1.2943635397297668</v>
      </c>
      <c r="G52" s="10"/>
    </row>
    <row r="53" spans="1:7" x14ac:dyDescent="0.25">
      <c r="A53" s="3" t="s">
        <v>1668</v>
      </c>
      <c r="B53" s="34">
        <f>Standing!$O$79</f>
        <v>6.3242186239614848E-2</v>
      </c>
      <c r="C53" s="42">
        <f>AggCap!$O$89</f>
        <v>0</v>
      </c>
      <c r="D53" s="17">
        <f>0.01*Input!$F$58*(C53*$C$36)+10*(B53*$B$36)</f>
        <v>3300944.4071401516</v>
      </c>
      <c r="E53" s="33">
        <f t="shared" si="0"/>
        <v>6.3242186239614848E-2</v>
      </c>
      <c r="F53" s="41">
        <f t="shared" si="1"/>
        <v>2.0973231984135374</v>
      </c>
      <c r="G53" s="10"/>
    </row>
    <row r="54" spans="1:7" x14ac:dyDescent="0.25">
      <c r="A54" s="3" t="s">
        <v>1669</v>
      </c>
      <c r="B54" s="34">
        <f>Standing!$P$79</f>
        <v>5.6183241394598283E-3</v>
      </c>
      <c r="C54" s="42">
        <f>AggCap!$P$89</f>
        <v>0</v>
      </c>
      <c r="D54" s="17">
        <f>0.01*Input!$F$58*(C54*$C$36)+10*(B54*$B$36)</f>
        <v>293250.07164337038</v>
      </c>
      <c r="E54" s="33">
        <f t="shared" si="0"/>
        <v>5.6183241394598283E-3</v>
      </c>
      <c r="F54" s="41">
        <f t="shared" si="1"/>
        <v>0.18632248906213073</v>
      </c>
      <c r="G54" s="10"/>
    </row>
    <row r="55" spans="1:7" x14ac:dyDescent="0.25">
      <c r="A55" s="3" t="s">
        <v>1670</v>
      </c>
      <c r="B55" s="34">
        <f>Standing!$Q$79</f>
        <v>0.15817889148093411</v>
      </c>
      <c r="C55" s="42">
        <f>AggCap!$Q$89</f>
        <v>0</v>
      </c>
      <c r="D55" s="17">
        <f>0.01*Input!$F$58*(C55*$C$36)+10*(B55*$B$36)</f>
        <v>8256193.5032307692</v>
      </c>
      <c r="E55" s="33">
        <f t="shared" si="0"/>
        <v>0.15817889148093411</v>
      </c>
      <c r="F55" s="41">
        <f t="shared" si="1"/>
        <v>5.2457430447667113</v>
      </c>
      <c r="G55" s="10"/>
    </row>
    <row r="56" spans="1:7" x14ac:dyDescent="0.25">
      <c r="A56" s="3" t="s">
        <v>1671</v>
      </c>
      <c r="B56" s="34">
        <f>Standing!$R$79</f>
        <v>6.7179242273124815E-2</v>
      </c>
      <c r="C56" s="42">
        <f>AggCap!$R$89</f>
        <v>0</v>
      </c>
      <c r="D56" s="17">
        <f>0.01*Input!$F$58*(C56*$C$36)+10*(B56*$B$36)</f>
        <v>3506440.19827508</v>
      </c>
      <c r="E56" s="33">
        <f t="shared" si="0"/>
        <v>6.7179242273124815E-2</v>
      </c>
      <c r="F56" s="41">
        <f t="shared" si="1"/>
        <v>2.2278891931001996</v>
      </c>
      <c r="G56" s="10"/>
    </row>
    <row r="57" spans="1:7" x14ac:dyDescent="0.25">
      <c r="A57" s="3" t="s">
        <v>1672</v>
      </c>
      <c r="B57" s="34">
        <f>Standing!$S$79</f>
        <v>0</v>
      </c>
      <c r="C57" s="42">
        <f>AggCap!$S$89</f>
        <v>1.2290949334079249</v>
      </c>
      <c r="D57" s="17">
        <f>0.01*Input!$F$58*(C57*$C$36)+10*(B57*$B$36)</f>
        <v>7060755.0043376032</v>
      </c>
      <c r="E57" s="33">
        <f t="shared" si="0"/>
        <v>0.1352757053438168</v>
      </c>
      <c r="F57" s="41">
        <f t="shared" si="1"/>
        <v>4.486196506938926</v>
      </c>
      <c r="G57" s="10"/>
    </row>
    <row r="58" spans="1:7" x14ac:dyDescent="0.25">
      <c r="A58" s="3" t="s">
        <v>1673</v>
      </c>
      <c r="B58" s="9"/>
      <c r="C58" s="42">
        <f>Otex!$B$121</f>
        <v>1.725053976857601</v>
      </c>
      <c r="D58" s="17">
        <f>0.01*Input!$F$58*(C58*$C$36)+10*(B58*$B$36)</f>
        <v>9909880.1636726819</v>
      </c>
      <c r="E58" s="33">
        <f t="shared" si="0"/>
        <v>0.18986156978821342</v>
      </c>
      <c r="F58" s="41">
        <f t="shared" si="1"/>
        <v>6.2964470155302443</v>
      </c>
      <c r="G58" s="10"/>
    </row>
    <row r="59" spans="1:7" x14ac:dyDescent="0.25">
      <c r="A59" s="3" t="s">
        <v>1674</v>
      </c>
      <c r="B59" s="9"/>
      <c r="C59" s="42">
        <f>Otex!$C$121</f>
        <v>0</v>
      </c>
      <c r="D59" s="17">
        <f>0.01*Input!$F$58*(C59*$C$36)+10*(B59*$B$36)</f>
        <v>0</v>
      </c>
      <c r="E59" s="33">
        <f t="shared" si="0"/>
        <v>0</v>
      </c>
      <c r="F59" s="41">
        <f t="shared" si="1"/>
        <v>0</v>
      </c>
      <c r="G59" s="10"/>
    </row>
    <row r="60" spans="1:7" x14ac:dyDescent="0.25">
      <c r="A60" s="3" t="s">
        <v>1675</v>
      </c>
      <c r="B60" s="34">
        <f>Scaler!$B$416</f>
        <v>0.88273036155132034</v>
      </c>
      <c r="C60" s="42">
        <f>Scaler!$E$416</f>
        <v>0</v>
      </c>
      <c r="D60" s="17">
        <f>0.01*Input!$F$58*(C60*$C$36)+10*(B60*$B$36)</f>
        <v>46074369.392220758</v>
      </c>
      <c r="E60" s="33">
        <f t="shared" si="0"/>
        <v>0.88273036155132045</v>
      </c>
      <c r="F60" s="41">
        <f t="shared" si="1"/>
        <v>29.274302096562508</v>
      </c>
      <c r="G60" s="10"/>
    </row>
    <row r="61" spans="1:7" x14ac:dyDescent="0.25">
      <c r="A61" s="3" t="s">
        <v>1676</v>
      </c>
      <c r="B61" s="34">
        <f>Adjust!$B$72</f>
        <v>-3.1336169215023801E-9</v>
      </c>
      <c r="C61" s="42">
        <f>Adjust!$E$72</f>
        <v>-5.8832085001903067E-4</v>
      </c>
      <c r="D61" s="17">
        <f>0.01*Input!$F$58*(C61*$C$36)+10*(B61*$B$36)</f>
        <v>-3379.8775862174534</v>
      </c>
      <c r="E61" s="33">
        <f t="shared" si="0"/>
        <v>-6.4754452487084433E-5</v>
      </c>
      <c r="F61" s="41">
        <f t="shared" si="1"/>
        <v>-2.1474750238260659E-3</v>
      </c>
      <c r="G61" s="10"/>
    </row>
    <row r="63" spans="1:7" x14ac:dyDescent="0.25">
      <c r="A63" s="3" t="s">
        <v>1677</v>
      </c>
      <c r="B63" s="33">
        <f>SUM($B$39:$B$61)</f>
        <v>2.069</v>
      </c>
      <c r="C63" s="41">
        <f>SUM($C$39:$C$61)</f>
        <v>3.12</v>
      </c>
      <c r="D63" s="17">
        <f>SUM($D$39:$D$61)</f>
        <v>125915456.4436782</v>
      </c>
      <c r="E63" s="33">
        <f>SUM($E$39:$E$61)</f>
        <v>2.4123910507648563</v>
      </c>
      <c r="F63" s="41">
        <f>SUM($F$39:$F$61)</f>
        <v>80.002985590100238</v>
      </c>
    </row>
    <row r="65" spans="1:9" ht="21" customHeight="1" x14ac:dyDescent="0.3">
      <c r="A65" s="1" t="s">
        <v>172</v>
      </c>
    </row>
    <row r="67" spans="1:9" x14ac:dyDescent="0.25">
      <c r="B67" s="12" t="s">
        <v>222</v>
      </c>
      <c r="C67" s="12" t="s">
        <v>223</v>
      </c>
      <c r="D67" s="12" t="s">
        <v>225</v>
      </c>
      <c r="E67" s="12" t="s">
        <v>1658</v>
      </c>
      <c r="F67" s="12" t="s">
        <v>1659</v>
      </c>
    </row>
    <row r="68" spans="1:9" x14ac:dyDescent="0.25">
      <c r="A68" s="3" t="s">
        <v>172</v>
      </c>
      <c r="B68" s="39">
        <f>Loads!B$303</f>
        <v>2680579.1879903618</v>
      </c>
      <c r="C68" s="39">
        <f>Loads!C$303</f>
        <v>1239740.9642813858</v>
      </c>
      <c r="D68" s="39">
        <f>Loads!E$303</f>
        <v>892009.18841465167</v>
      </c>
      <c r="E68" s="39">
        <f>Multi!B$120</f>
        <v>3920320.1522717476</v>
      </c>
      <c r="F68" s="33">
        <f>IF(D68,E68/D68,"")</f>
        <v>4.3949324773652236</v>
      </c>
      <c r="G68" s="10"/>
    </row>
    <row r="70" spans="1:9" ht="30" x14ac:dyDescent="0.25">
      <c r="B70" s="12" t="s">
        <v>1489</v>
      </c>
      <c r="C70" s="12" t="s">
        <v>1490</v>
      </c>
      <c r="D70" s="12" t="s">
        <v>1492</v>
      </c>
      <c r="E70" s="12" t="s">
        <v>1678</v>
      </c>
      <c r="F70" s="12" t="s">
        <v>1660</v>
      </c>
      <c r="G70" s="12" t="s">
        <v>1630</v>
      </c>
      <c r="H70" s="12" t="s">
        <v>1661</v>
      </c>
    </row>
    <row r="71" spans="1:9" x14ac:dyDescent="0.25">
      <c r="A71" s="3" t="s">
        <v>456</v>
      </c>
      <c r="B71" s="34">
        <f>Standing!$C$80</f>
        <v>0.17991228142212476</v>
      </c>
      <c r="C71" s="34">
        <f>Standing!$C$106</f>
        <v>1.838487587674956E-3</v>
      </c>
      <c r="D71" s="42">
        <f>AggCap!$C$90</f>
        <v>0</v>
      </c>
      <c r="E71" s="33">
        <f t="shared" ref="E71:E93" si="2">IF(E$68&lt;&gt;0,(($B71*B$68+$C71*C$68))/E$68,0)</f>
        <v>0.12359918241319909</v>
      </c>
      <c r="F71" s="17">
        <f>0.01*Input!$F$58*(D71*$D$68)+10*(B71*$B$68+C71*$C$68)</f>
        <v>4845483.6561877616</v>
      </c>
      <c r="G71" s="33">
        <f t="shared" ref="G71:G93" si="3">IF($E$68&lt;&gt;0,0.1*F71/$E$68,"")</f>
        <v>0.12359918241319909</v>
      </c>
      <c r="H71" s="41">
        <f t="shared" ref="H71:H93" si="4">IF($D$68&lt;&gt;0,F71/$D$68,"")</f>
        <v>5.4321006096355724</v>
      </c>
      <c r="I71" s="10"/>
    </row>
    <row r="72" spans="1:9" x14ac:dyDescent="0.25">
      <c r="A72" s="3" t="s">
        <v>457</v>
      </c>
      <c r="B72" s="34">
        <f>Standing!$D$80</f>
        <v>9.0552976472296987E-2</v>
      </c>
      <c r="C72" s="34">
        <f>Standing!$D$106</f>
        <v>9.2534273900251576E-4</v>
      </c>
      <c r="D72" s="42">
        <f>AggCap!$D$90</f>
        <v>0</v>
      </c>
      <c r="E72" s="33">
        <f t="shared" si="2"/>
        <v>6.2209615533679673E-2</v>
      </c>
      <c r="F72" s="17">
        <f>0.01*Input!$F$58*(D72*$D$68)+10*(B72*$B$68+C72*$C$68)</f>
        <v>2438816.0944176195</v>
      </c>
      <c r="G72" s="33">
        <f t="shared" si="3"/>
        <v>6.2209615533679673E-2</v>
      </c>
      <c r="H72" s="41">
        <f t="shared" si="4"/>
        <v>2.7340705971337287</v>
      </c>
      <c r="I72" s="10"/>
    </row>
    <row r="73" spans="1:9" x14ac:dyDescent="0.25">
      <c r="A73" s="3" t="s">
        <v>458</v>
      </c>
      <c r="B73" s="34">
        <f>Standing!$E$80</f>
        <v>0.10456734005644332</v>
      </c>
      <c r="C73" s="34">
        <f>Standing!$E$106</f>
        <v>4.854092270510907E-3</v>
      </c>
      <c r="D73" s="42">
        <f>AggCap!$E$90</f>
        <v>0</v>
      </c>
      <c r="E73" s="33">
        <f t="shared" si="2"/>
        <v>7.3034558763026225E-2</v>
      </c>
      <c r="F73" s="17">
        <f>0.01*Input!$F$58*(D73*$D$68)+10*(B73*$B$68+C73*$C$68)</f>
        <v>2863188.5253096689</v>
      </c>
      <c r="G73" s="33">
        <f t="shared" si="3"/>
        <v>7.3034558763026239E-2</v>
      </c>
      <c r="H73" s="41">
        <f t="shared" si="4"/>
        <v>3.2098195427766285</v>
      </c>
      <c r="I73" s="10"/>
    </row>
    <row r="74" spans="1:9" x14ac:dyDescent="0.25">
      <c r="A74" s="3" t="s">
        <v>459</v>
      </c>
      <c r="B74" s="34">
        <f>Standing!$F$80</f>
        <v>0.16943578937843298</v>
      </c>
      <c r="C74" s="34">
        <f>Standing!$F$106</f>
        <v>7.8653330487877E-3</v>
      </c>
      <c r="D74" s="42">
        <f>AggCap!$F$90</f>
        <v>0</v>
      </c>
      <c r="E74" s="33">
        <f t="shared" si="2"/>
        <v>0.11834161707890155</v>
      </c>
      <c r="F74" s="17">
        <f>0.01*Input!$F$58*(D74*$D$68)+10*(B74*$B$68+C74*$C$68)</f>
        <v>4639370.2628684416</v>
      </c>
      <c r="G74" s="33">
        <f t="shared" si="3"/>
        <v>0.11834161707890155</v>
      </c>
      <c r="H74" s="41">
        <f t="shared" si="4"/>
        <v>5.201034163239834</v>
      </c>
      <c r="I74" s="10"/>
    </row>
    <row r="75" spans="1:9" x14ac:dyDescent="0.25">
      <c r="A75" s="3" t="s">
        <v>460</v>
      </c>
      <c r="B75" s="34">
        <f>Standing!$G$80</f>
        <v>1.5037796161898371E-2</v>
      </c>
      <c r="C75" s="34">
        <f>Standing!$G$106</f>
        <v>1.5366822860063168E-4</v>
      </c>
      <c r="D75" s="42">
        <f>AggCap!$G$90</f>
        <v>0</v>
      </c>
      <c r="E75" s="33">
        <f t="shared" si="2"/>
        <v>1.0330919580448458E-2</v>
      </c>
      <c r="F75" s="17">
        <f>0.01*Input!$F$58*(D75*$D$68)+10*(B75*$B$68+C75*$C$68)</f>
        <v>405005.12222730875</v>
      </c>
      <c r="G75" s="33">
        <f t="shared" si="3"/>
        <v>1.0330919580448458E-2</v>
      </c>
      <c r="H75" s="41">
        <f t="shared" si="4"/>
        <v>0.45403693985161236</v>
      </c>
      <c r="I75" s="10"/>
    </row>
    <row r="76" spans="1:9" x14ac:dyDescent="0.25">
      <c r="A76" s="3" t="s">
        <v>461</v>
      </c>
      <c r="B76" s="34">
        <f>Standing!$H$80</f>
        <v>0.22073602303603793</v>
      </c>
      <c r="C76" s="34">
        <f>Standing!$H$106</f>
        <v>1.0246727349707755E-2</v>
      </c>
      <c r="D76" s="42">
        <f>AggCap!$H$90</f>
        <v>0</v>
      </c>
      <c r="E76" s="33">
        <f t="shared" si="2"/>
        <v>0.15417202002881819</v>
      </c>
      <c r="F76" s="17">
        <f>0.01*Input!$F$58*(D76*$D$68)+10*(B76*$B$68+C76*$C$68)</f>
        <v>6044036.7703541946</v>
      </c>
      <c r="G76" s="33">
        <f t="shared" si="3"/>
        <v>0.15417202002881819</v>
      </c>
      <c r="H76" s="41">
        <f t="shared" si="4"/>
        <v>6.7757561792565477</v>
      </c>
      <c r="I76" s="10"/>
    </row>
    <row r="77" spans="1:9" x14ac:dyDescent="0.25">
      <c r="A77" s="3" t="s">
        <v>462</v>
      </c>
      <c r="B77" s="34">
        <f>Standing!$I$80</f>
        <v>5.2388987492672803E-2</v>
      </c>
      <c r="C77" s="34">
        <f>Standing!$I$106</f>
        <v>2.4319350488480355E-3</v>
      </c>
      <c r="D77" s="42">
        <f>AggCap!$I$90</f>
        <v>0</v>
      </c>
      <c r="E77" s="33">
        <f t="shared" si="2"/>
        <v>3.6590837861073547E-2</v>
      </c>
      <c r="F77" s="17">
        <f>0.01*Input!$F$58*(D77*$D$68)+10*(B77*$B$68+C77*$C$68)</f>
        <v>1434477.9905527467</v>
      </c>
      <c r="G77" s="33">
        <f t="shared" si="3"/>
        <v>3.6590837861073547E-2</v>
      </c>
      <c r="H77" s="41">
        <f t="shared" si="4"/>
        <v>1.6081426168963717</v>
      </c>
      <c r="I77" s="10"/>
    </row>
    <row r="78" spans="1:9" x14ac:dyDescent="0.25">
      <c r="A78" s="3" t="s">
        <v>463</v>
      </c>
      <c r="B78" s="34">
        <f>Standing!$J$80</f>
        <v>0</v>
      </c>
      <c r="C78" s="34">
        <f>Standing!$J$106</f>
        <v>0</v>
      </c>
      <c r="D78" s="42">
        <f>AggCap!$J$90</f>
        <v>0.16643941058449349</v>
      </c>
      <c r="E78" s="33">
        <f t="shared" si="2"/>
        <v>0</v>
      </c>
      <c r="F78" s="17">
        <f>0.01*Input!$F$58*(D78*$D$68)+10*(B78*$B$68+C78*$C$68)</f>
        <v>541899.01497825759</v>
      </c>
      <c r="G78" s="33">
        <f t="shared" si="3"/>
        <v>1.3822825532864654E-2</v>
      </c>
      <c r="H78" s="41">
        <f t="shared" si="4"/>
        <v>0.60750384863340123</v>
      </c>
      <c r="I78" s="10"/>
    </row>
    <row r="79" spans="1:9" x14ac:dyDescent="0.25">
      <c r="A79" s="3" t="s">
        <v>1662</v>
      </c>
      <c r="B79" s="9"/>
      <c r="C79" s="9"/>
      <c r="D79" s="42">
        <f>SM!$B$107</f>
        <v>0</v>
      </c>
      <c r="E79" s="33">
        <f t="shared" si="2"/>
        <v>0</v>
      </c>
      <c r="F79" s="17">
        <f>0.01*Input!$F$58*(D79*$D$68)+10*(B79*$B$68+C79*$C$68)</f>
        <v>0</v>
      </c>
      <c r="G79" s="33">
        <f t="shared" si="3"/>
        <v>0</v>
      </c>
      <c r="H79" s="41">
        <f t="shared" si="4"/>
        <v>0</v>
      </c>
      <c r="I79" s="10"/>
    </row>
    <row r="80" spans="1:9" x14ac:dyDescent="0.25">
      <c r="A80" s="3" t="s">
        <v>1663</v>
      </c>
      <c r="B80" s="9"/>
      <c r="C80" s="9"/>
      <c r="D80" s="42">
        <f>SM!$C$107</f>
        <v>0</v>
      </c>
      <c r="E80" s="33">
        <f t="shared" si="2"/>
        <v>0</v>
      </c>
      <c r="F80" s="17">
        <f>0.01*Input!$F$58*(D80*$D$68)+10*(B80*$B$68+C80*$C$68)</f>
        <v>0</v>
      </c>
      <c r="G80" s="33">
        <f t="shared" si="3"/>
        <v>0</v>
      </c>
      <c r="H80" s="41">
        <f t="shared" si="4"/>
        <v>0</v>
      </c>
      <c r="I80" s="10"/>
    </row>
    <row r="81" spans="1:9" x14ac:dyDescent="0.25">
      <c r="A81" s="3" t="s">
        <v>1664</v>
      </c>
      <c r="B81" s="34">
        <f>Standing!$K$80</f>
        <v>7.8763349034288277E-2</v>
      </c>
      <c r="C81" s="34">
        <f>Standing!$K$106</f>
        <v>1.3718400495433404E-3</v>
      </c>
      <c r="D81" s="42">
        <f>AggCap!$K$90</f>
        <v>0</v>
      </c>
      <c r="E81" s="33">
        <f t="shared" si="2"/>
        <v>5.4289474389040041E-2</v>
      </c>
      <c r="F81" s="17">
        <f>0.01*Input!$F$58*(D81*$D$68)+10*(B81*$B$68+C81*$C$68)</f>
        <v>2128321.2050359459</v>
      </c>
      <c r="G81" s="33">
        <f t="shared" si="3"/>
        <v>5.4289474389040041E-2</v>
      </c>
      <c r="H81" s="41">
        <f t="shared" si="4"/>
        <v>2.385985741714796</v>
      </c>
      <c r="I81" s="10"/>
    </row>
    <row r="82" spans="1:9" x14ac:dyDescent="0.25">
      <c r="A82" s="3" t="s">
        <v>1665</v>
      </c>
      <c r="B82" s="34">
        <f>Standing!$L$80</f>
        <v>8.1423567328158905E-2</v>
      </c>
      <c r="C82" s="34">
        <f>Standing!$L$106</f>
        <v>8.3205113455154763E-4</v>
      </c>
      <c r="D82" s="42">
        <f>AggCap!$L$90</f>
        <v>0</v>
      </c>
      <c r="E82" s="33">
        <f t="shared" si="2"/>
        <v>5.5937739610526123E-2</v>
      </c>
      <c r="F82" s="17">
        <f>0.01*Input!$F$58*(D82*$D$68)+10*(B82*$B$68+C82*$C$68)</f>
        <v>2192938.4786767513</v>
      </c>
      <c r="G82" s="33">
        <f t="shared" si="3"/>
        <v>5.5937739610526123E-2</v>
      </c>
      <c r="H82" s="41">
        <f t="shared" si="4"/>
        <v>2.4584258852470038</v>
      </c>
      <c r="I82" s="10"/>
    </row>
    <row r="83" spans="1:9" x14ac:dyDescent="0.25">
      <c r="A83" s="3" t="s">
        <v>1666</v>
      </c>
      <c r="B83" s="34">
        <f>Standing!$M$80</f>
        <v>4.0981895834324898E-2</v>
      </c>
      <c r="C83" s="34">
        <f>Standing!$M$106</f>
        <v>4.1878578947045014E-4</v>
      </c>
      <c r="D83" s="42">
        <f>AggCap!$M$90</f>
        <v>0</v>
      </c>
      <c r="E83" s="33">
        <f t="shared" si="2"/>
        <v>2.8154436033084158E-2</v>
      </c>
      <c r="F83" s="17">
        <f>0.01*Input!$F$58*(D83*$D$68)+10*(B83*$B$68+C83*$C$68)</f>
        <v>1103744.0295634568</v>
      </c>
      <c r="G83" s="33">
        <f t="shared" si="3"/>
        <v>2.8154436033084165E-2</v>
      </c>
      <c r="H83" s="41">
        <f t="shared" si="4"/>
        <v>1.237368453037033</v>
      </c>
      <c r="I83" s="10"/>
    </row>
    <row r="84" spans="1:9" x14ac:dyDescent="0.25">
      <c r="A84" s="3" t="s">
        <v>1667</v>
      </c>
      <c r="B84" s="34">
        <f>Standing!$N$80</f>
        <v>4.7324428249761838E-2</v>
      </c>
      <c r="C84" s="34">
        <f>Standing!$N$106</f>
        <v>2.1968345111343587E-3</v>
      </c>
      <c r="D84" s="42">
        <f>AggCap!$N$90</f>
        <v>0</v>
      </c>
      <c r="E84" s="33">
        <f t="shared" si="2"/>
        <v>3.3053520669725354E-2</v>
      </c>
      <c r="F84" s="17">
        <f>0.01*Input!$F$58*(D84*$D$68)+10*(B84*$B$68+C84*$C$68)</f>
        <v>1295803.8318505506</v>
      </c>
      <c r="G84" s="33">
        <f t="shared" si="3"/>
        <v>3.3053520669725354E-2</v>
      </c>
      <c r="H84" s="41">
        <f t="shared" si="4"/>
        <v>1.4526799148263867</v>
      </c>
      <c r="I84" s="10"/>
    </row>
    <row r="85" spans="1:9" x14ac:dyDescent="0.25">
      <c r="A85" s="3" t="s">
        <v>1668</v>
      </c>
      <c r="B85" s="34">
        <f>Standing!$O$80</f>
        <v>7.6682182534749496E-2</v>
      </c>
      <c r="C85" s="34">
        <f>Standing!$O$106</f>
        <v>3.5596428992734812E-3</v>
      </c>
      <c r="D85" s="42">
        <f>AggCap!$O$90</f>
        <v>0</v>
      </c>
      <c r="E85" s="33">
        <f t="shared" si="2"/>
        <v>5.3558303801055446E-2</v>
      </c>
      <c r="F85" s="17">
        <f>0.01*Input!$F$58*(D85*$D$68)+10*(B85*$B$68+C85*$C$68)</f>
        <v>2099656.977127702</v>
      </c>
      <c r="G85" s="33">
        <f t="shared" si="3"/>
        <v>5.3558303801055446E-2</v>
      </c>
      <c r="H85" s="41">
        <f t="shared" si="4"/>
        <v>2.353851288078519</v>
      </c>
      <c r="I85" s="10"/>
    </row>
    <row r="86" spans="1:9" x14ac:dyDescent="0.25">
      <c r="A86" s="3" t="s">
        <v>1669</v>
      </c>
      <c r="B86" s="34">
        <f>Standing!$P$80</f>
        <v>6.8057110864077281E-3</v>
      </c>
      <c r="C86" s="34">
        <f>Standing!$P$106</f>
        <v>6.9546199174170173E-5</v>
      </c>
      <c r="D86" s="42">
        <f>AggCap!$P$90</f>
        <v>0</v>
      </c>
      <c r="E86" s="33">
        <f t="shared" si="2"/>
        <v>4.6755025247375674E-3</v>
      </c>
      <c r="F86" s="17">
        <f>0.01*Input!$F$58*(D86*$D$68)+10*(B86*$B$68+C86*$C$68)</f>
        <v>183294.6676972612</v>
      </c>
      <c r="G86" s="33">
        <f t="shared" si="3"/>
        <v>4.6755025247375674E-3</v>
      </c>
      <c r="H86" s="41">
        <f t="shared" si="4"/>
        <v>0.20548517893972235</v>
      </c>
      <c r="I86" s="10"/>
    </row>
    <row r="87" spans="1:9" x14ac:dyDescent="0.25">
      <c r="A87" s="3" t="s">
        <v>1670</v>
      </c>
      <c r="B87" s="34">
        <f>Standing!$Q$80</f>
        <v>0.19179448641652763</v>
      </c>
      <c r="C87" s="34">
        <f>Standing!$Q$106</f>
        <v>8.9032400894825045E-3</v>
      </c>
      <c r="D87" s="42">
        <f>AggCap!$Q$90</f>
        <v>0</v>
      </c>
      <c r="E87" s="33">
        <f t="shared" si="2"/>
        <v>0.13395794213615161</v>
      </c>
      <c r="F87" s="17">
        <f>0.01*Input!$F$58*(D87*$D$68)+10*(B87*$B$68+C87*$C$68)</f>
        <v>5251580.2011320787</v>
      </c>
      <c r="G87" s="33">
        <f t="shared" si="3"/>
        <v>0.13395794213615161</v>
      </c>
      <c r="H87" s="41">
        <f t="shared" si="4"/>
        <v>5.8873611049518413</v>
      </c>
      <c r="I87" s="10"/>
    </row>
    <row r="88" spans="1:9" x14ac:dyDescent="0.25">
      <c r="A88" s="3" t="s">
        <v>1671</v>
      </c>
      <c r="B88" s="34">
        <f>Standing!$R$80</f>
        <v>8.1455927203652759E-2</v>
      </c>
      <c r="C88" s="34">
        <f>Standing!$R$106</f>
        <v>3.781243612136677E-3</v>
      </c>
      <c r="D88" s="42">
        <f>AggCap!$R$90</f>
        <v>0</v>
      </c>
      <c r="E88" s="33">
        <f t="shared" si="2"/>
        <v>5.689250294346937E-2</v>
      </c>
      <c r="F88" s="17">
        <f>0.01*Input!$F$58*(D88*$D$68)+10*(B88*$B$68+C88*$C$68)</f>
        <v>2230368.2580246269</v>
      </c>
      <c r="G88" s="33">
        <f t="shared" si="3"/>
        <v>5.689250294346937E-2</v>
      </c>
      <c r="H88" s="41">
        <f t="shared" si="4"/>
        <v>2.5003870890485009</v>
      </c>
      <c r="I88" s="10"/>
    </row>
    <row r="89" spans="1:9" x14ac:dyDescent="0.25">
      <c r="A89" s="3" t="s">
        <v>1672</v>
      </c>
      <c r="B89" s="34">
        <f>Standing!$S$80</f>
        <v>0</v>
      </c>
      <c r="C89" s="34">
        <f>Standing!$S$106</f>
        <v>0</v>
      </c>
      <c r="D89" s="42">
        <f>AggCap!$S$90</f>
        <v>1.2290949334079249</v>
      </c>
      <c r="E89" s="33">
        <f t="shared" si="2"/>
        <v>0</v>
      </c>
      <c r="F89" s="17">
        <f>0.01*Input!$F$58*(D89*$D$68)+10*(B89*$B$68+C89*$C$68)</f>
        <v>4001728.5052232365</v>
      </c>
      <c r="G89" s="33">
        <f t="shared" si="3"/>
        <v>0.10207657410082477</v>
      </c>
      <c r="H89" s="41">
        <f t="shared" si="4"/>
        <v>4.486196506938926</v>
      </c>
      <c r="I89" s="10"/>
    </row>
    <row r="90" spans="1:9" x14ac:dyDescent="0.25">
      <c r="A90" s="3" t="s">
        <v>1673</v>
      </c>
      <c r="B90" s="9"/>
      <c r="C90" s="9"/>
      <c r="D90" s="42">
        <f>Otex!$B$122</f>
        <v>1.725053976857601</v>
      </c>
      <c r="E90" s="33">
        <f t="shared" si="2"/>
        <v>0</v>
      </c>
      <c r="F90" s="17">
        <f>0.01*Input!$F$58*(D90*$D$68)+10*(B90*$B$68+C90*$C$68)</f>
        <v>5616488.5922189876</v>
      </c>
      <c r="G90" s="33">
        <f t="shared" si="3"/>
        <v>0.14326606945517817</v>
      </c>
      <c r="H90" s="41">
        <f t="shared" si="4"/>
        <v>6.2964470155302426</v>
      </c>
      <c r="I90" s="10"/>
    </row>
    <row r="91" spans="1:9" x14ac:dyDescent="0.25">
      <c r="A91" s="3" t="s">
        <v>1674</v>
      </c>
      <c r="B91" s="9"/>
      <c r="C91" s="9"/>
      <c r="D91" s="42">
        <f>Otex!$C$122</f>
        <v>0</v>
      </c>
      <c r="E91" s="33">
        <f t="shared" si="2"/>
        <v>0</v>
      </c>
      <c r="F91" s="17">
        <f>0.01*Input!$F$58*(D91*$D$68)+10*(B91*$B$68+C91*$C$68)</f>
        <v>0</v>
      </c>
      <c r="G91" s="33">
        <f t="shared" si="3"/>
        <v>0</v>
      </c>
      <c r="H91" s="41">
        <f t="shared" si="4"/>
        <v>0</v>
      </c>
      <c r="I91" s="10"/>
    </row>
    <row r="92" spans="1:9" x14ac:dyDescent="0.25">
      <c r="A92" s="3" t="s">
        <v>1675</v>
      </c>
      <c r="B92" s="34">
        <f>Scaler!$B$417</f>
        <v>1.0688802420313444</v>
      </c>
      <c r="C92" s="34">
        <f>Scaler!$C$417</f>
        <v>1.8616942298198037E-2</v>
      </c>
      <c r="D92" s="42">
        <f>Scaler!$E$417</f>
        <v>0</v>
      </c>
      <c r="E92" s="33">
        <f t="shared" si="2"/>
        <v>0.73675062368728983</v>
      </c>
      <c r="F92" s="17">
        <f>0.01*Input!$F$58*(D92*$D$68)+10*(B92*$B$68+C92*$C$68)</f>
        <v>28882983.172400612</v>
      </c>
      <c r="G92" s="33">
        <f t="shared" si="3"/>
        <v>0.73675062368728983</v>
      </c>
      <c r="H92" s="41">
        <f t="shared" si="4"/>
        <v>32.379692437623547</v>
      </c>
      <c r="I92" s="10"/>
    </row>
    <row r="93" spans="1:9" x14ac:dyDescent="0.25">
      <c r="A93" s="3" t="s">
        <v>1676</v>
      </c>
      <c r="B93" s="34">
        <f>Adjust!$B$73</f>
        <v>2.5701626087704099E-4</v>
      </c>
      <c r="C93" s="34">
        <f>Adjust!$C$73</f>
        <v>-6.5712856097063788E-5</v>
      </c>
      <c r="D93" s="42">
        <f>Adjust!$E$73</f>
        <v>-5.8832085001903067E-4</v>
      </c>
      <c r="E93" s="33">
        <f t="shared" si="2"/>
        <v>1.5495814033111914E-4</v>
      </c>
      <c r="F93" s="17">
        <f>0.01*Input!$F$58*(D93*$D$68)+10*(B93*$B$68+C93*$C$68)</f>
        <v>4159.3804485583369</v>
      </c>
      <c r="G93" s="33">
        <f t="shared" si="3"/>
        <v>1.0609797891501434E-4</v>
      </c>
      <c r="H93" s="41">
        <f t="shared" si="4"/>
        <v>4.6629345331640724E-3</v>
      </c>
      <c r="I93" s="10"/>
    </row>
    <row r="95" spans="1:9" x14ac:dyDescent="0.25">
      <c r="A95" s="3" t="s">
        <v>1677</v>
      </c>
      <c r="B95" s="33">
        <f>SUM($B$71:$B$93)</f>
        <v>2.5070000000000001</v>
      </c>
      <c r="C95" s="33">
        <f>SUM($C$71:$C$93)</f>
        <v>6.8000000000000005E-2</v>
      </c>
      <c r="D95" s="41">
        <f>SUM($D$71:$D$93)</f>
        <v>3.12</v>
      </c>
      <c r="E95" s="33">
        <f>SUM(E$71:E$93)</f>
        <v>1.7357037551945573</v>
      </c>
      <c r="F95" s="17">
        <f>SUM($F$71:$F$93)</f>
        <v>78203344.736295775</v>
      </c>
      <c r="G95" s="33">
        <f>SUM($G$71:$G$93)</f>
        <v>1.9948203641220088</v>
      </c>
      <c r="H95" s="41">
        <f>SUM($H$71:$H$93)</f>
        <v>87.67100804789338</v>
      </c>
    </row>
    <row r="97" spans="1:5" ht="21" customHeight="1" x14ac:dyDescent="0.3">
      <c r="A97" s="1" t="s">
        <v>211</v>
      </c>
    </row>
    <row r="99" spans="1:5" x14ac:dyDescent="0.25">
      <c r="B99" s="12" t="s">
        <v>222</v>
      </c>
      <c r="C99" s="12" t="s">
        <v>1658</v>
      </c>
    </row>
    <row r="100" spans="1:5" x14ac:dyDescent="0.25">
      <c r="A100" s="3" t="s">
        <v>211</v>
      </c>
      <c r="B100" s="39">
        <f>Loads!B$304</f>
        <v>126246.1428114313</v>
      </c>
      <c r="C100" s="39">
        <f>Multi!B$121</f>
        <v>126246.1428114313</v>
      </c>
      <c r="D100" s="10"/>
    </row>
    <row r="102" spans="1:5" x14ac:dyDescent="0.25">
      <c r="B102" s="12" t="s">
        <v>1489</v>
      </c>
      <c r="C102" s="12" t="s">
        <v>1660</v>
      </c>
      <c r="D102" s="12" t="s">
        <v>1630</v>
      </c>
    </row>
    <row r="103" spans="1:5" x14ac:dyDescent="0.25">
      <c r="A103" s="3" t="s">
        <v>456</v>
      </c>
      <c r="B103" s="34">
        <f>Standing!$C$81</f>
        <v>4.3865530937929442E-2</v>
      </c>
      <c r="C103" s="17">
        <f t="shared" ref="C103:C121" si="5">0+10*(B103*$B$100)</f>
        <v>55378.540832890983</v>
      </c>
      <c r="D103" s="33">
        <f t="shared" ref="D103:D121" si="6">IF($C$100&lt;&gt;0,0.1*C103/$C$100,"")</f>
        <v>4.3865530937929442E-2</v>
      </c>
      <c r="E103" s="10"/>
    </row>
    <row r="104" spans="1:5" x14ac:dyDescent="0.25">
      <c r="A104" s="3" t="s">
        <v>457</v>
      </c>
      <c r="B104" s="34">
        <f>Standing!$D$81</f>
        <v>2.2078283703419618E-2</v>
      </c>
      <c r="C104" s="17">
        <f t="shared" si="5"/>
        <v>27872.981574532096</v>
      </c>
      <c r="D104" s="33">
        <f t="shared" si="6"/>
        <v>2.2078283703419618E-2</v>
      </c>
      <c r="E104" s="10"/>
    </row>
    <row r="105" spans="1:5" x14ac:dyDescent="0.25">
      <c r="A105" s="3" t="s">
        <v>458</v>
      </c>
      <c r="B105" s="34">
        <f>Standing!$E$81</f>
        <v>3.1440106138130808E-2</v>
      </c>
      <c r="C105" s="17">
        <f t="shared" si="5"/>
        <v>39691.921295210203</v>
      </c>
      <c r="D105" s="33">
        <f t="shared" si="6"/>
        <v>3.1440106138130815E-2</v>
      </c>
      <c r="E105" s="10"/>
    </row>
    <row r="106" spans="1:5" x14ac:dyDescent="0.25">
      <c r="A106" s="3" t="s">
        <v>459</v>
      </c>
      <c r="B106" s="34">
        <f>Standing!$F$81</f>
        <v>5.0944006023108751E-2</v>
      </c>
      <c r="C106" s="17">
        <f t="shared" si="5"/>
        <v>64314.842597798044</v>
      </c>
      <c r="D106" s="33">
        <f t="shared" si="6"/>
        <v>5.0944006023108765E-2</v>
      </c>
      <c r="E106" s="10"/>
    </row>
    <row r="107" spans="1:5" x14ac:dyDescent="0.25">
      <c r="A107" s="3" t="s">
        <v>460</v>
      </c>
      <c r="B107" s="34">
        <f>Standing!$G$81</f>
        <v>3.666458496128604E-3</v>
      </c>
      <c r="C107" s="17">
        <f t="shared" si="5"/>
        <v>4628.7624291443735</v>
      </c>
      <c r="D107" s="33">
        <f t="shared" si="6"/>
        <v>3.666458496128604E-3</v>
      </c>
      <c r="E107" s="10"/>
    </row>
    <row r="108" spans="1:5" x14ac:dyDescent="0.25">
      <c r="A108" s="3" t="s">
        <v>461</v>
      </c>
      <c r="B108" s="34">
        <f>Standing!$H$81</f>
        <v>6.6368370745740188E-2</v>
      </c>
      <c r="C108" s="17">
        <f t="shared" si="5"/>
        <v>83787.508113287346</v>
      </c>
      <c r="D108" s="33">
        <f t="shared" si="6"/>
        <v>6.6368370745740188E-2</v>
      </c>
      <c r="E108" s="10"/>
    </row>
    <row r="109" spans="1:5" x14ac:dyDescent="0.25">
      <c r="A109" s="3" t="s">
        <v>462</v>
      </c>
      <c r="B109" s="34">
        <f>Standing!$I$81</f>
        <v>1.5751718713986233E-2</v>
      </c>
      <c r="C109" s="17">
        <f t="shared" si="5"/>
        <v>19885.937302914012</v>
      </c>
      <c r="D109" s="33">
        <f t="shared" si="6"/>
        <v>1.5751718713986236E-2</v>
      </c>
      <c r="E109" s="10"/>
    </row>
    <row r="110" spans="1:5" x14ac:dyDescent="0.25">
      <c r="A110" s="3" t="s">
        <v>463</v>
      </c>
      <c r="B110" s="34">
        <f>Standing!$J$81</f>
        <v>0</v>
      </c>
      <c r="C110" s="17">
        <f t="shared" si="5"/>
        <v>0</v>
      </c>
      <c r="D110" s="33">
        <f t="shared" si="6"/>
        <v>0</v>
      </c>
      <c r="E110" s="10"/>
    </row>
    <row r="111" spans="1:5" x14ac:dyDescent="0.25">
      <c r="A111" s="3" t="s">
        <v>1664</v>
      </c>
      <c r="B111" s="34">
        <f>Standing!$K$81</f>
        <v>1.66826178479994E-2</v>
      </c>
      <c r="C111" s="17">
        <f t="shared" si="5"/>
        <v>21061.161553070651</v>
      </c>
      <c r="D111" s="33">
        <f t="shared" si="6"/>
        <v>1.66826178479994E-2</v>
      </c>
      <c r="E111" s="10"/>
    </row>
    <row r="112" spans="1:5" x14ac:dyDescent="0.25">
      <c r="A112" s="3" t="s">
        <v>1665</v>
      </c>
      <c r="B112" s="34">
        <f>Standing!$L$81</f>
        <v>1.9852385748640206E-2</v>
      </c>
      <c r="C112" s="17">
        <f t="shared" si="5"/>
        <v>25062.87126370455</v>
      </c>
      <c r="D112" s="33">
        <f t="shared" si="6"/>
        <v>1.9852385748640206E-2</v>
      </c>
      <c r="E112" s="10"/>
    </row>
    <row r="113" spans="1:6" x14ac:dyDescent="0.25">
      <c r="A113" s="3" t="s">
        <v>1666</v>
      </c>
      <c r="B113" s="34">
        <f>Standing!$M$81</f>
        <v>9.9920506004683961E-3</v>
      </c>
      <c r="C113" s="17">
        <f t="shared" si="5"/>
        <v>12614.57847085781</v>
      </c>
      <c r="D113" s="33">
        <f t="shared" si="6"/>
        <v>9.9920506004683978E-3</v>
      </c>
      <c r="E113" s="10"/>
    </row>
    <row r="114" spans="1:6" x14ac:dyDescent="0.25">
      <c r="A114" s="3" t="s">
        <v>1667</v>
      </c>
      <c r="B114" s="34">
        <f>Standing!$N$81</f>
        <v>1.4228965241878947E-2</v>
      </c>
      <c r="C114" s="17">
        <f t="shared" si="5"/>
        <v>17963.519779851416</v>
      </c>
      <c r="D114" s="33">
        <f t="shared" si="6"/>
        <v>1.4228965241878947E-2</v>
      </c>
      <c r="E114" s="10"/>
    </row>
    <row r="115" spans="1:6" x14ac:dyDescent="0.25">
      <c r="A115" s="3" t="s">
        <v>1668</v>
      </c>
      <c r="B115" s="34">
        <f>Standing!$O$81</f>
        <v>2.3055917425983025E-2</v>
      </c>
      <c r="C115" s="17">
        <f t="shared" si="5"/>
        <v>29107.206440092203</v>
      </c>
      <c r="D115" s="33">
        <f t="shared" si="6"/>
        <v>2.3055917425983025E-2</v>
      </c>
      <c r="E115" s="10"/>
    </row>
    <row r="116" spans="1:6" x14ac:dyDescent="0.25">
      <c r="A116" s="3" t="s">
        <v>1669</v>
      </c>
      <c r="B116" s="34">
        <f>Standing!$P$81</f>
        <v>1.6593426966499188E-3</v>
      </c>
      <c r="C116" s="17">
        <f t="shared" si="5"/>
        <v>2094.8561505437119</v>
      </c>
      <c r="D116" s="33">
        <f t="shared" si="6"/>
        <v>1.659342696649919E-3</v>
      </c>
      <c r="E116" s="10"/>
    </row>
    <row r="117" spans="1:6" x14ac:dyDescent="0.25">
      <c r="A117" s="3" t="s">
        <v>1670</v>
      </c>
      <c r="B117" s="34">
        <f>Standing!$Q$81</f>
        <v>5.7666562106189423E-2</v>
      </c>
      <c r="C117" s="17">
        <f t="shared" si="5"/>
        <v>72801.810351022621</v>
      </c>
      <c r="D117" s="33">
        <f t="shared" si="6"/>
        <v>5.7666562106189423E-2</v>
      </c>
      <c r="E117" s="10"/>
    </row>
    <row r="118" spans="1:6" x14ac:dyDescent="0.25">
      <c r="A118" s="3" t="s">
        <v>1671</v>
      </c>
      <c r="B118" s="34">
        <f>Standing!$R$81</f>
        <v>2.4491232113969166E-2</v>
      </c>
      <c r="C118" s="17">
        <f t="shared" si="5"/>
        <v>30919.235870880639</v>
      </c>
      <c r="D118" s="33">
        <f t="shared" si="6"/>
        <v>2.4491232113969166E-2</v>
      </c>
      <c r="E118" s="10"/>
    </row>
    <row r="119" spans="1:6" x14ac:dyDescent="0.25">
      <c r="A119" s="3" t="s">
        <v>1672</v>
      </c>
      <c r="B119" s="34">
        <f>Standing!$S$81</f>
        <v>0</v>
      </c>
      <c r="C119" s="17">
        <f t="shared" si="5"/>
        <v>0</v>
      </c>
      <c r="D119" s="33">
        <f t="shared" si="6"/>
        <v>0</v>
      </c>
      <c r="E119" s="10"/>
    </row>
    <row r="120" spans="1:6" x14ac:dyDescent="0.25">
      <c r="A120" s="3" t="s">
        <v>1675</v>
      </c>
      <c r="B120" s="34">
        <f>Scaler!$B$418</f>
        <v>0.22639617057577488</v>
      </c>
      <c r="C120" s="17">
        <f t="shared" si="5"/>
        <v>285816.43282470433</v>
      </c>
      <c r="D120" s="33">
        <f t="shared" si="6"/>
        <v>0.22639617057577488</v>
      </c>
      <c r="E120" s="10"/>
    </row>
    <row r="121" spans="1:6" x14ac:dyDescent="0.25">
      <c r="A121" s="3" t="s">
        <v>1676</v>
      </c>
      <c r="B121" s="34">
        <f>Adjust!$B$74</f>
        <v>-1.397191159969724E-4</v>
      </c>
      <c r="C121" s="17">
        <f t="shared" si="5"/>
        <v>-176.38999471640713</v>
      </c>
      <c r="D121" s="33">
        <f t="shared" si="6"/>
        <v>-1.397191159969724E-4</v>
      </c>
      <c r="E121" s="10"/>
    </row>
    <row r="123" spans="1:6" x14ac:dyDescent="0.25">
      <c r="A123" s="3" t="s">
        <v>1677</v>
      </c>
      <c r="B123" s="33">
        <f>SUM($B$103:$B$121)</f>
        <v>0.628</v>
      </c>
      <c r="C123" s="17">
        <f>SUM($C$103:$C$121)</f>
        <v>792825.77685578866</v>
      </c>
      <c r="D123" s="33">
        <f>SUM($D$103:$D$121)</f>
        <v>0.628</v>
      </c>
    </row>
    <row r="125" spans="1:6" ht="21" customHeight="1" x14ac:dyDescent="0.3">
      <c r="A125" s="1" t="s">
        <v>173</v>
      </c>
    </row>
    <row r="127" spans="1:6" x14ac:dyDescent="0.25">
      <c r="B127" s="12" t="s">
        <v>222</v>
      </c>
      <c r="C127" s="12" t="s">
        <v>225</v>
      </c>
      <c r="D127" s="12" t="s">
        <v>1658</v>
      </c>
      <c r="E127" s="12" t="s">
        <v>1659</v>
      </c>
    </row>
    <row r="128" spans="1:6" x14ac:dyDescent="0.25">
      <c r="A128" s="3" t="s">
        <v>173</v>
      </c>
      <c r="B128" s="39">
        <f>Loads!B$305</f>
        <v>1117811.4088570208</v>
      </c>
      <c r="C128" s="39">
        <f>Loads!E$305</f>
        <v>95985.234753374127</v>
      </c>
      <c r="D128" s="39">
        <f>Multi!B$122</f>
        <v>1117811.4088570208</v>
      </c>
      <c r="E128" s="33">
        <f>IF(C128,D128/C128,"")</f>
        <v>11.64565999894819</v>
      </c>
      <c r="F128" s="10"/>
    </row>
    <row r="130" spans="1:7" ht="30" x14ac:dyDescent="0.25">
      <c r="B130" s="12" t="s">
        <v>1489</v>
      </c>
      <c r="C130" s="12" t="s">
        <v>1492</v>
      </c>
      <c r="D130" s="12" t="s">
        <v>1660</v>
      </c>
      <c r="E130" s="12" t="s">
        <v>1630</v>
      </c>
      <c r="F130" s="12" t="s">
        <v>1661</v>
      </c>
    </row>
    <row r="131" spans="1:7" x14ac:dyDescent="0.25">
      <c r="A131" s="3" t="s">
        <v>456</v>
      </c>
      <c r="B131" s="34">
        <f>Standing!$C$82</f>
        <v>0.13971239054989121</v>
      </c>
      <c r="C131" s="42">
        <f>AggCap!$C$91</f>
        <v>0</v>
      </c>
      <c r="D131" s="17">
        <f>0.01*Input!$F$58*(C131*$C$128)+10*(B131*$B$128)</f>
        <v>1561721.041153562</v>
      </c>
      <c r="E131" s="33">
        <f t="shared" ref="E131:E153" si="7">IF($D$128&lt;&gt;0,0.1*D131/$D$128,"")</f>
        <v>0.13971239054989121</v>
      </c>
      <c r="F131" s="41">
        <f t="shared" ref="F131:F153" si="8">IF($C$128&lt;&gt;0,D131/$C$128,"")</f>
        <v>16.270429979842952</v>
      </c>
      <c r="G131" s="10"/>
    </row>
    <row r="132" spans="1:7" x14ac:dyDescent="0.25">
      <c r="A132" s="3" t="s">
        <v>457</v>
      </c>
      <c r="B132" s="34">
        <f>Standing!$D$82</f>
        <v>7.0319673089292864E-2</v>
      </c>
      <c r="C132" s="42">
        <f>AggCap!$D$91</f>
        <v>0</v>
      </c>
      <c r="D132" s="17">
        <f>0.01*Input!$F$58*(C132*$C$128)+10*(B132*$B$128)</f>
        <v>786041.32846307592</v>
      </c>
      <c r="E132" s="33">
        <f t="shared" si="7"/>
        <v>7.0319673089292864E-2</v>
      </c>
      <c r="F132" s="41">
        <f t="shared" si="8"/>
        <v>8.1891900403509155</v>
      </c>
      <c r="G132" s="10"/>
    </row>
    <row r="133" spans="1:7" x14ac:dyDescent="0.25">
      <c r="A133" s="3" t="s">
        <v>458</v>
      </c>
      <c r="B133" s="34">
        <f>Standing!$E$82</f>
        <v>8.7299173302801791E-2</v>
      </c>
      <c r="C133" s="42">
        <f>AggCap!$E$91</f>
        <v>0</v>
      </c>
      <c r="D133" s="17">
        <f>0.01*Input!$F$58*(C133*$C$128)+10*(B133*$B$128)</f>
        <v>975840.11901658087</v>
      </c>
      <c r="E133" s="33">
        <f t="shared" si="7"/>
        <v>8.7299173302801791E-2</v>
      </c>
      <c r="F133" s="41">
        <f t="shared" si="8"/>
        <v>10.166564904736846</v>
      </c>
      <c r="G133" s="10"/>
    </row>
    <row r="134" spans="1:7" x14ac:dyDescent="0.25">
      <c r="A134" s="3" t="s">
        <v>459</v>
      </c>
      <c r="B134" s="34">
        <f>Standing!$F$82</f>
        <v>0.1414552988787956</v>
      </c>
      <c r="C134" s="42">
        <f>AggCap!$F$91</f>
        <v>0</v>
      </c>
      <c r="D134" s="17">
        <f>0.01*Input!$F$58*(C134*$C$128)+10*(B134*$B$128)</f>
        <v>1581203.4692999746</v>
      </c>
      <c r="E134" s="33">
        <f t="shared" si="7"/>
        <v>0.1414552988787956</v>
      </c>
      <c r="F134" s="41">
        <f t="shared" si="8"/>
        <v>16.473403157920508</v>
      </c>
      <c r="G134" s="10"/>
    </row>
    <row r="135" spans="1:7" x14ac:dyDescent="0.25">
      <c r="A135" s="3" t="s">
        <v>460</v>
      </c>
      <c r="B135" s="34">
        <f>Standing!$G$82</f>
        <v>1.16777266886597E-2</v>
      </c>
      <c r="C135" s="42">
        <f>AggCap!$G$91</f>
        <v>0</v>
      </c>
      <c r="D135" s="17">
        <f>0.01*Input!$F$58*(C135*$C$128)+10*(B135*$B$128)</f>
        <v>130534.96122097931</v>
      </c>
      <c r="E135" s="33">
        <f t="shared" si="7"/>
        <v>1.16777266886597E-2</v>
      </c>
      <c r="F135" s="41">
        <f t="shared" si="8"/>
        <v>1.3599483457677397</v>
      </c>
      <c r="G135" s="10"/>
    </row>
    <row r="136" spans="1:7" x14ac:dyDescent="0.25">
      <c r="A136" s="3" t="s">
        <v>461</v>
      </c>
      <c r="B136" s="34">
        <f>Standing!$H$82</f>
        <v>0.18428385305385728</v>
      </c>
      <c r="C136" s="42">
        <f>AggCap!$H$91</f>
        <v>0</v>
      </c>
      <c r="D136" s="17">
        <f>0.01*Input!$F$58*(C136*$C$128)+10*(B136*$B$128)</f>
        <v>2059945.9341173242</v>
      </c>
      <c r="E136" s="33">
        <f t="shared" si="7"/>
        <v>0.1842838530538573</v>
      </c>
      <c r="F136" s="41">
        <f t="shared" si="8"/>
        <v>21.461070959613522</v>
      </c>
      <c r="G136" s="10"/>
    </row>
    <row r="137" spans="1:7" x14ac:dyDescent="0.25">
      <c r="A137" s="3" t="s">
        <v>462</v>
      </c>
      <c r="B137" s="34">
        <f>Standing!$I$82</f>
        <v>4.3737512074156888E-2</v>
      </c>
      <c r="C137" s="42">
        <f>AggCap!$I$91</f>
        <v>0</v>
      </c>
      <c r="D137" s="17">
        <f>0.01*Input!$F$58*(C137*$C$128)+10*(B137*$B$128)</f>
        <v>488902.89991514268</v>
      </c>
      <c r="E137" s="33">
        <f t="shared" si="7"/>
        <v>4.3737512074156888E-2</v>
      </c>
      <c r="F137" s="41">
        <f t="shared" si="8"/>
        <v>5.0935219481552236</v>
      </c>
      <c r="G137" s="10"/>
    </row>
    <row r="138" spans="1:7" x14ac:dyDescent="0.25">
      <c r="A138" s="3" t="s">
        <v>463</v>
      </c>
      <c r="B138" s="34">
        <f>Standing!$J$82</f>
        <v>0</v>
      </c>
      <c r="C138" s="42">
        <f>AggCap!$J$91</f>
        <v>0.16643941058449349</v>
      </c>
      <c r="D138" s="17">
        <f>0.01*Input!$F$58*(C138*$C$128)+10*(B138*$B$128)</f>
        <v>58311.39952465528</v>
      </c>
      <c r="E138" s="33">
        <f t="shared" si="7"/>
        <v>5.216568650366485E-3</v>
      </c>
      <c r="F138" s="41">
        <f t="shared" si="8"/>
        <v>0.60750384863340123</v>
      </c>
      <c r="G138" s="10"/>
    </row>
    <row r="139" spans="1:7" x14ac:dyDescent="0.25">
      <c r="A139" s="3" t="s">
        <v>1662</v>
      </c>
      <c r="B139" s="9"/>
      <c r="C139" s="42">
        <f>SM!$B$109</f>
        <v>0</v>
      </c>
      <c r="D139" s="17">
        <f>0.01*Input!$F$58*(C139*$C$128)+10*(B139*$B$128)</f>
        <v>0</v>
      </c>
      <c r="E139" s="33">
        <f t="shared" si="7"/>
        <v>0</v>
      </c>
      <c r="F139" s="41">
        <f t="shared" si="8"/>
        <v>0</v>
      </c>
      <c r="G139" s="10"/>
    </row>
    <row r="140" spans="1:7" x14ac:dyDescent="0.25">
      <c r="A140" s="3" t="s">
        <v>1663</v>
      </c>
      <c r="B140" s="9"/>
      <c r="C140" s="42">
        <f>SM!$C$109</f>
        <v>0</v>
      </c>
      <c r="D140" s="17">
        <f>0.01*Input!$F$58*(C140*$C$128)+10*(B140*$B$128)</f>
        <v>0</v>
      </c>
      <c r="E140" s="33">
        <f t="shared" si="7"/>
        <v>0</v>
      </c>
      <c r="F140" s="41">
        <f t="shared" si="8"/>
        <v>0</v>
      </c>
      <c r="G140" s="10"/>
    </row>
    <row r="141" spans="1:7" x14ac:dyDescent="0.25">
      <c r="A141" s="3" t="s">
        <v>1664</v>
      </c>
      <c r="B141" s="34">
        <f>Standing!$K$82</f>
        <v>5.7353117223506861E-2</v>
      </c>
      <c r="C141" s="42">
        <f>AggCap!$K$91</f>
        <v>0</v>
      </c>
      <c r="D141" s="17">
        <f>0.01*Input!$F$58*(C141*$C$128)+10*(B141*$B$128)</f>
        <v>641099.68765950075</v>
      </c>
      <c r="E141" s="33">
        <f t="shared" si="7"/>
        <v>5.7353117223506868E-2</v>
      </c>
      <c r="F141" s="41">
        <f t="shared" si="8"/>
        <v>6.6791490306478041</v>
      </c>
      <c r="G141" s="10"/>
    </row>
    <row r="142" spans="1:7" x14ac:dyDescent="0.25">
      <c r="A142" s="3" t="s">
        <v>1665</v>
      </c>
      <c r="B142" s="34">
        <f>Standing!$L$82</f>
        <v>6.3230153876077458E-2</v>
      </c>
      <c r="C142" s="42">
        <f>AggCap!$L$91</f>
        <v>0</v>
      </c>
      <c r="D142" s="17">
        <f>0.01*Input!$F$58*(C142*$C$128)+10*(B142*$B$128)</f>
        <v>706793.87386464351</v>
      </c>
      <c r="E142" s="33">
        <f t="shared" si="7"/>
        <v>6.3230153876077458E-2</v>
      </c>
      <c r="F142" s="41">
        <f t="shared" si="8"/>
        <v>7.3635687372197411</v>
      </c>
      <c r="G142" s="10"/>
    </row>
    <row r="143" spans="1:7" x14ac:dyDescent="0.25">
      <c r="A143" s="3" t="s">
        <v>1666</v>
      </c>
      <c r="B143" s="34">
        <f>Standing!$M$82</f>
        <v>3.182483480850376E-2</v>
      </c>
      <c r="C143" s="42">
        <f>AggCap!$M$91</f>
        <v>0</v>
      </c>
      <c r="D143" s="17">
        <f>0.01*Input!$F$58*(C143*$C$128)+10*(B143*$B$128)</f>
        <v>355741.63433935546</v>
      </c>
      <c r="E143" s="33">
        <f t="shared" si="7"/>
        <v>3.182483480850376E-2</v>
      </c>
      <c r="F143" s="41">
        <f t="shared" si="8"/>
        <v>3.7062120570252626</v>
      </c>
      <c r="G143" s="10"/>
    </row>
    <row r="144" spans="1:7" x14ac:dyDescent="0.25">
      <c r="A144" s="3" t="s">
        <v>1667</v>
      </c>
      <c r="B144" s="34">
        <f>Standing!$N$82</f>
        <v>3.9509310086705184E-2</v>
      </c>
      <c r="C144" s="42">
        <f>AggCap!$N$91</f>
        <v>0</v>
      </c>
      <c r="D144" s="17">
        <f>0.01*Input!$F$58*(C144*$C$128)+10*(B144*$B$128)</f>
        <v>441639.57570988825</v>
      </c>
      <c r="E144" s="33">
        <f t="shared" si="7"/>
        <v>3.9509310086705191E-2</v>
      </c>
      <c r="F144" s="41">
        <f t="shared" si="8"/>
        <v>4.6011199206278288</v>
      </c>
      <c r="G144" s="10"/>
    </row>
    <row r="145" spans="1:7" x14ac:dyDescent="0.25">
      <c r="A145" s="3" t="s">
        <v>1668</v>
      </c>
      <c r="B145" s="34">
        <f>Standing!$O$82</f>
        <v>6.401894835160514E-2</v>
      </c>
      <c r="C145" s="42">
        <f>AggCap!$O$91</f>
        <v>0</v>
      </c>
      <c r="D145" s="17">
        <f>0.01*Input!$F$58*(C145*$C$128)+10*(B145*$B$128)</f>
        <v>715611.10850452585</v>
      </c>
      <c r="E145" s="33">
        <f t="shared" si="7"/>
        <v>6.401894835160514E-2</v>
      </c>
      <c r="F145" s="41">
        <f t="shared" si="8"/>
        <v>7.4554290599301813</v>
      </c>
      <c r="G145" s="10"/>
    </row>
    <row r="146" spans="1:7" x14ac:dyDescent="0.25">
      <c r="A146" s="3" t="s">
        <v>1669</v>
      </c>
      <c r="B146" s="34">
        <f>Standing!$P$82</f>
        <v>5.2850320042519949E-3</v>
      </c>
      <c r="C146" s="42">
        <f>AggCap!$P$91</f>
        <v>0</v>
      </c>
      <c r="D146" s="17">
        <f>0.01*Input!$F$58*(C146*$C$128)+10*(B146*$B$128)</f>
        <v>59076.690705273664</v>
      </c>
      <c r="E146" s="33">
        <f t="shared" si="7"/>
        <v>5.2850320042519949E-3</v>
      </c>
      <c r="F146" s="41">
        <f t="shared" si="8"/>
        <v>0.61547685805078434</v>
      </c>
      <c r="G146" s="10"/>
    </row>
    <row r="147" spans="1:7" x14ac:dyDescent="0.25">
      <c r="A147" s="3" t="s">
        <v>1670</v>
      </c>
      <c r="B147" s="34">
        <f>Standing!$Q$82</f>
        <v>0.16012169860264699</v>
      </c>
      <c r="C147" s="42">
        <f>AggCap!$Q$91</f>
        <v>0</v>
      </c>
      <c r="D147" s="17">
        <f>0.01*Input!$F$58*(C147*$C$128)+10*(B147*$B$128)</f>
        <v>1789858.615036041</v>
      </c>
      <c r="E147" s="33">
        <f t="shared" si="7"/>
        <v>0.16012169860264699</v>
      </c>
      <c r="F147" s="41">
        <f t="shared" si="8"/>
        <v>18.647228603804844</v>
      </c>
      <c r="G147" s="10"/>
    </row>
    <row r="148" spans="1:7" x14ac:dyDescent="0.25">
      <c r="A148" s="3" t="s">
        <v>1671</v>
      </c>
      <c r="B148" s="34">
        <f>Standing!$R$82</f>
        <v>6.8004360650789214E-2</v>
      </c>
      <c r="C148" s="42">
        <f>AggCap!$R$91</f>
        <v>0</v>
      </c>
      <c r="D148" s="17">
        <f>0.01*Input!$F$58*(C148*$C$128)+10*(B148*$B$128)</f>
        <v>760160.50187479635</v>
      </c>
      <c r="E148" s="33">
        <f t="shared" si="7"/>
        <v>6.8004360650789214E-2</v>
      </c>
      <c r="F148" s="41">
        <f t="shared" si="8"/>
        <v>7.919556625849423</v>
      </c>
      <c r="G148" s="10"/>
    </row>
    <row r="149" spans="1:7" x14ac:dyDescent="0.25">
      <c r="A149" s="3" t="s">
        <v>1672</v>
      </c>
      <c r="B149" s="34">
        <f>Standing!$S$82</f>
        <v>0</v>
      </c>
      <c r="C149" s="42">
        <f>AggCap!$S$91</f>
        <v>1.2290949334079249</v>
      </c>
      <c r="D149" s="17">
        <f>0.01*Input!$F$58*(C149*$C$128)+10*(B149*$B$128)</f>
        <v>430608.62486829975</v>
      </c>
      <c r="E149" s="33">
        <f t="shared" si="7"/>
        <v>3.8522475388634986E-2</v>
      </c>
      <c r="F149" s="41">
        <f t="shared" si="8"/>
        <v>4.4861965069389251</v>
      </c>
      <c r="G149" s="10"/>
    </row>
    <row r="150" spans="1:7" x14ac:dyDescent="0.25">
      <c r="A150" s="3" t="s">
        <v>1673</v>
      </c>
      <c r="B150" s="9"/>
      <c r="C150" s="42">
        <f>Otex!$B$124</f>
        <v>3.8810265098995917</v>
      </c>
      <c r="D150" s="17">
        <f>0.01*Input!$F$58*(C150*$C$128)+10*(B150*$B$128)</f>
        <v>1359702.528324249</v>
      </c>
      <c r="E150" s="33">
        <f t="shared" si="7"/>
        <v>0.12163970751690267</v>
      </c>
      <c r="F150" s="41">
        <f t="shared" si="8"/>
        <v>14.165746761133509</v>
      </c>
      <c r="G150" s="10"/>
    </row>
    <row r="151" spans="1:7" x14ac:dyDescent="0.25">
      <c r="A151" s="3" t="s">
        <v>1674</v>
      </c>
      <c r="B151" s="9"/>
      <c r="C151" s="42">
        <f>Otex!$C$124</f>
        <v>0</v>
      </c>
      <c r="D151" s="17">
        <f>0.01*Input!$F$58*(C151*$C$128)+10*(B151*$B$128)</f>
        <v>0</v>
      </c>
      <c r="E151" s="33">
        <f t="shared" si="7"/>
        <v>0</v>
      </c>
      <c r="F151" s="41">
        <f t="shared" si="8"/>
        <v>0</v>
      </c>
      <c r="G151" s="10"/>
    </row>
    <row r="152" spans="1:7" x14ac:dyDescent="0.25">
      <c r="A152" s="3" t="s">
        <v>1675</v>
      </c>
      <c r="B152" s="34">
        <f>Scaler!$B$419</f>
        <v>0.77832665282461011</v>
      </c>
      <c r="C152" s="42">
        <f>Scaler!$E$419</f>
        <v>0</v>
      </c>
      <c r="D152" s="17">
        <f>0.01*Input!$F$58*(C152*$C$128)+10*(B152*$B$128)</f>
        <v>8700224.1234484669</v>
      </c>
      <c r="E152" s="33">
        <f t="shared" si="7"/>
        <v>0.77832665282461011</v>
      </c>
      <c r="F152" s="41">
        <f t="shared" si="8"/>
        <v>90.641275669147973</v>
      </c>
      <c r="G152" s="10"/>
    </row>
    <row r="153" spans="1:7" x14ac:dyDescent="0.25">
      <c r="A153" s="3" t="s">
        <v>1676</v>
      </c>
      <c r="B153" s="34">
        <f>Adjust!$B$75</f>
        <v>-1.5973606615227176E-4</v>
      </c>
      <c r="C153" s="42">
        <f>Adjust!$E$75</f>
        <v>3.4391461079898988E-3</v>
      </c>
      <c r="D153" s="17">
        <f>0.01*Input!$F$58*(C153*$C$128)+10*(B153*$B$128)</f>
        <v>-580.65652168753513</v>
      </c>
      <c r="E153" s="33">
        <f t="shared" si="7"/>
        <v>-5.1945839618980568E-5</v>
      </c>
      <c r="F153" s="41">
        <f t="shared" si="8"/>
        <v>-6.0494358656254009E-3</v>
      </c>
      <c r="G153" s="10"/>
    </row>
    <row r="155" spans="1:7" x14ac:dyDescent="0.25">
      <c r="A155" s="3" t="s">
        <v>1677</v>
      </c>
      <c r="B155" s="33">
        <f>SUM($B$131:$B$153)</f>
        <v>1.946</v>
      </c>
      <c r="C155" s="41">
        <f>SUM($C$131:$C$153)</f>
        <v>5.28</v>
      </c>
      <c r="D155" s="17">
        <f>SUM($D$131:$D$153)</f>
        <v>23602437.460524645</v>
      </c>
      <c r="E155" s="33">
        <f>SUM($E$131:$E$153)</f>
        <v>2.1114865417824373</v>
      </c>
      <c r="F155" s="41">
        <f>SUM($F$131:$F$153)</f>
        <v>245.89654357953177</v>
      </c>
    </row>
    <row r="157" spans="1:7" ht="21" customHeight="1" x14ac:dyDescent="0.3">
      <c r="A157" s="1" t="s">
        <v>174</v>
      </c>
    </row>
    <row r="159" spans="1:7" x14ac:dyDescent="0.25">
      <c r="B159" s="12" t="s">
        <v>222</v>
      </c>
      <c r="C159" s="12" t="s">
        <v>223</v>
      </c>
      <c r="D159" s="12" t="s">
        <v>225</v>
      </c>
      <c r="E159" s="12" t="s">
        <v>1658</v>
      </c>
      <c r="F159" s="12" t="s">
        <v>1659</v>
      </c>
    </row>
    <row r="160" spans="1:7" x14ac:dyDescent="0.25">
      <c r="A160" s="3" t="s">
        <v>174</v>
      </c>
      <c r="B160" s="39">
        <f>Loads!B$306</f>
        <v>1563756.4245609876</v>
      </c>
      <c r="C160" s="39">
        <f>Loads!C$306</f>
        <v>493934.07015041442</v>
      </c>
      <c r="D160" s="39">
        <f>Loads!E$306</f>
        <v>83272.456474592909</v>
      </c>
      <c r="E160" s="39">
        <f>Multi!B$123</f>
        <v>2057690.4947114021</v>
      </c>
      <c r="F160" s="33">
        <f>IF(D160,E160/D160,"")</f>
        <v>24.710337389160845</v>
      </c>
      <c r="G160" s="10"/>
    </row>
    <row r="162" spans="1:9" ht="30" x14ac:dyDescent="0.25">
      <c r="B162" s="12" t="s">
        <v>1489</v>
      </c>
      <c r="C162" s="12" t="s">
        <v>1490</v>
      </c>
      <c r="D162" s="12" t="s">
        <v>1492</v>
      </c>
      <c r="E162" s="12" t="s">
        <v>1678</v>
      </c>
      <c r="F162" s="12" t="s">
        <v>1660</v>
      </c>
      <c r="G162" s="12" t="s">
        <v>1630</v>
      </c>
      <c r="H162" s="12" t="s">
        <v>1661</v>
      </c>
    </row>
    <row r="163" spans="1:9" x14ac:dyDescent="0.25">
      <c r="A163" s="3" t="s">
        <v>456</v>
      </c>
      <c r="B163" s="34">
        <f>Standing!$C$83</f>
        <v>0.15219693563171241</v>
      </c>
      <c r="C163" s="34">
        <f>Standing!$C$107</f>
        <v>1.7643742470313029E-3</v>
      </c>
      <c r="D163" s="42">
        <f>AggCap!$C$92</f>
        <v>0</v>
      </c>
      <c r="E163" s="33">
        <f t="shared" ref="E163:E185" si="9">IF(E$160&lt;&gt;0,(($B163*B$160+$C163*C$160))/E$160,0)</f>
        <v>0.11608666174996958</v>
      </c>
      <c r="F163" s="17">
        <f>0.01*Input!$F$58*(D163*$D$160)+10*(B163*$B$160+C163*$C$160)</f>
        <v>2388704.2044569012</v>
      </c>
      <c r="G163" s="33">
        <f t="shared" ref="G163:G185" si="10">IF($E$160&lt;&gt;0,0.1*F163/$E$160,"")</f>
        <v>0.11608666174996959</v>
      </c>
      <c r="H163" s="41">
        <f t="shared" ref="H163:H185" si="11">IF($D$160&lt;&gt;0,F163/$D$160,"")</f>
        <v>28.685405782231413</v>
      </c>
      <c r="I163" s="10"/>
    </row>
    <row r="164" spans="1:9" x14ac:dyDescent="0.25">
      <c r="A164" s="3" t="s">
        <v>457</v>
      </c>
      <c r="B164" s="34">
        <f>Standing!$D$83</f>
        <v>7.6603361496361558E-2</v>
      </c>
      <c r="C164" s="34">
        <f>Standing!$D$107</f>
        <v>8.8804020724348723E-4</v>
      </c>
      <c r="D164" s="42">
        <f>AggCap!$D$92</f>
        <v>0</v>
      </c>
      <c r="E164" s="33">
        <f t="shared" si="9"/>
        <v>5.8428433384869423E-2</v>
      </c>
      <c r="F164" s="17">
        <f>0.01*Input!$F$58*(D164*$D$160)+10*(B164*$B$160+C164*$C$160)</f>
        <v>1202276.3199692415</v>
      </c>
      <c r="G164" s="33">
        <f t="shared" si="10"/>
        <v>5.8428433384869423E-2</v>
      </c>
      <c r="H164" s="41">
        <f t="shared" si="11"/>
        <v>14.437863020602324</v>
      </c>
      <c r="I164" s="10"/>
    </row>
    <row r="165" spans="1:9" x14ac:dyDescent="0.25">
      <c r="A165" s="3" t="s">
        <v>458</v>
      </c>
      <c r="B165" s="34">
        <f>Standing!$E$83</f>
        <v>9.4061665440270448E-2</v>
      </c>
      <c r="C165" s="34">
        <f>Standing!$E$107</f>
        <v>4.6583460618654197E-3</v>
      </c>
      <c r="D165" s="42">
        <f>AggCap!$E$92</f>
        <v>0</v>
      </c>
      <c r="E165" s="33">
        <f t="shared" si="9"/>
        <v>7.2601030063361383E-2</v>
      </c>
      <c r="F165" s="17">
        <f>0.01*Input!$F$58*(D165*$D$160)+10*(B165*$B$160+C165*$C$160)</f>
        <v>1493904.4946763546</v>
      </c>
      <c r="G165" s="33">
        <f t="shared" si="10"/>
        <v>7.2601030063361383E-2</v>
      </c>
      <c r="H165" s="41">
        <f t="shared" si="11"/>
        <v>17.939959476662693</v>
      </c>
      <c r="I165" s="10"/>
    </row>
    <row r="166" spans="1:9" x14ac:dyDescent="0.25">
      <c r="A166" s="3" t="s">
        <v>459</v>
      </c>
      <c r="B166" s="34">
        <f>Standing!$F$83</f>
        <v>0.15241290947555516</v>
      </c>
      <c r="C166" s="34">
        <f>Standing!$F$107</f>
        <v>7.5481554925662161E-3</v>
      </c>
      <c r="D166" s="42">
        <f>AggCap!$F$92</f>
        <v>0</v>
      </c>
      <c r="E166" s="33">
        <f t="shared" si="9"/>
        <v>0.11763914843614684</v>
      </c>
      <c r="F166" s="17">
        <f>0.01*Input!$F$58*(D166*$D$160)+10*(B166*$B$160+C166*$C$160)</f>
        <v>2420649.5754300305</v>
      </c>
      <c r="G166" s="33">
        <f t="shared" si="10"/>
        <v>0.11763914843614684</v>
      </c>
      <c r="H166" s="41">
        <f t="shared" si="11"/>
        <v>29.069030480307614</v>
      </c>
      <c r="I166" s="10"/>
    </row>
    <row r="167" spans="1:9" x14ac:dyDescent="0.25">
      <c r="A167" s="3" t="s">
        <v>460</v>
      </c>
      <c r="B167" s="34">
        <f>Standing!$G$83</f>
        <v>1.2721235462104503E-2</v>
      </c>
      <c r="C167" s="34">
        <f>Standing!$G$107</f>
        <v>1.4747353582775946E-4</v>
      </c>
      <c r="D167" s="42">
        <f>AggCap!$G$92</f>
        <v>0</v>
      </c>
      <c r="E167" s="33">
        <f t="shared" si="9"/>
        <v>9.7029927179646727E-3</v>
      </c>
      <c r="F167" s="17">
        <f>0.01*Input!$F$58*(D167*$D$160)+10*(B167*$B$160+C167*$C$160)</f>
        <v>199657.55886009859</v>
      </c>
      <c r="G167" s="33">
        <f t="shared" si="10"/>
        <v>9.7029927179646744E-3</v>
      </c>
      <c r="H167" s="41">
        <f t="shared" si="11"/>
        <v>2.3976422374547783</v>
      </c>
      <c r="I167" s="10"/>
    </row>
    <row r="168" spans="1:9" x14ac:dyDescent="0.25">
      <c r="A168" s="3" t="s">
        <v>461</v>
      </c>
      <c r="B168" s="34">
        <f>Standing!$H$83</f>
        <v>0.19855910973946828</v>
      </c>
      <c r="C168" s="34">
        <f>Standing!$H$107</f>
        <v>9.8335176458225412E-3</v>
      </c>
      <c r="D168" s="42">
        <f>AggCap!$H$92</f>
        <v>0</v>
      </c>
      <c r="E168" s="33">
        <f t="shared" si="9"/>
        <v>0.15325686429296081</v>
      </c>
      <c r="F168" s="17">
        <f>0.01*Input!$F$58*(D168*$D$160)+10*(B168*$B$160+C168*$C$160)</f>
        <v>3153551.9290490076</v>
      </c>
      <c r="G168" s="33">
        <f t="shared" si="10"/>
        <v>0.15325686429296081</v>
      </c>
      <c r="H168" s="41">
        <f t="shared" si="11"/>
        <v>37.870288238838988</v>
      </c>
      <c r="I168" s="10"/>
    </row>
    <row r="169" spans="1:9" x14ac:dyDescent="0.25">
      <c r="A169" s="3" t="s">
        <v>462</v>
      </c>
      <c r="B169" s="34">
        <f>Standing!$I$83</f>
        <v>4.7125569146450302E-2</v>
      </c>
      <c r="C169" s="34">
        <f>Standing!$I$107</f>
        <v>2.3338647941114122E-3</v>
      </c>
      <c r="D169" s="42">
        <f>AggCap!$I$92</f>
        <v>0</v>
      </c>
      <c r="E169" s="33">
        <f t="shared" si="9"/>
        <v>3.6373636872579461E-2</v>
      </c>
      <c r="F169" s="17">
        <f>0.01*Input!$F$58*(D169*$D$160)+10*(B169*$B$160+C169*$C$160)</f>
        <v>748456.86850790924</v>
      </c>
      <c r="G169" s="33">
        <f t="shared" si="10"/>
        <v>3.6373636872579461E-2</v>
      </c>
      <c r="H169" s="41">
        <f t="shared" si="11"/>
        <v>8.9880483919225966</v>
      </c>
      <c r="I169" s="10"/>
    </row>
    <row r="170" spans="1:9" x14ac:dyDescent="0.25">
      <c r="A170" s="3" t="s">
        <v>463</v>
      </c>
      <c r="B170" s="34">
        <f>Standing!$J$83</f>
        <v>0</v>
      </c>
      <c r="C170" s="34">
        <f>Standing!$J$107</f>
        <v>0</v>
      </c>
      <c r="D170" s="42">
        <f>AggCap!$J$92</f>
        <v>0.16643941058449349</v>
      </c>
      <c r="E170" s="33">
        <f t="shared" si="9"/>
        <v>0</v>
      </c>
      <c r="F170" s="17">
        <f>0.01*Input!$F$58*(D170*$D$160)+10*(B170*$B$160+C170*$C$160)</f>
        <v>50588.33779347258</v>
      </c>
      <c r="G170" s="33">
        <f t="shared" si="10"/>
        <v>2.4585008252452352E-3</v>
      </c>
      <c r="H170" s="41">
        <f t="shared" si="11"/>
        <v>0.60750384863340123</v>
      </c>
      <c r="I170" s="10"/>
    </row>
    <row r="171" spans="1:9" x14ac:dyDescent="0.25">
      <c r="A171" s="3" t="s">
        <v>1662</v>
      </c>
      <c r="B171" s="9"/>
      <c r="C171" s="9"/>
      <c r="D171" s="42">
        <f>SM!$B$110</f>
        <v>0</v>
      </c>
      <c r="E171" s="33">
        <f t="shared" si="9"/>
        <v>0</v>
      </c>
      <c r="F171" s="17">
        <f>0.01*Input!$F$58*(D171*$D$160)+10*(B171*$B$160+C171*$C$160)</f>
        <v>0</v>
      </c>
      <c r="G171" s="33">
        <f t="shared" si="10"/>
        <v>0</v>
      </c>
      <c r="H171" s="41">
        <f t="shared" si="11"/>
        <v>0</v>
      </c>
      <c r="I171" s="10"/>
    </row>
    <row r="172" spans="1:9" x14ac:dyDescent="0.25">
      <c r="A172" s="3" t="s">
        <v>1663</v>
      </c>
      <c r="B172" s="9"/>
      <c r="C172" s="9"/>
      <c r="D172" s="42">
        <f>SM!$C$110</f>
        <v>0</v>
      </c>
      <c r="E172" s="33">
        <f t="shared" si="9"/>
        <v>0</v>
      </c>
      <c r="F172" s="17">
        <f>0.01*Input!$F$58*(D172*$D$160)+10*(B172*$B$160+C172*$C$160)</f>
        <v>0</v>
      </c>
      <c r="G172" s="33">
        <f t="shared" si="10"/>
        <v>0</v>
      </c>
      <c r="H172" s="41">
        <f t="shared" si="11"/>
        <v>0</v>
      </c>
      <c r="I172" s="10"/>
    </row>
    <row r="173" spans="1:9" x14ac:dyDescent="0.25">
      <c r="A173" s="3" t="s">
        <v>1664</v>
      </c>
      <c r="B173" s="34">
        <f>Standing!$K$83</f>
        <v>6.332863732135241E-2</v>
      </c>
      <c r="C173" s="34">
        <f>Standing!$K$107</f>
        <v>1.3165208097886349E-3</v>
      </c>
      <c r="D173" s="42">
        <f>AggCap!$K$92</f>
        <v>0</v>
      </c>
      <c r="E173" s="33">
        <f t="shared" si="9"/>
        <v>4.8443066733393624E-2</v>
      </c>
      <c r="F173" s="17">
        <f>0.01*Input!$F$58*(D173*$D$160)+10*(B173*$B$160+C173*$C$160)</f>
        <v>996808.37951974187</v>
      </c>
      <c r="G173" s="33">
        <f t="shared" si="10"/>
        <v>4.8443066733393624E-2</v>
      </c>
      <c r="H173" s="41">
        <f t="shared" si="11"/>
        <v>11.970445231477902</v>
      </c>
      <c r="I173" s="10"/>
    </row>
    <row r="174" spans="1:9" x14ac:dyDescent="0.25">
      <c r="A174" s="3" t="s">
        <v>1665</v>
      </c>
      <c r="B174" s="34">
        <f>Standing!$L$83</f>
        <v>6.8880330667766429E-2</v>
      </c>
      <c r="C174" s="34">
        <f>Standing!$L$107</f>
        <v>7.9850938557191856E-4</v>
      </c>
      <c r="D174" s="42">
        <f>AggCap!$L$92</f>
        <v>0</v>
      </c>
      <c r="E174" s="33">
        <f t="shared" si="9"/>
        <v>5.253777031887203E-2</v>
      </c>
      <c r="F174" s="17">
        <f>0.01*Input!$F$58*(D174*$D$160)+10*(B174*$B$160+C174*$C$160)</f>
        <v>1081064.7059847382</v>
      </c>
      <c r="G174" s="33">
        <f t="shared" si="10"/>
        <v>5.2537770318872037E-2</v>
      </c>
      <c r="H174" s="41">
        <f t="shared" si="11"/>
        <v>12.982260302535686</v>
      </c>
      <c r="I174" s="10"/>
    </row>
    <row r="175" spans="1:9" x14ac:dyDescent="0.25">
      <c r="A175" s="3" t="s">
        <v>1666</v>
      </c>
      <c r="B175" s="34">
        <f>Standing!$M$83</f>
        <v>3.4668666936237602E-2</v>
      </c>
      <c r="C175" s="34">
        <f>Standing!$M$107</f>
        <v>4.0190364455969956E-4</v>
      </c>
      <c r="D175" s="42">
        <f>AggCap!$M$92</f>
        <v>0</v>
      </c>
      <c r="E175" s="33">
        <f t="shared" si="9"/>
        <v>2.6443172428175957E-2</v>
      </c>
      <c r="F175" s="17">
        <f>0.01*Input!$F$58*(D175*$D$160)+10*(B175*$B$160+C175*$C$160)</f>
        <v>544118.64555472299</v>
      </c>
      <c r="G175" s="33">
        <f t="shared" si="10"/>
        <v>2.6443172428175961E-2</v>
      </c>
      <c r="H175" s="41">
        <f t="shared" si="11"/>
        <v>6.534197123399835</v>
      </c>
      <c r="I175" s="10"/>
    </row>
    <row r="176" spans="1:9" x14ac:dyDescent="0.25">
      <c r="A176" s="3" t="s">
        <v>1667</v>
      </c>
      <c r="B176" s="34">
        <f>Standing!$N$83</f>
        <v>4.2569836191476217E-2</v>
      </c>
      <c r="C176" s="34">
        <f>Standing!$N$107</f>
        <v>2.1082449247376315E-3</v>
      </c>
      <c r="D176" s="42">
        <f>AggCap!$N$92</f>
        <v>0</v>
      </c>
      <c r="E176" s="33">
        <f t="shared" si="9"/>
        <v>3.2857316980978692E-2</v>
      </c>
      <c r="F176" s="17">
        <f>0.01*Input!$F$58*(D176*$D$160)+10*(B176*$B$160+C176*$C$160)</f>
        <v>676101.88833479397</v>
      </c>
      <c r="G176" s="33">
        <f t="shared" si="10"/>
        <v>3.2857316980978699E-2</v>
      </c>
      <c r="H176" s="41">
        <f t="shared" si="11"/>
        <v>8.1191538830258718</v>
      </c>
      <c r="I176" s="10"/>
    </row>
    <row r="177" spans="1:9" x14ac:dyDescent="0.25">
      <c r="A177" s="3" t="s">
        <v>1668</v>
      </c>
      <c r="B177" s="34">
        <f>Standing!$O$83</f>
        <v>6.8978074749917184E-2</v>
      </c>
      <c r="C177" s="34">
        <f>Standing!$O$107</f>
        <v>3.4160966783049057E-3</v>
      </c>
      <c r="D177" s="42">
        <f>AggCap!$O$92</f>
        <v>0</v>
      </c>
      <c r="E177" s="33">
        <f t="shared" si="9"/>
        <v>5.3240384966514877E-2</v>
      </c>
      <c r="F177" s="17">
        <f>0.01*Input!$F$58*(D177*$D$160)+10*(B177*$B$160+C177*$C$160)</f>
        <v>1095522.340803735</v>
      </c>
      <c r="G177" s="33">
        <f t="shared" si="10"/>
        <v>5.3240384966514877E-2</v>
      </c>
      <c r="H177" s="41">
        <f t="shared" si="11"/>
        <v>13.155878752513894</v>
      </c>
      <c r="I177" s="10"/>
    </row>
    <row r="178" spans="1:9" x14ac:dyDescent="0.25">
      <c r="A178" s="3" t="s">
        <v>1669</v>
      </c>
      <c r="B178" s="34">
        <f>Standing!$P$83</f>
        <v>5.7572966334395546E-3</v>
      </c>
      <c r="C178" s="34">
        <f>Standing!$P$107</f>
        <v>6.6742644130110841E-5</v>
      </c>
      <c r="D178" s="42">
        <f>AggCap!$P$92</f>
        <v>0</v>
      </c>
      <c r="E178" s="33">
        <f t="shared" si="9"/>
        <v>4.3913193396850287E-3</v>
      </c>
      <c r="F178" s="17">
        <f>0.01*Input!$F$58*(D178*$D$160)+10*(B178*$B$160+C178*$C$160)</f>
        <v>90359.760645122355</v>
      </c>
      <c r="G178" s="33">
        <f t="shared" si="10"/>
        <v>4.3913193396850287E-3</v>
      </c>
      <c r="H178" s="41">
        <f t="shared" si="11"/>
        <v>1.0851098246716409</v>
      </c>
      <c r="I178" s="10"/>
    </row>
    <row r="179" spans="1:9" x14ac:dyDescent="0.25">
      <c r="A179" s="3" t="s">
        <v>1670</v>
      </c>
      <c r="B179" s="34">
        <f>Standing!$Q$83</f>
        <v>0.17252527227776876</v>
      </c>
      <c r="C179" s="34">
        <f>Standing!$Q$107</f>
        <v>8.5442078760315492E-3</v>
      </c>
      <c r="D179" s="42">
        <f>AggCap!$Q$92</f>
        <v>0</v>
      </c>
      <c r="E179" s="33">
        <f t="shared" si="9"/>
        <v>0.13316277593746895</v>
      </c>
      <c r="F179" s="17">
        <f>0.01*Input!$F$58*(D179*$D$160)+10*(B179*$B$160+C179*$C$160)</f>
        <v>2740077.7829591408</v>
      </c>
      <c r="G179" s="33">
        <f t="shared" si="10"/>
        <v>0.13316277593746897</v>
      </c>
      <c r="H179" s="41">
        <f t="shared" si="11"/>
        <v>32.90497121092087</v>
      </c>
      <c r="I179" s="10"/>
    </row>
    <row r="180" spans="1:9" x14ac:dyDescent="0.25">
      <c r="A180" s="3" t="s">
        <v>1671</v>
      </c>
      <c r="B180" s="34">
        <f>Standing!$R$83</f>
        <v>7.3272210698113599E-2</v>
      </c>
      <c r="C180" s="34">
        <f>Standing!$R$107</f>
        <v>3.6287611169980301E-3</v>
      </c>
      <c r="D180" s="42">
        <f>AggCap!$R$92</f>
        <v>0</v>
      </c>
      <c r="E180" s="33">
        <f t="shared" si="9"/>
        <v>5.6554792505568469E-2</v>
      </c>
      <c r="F180" s="17">
        <f>0.01*Input!$F$58*(D180*$D$160)+10*(B180*$B$160+C180*$C$160)</f>
        <v>1163722.5896908387</v>
      </c>
      <c r="G180" s="33">
        <f t="shared" si="10"/>
        <v>5.6554792505568469E-2</v>
      </c>
      <c r="H180" s="41">
        <f t="shared" si="11"/>
        <v>13.97488003786582</v>
      </c>
      <c r="I180" s="10"/>
    </row>
    <row r="181" spans="1:9" x14ac:dyDescent="0.25">
      <c r="A181" s="3" t="s">
        <v>1672</v>
      </c>
      <c r="B181" s="34">
        <f>Standing!$S$83</f>
        <v>0</v>
      </c>
      <c r="C181" s="34">
        <f>Standing!$S$107</f>
        <v>0</v>
      </c>
      <c r="D181" s="42">
        <f>AggCap!$S$92</f>
        <v>1.2290949334079249</v>
      </c>
      <c r="E181" s="33">
        <f t="shared" si="9"/>
        <v>0</v>
      </c>
      <c r="F181" s="17">
        <f>0.01*Input!$F$58*(D181*$D$160)+10*(B181*$B$160+C181*$C$160)</f>
        <v>373576.60336054245</v>
      </c>
      <c r="G181" s="33">
        <f t="shared" si="10"/>
        <v>1.8155140645334893E-2</v>
      </c>
      <c r="H181" s="41">
        <f t="shared" si="11"/>
        <v>4.486196506938926</v>
      </c>
      <c r="I181" s="10"/>
    </row>
    <row r="182" spans="1:9" x14ac:dyDescent="0.25">
      <c r="A182" s="3" t="s">
        <v>1673</v>
      </c>
      <c r="B182" s="9"/>
      <c r="C182" s="9"/>
      <c r="D182" s="42">
        <f>Otex!$B$125</f>
        <v>3.8810265098995917</v>
      </c>
      <c r="E182" s="33">
        <f t="shared" si="9"/>
        <v>0</v>
      </c>
      <c r="F182" s="17">
        <f>0.01*Input!$F$58*(D182*$D$160)+10*(B182*$B$160+C182*$C$160)</f>
        <v>1179616.5305965957</v>
      </c>
      <c r="G182" s="33">
        <f t="shared" si="10"/>
        <v>5.7327209005844239E-2</v>
      </c>
      <c r="H182" s="41">
        <f t="shared" si="11"/>
        <v>14.16574676113351</v>
      </c>
      <c r="I182" s="10"/>
    </row>
    <row r="183" spans="1:9" x14ac:dyDescent="0.25">
      <c r="A183" s="3" t="s">
        <v>1674</v>
      </c>
      <c r="B183" s="9"/>
      <c r="C183" s="9"/>
      <c r="D183" s="42">
        <f>Otex!$C$125</f>
        <v>0</v>
      </c>
      <c r="E183" s="33">
        <f t="shared" si="9"/>
        <v>0</v>
      </c>
      <c r="F183" s="17">
        <f>0.01*Input!$F$58*(D183*$D$160)+10*(B183*$B$160+C183*$C$160)</f>
        <v>0</v>
      </c>
      <c r="G183" s="33">
        <f t="shared" si="10"/>
        <v>0</v>
      </c>
      <c r="H183" s="41">
        <f t="shared" si="11"/>
        <v>0</v>
      </c>
      <c r="I183" s="10"/>
    </row>
    <row r="184" spans="1:9" x14ac:dyDescent="0.25">
      <c r="A184" s="3" t="s">
        <v>1675</v>
      </c>
      <c r="B184" s="34">
        <f>Scaler!$B$420</f>
        <v>0.85941913361371147</v>
      </c>
      <c r="C184" s="34">
        <f>Scaler!$C$420</f>
        <v>1.7866216953186888E-2</v>
      </c>
      <c r="D184" s="42">
        <f>Scaler!$E$420</f>
        <v>0</v>
      </c>
      <c r="E184" s="33">
        <f t="shared" si="9"/>
        <v>0.65741029970918163</v>
      </c>
      <c r="F184" s="17">
        <f>0.01*Input!$F$58*(D184*$D$160)+10*(B184*$B$160+C184*$C$160)</f>
        <v>13527469.248369571</v>
      </c>
      <c r="G184" s="33">
        <f t="shared" si="10"/>
        <v>0.65741029970918163</v>
      </c>
      <c r="H184" s="41">
        <f t="shared" si="11"/>
        <v>162.44830308923227</v>
      </c>
      <c r="I184" s="10"/>
    </row>
    <row r="185" spans="1:9" x14ac:dyDescent="0.25">
      <c r="A185" s="3" t="s">
        <v>1676</v>
      </c>
      <c r="B185" s="34">
        <f>Adjust!$B$76</f>
        <v>-8.0245481705709665E-5</v>
      </c>
      <c r="C185" s="34">
        <f>Adjust!$C$76</f>
        <v>-3.2097601777750229E-4</v>
      </c>
      <c r="D185" s="42">
        <f>Adjust!$E$76</f>
        <v>3.4391461079898988E-3</v>
      </c>
      <c r="E185" s="33">
        <f t="shared" si="9"/>
        <v>-1.380311466524239E-4</v>
      </c>
      <c r="F185" s="17">
        <f>0.01*Input!$F$58*(D185*$D$160)+10*(B185*$B$160+C185*$C$160)</f>
        <v>-1794.9443566642383</v>
      </c>
      <c r="G185" s="33">
        <f t="shared" si="10"/>
        <v>-8.7231017554755493E-5</v>
      </c>
      <c r="H185" s="41">
        <f t="shared" si="11"/>
        <v>-2.1555078745778205E-2</v>
      </c>
      <c r="I185" s="10"/>
    </row>
    <row r="187" spans="1:9" x14ac:dyDescent="0.25">
      <c r="A187" s="3" t="s">
        <v>1677</v>
      </c>
      <c r="B187" s="33">
        <f>SUM($B$163:$B$185)</f>
        <v>2.1230000000000002</v>
      </c>
      <c r="C187" s="33">
        <f>SUM($C$163:$C$185)</f>
        <v>6.5000000000000002E-2</v>
      </c>
      <c r="D187" s="41">
        <f>SUM($D$163:$D$185)</f>
        <v>5.28</v>
      </c>
      <c r="E187" s="33">
        <f>SUM(E$163:E$185)</f>
        <v>1.6289916352910392</v>
      </c>
      <c r="F187" s="17">
        <f>SUM($F$163:$F$185)</f>
        <v>35124432.820205897</v>
      </c>
      <c r="G187" s="33">
        <f>SUM($G$163:$G$185)</f>
        <v>1.706983285896561</v>
      </c>
      <c r="H187" s="41">
        <f>SUM($H$163:$H$185)</f>
        <v>421.80132912162424</v>
      </c>
    </row>
    <row r="189" spans="1:9" ht="21" customHeight="1" x14ac:dyDescent="0.3">
      <c r="A189" s="1" t="s">
        <v>212</v>
      </c>
    </row>
    <row r="191" spans="1:9" x14ac:dyDescent="0.25">
      <c r="B191" s="12" t="s">
        <v>222</v>
      </c>
      <c r="C191" s="12" t="s">
        <v>1658</v>
      </c>
    </row>
    <row r="192" spans="1:9" ht="30" x14ac:dyDescent="0.25">
      <c r="A192" s="3" t="s">
        <v>212</v>
      </c>
      <c r="B192" s="39">
        <f>Loads!B$307</f>
        <v>4232.4037128975033</v>
      </c>
      <c r="C192" s="39">
        <f>Multi!B$124</f>
        <v>4232.4037128975033</v>
      </c>
      <c r="D192" s="10"/>
    </row>
    <row r="194" spans="1:5" x14ac:dyDescent="0.25">
      <c r="B194" s="12" t="s">
        <v>1489</v>
      </c>
      <c r="C194" s="12" t="s">
        <v>1660</v>
      </c>
      <c r="D194" s="12" t="s">
        <v>1630</v>
      </c>
    </row>
    <row r="195" spans="1:5" x14ac:dyDescent="0.25">
      <c r="A195" s="3" t="s">
        <v>456</v>
      </c>
      <c r="B195" s="34">
        <f>Standing!$C$84</f>
        <v>1.9343188680648545E-2</v>
      </c>
      <c r="C195" s="17">
        <f t="shared" ref="C195:C213" si="12">0+10*(B195*$B$192)</f>
        <v>818.68183591253865</v>
      </c>
      <c r="D195" s="33">
        <f t="shared" ref="D195:D213" si="13">IF($C$192&lt;&gt;0,0.1*C195/$C$192,"")</f>
        <v>1.9343188680648545E-2</v>
      </c>
      <c r="E195" s="10"/>
    </row>
    <row r="196" spans="1:5" x14ac:dyDescent="0.25">
      <c r="A196" s="3" t="s">
        <v>457</v>
      </c>
      <c r="B196" s="34">
        <f>Standing!$D$84</f>
        <v>9.7357628709529992E-3</v>
      </c>
      <c r="C196" s="17">
        <f t="shared" si="12"/>
        <v>412.05678922911136</v>
      </c>
      <c r="D196" s="33">
        <f t="shared" si="13"/>
        <v>9.7357628709530009E-3</v>
      </c>
      <c r="E196" s="10"/>
    </row>
    <row r="197" spans="1:5" x14ac:dyDescent="0.25">
      <c r="A197" s="3" t="s">
        <v>458</v>
      </c>
      <c r="B197" s="34">
        <f>Standing!$E$84</f>
        <v>1.6551333310514577E-2</v>
      </c>
      <c r="C197" s="17">
        <f t="shared" si="12"/>
        <v>700.5192455682602</v>
      </c>
      <c r="D197" s="33">
        <f t="shared" si="13"/>
        <v>1.6551333310514577E-2</v>
      </c>
      <c r="E197" s="10"/>
    </row>
    <row r="198" spans="1:5" x14ac:dyDescent="0.25">
      <c r="A198" s="3" t="s">
        <v>459</v>
      </c>
      <c r="B198" s="34">
        <f>Standing!$F$84</f>
        <v>2.6818968745105674E-2</v>
      </c>
      <c r="C198" s="17">
        <f t="shared" si="12"/>
        <v>1135.0870289286736</v>
      </c>
      <c r="D198" s="33">
        <f t="shared" si="13"/>
        <v>2.6818968745105677E-2</v>
      </c>
      <c r="E198" s="10"/>
    </row>
    <row r="199" spans="1:5" x14ac:dyDescent="0.25">
      <c r="A199" s="3" t="s">
        <v>460</v>
      </c>
      <c r="B199" s="34">
        <f>Standing!$G$84</f>
        <v>1.616781946187704E-3</v>
      </c>
      <c r="C199" s="17">
        <f t="shared" si="12"/>
        <v>68.42873911990489</v>
      </c>
      <c r="D199" s="33">
        <f t="shared" si="13"/>
        <v>1.616781946187704E-3</v>
      </c>
      <c r="E199" s="10"/>
    </row>
    <row r="200" spans="1:5" x14ac:dyDescent="0.25">
      <c r="A200" s="3" t="s">
        <v>461</v>
      </c>
      <c r="B200" s="34">
        <f>Standing!$H$84</f>
        <v>3.4938973191197327E-2</v>
      </c>
      <c r="C200" s="17">
        <f t="shared" si="12"/>
        <v>1478.7583985924991</v>
      </c>
      <c r="D200" s="33">
        <f t="shared" si="13"/>
        <v>3.4938973191197327E-2</v>
      </c>
      <c r="E200" s="10"/>
    </row>
    <row r="201" spans="1:5" x14ac:dyDescent="0.25">
      <c r="A201" s="3" t="s">
        <v>462</v>
      </c>
      <c r="B201" s="34">
        <f>Standing!$I$84</f>
        <v>8.2923367212320784E-3</v>
      </c>
      <c r="C201" s="17">
        <f t="shared" si="12"/>
        <v>350.96516727538955</v>
      </c>
      <c r="D201" s="33">
        <f t="shared" si="13"/>
        <v>8.2923367212320784E-3</v>
      </c>
      <c r="E201" s="10"/>
    </row>
    <row r="202" spans="1:5" x14ac:dyDescent="0.25">
      <c r="A202" s="3" t="s">
        <v>463</v>
      </c>
      <c r="B202" s="34">
        <f>Standing!$J$84</f>
        <v>0</v>
      </c>
      <c r="C202" s="17">
        <f t="shared" si="12"/>
        <v>0</v>
      </c>
      <c r="D202" s="33">
        <f t="shared" si="13"/>
        <v>0</v>
      </c>
      <c r="E202" s="10"/>
    </row>
    <row r="203" spans="1:5" x14ac:dyDescent="0.25">
      <c r="A203" s="3" t="s">
        <v>1664</v>
      </c>
      <c r="B203" s="34">
        <f>Standing!$K$84</f>
        <v>6.7807840477061669E-3</v>
      </c>
      <c r="C203" s="17">
        <f t="shared" si="12"/>
        <v>286.99015579867739</v>
      </c>
      <c r="D203" s="33">
        <f t="shared" si="13"/>
        <v>6.7807840477061669E-3</v>
      </c>
      <c r="E203" s="10"/>
    </row>
    <row r="204" spans="1:5" x14ac:dyDescent="0.25">
      <c r="A204" s="3" t="s">
        <v>1665</v>
      </c>
      <c r="B204" s="34">
        <f>Standing!$L$84</f>
        <v>8.7542185193277364E-3</v>
      </c>
      <c r="C204" s="17">
        <f t="shared" si="12"/>
        <v>370.51386964718796</v>
      </c>
      <c r="D204" s="33">
        <f t="shared" si="13"/>
        <v>8.7542185193277364E-3</v>
      </c>
      <c r="E204" s="10"/>
    </row>
    <row r="205" spans="1:5" x14ac:dyDescent="0.25">
      <c r="A205" s="3" t="s">
        <v>1666</v>
      </c>
      <c r="B205" s="34">
        <f>Standing!$M$84</f>
        <v>4.4061502491543987E-3</v>
      </c>
      <c r="C205" s="17">
        <f t="shared" si="12"/>
        <v>186.48606674105338</v>
      </c>
      <c r="D205" s="33">
        <f t="shared" si="13"/>
        <v>4.4061502491543987E-3</v>
      </c>
      <c r="E205" s="10"/>
    </row>
    <row r="206" spans="1:5" x14ac:dyDescent="0.25">
      <c r="A206" s="3" t="s">
        <v>1667</v>
      </c>
      <c r="B206" s="34">
        <f>Standing!$N$84</f>
        <v>7.4906981976259543E-3</v>
      </c>
      <c r="C206" s="17">
        <f t="shared" si="12"/>
        <v>317.03658863826723</v>
      </c>
      <c r="D206" s="33">
        <f t="shared" si="13"/>
        <v>7.4906981976259543E-3</v>
      </c>
      <c r="E206" s="10"/>
    </row>
    <row r="207" spans="1:5" x14ac:dyDescent="0.25">
      <c r="A207" s="3" t="s">
        <v>1668</v>
      </c>
      <c r="B207" s="34">
        <f>Standing!$O$84</f>
        <v>1.2137559982163398E-2</v>
      </c>
      <c r="C207" s="17">
        <f t="shared" si="12"/>
        <v>513.71053934024519</v>
      </c>
      <c r="D207" s="33">
        <f t="shared" si="13"/>
        <v>1.2137559982163398E-2</v>
      </c>
      <c r="E207" s="10"/>
    </row>
    <row r="208" spans="1:5" x14ac:dyDescent="0.25">
      <c r="A208" s="3" t="s">
        <v>1669</v>
      </c>
      <c r="B208" s="34">
        <f>Standing!$P$84</f>
        <v>7.3171299151886205E-4</v>
      </c>
      <c r="C208" s="17">
        <f t="shared" si="12"/>
        <v>30.969047820797712</v>
      </c>
      <c r="D208" s="33">
        <f t="shared" si="13"/>
        <v>7.3171299151886216E-4</v>
      </c>
      <c r="E208" s="10"/>
    </row>
    <row r="209" spans="1:9" x14ac:dyDescent="0.25">
      <c r="A209" s="3" t="s">
        <v>1670</v>
      </c>
      <c r="B209" s="34">
        <f>Standing!$Q$84</f>
        <v>3.0357991989519911E-2</v>
      </c>
      <c r="C209" s="17">
        <f t="shared" si="12"/>
        <v>1284.8727801255675</v>
      </c>
      <c r="D209" s="33">
        <f t="shared" si="13"/>
        <v>3.0357991989519915E-2</v>
      </c>
      <c r="E209" s="10"/>
    </row>
    <row r="210" spans="1:9" x14ac:dyDescent="0.25">
      <c r="A210" s="3" t="s">
        <v>1671</v>
      </c>
      <c r="B210" s="34">
        <f>Standing!$R$84</f>
        <v>1.289316722159075E-2</v>
      </c>
      <c r="C210" s="17">
        <f t="shared" si="12"/>
        <v>545.69088819669082</v>
      </c>
      <c r="D210" s="33">
        <f t="shared" si="13"/>
        <v>1.2893167221590751E-2</v>
      </c>
      <c r="E210" s="10"/>
    </row>
    <row r="211" spans="1:9" x14ac:dyDescent="0.25">
      <c r="A211" s="3" t="s">
        <v>1672</v>
      </c>
      <c r="B211" s="34">
        <f>Standing!$S$84</f>
        <v>0</v>
      </c>
      <c r="C211" s="17">
        <f t="shared" si="12"/>
        <v>0</v>
      </c>
      <c r="D211" s="33">
        <f t="shared" si="13"/>
        <v>0</v>
      </c>
      <c r="E211" s="10"/>
    </row>
    <row r="212" spans="1:9" x14ac:dyDescent="0.25">
      <c r="A212" s="3" t="s">
        <v>1675</v>
      </c>
      <c r="B212" s="34">
        <f>Scaler!$B$421</f>
        <v>9.2020542332693606E-2</v>
      </c>
      <c r="C212" s="17">
        <f t="shared" si="12"/>
        <v>3894.6808503173429</v>
      </c>
      <c r="D212" s="33">
        <f t="shared" si="13"/>
        <v>9.2020542332693606E-2</v>
      </c>
      <c r="E212" s="10"/>
    </row>
    <row r="213" spans="1:9" x14ac:dyDescent="0.25">
      <c r="A213" s="3" t="s">
        <v>1676</v>
      </c>
      <c r="B213" s="34">
        <f>Adjust!$B$77</f>
        <v>1.298290028602378E-4</v>
      </c>
      <c r="C213" s="17">
        <f t="shared" si="12"/>
        <v>5.4948875374745096</v>
      </c>
      <c r="D213" s="33">
        <f t="shared" si="13"/>
        <v>1.298290028602378E-4</v>
      </c>
      <c r="E213" s="10"/>
    </row>
    <row r="215" spans="1:9" x14ac:dyDescent="0.25">
      <c r="A215" s="3" t="s">
        <v>1677</v>
      </c>
      <c r="B215" s="33">
        <f>SUM($B$195:$B$213)</f>
        <v>0.29299999999999998</v>
      </c>
      <c r="C215" s="17">
        <f>SUM($C$195:$C$213)</f>
        <v>12400.942878789681</v>
      </c>
      <c r="D215" s="33">
        <f>SUM($D$195:$D$213)</f>
        <v>0.29299999999999998</v>
      </c>
    </row>
    <row r="217" spans="1:9" ht="21" customHeight="1" x14ac:dyDescent="0.3">
      <c r="A217" s="1" t="s">
        <v>175</v>
      </c>
    </row>
    <row r="219" spans="1:9" x14ac:dyDescent="0.25">
      <c r="B219" s="12" t="s">
        <v>222</v>
      </c>
      <c r="C219" s="12" t="s">
        <v>223</v>
      </c>
      <c r="D219" s="12" t="s">
        <v>225</v>
      </c>
      <c r="E219" s="12" t="s">
        <v>1658</v>
      </c>
      <c r="F219" s="12" t="s">
        <v>1659</v>
      </c>
    </row>
    <row r="220" spans="1:9" x14ac:dyDescent="0.25">
      <c r="A220" s="3" t="s">
        <v>175</v>
      </c>
      <c r="B220" s="39">
        <f>Loads!B$308</f>
        <v>0</v>
      </c>
      <c r="C220" s="39">
        <f>Loads!C$308</f>
        <v>0</v>
      </c>
      <c r="D220" s="39">
        <f>Loads!E$308</f>
        <v>0</v>
      </c>
      <c r="E220" s="39">
        <f>Multi!B$125</f>
        <v>0</v>
      </c>
      <c r="F220" s="33" t="str">
        <f>IF(D220,E220/D220,"")</f>
        <v/>
      </c>
      <c r="G220" s="10"/>
    </row>
    <row r="222" spans="1:9" ht="30" x14ac:dyDescent="0.25">
      <c r="B222" s="12" t="s">
        <v>1489</v>
      </c>
      <c r="C222" s="12" t="s">
        <v>1490</v>
      </c>
      <c r="D222" s="12" t="s">
        <v>1492</v>
      </c>
      <c r="E222" s="12" t="s">
        <v>1678</v>
      </c>
      <c r="F222" s="12" t="s">
        <v>1660</v>
      </c>
      <c r="G222" s="12" t="s">
        <v>1630</v>
      </c>
      <c r="H222" s="12" t="s">
        <v>1661</v>
      </c>
    </row>
    <row r="223" spans="1:9" x14ac:dyDescent="0.25">
      <c r="A223" s="3" t="s">
        <v>456</v>
      </c>
      <c r="B223" s="34">
        <f>Standing!$C$85</f>
        <v>0.11593612936548527</v>
      </c>
      <c r="C223" s="34">
        <f>Standing!$C$108</f>
        <v>1.2582422121076972E-3</v>
      </c>
      <c r="D223" s="42">
        <f>AggCap!$C$93</f>
        <v>0</v>
      </c>
      <c r="E223" s="33">
        <f t="shared" ref="E223:E245" si="14">IF(E$220&lt;&gt;0,(($B223*B$220+$C223*C$220))/E$220,0)</f>
        <v>0</v>
      </c>
      <c r="F223" s="17">
        <f>0.01*Input!$F$58*(D223*$D$220)+10*(B223*$B$220+C223*$C$220)</f>
        <v>0</v>
      </c>
      <c r="G223" s="33" t="str">
        <f t="shared" ref="G223:G245" si="15">IF($E$220&lt;&gt;0,0.1*F223/$E$220,"")</f>
        <v/>
      </c>
      <c r="H223" s="41" t="str">
        <f t="shared" ref="H223:H245" si="16">IF($D$220&lt;&gt;0,F223/$D$220,"")</f>
        <v/>
      </c>
      <c r="I223" s="10"/>
    </row>
    <row r="224" spans="1:9" x14ac:dyDescent="0.25">
      <c r="A224" s="3" t="s">
        <v>457</v>
      </c>
      <c r="B224" s="34">
        <f>Standing!$D$85</f>
        <v>5.8352667820880236E-2</v>
      </c>
      <c r="C224" s="34">
        <f>Standing!$D$108</f>
        <v>6.3329516211352841E-4</v>
      </c>
      <c r="D224" s="42">
        <f>AggCap!$D$93</f>
        <v>0</v>
      </c>
      <c r="E224" s="33">
        <f t="shared" si="14"/>
        <v>0</v>
      </c>
      <c r="F224" s="17">
        <f>0.01*Input!$F$58*(D224*$D$220)+10*(B224*$B$220+C224*$C$220)</f>
        <v>0</v>
      </c>
      <c r="G224" s="33" t="str">
        <f t="shared" si="15"/>
        <v/>
      </c>
      <c r="H224" s="41" t="str">
        <f t="shared" si="16"/>
        <v/>
      </c>
      <c r="I224" s="10"/>
    </row>
    <row r="225" spans="1:9" x14ac:dyDescent="0.25">
      <c r="A225" s="3" t="s">
        <v>458</v>
      </c>
      <c r="B225" s="34">
        <f>Standing!$E$85</f>
        <v>7.0909749478431025E-2</v>
      </c>
      <c r="C225" s="34">
        <f>Standing!$E$108</f>
        <v>3.3220913957578194E-3</v>
      </c>
      <c r="D225" s="42">
        <f>AggCap!$E$93</f>
        <v>0</v>
      </c>
      <c r="E225" s="33">
        <f t="shared" si="14"/>
        <v>0</v>
      </c>
      <c r="F225" s="17">
        <f>0.01*Input!$F$58*(D225*$D$220)+10*(B225*$B$220+C225*$C$220)</f>
        <v>0</v>
      </c>
      <c r="G225" s="33" t="str">
        <f t="shared" si="15"/>
        <v/>
      </c>
      <c r="H225" s="41" t="str">
        <f t="shared" si="16"/>
        <v/>
      </c>
      <c r="I225" s="10"/>
    </row>
    <row r="226" spans="1:9" x14ac:dyDescent="0.25">
      <c r="A226" s="3" t="s">
        <v>459</v>
      </c>
      <c r="B226" s="34">
        <f>Standing!$F$85</f>
        <v>0.11489868032427357</v>
      </c>
      <c r="C226" s="34">
        <f>Standing!$F$108</f>
        <v>5.3829539674978295E-3</v>
      </c>
      <c r="D226" s="42">
        <f>AggCap!$F$93</f>
        <v>0</v>
      </c>
      <c r="E226" s="33">
        <f t="shared" si="14"/>
        <v>0</v>
      </c>
      <c r="F226" s="17">
        <f>0.01*Input!$F$58*(D226*$D$220)+10*(B226*$B$220+C226*$C$220)</f>
        <v>0</v>
      </c>
      <c r="G226" s="33" t="str">
        <f t="shared" si="15"/>
        <v/>
      </c>
      <c r="H226" s="41" t="str">
        <f t="shared" si="16"/>
        <v/>
      </c>
      <c r="I226" s="10"/>
    </row>
    <row r="227" spans="1:9" x14ac:dyDescent="0.25">
      <c r="A227" s="3" t="s">
        <v>460</v>
      </c>
      <c r="B227" s="34">
        <f>Standing!$G$85</f>
        <v>9.6904106124199793E-3</v>
      </c>
      <c r="C227" s="34">
        <f>Standing!$G$108</f>
        <v>1.0516897322633148E-4</v>
      </c>
      <c r="D227" s="42">
        <f>AggCap!$G$93</f>
        <v>0</v>
      </c>
      <c r="E227" s="33">
        <f t="shared" si="14"/>
        <v>0</v>
      </c>
      <c r="F227" s="17">
        <f>0.01*Input!$F$58*(D227*$D$220)+10*(B227*$B$220+C227*$C$220)</f>
        <v>0</v>
      </c>
      <c r="G227" s="33" t="str">
        <f t="shared" si="15"/>
        <v/>
      </c>
      <c r="H227" s="41" t="str">
        <f t="shared" si="16"/>
        <v/>
      </c>
      <c r="I227" s="10"/>
    </row>
    <row r="228" spans="1:9" x14ac:dyDescent="0.25">
      <c r="A228" s="3" t="s">
        <v>461</v>
      </c>
      <c r="B228" s="34">
        <f>Standing!$H$85</f>
        <v>0.14968666206773373</v>
      </c>
      <c r="C228" s="34">
        <f>Standing!$H$108</f>
        <v>7.0127560141244692E-3</v>
      </c>
      <c r="D228" s="42">
        <f>AggCap!$H$93</f>
        <v>0</v>
      </c>
      <c r="E228" s="33">
        <f t="shared" si="14"/>
        <v>0</v>
      </c>
      <c r="F228" s="17">
        <f>0.01*Input!$F$58*(D228*$D$220)+10*(B228*$B$220+C228*$C$220)</f>
        <v>0</v>
      </c>
      <c r="G228" s="33" t="str">
        <f t="shared" si="15"/>
        <v/>
      </c>
      <c r="H228" s="41" t="str">
        <f t="shared" si="16"/>
        <v/>
      </c>
      <c r="I228" s="10"/>
    </row>
    <row r="229" spans="1:9" x14ac:dyDescent="0.25">
      <c r="A229" s="3" t="s">
        <v>462</v>
      </c>
      <c r="B229" s="34">
        <f>Standing!$I$85</f>
        <v>3.5526293166956935E-2</v>
      </c>
      <c r="C229" s="34">
        <f>Standing!$I$108</f>
        <v>1.664391620633446E-3</v>
      </c>
      <c r="D229" s="42">
        <f>AggCap!$I$93</f>
        <v>0</v>
      </c>
      <c r="E229" s="33">
        <f t="shared" si="14"/>
        <v>0</v>
      </c>
      <c r="F229" s="17">
        <f>0.01*Input!$F$58*(D229*$D$220)+10*(B229*$B$220+C229*$C$220)</f>
        <v>0</v>
      </c>
      <c r="G229" s="33" t="str">
        <f t="shared" si="15"/>
        <v/>
      </c>
      <c r="H229" s="41" t="str">
        <f t="shared" si="16"/>
        <v/>
      </c>
      <c r="I229" s="10"/>
    </row>
    <row r="230" spans="1:9" x14ac:dyDescent="0.25">
      <c r="A230" s="3" t="s">
        <v>463</v>
      </c>
      <c r="B230" s="34">
        <f>Standing!$J$85</f>
        <v>0</v>
      </c>
      <c r="C230" s="34">
        <f>Standing!$J$108</f>
        <v>0</v>
      </c>
      <c r="D230" s="42">
        <f>AggCap!$J$93</f>
        <v>0</v>
      </c>
      <c r="E230" s="33">
        <f t="shared" si="14"/>
        <v>0</v>
      </c>
      <c r="F230" s="17">
        <f>0.01*Input!$F$58*(D230*$D$220)+10*(B230*$B$220+C230*$C$220)</f>
        <v>0</v>
      </c>
      <c r="G230" s="33" t="str">
        <f t="shared" si="15"/>
        <v/>
      </c>
      <c r="H230" s="41" t="str">
        <f t="shared" si="16"/>
        <v/>
      </c>
      <c r="I230" s="10"/>
    </row>
    <row r="231" spans="1:9" x14ac:dyDescent="0.25">
      <c r="A231" s="3" t="s">
        <v>1662</v>
      </c>
      <c r="B231" s="9"/>
      <c r="C231" s="9"/>
      <c r="D231" s="42">
        <f>SM!$B$112</f>
        <v>0</v>
      </c>
      <c r="E231" s="33">
        <f t="shared" si="14"/>
        <v>0</v>
      </c>
      <c r="F231" s="17">
        <f>0.01*Input!$F$58*(D231*$D$220)+10*(B231*$B$220+C231*$C$220)</f>
        <v>0</v>
      </c>
      <c r="G231" s="33" t="str">
        <f t="shared" si="15"/>
        <v/>
      </c>
      <c r="H231" s="41" t="str">
        <f t="shared" si="16"/>
        <v/>
      </c>
      <c r="I231" s="10"/>
    </row>
    <row r="232" spans="1:9" x14ac:dyDescent="0.25">
      <c r="A232" s="3" t="s">
        <v>1663</v>
      </c>
      <c r="B232" s="9"/>
      <c r="C232" s="9"/>
      <c r="D232" s="42">
        <f>SM!$C$112</f>
        <v>0</v>
      </c>
      <c r="E232" s="33">
        <f t="shared" si="14"/>
        <v>0</v>
      </c>
      <c r="F232" s="17">
        <f>0.01*Input!$F$58*(D232*$D$220)+10*(B232*$B$220+C232*$C$220)</f>
        <v>0</v>
      </c>
      <c r="G232" s="33" t="str">
        <f t="shared" si="15"/>
        <v/>
      </c>
      <c r="H232" s="41" t="str">
        <f t="shared" si="16"/>
        <v/>
      </c>
      <c r="I232" s="10"/>
    </row>
    <row r="233" spans="1:9" x14ac:dyDescent="0.25">
      <c r="A233" s="3" t="s">
        <v>1664</v>
      </c>
      <c r="B233" s="34">
        <f>Standing!$K$85</f>
        <v>4.8582025379594426E-2</v>
      </c>
      <c r="C233" s="34">
        <f>Standing!$K$108</f>
        <v>9.3887338166817212E-4</v>
      </c>
      <c r="D233" s="42">
        <f>AggCap!$K$93</f>
        <v>0</v>
      </c>
      <c r="E233" s="33">
        <f t="shared" si="14"/>
        <v>0</v>
      </c>
      <c r="F233" s="17">
        <f>0.01*Input!$F$58*(D233*$D$220)+10*(B233*$B$220+C233*$C$220)</f>
        <v>0</v>
      </c>
      <c r="G233" s="33" t="str">
        <f t="shared" si="15"/>
        <v/>
      </c>
      <c r="H233" s="41" t="str">
        <f t="shared" si="16"/>
        <v/>
      </c>
      <c r="I233" s="10"/>
    </row>
    <row r="234" spans="1:9" x14ac:dyDescent="0.25">
      <c r="A234" s="3" t="s">
        <v>1665</v>
      </c>
      <c r="B234" s="34">
        <f>Standing!$L$85</f>
        <v>5.2469643320280042E-2</v>
      </c>
      <c r="C234" s="34">
        <f>Standing!$L$108</f>
        <v>5.6944733657345427E-4</v>
      </c>
      <c r="D234" s="42">
        <f>AggCap!$L$93</f>
        <v>0</v>
      </c>
      <c r="E234" s="33">
        <f t="shared" si="14"/>
        <v>0</v>
      </c>
      <c r="F234" s="17">
        <f>0.01*Input!$F$58*(D234*$D$220)+10*(B234*$B$220+C234*$C$220)</f>
        <v>0</v>
      </c>
      <c r="G234" s="33" t="str">
        <f t="shared" si="15"/>
        <v/>
      </c>
      <c r="H234" s="41" t="str">
        <f t="shared" si="16"/>
        <v/>
      </c>
      <c r="I234" s="10"/>
    </row>
    <row r="235" spans="1:9" x14ac:dyDescent="0.25">
      <c r="A235" s="3" t="s">
        <v>1666</v>
      </c>
      <c r="B235" s="34">
        <f>Standing!$M$85</f>
        <v>2.6408882926359484E-2</v>
      </c>
      <c r="C235" s="34">
        <f>Standing!$M$108</f>
        <v>2.8661273629209256E-4</v>
      </c>
      <c r="D235" s="42">
        <f>AggCap!$M$93</f>
        <v>0</v>
      </c>
      <c r="E235" s="33">
        <f t="shared" si="14"/>
        <v>0</v>
      </c>
      <c r="F235" s="17">
        <f>0.01*Input!$F$58*(D235*$D$220)+10*(B235*$B$220+C235*$C$220)</f>
        <v>0</v>
      </c>
      <c r="G235" s="33" t="str">
        <f t="shared" si="15"/>
        <v/>
      </c>
      <c r="H235" s="41" t="str">
        <f t="shared" si="16"/>
        <v/>
      </c>
      <c r="I235" s="10"/>
    </row>
    <row r="236" spans="1:9" x14ac:dyDescent="0.25">
      <c r="A236" s="3" t="s">
        <v>1667</v>
      </c>
      <c r="B236" s="34">
        <f>Standing!$N$85</f>
        <v>3.2091887864692963E-2</v>
      </c>
      <c r="C236" s="34">
        <f>Standing!$N$108</f>
        <v>1.5034912030164487E-3</v>
      </c>
      <c r="D236" s="42">
        <f>AggCap!$N$93</f>
        <v>0</v>
      </c>
      <c r="E236" s="33">
        <f t="shared" si="14"/>
        <v>0</v>
      </c>
      <c r="F236" s="17">
        <f>0.01*Input!$F$58*(D236*$D$220)+10*(B236*$B$220+C236*$C$220)</f>
        <v>0</v>
      </c>
      <c r="G236" s="33" t="str">
        <f t="shared" si="15"/>
        <v/>
      </c>
      <c r="H236" s="41" t="str">
        <f t="shared" si="16"/>
        <v/>
      </c>
      <c r="I236" s="10"/>
    </row>
    <row r="237" spans="1:9" x14ac:dyDescent="0.25">
      <c r="A237" s="3" t="s">
        <v>1668</v>
      </c>
      <c r="B237" s="34">
        <f>Standing!$O$85</f>
        <v>5.2000121166545364E-2</v>
      </c>
      <c r="C237" s="34">
        <f>Standing!$O$108</f>
        <v>2.4361834074493574E-3</v>
      </c>
      <c r="D237" s="42">
        <f>AggCap!$O$93</f>
        <v>0</v>
      </c>
      <c r="E237" s="33">
        <f t="shared" si="14"/>
        <v>0</v>
      </c>
      <c r="F237" s="17">
        <f>0.01*Input!$F$58*(D237*$D$220)+10*(B237*$B$220+C237*$C$220)</f>
        <v>0</v>
      </c>
      <c r="G237" s="33" t="str">
        <f t="shared" si="15"/>
        <v/>
      </c>
      <c r="H237" s="41" t="str">
        <f t="shared" si="16"/>
        <v/>
      </c>
      <c r="I237" s="10"/>
    </row>
    <row r="238" spans="1:9" x14ac:dyDescent="0.25">
      <c r="A238" s="3" t="s">
        <v>1669</v>
      </c>
      <c r="B238" s="34">
        <f>Standing!$P$85</f>
        <v>4.3856250095934404E-3</v>
      </c>
      <c r="C238" s="34">
        <f>Standing!$P$108</f>
        <v>4.7596711601003996E-5</v>
      </c>
      <c r="D238" s="42">
        <f>AggCap!$P$93</f>
        <v>0</v>
      </c>
      <c r="E238" s="33">
        <f t="shared" si="14"/>
        <v>0</v>
      </c>
      <c r="F238" s="17">
        <f>0.01*Input!$F$58*(D238*$D$220)+10*(B238*$B$220+C238*$C$220)</f>
        <v>0</v>
      </c>
      <c r="G238" s="33" t="str">
        <f t="shared" si="15"/>
        <v/>
      </c>
      <c r="H238" s="41" t="str">
        <f t="shared" si="16"/>
        <v/>
      </c>
      <c r="I238" s="10"/>
    </row>
    <row r="239" spans="1:9" x14ac:dyDescent="0.25">
      <c r="A239" s="3" t="s">
        <v>1670</v>
      </c>
      <c r="B239" s="34">
        <f>Standing!$Q$85</f>
        <v>0.1300606764578621</v>
      </c>
      <c r="C239" s="34">
        <f>Standing!$Q$108</f>
        <v>6.0932869931874627E-3</v>
      </c>
      <c r="D239" s="42">
        <f>AggCap!$Q$93</f>
        <v>0</v>
      </c>
      <c r="E239" s="33">
        <f t="shared" si="14"/>
        <v>0</v>
      </c>
      <c r="F239" s="17">
        <f>0.01*Input!$F$58*(D239*$D$220)+10*(B239*$B$220+C239*$C$220)</f>
        <v>0</v>
      </c>
      <c r="G239" s="33" t="str">
        <f t="shared" si="15"/>
        <v/>
      </c>
      <c r="H239" s="41" t="str">
        <f t="shared" si="16"/>
        <v/>
      </c>
      <c r="I239" s="10"/>
    </row>
    <row r="240" spans="1:9" x14ac:dyDescent="0.25">
      <c r="A240" s="3" t="s">
        <v>1671</v>
      </c>
      <c r="B240" s="34">
        <f>Standing!$R$85</f>
        <v>5.5237317774618287E-2</v>
      </c>
      <c r="C240" s="34">
        <f>Standing!$R$108</f>
        <v>2.5878446821987009E-3</v>
      </c>
      <c r="D240" s="42">
        <f>AggCap!$R$93</f>
        <v>0</v>
      </c>
      <c r="E240" s="33">
        <f t="shared" si="14"/>
        <v>0</v>
      </c>
      <c r="F240" s="17">
        <f>0.01*Input!$F$58*(D240*$D$220)+10*(B240*$B$220+C240*$C$220)</f>
        <v>0</v>
      </c>
      <c r="G240" s="33" t="str">
        <f t="shared" si="15"/>
        <v/>
      </c>
      <c r="H240" s="41" t="str">
        <f t="shared" si="16"/>
        <v/>
      </c>
      <c r="I240" s="10"/>
    </row>
    <row r="241" spans="1:9" x14ac:dyDescent="0.25">
      <c r="A241" s="3" t="s">
        <v>1672</v>
      </c>
      <c r="B241" s="34">
        <f>Standing!$S$85</f>
        <v>0</v>
      </c>
      <c r="C241" s="34">
        <f>Standing!$S$108</f>
        <v>0</v>
      </c>
      <c r="D241" s="42">
        <f>AggCap!$S$93</f>
        <v>0</v>
      </c>
      <c r="E241" s="33">
        <f t="shared" si="14"/>
        <v>0</v>
      </c>
      <c r="F241" s="17">
        <f>0.01*Input!$F$58*(D241*$D$220)+10*(B241*$B$220+C241*$C$220)</f>
        <v>0</v>
      </c>
      <c r="G241" s="33" t="str">
        <f t="shared" si="15"/>
        <v/>
      </c>
      <c r="H241" s="41" t="str">
        <f t="shared" si="16"/>
        <v/>
      </c>
      <c r="I241" s="10"/>
    </row>
    <row r="242" spans="1:9" x14ac:dyDescent="0.25">
      <c r="A242" s="3" t="s">
        <v>1673</v>
      </c>
      <c r="B242" s="9"/>
      <c r="C242" s="9"/>
      <c r="D242" s="42">
        <f>Otex!$B$127</f>
        <v>4.7251221255470179</v>
      </c>
      <c r="E242" s="33">
        <f t="shared" si="14"/>
        <v>0</v>
      </c>
      <c r="F242" s="17">
        <f>0.01*Input!$F$58*(D242*$D$220)+10*(B242*$B$220+C242*$C$220)</f>
        <v>0</v>
      </c>
      <c r="G242" s="33" t="str">
        <f t="shared" si="15"/>
        <v/>
      </c>
      <c r="H242" s="41" t="str">
        <f t="shared" si="16"/>
        <v/>
      </c>
      <c r="I242" s="10"/>
    </row>
    <row r="243" spans="1:9" x14ac:dyDescent="0.25">
      <c r="A243" s="3" t="s">
        <v>1674</v>
      </c>
      <c r="B243" s="9"/>
      <c r="C243" s="9"/>
      <c r="D243" s="42">
        <f>Otex!$C$127</f>
        <v>0</v>
      </c>
      <c r="E243" s="33">
        <f t="shared" si="14"/>
        <v>0</v>
      </c>
      <c r="F243" s="17">
        <f>0.01*Input!$F$58*(D243*$D$220)+10*(B243*$B$220+C243*$C$220)</f>
        <v>0</v>
      </c>
      <c r="G243" s="33" t="str">
        <f t="shared" si="15"/>
        <v/>
      </c>
      <c r="H243" s="41" t="str">
        <f t="shared" si="16"/>
        <v/>
      </c>
      <c r="I243" s="10"/>
    </row>
    <row r="244" spans="1:9" x14ac:dyDescent="0.25">
      <c r="A244" s="3" t="s">
        <v>1675</v>
      </c>
      <c r="B244" s="34">
        <f>Scaler!$B$422</f>
        <v>0.65929607720854622</v>
      </c>
      <c r="C244" s="34">
        <f>Scaler!$C$422</f>
        <v>1.274124602037157E-2</v>
      </c>
      <c r="D244" s="42">
        <f>Scaler!$E$422</f>
        <v>0</v>
      </c>
      <c r="E244" s="33">
        <f t="shared" si="14"/>
        <v>0</v>
      </c>
      <c r="F244" s="17">
        <f>0.01*Input!$F$58*(D244*$D$220)+10*(B244*$B$220+C244*$C$220)</f>
        <v>0</v>
      </c>
      <c r="G244" s="33" t="str">
        <f t="shared" si="15"/>
        <v/>
      </c>
      <c r="H244" s="41" t="str">
        <f t="shared" si="16"/>
        <v/>
      </c>
      <c r="I244" s="10"/>
    </row>
    <row r="245" spans="1:9" x14ac:dyDescent="0.25">
      <c r="A245" s="3" t="s">
        <v>1676</v>
      </c>
      <c r="B245" s="34">
        <f>Adjust!$B$78</f>
        <v>4.6715005572695034E-4</v>
      </c>
      <c r="C245" s="34">
        <f>Adjust!$C$78</f>
        <v>4.1651818218062242E-4</v>
      </c>
      <c r="D245" s="42">
        <f>Adjust!$E$78</f>
        <v>4.8778744529824891E-3</v>
      </c>
      <c r="E245" s="33">
        <f t="shared" si="14"/>
        <v>0</v>
      </c>
      <c r="F245" s="17">
        <f>0.01*Input!$F$58*(D245*$D$220)+10*(B245*$B$220+C245*$C$220)</f>
        <v>0</v>
      </c>
      <c r="G245" s="33" t="str">
        <f t="shared" si="15"/>
        <v/>
      </c>
      <c r="H245" s="41" t="str">
        <f t="shared" si="16"/>
        <v/>
      </c>
      <c r="I245" s="10"/>
    </row>
    <row r="247" spans="1:9" x14ac:dyDescent="0.25">
      <c r="A247" s="3" t="s">
        <v>1677</v>
      </c>
      <c r="B247" s="33">
        <f>SUM($B$223:$B$245)</f>
        <v>1.6160000000000001</v>
      </c>
      <c r="C247" s="33">
        <f>SUM($C$223:$C$245)</f>
        <v>4.7E-2</v>
      </c>
      <c r="D247" s="41">
        <f>SUM($D$223:$D$245)</f>
        <v>4.7300000000000004</v>
      </c>
      <c r="E247" s="33">
        <f>SUM(E$223:E$245)</f>
        <v>0</v>
      </c>
      <c r="F247" s="17">
        <f>SUM($F$223:$F$245)</f>
        <v>0</v>
      </c>
      <c r="G247" s="33">
        <f>SUM($G$223:$G$245)</f>
        <v>0</v>
      </c>
      <c r="H247" s="41">
        <f>SUM($H$223:$H$245)</f>
        <v>0</v>
      </c>
    </row>
    <row r="249" spans="1:9" ht="21" customHeight="1" x14ac:dyDescent="0.3">
      <c r="A249" s="1" t="s">
        <v>176</v>
      </c>
    </row>
    <row r="251" spans="1:9" x14ac:dyDescent="0.25">
      <c r="B251" s="12" t="s">
        <v>222</v>
      </c>
      <c r="C251" s="12" t="s">
        <v>223</v>
      </c>
      <c r="D251" s="12" t="s">
        <v>225</v>
      </c>
      <c r="E251" s="12" t="s">
        <v>1658</v>
      </c>
      <c r="F251" s="12" t="s">
        <v>1659</v>
      </c>
    </row>
    <row r="252" spans="1:9" x14ac:dyDescent="0.25">
      <c r="A252" s="3" t="s">
        <v>176</v>
      </c>
      <c r="B252" s="39">
        <f>Loads!B$309</f>
        <v>0</v>
      </c>
      <c r="C252" s="39">
        <f>Loads!C$309</f>
        <v>0</v>
      </c>
      <c r="D252" s="39">
        <f>Loads!E$309</f>
        <v>0</v>
      </c>
      <c r="E252" s="39">
        <f>Multi!B$126</f>
        <v>0</v>
      </c>
      <c r="F252" s="33" t="str">
        <f>IF(D252,E252/D252,"")</f>
        <v/>
      </c>
      <c r="G252" s="10"/>
    </row>
    <row r="254" spans="1:9" ht="30" x14ac:dyDescent="0.25">
      <c r="B254" s="12" t="s">
        <v>1489</v>
      </c>
      <c r="C254" s="12" t="s">
        <v>1490</v>
      </c>
      <c r="D254" s="12" t="s">
        <v>1492</v>
      </c>
      <c r="E254" s="12" t="s">
        <v>1678</v>
      </c>
      <c r="F254" s="12" t="s">
        <v>1660</v>
      </c>
      <c r="G254" s="12" t="s">
        <v>1630</v>
      </c>
      <c r="H254" s="12" t="s">
        <v>1661</v>
      </c>
    </row>
    <row r="255" spans="1:9" x14ac:dyDescent="0.25">
      <c r="A255" s="3" t="s">
        <v>456</v>
      </c>
      <c r="B255" s="34">
        <f>Standing!$C$86</f>
        <v>0.11073904393608351</v>
      </c>
      <c r="C255" s="34">
        <f>Standing!$C$109</f>
        <v>1.2121949216371503E-3</v>
      </c>
      <c r="D255" s="42">
        <f>AggCap!$C$94</f>
        <v>0</v>
      </c>
      <c r="E255" s="33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33" t="str">
        <f t="shared" ref="G255:G277" si="18">IF($E$252&lt;&gt;0,0.1*F255/$E$252,"")</f>
        <v/>
      </c>
      <c r="H255" s="41" t="str">
        <f t="shared" ref="H255:H277" si="19">IF($D$252&lt;&gt;0,F255/$D$252,"")</f>
        <v/>
      </c>
      <c r="I255" s="10"/>
    </row>
    <row r="256" spans="1:9" x14ac:dyDescent="0.25">
      <c r="A256" s="3" t="s">
        <v>457</v>
      </c>
      <c r="B256" s="34">
        <f>Standing!$D$86</f>
        <v>5.5736884446375923E-2</v>
      </c>
      <c r="C256" s="34">
        <f>Standing!$D$109</f>
        <v>6.1011876093828492E-4</v>
      </c>
      <c r="D256" s="42">
        <f>AggCap!$D$94</f>
        <v>0</v>
      </c>
      <c r="E256" s="33">
        <f t="shared" si="17"/>
        <v>0</v>
      </c>
      <c r="F256" s="17">
        <f>0.01*Input!$F$58*(D256*$D$252)+10*(B256*$B$252+C256*$C$252)</f>
        <v>0</v>
      </c>
      <c r="G256" s="33" t="str">
        <f t="shared" si="18"/>
        <v/>
      </c>
      <c r="H256" s="41" t="str">
        <f t="shared" si="19"/>
        <v/>
      </c>
      <c r="I256" s="10"/>
    </row>
    <row r="257" spans="1:9" x14ac:dyDescent="0.25">
      <c r="A257" s="3" t="s">
        <v>458</v>
      </c>
      <c r="B257" s="34">
        <f>Standing!$E$86</f>
        <v>6.7891203075617287E-2</v>
      </c>
      <c r="C257" s="34">
        <f>Standing!$E$109</f>
        <v>3.2005144004876337E-3</v>
      </c>
      <c r="D257" s="42">
        <f>AggCap!$E$94</f>
        <v>0</v>
      </c>
      <c r="E257" s="33">
        <f t="shared" si="17"/>
        <v>0</v>
      </c>
      <c r="F257" s="17">
        <f>0.01*Input!$F$58*(D257*$D$252)+10*(B257*$B$252+C257*$C$252)</f>
        <v>0</v>
      </c>
      <c r="G257" s="33" t="str">
        <f t="shared" si="18"/>
        <v/>
      </c>
      <c r="H257" s="41" t="str">
        <f t="shared" si="19"/>
        <v/>
      </c>
      <c r="I257" s="10"/>
    </row>
    <row r="258" spans="1:9" x14ac:dyDescent="0.25">
      <c r="A258" s="3" t="s">
        <v>459</v>
      </c>
      <c r="B258" s="34">
        <f>Standing!$F$86</f>
        <v>0.11000757577614115</v>
      </c>
      <c r="C258" s="34">
        <f>Standing!$F$109</f>
        <v>5.1859565670404522E-3</v>
      </c>
      <c r="D258" s="42">
        <f>AggCap!$F$94</f>
        <v>0</v>
      </c>
      <c r="E258" s="33">
        <f t="shared" si="17"/>
        <v>0</v>
      </c>
      <c r="F258" s="17">
        <f>0.01*Input!$F$58*(D258*$D$252)+10*(B258*$B$252+C258*$C$252)</f>
        <v>0</v>
      </c>
      <c r="G258" s="33" t="str">
        <f t="shared" si="18"/>
        <v/>
      </c>
      <c r="H258" s="41" t="str">
        <f t="shared" si="19"/>
        <v/>
      </c>
      <c r="I258" s="10"/>
    </row>
    <row r="259" spans="1:9" x14ac:dyDescent="0.25">
      <c r="A259" s="3" t="s">
        <v>460</v>
      </c>
      <c r="B259" s="34">
        <f>Standing!$G$86</f>
        <v>9.2560171918844077E-3</v>
      </c>
      <c r="C259" s="34">
        <f>Standing!$G$109</f>
        <v>1.0132015444403205E-4</v>
      </c>
      <c r="D259" s="42">
        <f>AggCap!$G$94</f>
        <v>0</v>
      </c>
      <c r="E259" s="33">
        <f t="shared" si="17"/>
        <v>0</v>
      </c>
      <c r="F259" s="17">
        <f>0.01*Input!$F$58*(D259*$D$252)+10*(B259*$B$252+C259*$C$252)</f>
        <v>0</v>
      </c>
      <c r="G259" s="33" t="str">
        <f t="shared" si="18"/>
        <v/>
      </c>
      <c r="H259" s="41" t="str">
        <f t="shared" si="19"/>
        <v/>
      </c>
      <c r="I259" s="10"/>
    </row>
    <row r="260" spans="1:9" x14ac:dyDescent="0.25">
      <c r="A260" s="3" t="s">
        <v>461</v>
      </c>
      <c r="B260" s="34">
        <f>Standing!$H$86</f>
        <v>0.14331467318528546</v>
      </c>
      <c r="C260" s="34">
        <f>Standing!$H$109</f>
        <v>6.7561135250439729E-3</v>
      </c>
      <c r="D260" s="42">
        <f>AggCap!$H$94</f>
        <v>0</v>
      </c>
      <c r="E260" s="33">
        <f t="shared" si="17"/>
        <v>0</v>
      </c>
      <c r="F260" s="17">
        <f>0.01*Input!$F$58*(D260*$D$252)+10*(B260*$B$252+C260*$C$252)</f>
        <v>0</v>
      </c>
      <c r="G260" s="33" t="str">
        <f t="shared" si="18"/>
        <v/>
      </c>
      <c r="H260" s="41" t="str">
        <f t="shared" si="19"/>
        <v/>
      </c>
      <c r="I260" s="10"/>
    </row>
    <row r="261" spans="1:9" x14ac:dyDescent="0.25">
      <c r="A261" s="3" t="s">
        <v>462</v>
      </c>
      <c r="B261" s="34">
        <f>Standing!$I$86</f>
        <v>0</v>
      </c>
      <c r="C261" s="34">
        <f>Standing!$I$109</f>
        <v>0</v>
      </c>
      <c r="D261" s="42">
        <f>AggCap!$I$94</f>
        <v>0</v>
      </c>
      <c r="E261" s="33">
        <f t="shared" si="17"/>
        <v>0</v>
      </c>
      <c r="F261" s="17">
        <f>0.01*Input!$F$58*(D261*$D$252)+10*(B261*$B$252+C261*$C$252)</f>
        <v>0</v>
      </c>
      <c r="G261" s="33" t="str">
        <f t="shared" si="18"/>
        <v/>
      </c>
      <c r="H261" s="41" t="str">
        <f t="shared" si="19"/>
        <v/>
      </c>
      <c r="I261" s="10"/>
    </row>
    <row r="262" spans="1:9" x14ac:dyDescent="0.25">
      <c r="A262" s="3" t="s">
        <v>463</v>
      </c>
      <c r="B262" s="34">
        <f>Standing!$J$86</f>
        <v>0</v>
      </c>
      <c r="C262" s="34">
        <f>Standing!$J$109</f>
        <v>0</v>
      </c>
      <c r="D262" s="42">
        <f>AggCap!$J$94</f>
        <v>0</v>
      </c>
      <c r="E262" s="33">
        <f t="shared" si="17"/>
        <v>0</v>
      </c>
      <c r="F262" s="17">
        <f>0.01*Input!$F$58*(D262*$D$252)+10*(B262*$B$252+C262*$C$252)</f>
        <v>0</v>
      </c>
      <c r="G262" s="33" t="str">
        <f t="shared" si="18"/>
        <v/>
      </c>
      <c r="H262" s="41" t="str">
        <f t="shared" si="19"/>
        <v/>
      </c>
      <c r="I262" s="10"/>
    </row>
    <row r="263" spans="1:9" x14ac:dyDescent="0.25">
      <c r="A263" s="3" t="s">
        <v>1662</v>
      </c>
      <c r="B263" s="9"/>
      <c r="C263" s="9"/>
      <c r="D263" s="42">
        <f>SM!$B$113</f>
        <v>0</v>
      </c>
      <c r="E263" s="33">
        <f t="shared" si="17"/>
        <v>0</v>
      </c>
      <c r="F263" s="17">
        <f>0.01*Input!$F$58*(D263*$D$252)+10*(B263*$B$252+C263*$C$252)</f>
        <v>0</v>
      </c>
      <c r="G263" s="33" t="str">
        <f t="shared" si="18"/>
        <v/>
      </c>
      <c r="H263" s="41" t="str">
        <f t="shared" si="19"/>
        <v/>
      </c>
      <c r="I263" s="10"/>
    </row>
    <row r="264" spans="1:9" x14ac:dyDescent="0.25">
      <c r="A264" s="3" t="s">
        <v>1663</v>
      </c>
      <c r="B264" s="9"/>
      <c r="C264" s="9"/>
      <c r="D264" s="42">
        <f>SM!$C$113</f>
        <v>0</v>
      </c>
      <c r="E264" s="33">
        <f t="shared" si="17"/>
        <v>0</v>
      </c>
      <c r="F264" s="17">
        <f>0.01*Input!$F$58*(D264*$D$252)+10*(B264*$B$252+C264*$C$252)</f>
        <v>0</v>
      </c>
      <c r="G264" s="33" t="str">
        <f t="shared" si="18"/>
        <v/>
      </c>
      <c r="H264" s="41" t="str">
        <f t="shared" si="19"/>
        <v/>
      </c>
      <c r="I264" s="10"/>
    </row>
    <row r="265" spans="1:9" x14ac:dyDescent="0.25">
      <c r="A265" s="3" t="s">
        <v>1664</v>
      </c>
      <c r="B265" s="34">
        <f>Standing!$K$86</f>
        <v>4.6317224033925117E-2</v>
      </c>
      <c r="C265" s="34">
        <f>Standing!$K$109</f>
        <v>9.0451388005177052E-4</v>
      </c>
      <c r="D265" s="42">
        <f>AggCap!$K$94</f>
        <v>0</v>
      </c>
      <c r="E265" s="33">
        <f t="shared" si="17"/>
        <v>0</v>
      </c>
      <c r="F265" s="17">
        <f>0.01*Input!$F$58*(D265*$D$252)+10*(B265*$B$252+C265*$C$252)</f>
        <v>0</v>
      </c>
      <c r="G265" s="33" t="str">
        <f t="shared" si="18"/>
        <v/>
      </c>
      <c r="H265" s="41" t="str">
        <f t="shared" si="19"/>
        <v/>
      </c>
      <c r="I265" s="10"/>
    </row>
    <row r="266" spans="1:9" x14ac:dyDescent="0.25">
      <c r="A266" s="3" t="s">
        <v>1665</v>
      </c>
      <c r="B266" s="34">
        <f>Standing!$L$86</f>
        <v>5.0117579125294798E-2</v>
      </c>
      <c r="C266" s="34">
        <f>Standing!$L$109</f>
        <v>5.486075438351759E-4</v>
      </c>
      <c r="D266" s="42">
        <f>AggCap!$L$94</f>
        <v>0</v>
      </c>
      <c r="E266" s="33">
        <f t="shared" si="17"/>
        <v>0</v>
      </c>
      <c r="F266" s="17">
        <f>0.01*Input!$F$58*(D266*$D$252)+10*(B266*$B$252+C266*$C$252)</f>
        <v>0</v>
      </c>
      <c r="G266" s="33" t="str">
        <f t="shared" si="18"/>
        <v/>
      </c>
      <c r="H266" s="41" t="str">
        <f t="shared" si="19"/>
        <v/>
      </c>
      <c r="I266" s="10"/>
    </row>
    <row r="267" spans="1:9" x14ac:dyDescent="0.25">
      <c r="A267" s="3" t="s">
        <v>1666</v>
      </c>
      <c r="B267" s="34">
        <f>Standing!$M$86</f>
        <v>2.5225048159626114E-2</v>
      </c>
      <c r="C267" s="34">
        <f>Standing!$M$109</f>
        <v>2.7612370660162251E-4</v>
      </c>
      <c r="D267" s="42">
        <f>AggCap!$M$94</f>
        <v>0</v>
      </c>
      <c r="E267" s="33">
        <f t="shared" si="17"/>
        <v>0</v>
      </c>
      <c r="F267" s="17">
        <f>0.01*Input!$F$58*(D267*$D$252)+10*(B267*$B$252+C267*$C$252)</f>
        <v>0</v>
      </c>
      <c r="G267" s="33" t="str">
        <f t="shared" si="18"/>
        <v/>
      </c>
      <c r="H267" s="41" t="str">
        <f t="shared" si="19"/>
        <v/>
      </c>
      <c r="I267" s="10"/>
    </row>
    <row r="268" spans="1:9" x14ac:dyDescent="0.25">
      <c r="A268" s="3" t="s">
        <v>1667</v>
      </c>
      <c r="B268" s="34">
        <f>Standing!$N$86</f>
        <v>3.0725773143008089E-2</v>
      </c>
      <c r="C268" s="34">
        <f>Standing!$N$109</f>
        <v>1.4484686521283811E-3</v>
      </c>
      <c r="D268" s="42">
        <f>AggCap!$N$94</f>
        <v>0</v>
      </c>
      <c r="E268" s="33">
        <f t="shared" si="17"/>
        <v>0</v>
      </c>
      <c r="F268" s="17">
        <f>0.01*Input!$F$58*(D268*$D$252)+10*(B268*$B$252+C268*$C$252)</f>
        <v>0</v>
      </c>
      <c r="G268" s="33" t="str">
        <f t="shared" si="18"/>
        <v/>
      </c>
      <c r="H268" s="41" t="str">
        <f t="shared" si="19"/>
        <v/>
      </c>
      <c r="I268" s="10"/>
    </row>
    <row r="269" spans="1:9" x14ac:dyDescent="0.25">
      <c r="A269" s="3" t="s">
        <v>1668</v>
      </c>
      <c r="B269" s="34">
        <f>Standing!$O$86</f>
        <v>4.9786535871889935E-2</v>
      </c>
      <c r="C269" s="34">
        <f>Standing!$O$109</f>
        <v>2.3470275645417868E-3</v>
      </c>
      <c r="D269" s="42">
        <f>AggCap!$O$94</f>
        <v>0</v>
      </c>
      <c r="E269" s="33">
        <f t="shared" si="17"/>
        <v>0</v>
      </c>
      <c r="F269" s="17">
        <f>0.01*Input!$F$58*(D269*$D$252)+10*(B269*$B$252+C269*$C$252)</f>
        <v>0</v>
      </c>
      <c r="G269" s="33" t="str">
        <f t="shared" si="18"/>
        <v/>
      </c>
      <c r="H269" s="41" t="str">
        <f t="shared" si="19"/>
        <v/>
      </c>
      <c r="I269" s="10"/>
    </row>
    <row r="270" spans="1:9" x14ac:dyDescent="0.25">
      <c r="A270" s="3" t="s">
        <v>1669</v>
      </c>
      <c r="B270" s="34">
        <f>Standing!$P$86</f>
        <v>4.1890299709206793E-3</v>
      </c>
      <c r="C270" s="34">
        <f>Standing!$P$109</f>
        <v>4.5854837434453066E-5</v>
      </c>
      <c r="D270" s="42">
        <f>AggCap!$P$94</f>
        <v>0</v>
      </c>
      <c r="E270" s="33">
        <f t="shared" si="17"/>
        <v>0</v>
      </c>
      <c r="F270" s="17">
        <f>0.01*Input!$F$58*(D270*$D$252)+10*(B270*$B$252+C270*$C$252)</f>
        <v>0</v>
      </c>
      <c r="G270" s="33" t="str">
        <f t="shared" si="18"/>
        <v/>
      </c>
      <c r="H270" s="41" t="str">
        <f t="shared" si="19"/>
        <v/>
      </c>
      <c r="I270" s="10"/>
    </row>
    <row r="271" spans="1:9" x14ac:dyDescent="0.25">
      <c r="A271" s="3" t="s">
        <v>1670</v>
      </c>
      <c r="B271" s="34">
        <f>Standing!$Q$86</f>
        <v>0.12452414318906496</v>
      </c>
      <c r="C271" s="34">
        <f>Standing!$Q$109</f>
        <v>5.8702938735831637E-3</v>
      </c>
      <c r="D271" s="42">
        <f>AggCap!$Q$94</f>
        <v>0</v>
      </c>
      <c r="E271" s="33">
        <f t="shared" si="17"/>
        <v>0</v>
      </c>
      <c r="F271" s="17">
        <f>0.01*Input!$F$58*(D271*$D$252)+10*(B271*$B$252+C271*$C$252)</f>
        <v>0</v>
      </c>
      <c r="G271" s="33" t="str">
        <f t="shared" si="18"/>
        <v/>
      </c>
      <c r="H271" s="41" t="str">
        <f t="shared" si="19"/>
        <v/>
      </c>
      <c r="I271" s="10"/>
    </row>
    <row r="272" spans="1:9" x14ac:dyDescent="0.25">
      <c r="A272" s="3" t="s">
        <v>1671</v>
      </c>
      <c r="B272" s="34">
        <f>Standing!$R$86</f>
        <v>0</v>
      </c>
      <c r="C272" s="34">
        <f>Standing!$R$109</f>
        <v>0</v>
      </c>
      <c r="D272" s="42">
        <f>AggCap!$R$94</f>
        <v>0</v>
      </c>
      <c r="E272" s="33">
        <f t="shared" si="17"/>
        <v>0</v>
      </c>
      <c r="F272" s="17">
        <f>0.01*Input!$F$58*(D272*$D$252)+10*(B272*$B$252+C272*$C$252)</f>
        <v>0</v>
      </c>
      <c r="G272" s="33" t="str">
        <f t="shared" si="18"/>
        <v/>
      </c>
      <c r="H272" s="41" t="str">
        <f t="shared" si="19"/>
        <v/>
      </c>
      <c r="I272" s="10"/>
    </row>
    <row r="273" spans="1:9" x14ac:dyDescent="0.25">
      <c r="A273" s="3" t="s">
        <v>1672</v>
      </c>
      <c r="B273" s="34">
        <f>Standing!$S$86</f>
        <v>0</v>
      </c>
      <c r="C273" s="34">
        <f>Standing!$S$109</f>
        <v>0</v>
      </c>
      <c r="D273" s="42">
        <f>AggCap!$S$94</f>
        <v>0</v>
      </c>
      <c r="E273" s="33">
        <f t="shared" si="17"/>
        <v>0</v>
      </c>
      <c r="F273" s="17">
        <f>0.01*Input!$F$58*(D273*$D$252)+10*(B273*$B$252+C273*$C$252)</f>
        <v>0</v>
      </c>
      <c r="G273" s="33" t="str">
        <f t="shared" si="18"/>
        <v/>
      </c>
      <c r="H273" s="41" t="str">
        <f t="shared" si="19"/>
        <v/>
      </c>
      <c r="I273" s="10"/>
    </row>
    <row r="274" spans="1:9" x14ac:dyDescent="0.25">
      <c r="A274" s="3" t="s">
        <v>1673</v>
      </c>
      <c r="B274" s="9"/>
      <c r="C274" s="9"/>
      <c r="D274" s="42">
        <f>Otex!$B$128</f>
        <v>3.5042449168482803</v>
      </c>
      <c r="E274" s="33">
        <f t="shared" si="17"/>
        <v>0</v>
      </c>
      <c r="F274" s="17">
        <f>0.01*Input!$F$58*(D274*$D$252)+10*(B274*$B$252+C274*$C$252)</f>
        <v>0</v>
      </c>
      <c r="G274" s="33" t="str">
        <f t="shared" si="18"/>
        <v/>
      </c>
      <c r="H274" s="41" t="str">
        <f t="shared" si="19"/>
        <v/>
      </c>
      <c r="I274" s="10"/>
    </row>
    <row r="275" spans="1:9" x14ac:dyDescent="0.25">
      <c r="A275" s="3" t="s">
        <v>1674</v>
      </c>
      <c r="B275" s="9"/>
      <c r="C275" s="9"/>
      <c r="D275" s="42">
        <f>Otex!$C$128</f>
        <v>0</v>
      </c>
      <c r="E275" s="33">
        <f t="shared" si="17"/>
        <v>0</v>
      </c>
      <c r="F275" s="17">
        <f>0.01*Input!$F$58*(D275*$D$252)+10*(B275*$B$252+C275*$C$252)</f>
        <v>0</v>
      </c>
      <c r="G275" s="33" t="str">
        <f t="shared" si="18"/>
        <v/>
      </c>
      <c r="H275" s="41" t="str">
        <f t="shared" si="19"/>
        <v/>
      </c>
      <c r="I275" s="10"/>
    </row>
    <row r="276" spans="1:9" x14ac:dyDescent="0.25">
      <c r="A276" s="3" t="s">
        <v>1675</v>
      </c>
      <c r="B276" s="34">
        <f>Scaler!$B$423</f>
        <v>0.62856095179560745</v>
      </c>
      <c r="C276" s="34">
        <f>Scaler!$C$423</f>
        <v>1.2274960713130159E-2</v>
      </c>
      <c r="D276" s="42">
        <f>Scaler!$E$423</f>
        <v>0</v>
      </c>
      <c r="E276" s="33">
        <f t="shared" si="17"/>
        <v>0</v>
      </c>
      <c r="F276" s="17">
        <f>0.01*Input!$F$58*(D276*$D$252)+10*(B276*$B$252+C276*$C$252)</f>
        <v>0</v>
      </c>
      <c r="G276" s="33" t="str">
        <f t="shared" si="18"/>
        <v/>
      </c>
      <c r="H276" s="41" t="str">
        <f t="shared" si="19"/>
        <v/>
      </c>
      <c r="I276" s="10"/>
    </row>
    <row r="277" spans="1:9" x14ac:dyDescent="0.25">
      <c r="A277" s="3" t="s">
        <v>1676</v>
      </c>
      <c r="B277" s="34">
        <f>Adjust!$B$79</f>
        <v>-3.9168290072488787E-4</v>
      </c>
      <c r="C277" s="34">
        <f>Adjust!$C$79</f>
        <v>2.1793089910196461E-4</v>
      </c>
      <c r="D277" s="42">
        <f>Adjust!$E$79</f>
        <v>-4.2449168482803223E-3</v>
      </c>
      <c r="E277" s="33">
        <f t="shared" si="17"/>
        <v>0</v>
      </c>
      <c r="F277" s="17">
        <f>0.01*Input!$F$58*(D277*$D$252)+10*(B277*$B$252+C277*$C$252)</f>
        <v>0</v>
      </c>
      <c r="G277" s="33" t="str">
        <f t="shared" si="18"/>
        <v/>
      </c>
      <c r="H277" s="41" t="str">
        <f t="shared" si="19"/>
        <v/>
      </c>
      <c r="I277" s="10"/>
    </row>
    <row r="279" spans="1:9" x14ac:dyDescent="0.25">
      <c r="A279" s="3" t="s">
        <v>1677</v>
      </c>
      <c r="B279" s="33">
        <f>SUM($B$255:$B$277)</f>
        <v>1.456</v>
      </c>
      <c r="C279" s="33">
        <f>SUM($C$255:$C$277)</f>
        <v>4.1000000000000002E-2</v>
      </c>
      <c r="D279" s="41">
        <f>SUM($D$255:$D$277)</f>
        <v>3.5</v>
      </c>
      <c r="E279" s="33">
        <f>SUM(E$255:E$277)</f>
        <v>0</v>
      </c>
      <c r="F279" s="17">
        <f>SUM($F$255:$F$277)</f>
        <v>0</v>
      </c>
      <c r="G279" s="33">
        <f>SUM($G$255:$G$277)</f>
        <v>0</v>
      </c>
      <c r="H279" s="41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12" t="s">
        <v>222</v>
      </c>
      <c r="C283" s="12" t="s">
        <v>223</v>
      </c>
      <c r="D283" s="12" t="s">
        <v>225</v>
      </c>
      <c r="E283" s="12" t="s">
        <v>1658</v>
      </c>
      <c r="F283" s="12" t="s">
        <v>1659</v>
      </c>
    </row>
    <row r="284" spans="1:9" x14ac:dyDescent="0.25">
      <c r="A284" s="3" t="s">
        <v>192</v>
      </c>
      <c r="B284" s="39">
        <f>Loads!B$310</f>
        <v>0</v>
      </c>
      <c r="C284" s="39">
        <f>Loads!C$310</f>
        <v>0</v>
      </c>
      <c r="D284" s="39">
        <f>Loads!E$310</f>
        <v>0</v>
      </c>
      <c r="E284" s="39">
        <f>Multi!B$127</f>
        <v>0</v>
      </c>
      <c r="F284" s="33" t="str">
        <f>IF(D284,E284/D284,"")</f>
        <v/>
      </c>
      <c r="G284" s="10"/>
    </row>
    <row r="286" spans="1:9" ht="30" x14ac:dyDescent="0.25">
      <c r="B286" s="12" t="s">
        <v>1489</v>
      </c>
      <c r="C286" s="12" t="s">
        <v>1490</v>
      </c>
      <c r="D286" s="12" t="s">
        <v>1492</v>
      </c>
      <c r="E286" s="12" t="s">
        <v>1678</v>
      </c>
      <c r="F286" s="12" t="s">
        <v>1660</v>
      </c>
      <c r="G286" s="12" t="s">
        <v>1630</v>
      </c>
      <c r="H286" s="12" t="s">
        <v>1661</v>
      </c>
    </row>
    <row r="287" spans="1:9" x14ac:dyDescent="0.25">
      <c r="A287" s="3" t="s">
        <v>456</v>
      </c>
      <c r="B287" s="34">
        <f>Standing!$C$87</f>
        <v>0.10748507088859664</v>
      </c>
      <c r="C287" s="34">
        <f>Standing!$C$110</f>
        <v>1.1724570653586532E-3</v>
      </c>
      <c r="D287" s="42">
        <f>AggCap!$C$95</f>
        <v>0</v>
      </c>
      <c r="E287" s="33">
        <f t="shared" ref="E287:E309" si="20">IF(E$284&lt;&gt;0,(($B287*B$284+$C287*C$284))/E$284,0)</f>
        <v>0</v>
      </c>
      <c r="F287" s="17">
        <f>0.01*Input!$F$58*(D287*$D$284)+10*(B287*$B$284+C287*$C$284)</f>
        <v>0</v>
      </c>
      <c r="G287" s="33" t="str">
        <f t="shared" ref="G287:G309" si="21">IF($E$284&lt;&gt;0,0.1*F287/$E$284,"")</f>
        <v/>
      </c>
      <c r="H287" s="41" t="str">
        <f t="shared" ref="H287:H309" si="22">IF($D$284&lt;&gt;0,F287/$D$284,"")</f>
        <v/>
      </c>
      <c r="I287" s="10"/>
    </row>
    <row r="288" spans="1:9" x14ac:dyDescent="0.25">
      <c r="A288" s="3" t="s">
        <v>457</v>
      </c>
      <c r="B288" s="34">
        <f>Standing!$D$87</f>
        <v>5.4923442008228775E-2</v>
      </c>
      <c r="C288" s="34">
        <f>Standing!$D$110</f>
        <v>5.9910997038004445E-4</v>
      </c>
      <c r="D288" s="42">
        <f>AggCap!$D$95</f>
        <v>0</v>
      </c>
      <c r="E288" s="33">
        <f t="shared" si="20"/>
        <v>0</v>
      </c>
      <c r="F288" s="17">
        <f>0.01*Input!$F$58*(D288*$D$284)+10*(B288*$B$284+C288*$C$284)</f>
        <v>0</v>
      </c>
      <c r="G288" s="33" t="str">
        <f t="shared" si="21"/>
        <v/>
      </c>
      <c r="H288" s="41" t="str">
        <f t="shared" si="22"/>
        <v/>
      </c>
      <c r="I288" s="10"/>
    </row>
    <row r="289" spans="1:9" x14ac:dyDescent="0.25">
      <c r="A289" s="3" t="s">
        <v>458</v>
      </c>
      <c r="B289" s="34">
        <f>Standing!$E$87</f>
        <v>5.0169075618935965E-2</v>
      </c>
      <c r="C289" s="34">
        <f>Standing!$E$110</f>
        <v>2.3497323713837313E-3</v>
      </c>
      <c r="D289" s="42">
        <f>AggCap!$E$95</f>
        <v>0</v>
      </c>
      <c r="E289" s="33">
        <f t="shared" si="20"/>
        <v>0</v>
      </c>
      <c r="F289" s="17">
        <f>0.01*Input!$F$58*(D289*$D$284)+10*(B289*$B$284+C289*$C$284)</f>
        <v>0</v>
      </c>
      <c r="G289" s="33" t="str">
        <f t="shared" si="21"/>
        <v/>
      </c>
      <c r="H289" s="41" t="str">
        <f t="shared" si="22"/>
        <v/>
      </c>
      <c r="I289" s="10"/>
    </row>
    <row r="290" spans="1:9" x14ac:dyDescent="0.25">
      <c r="A290" s="3" t="s">
        <v>459</v>
      </c>
      <c r="B290" s="34">
        <f>Standing!$F$87</f>
        <v>0</v>
      </c>
      <c r="C290" s="34">
        <f>Standing!$F$110</f>
        <v>0</v>
      </c>
      <c r="D290" s="42">
        <f>AggCap!$F$95</f>
        <v>0</v>
      </c>
      <c r="E290" s="33">
        <f t="shared" si="20"/>
        <v>0</v>
      </c>
      <c r="F290" s="17">
        <f>0.01*Input!$F$58*(D290*$D$284)+10*(B290*$B$284+C290*$C$284)</f>
        <v>0</v>
      </c>
      <c r="G290" s="33" t="str">
        <f t="shared" si="21"/>
        <v/>
      </c>
      <c r="H290" s="41" t="str">
        <f t="shared" si="22"/>
        <v/>
      </c>
      <c r="I290" s="10"/>
    </row>
    <row r="291" spans="1:9" x14ac:dyDescent="0.25">
      <c r="A291" s="3" t="s">
        <v>460</v>
      </c>
      <c r="B291" s="34">
        <f>Standing!$G$87</f>
        <v>0</v>
      </c>
      <c r="C291" s="34">
        <f>Standing!$G$110</f>
        <v>0</v>
      </c>
      <c r="D291" s="42">
        <f>AggCap!$G$95</f>
        <v>0</v>
      </c>
      <c r="E291" s="33">
        <f t="shared" si="20"/>
        <v>0</v>
      </c>
      <c r="F291" s="17">
        <f>0.01*Input!$F$58*(D291*$D$284)+10*(B291*$B$284+C291*$C$284)</f>
        <v>0</v>
      </c>
      <c r="G291" s="33" t="str">
        <f t="shared" si="21"/>
        <v/>
      </c>
      <c r="H291" s="41" t="str">
        <f t="shared" si="22"/>
        <v/>
      </c>
      <c r="I291" s="10"/>
    </row>
    <row r="292" spans="1:9" x14ac:dyDescent="0.25">
      <c r="A292" s="3" t="s">
        <v>461</v>
      </c>
      <c r="B292" s="34">
        <f>Standing!$H$87</f>
        <v>0</v>
      </c>
      <c r="C292" s="34">
        <f>Standing!$H$110</f>
        <v>0</v>
      </c>
      <c r="D292" s="42">
        <f>AggCap!$H$95</f>
        <v>0</v>
      </c>
      <c r="E292" s="33">
        <f t="shared" si="20"/>
        <v>0</v>
      </c>
      <c r="F292" s="17">
        <f>0.01*Input!$F$58*(D292*$D$284)+10*(B292*$B$284+C292*$C$284)</f>
        <v>0</v>
      </c>
      <c r="G292" s="33" t="str">
        <f t="shared" si="21"/>
        <v/>
      </c>
      <c r="H292" s="41" t="str">
        <f t="shared" si="22"/>
        <v/>
      </c>
      <c r="I292" s="10"/>
    </row>
    <row r="293" spans="1:9" x14ac:dyDescent="0.25">
      <c r="A293" s="3" t="s">
        <v>462</v>
      </c>
      <c r="B293" s="34">
        <f>Standing!$I$87</f>
        <v>0</v>
      </c>
      <c r="C293" s="34">
        <f>Standing!$I$110</f>
        <v>0</v>
      </c>
      <c r="D293" s="42">
        <f>AggCap!$I$95</f>
        <v>0</v>
      </c>
      <c r="E293" s="33">
        <f t="shared" si="20"/>
        <v>0</v>
      </c>
      <c r="F293" s="17">
        <f>0.01*Input!$F$58*(D293*$D$284)+10*(B293*$B$284+C293*$C$284)</f>
        <v>0</v>
      </c>
      <c r="G293" s="33" t="str">
        <f t="shared" si="21"/>
        <v/>
      </c>
      <c r="H293" s="41" t="str">
        <f t="shared" si="22"/>
        <v/>
      </c>
      <c r="I293" s="10"/>
    </row>
    <row r="294" spans="1:9" x14ac:dyDescent="0.25">
      <c r="A294" s="3" t="s">
        <v>463</v>
      </c>
      <c r="B294" s="34">
        <f>Standing!$J$87</f>
        <v>0</v>
      </c>
      <c r="C294" s="34">
        <f>Standing!$J$110</f>
        <v>0</v>
      </c>
      <c r="D294" s="42">
        <f>AggCap!$J$95</f>
        <v>0</v>
      </c>
      <c r="E294" s="33">
        <f t="shared" si="20"/>
        <v>0</v>
      </c>
      <c r="F294" s="17">
        <f>0.01*Input!$F$58*(D294*$D$284)+10*(B294*$B$284+C294*$C$284)</f>
        <v>0</v>
      </c>
      <c r="G294" s="33" t="str">
        <f t="shared" si="21"/>
        <v/>
      </c>
      <c r="H294" s="41" t="str">
        <f t="shared" si="22"/>
        <v/>
      </c>
      <c r="I294" s="10"/>
    </row>
    <row r="295" spans="1:9" x14ac:dyDescent="0.25">
      <c r="A295" s="3" t="s">
        <v>1662</v>
      </c>
      <c r="B295" s="9"/>
      <c r="C295" s="9"/>
      <c r="D295" s="42">
        <f>SM!$B$114</f>
        <v>0</v>
      </c>
      <c r="E295" s="33">
        <f t="shared" si="20"/>
        <v>0</v>
      </c>
      <c r="F295" s="17">
        <f>0.01*Input!$F$58*(D295*$D$284)+10*(B295*$B$284+C295*$C$284)</f>
        <v>0</v>
      </c>
      <c r="G295" s="33" t="str">
        <f t="shared" si="21"/>
        <v/>
      </c>
      <c r="H295" s="41" t="str">
        <f t="shared" si="22"/>
        <v/>
      </c>
      <c r="I295" s="10"/>
    </row>
    <row r="296" spans="1:9" x14ac:dyDescent="0.25">
      <c r="A296" s="3" t="s">
        <v>1663</v>
      </c>
      <c r="B296" s="9"/>
      <c r="C296" s="9"/>
      <c r="D296" s="42">
        <f>SM!$C$114</f>
        <v>0</v>
      </c>
      <c r="E296" s="33">
        <f t="shared" si="20"/>
        <v>0</v>
      </c>
      <c r="F296" s="17">
        <f>0.01*Input!$F$58*(D296*$D$284)+10*(B296*$B$284+C296*$C$284)</f>
        <v>0</v>
      </c>
      <c r="G296" s="33" t="str">
        <f t="shared" si="21"/>
        <v/>
      </c>
      <c r="H296" s="41" t="str">
        <f t="shared" si="22"/>
        <v/>
      </c>
      <c r="I296" s="10"/>
    </row>
    <row r="297" spans="1:9" x14ac:dyDescent="0.25">
      <c r="A297" s="3" t="s">
        <v>1664</v>
      </c>
      <c r="B297" s="34">
        <f>Standing!$K$87</f>
        <v>4.5503599669899641E-2</v>
      </c>
      <c r="C297" s="34">
        <f>Standing!$K$110</f>
        <v>8.8819311678398007E-4</v>
      </c>
      <c r="D297" s="42">
        <f>AggCap!$K$95</f>
        <v>0</v>
      </c>
      <c r="E297" s="33">
        <f t="shared" si="20"/>
        <v>0</v>
      </c>
      <c r="F297" s="17">
        <f>0.01*Input!$F$58*(D297*$D$284)+10*(B297*$B$284+C297*$C$284)</f>
        <v>0</v>
      </c>
      <c r="G297" s="33" t="str">
        <f t="shared" si="21"/>
        <v/>
      </c>
      <c r="H297" s="41" t="str">
        <f t="shared" si="22"/>
        <v/>
      </c>
      <c r="I297" s="10"/>
    </row>
    <row r="298" spans="1:9" x14ac:dyDescent="0.25">
      <c r="A298" s="3" t="s">
        <v>1665</v>
      </c>
      <c r="B298" s="34">
        <f>Standing!$L$87</f>
        <v>4.8644916495363406E-2</v>
      </c>
      <c r="C298" s="34">
        <f>Standing!$L$110</f>
        <v>5.3062323508986427E-4</v>
      </c>
      <c r="D298" s="42">
        <f>AggCap!$L$95</f>
        <v>0</v>
      </c>
      <c r="E298" s="33">
        <f t="shared" si="20"/>
        <v>0</v>
      </c>
      <c r="F298" s="17">
        <f>0.01*Input!$F$58*(D298*$D$284)+10*(B298*$B$284+C298*$C$284)</f>
        <v>0</v>
      </c>
      <c r="G298" s="33" t="str">
        <f t="shared" si="21"/>
        <v/>
      </c>
      <c r="H298" s="41" t="str">
        <f t="shared" si="22"/>
        <v/>
      </c>
      <c r="I298" s="10"/>
    </row>
    <row r="299" spans="1:9" x14ac:dyDescent="0.25">
      <c r="A299" s="3" t="s">
        <v>1666</v>
      </c>
      <c r="B299" s="34">
        <f>Standing!$M$87</f>
        <v>2.485690550362446E-2</v>
      </c>
      <c r="C299" s="34">
        <f>Standing!$M$110</f>
        <v>2.7114141749864934E-4</v>
      </c>
      <c r="D299" s="42">
        <f>AggCap!$M$95</f>
        <v>0</v>
      </c>
      <c r="E299" s="33">
        <f t="shared" si="20"/>
        <v>0</v>
      </c>
      <c r="F299" s="17">
        <f>0.01*Input!$F$58*(D299*$D$284)+10*(B299*$B$284+C299*$C$284)</f>
        <v>0</v>
      </c>
      <c r="G299" s="33" t="str">
        <f t="shared" si="21"/>
        <v/>
      </c>
      <c r="H299" s="41" t="str">
        <f t="shared" si="22"/>
        <v/>
      </c>
      <c r="I299" s="10"/>
    </row>
    <row r="300" spans="1:9" x14ac:dyDescent="0.25">
      <c r="A300" s="3" t="s">
        <v>1667</v>
      </c>
      <c r="B300" s="34">
        <f>Standing!$N$87</f>
        <v>2.4294555316713536E-2</v>
      </c>
      <c r="C300" s="34">
        <f>Standing!$N$110</f>
        <v>1.1378663523652394E-3</v>
      </c>
      <c r="D300" s="42">
        <f>AggCap!$N$95</f>
        <v>0</v>
      </c>
      <c r="E300" s="33">
        <f t="shared" si="20"/>
        <v>0</v>
      </c>
      <c r="F300" s="17">
        <f>0.01*Input!$F$58*(D300*$D$284)+10*(B300*$B$284+C300*$C$284)</f>
        <v>0</v>
      </c>
      <c r="G300" s="33" t="str">
        <f t="shared" si="21"/>
        <v/>
      </c>
      <c r="H300" s="41" t="str">
        <f t="shared" si="22"/>
        <v/>
      </c>
      <c r="I300" s="10"/>
    </row>
    <row r="301" spans="1:9" x14ac:dyDescent="0.25">
      <c r="A301" s="3" t="s">
        <v>1668</v>
      </c>
      <c r="B301" s="34">
        <f>Standing!$O$87</f>
        <v>0</v>
      </c>
      <c r="C301" s="34">
        <f>Standing!$O$110</f>
        <v>0</v>
      </c>
      <c r="D301" s="42">
        <f>AggCap!$O$95</f>
        <v>0</v>
      </c>
      <c r="E301" s="33">
        <f t="shared" si="20"/>
        <v>0</v>
      </c>
      <c r="F301" s="17">
        <f>0.01*Input!$F$58*(D301*$D$284)+10*(B301*$B$284+C301*$C$284)</f>
        <v>0</v>
      </c>
      <c r="G301" s="33" t="str">
        <f t="shared" si="21"/>
        <v/>
      </c>
      <c r="H301" s="41" t="str">
        <f t="shared" si="22"/>
        <v/>
      </c>
      <c r="I301" s="10"/>
    </row>
    <row r="302" spans="1:9" x14ac:dyDescent="0.25">
      <c r="A302" s="3" t="s">
        <v>1669</v>
      </c>
      <c r="B302" s="34">
        <f>Standing!$P$87</f>
        <v>0</v>
      </c>
      <c r="C302" s="34">
        <f>Standing!$P$110</f>
        <v>0</v>
      </c>
      <c r="D302" s="42">
        <f>AggCap!$P$95</f>
        <v>0</v>
      </c>
      <c r="E302" s="33">
        <f t="shared" si="20"/>
        <v>0</v>
      </c>
      <c r="F302" s="17">
        <f>0.01*Input!$F$58*(D302*$D$284)+10*(B302*$B$284+C302*$C$284)</f>
        <v>0</v>
      </c>
      <c r="G302" s="33" t="str">
        <f t="shared" si="21"/>
        <v/>
      </c>
      <c r="H302" s="41" t="str">
        <f t="shared" si="22"/>
        <v/>
      </c>
      <c r="I302" s="10"/>
    </row>
    <row r="303" spans="1:9" x14ac:dyDescent="0.25">
      <c r="A303" s="3" t="s">
        <v>1670</v>
      </c>
      <c r="B303" s="34">
        <f>Standing!$Q$87</f>
        <v>0</v>
      </c>
      <c r="C303" s="34">
        <f>Standing!$Q$110</f>
        <v>0</v>
      </c>
      <c r="D303" s="42">
        <f>AggCap!$Q$95</f>
        <v>0</v>
      </c>
      <c r="E303" s="33">
        <f t="shared" si="20"/>
        <v>0</v>
      </c>
      <c r="F303" s="17">
        <f>0.01*Input!$F$58*(D303*$D$284)+10*(B303*$B$284+C303*$C$284)</f>
        <v>0</v>
      </c>
      <c r="G303" s="33" t="str">
        <f t="shared" si="21"/>
        <v/>
      </c>
      <c r="H303" s="41" t="str">
        <f t="shared" si="22"/>
        <v/>
      </c>
      <c r="I303" s="10"/>
    </row>
    <row r="304" spans="1:9" x14ac:dyDescent="0.25">
      <c r="A304" s="3" t="s">
        <v>1671</v>
      </c>
      <c r="B304" s="34">
        <f>Standing!$R$87</f>
        <v>0</v>
      </c>
      <c r="C304" s="34">
        <f>Standing!$R$110</f>
        <v>0</v>
      </c>
      <c r="D304" s="42">
        <f>AggCap!$R$95</f>
        <v>0</v>
      </c>
      <c r="E304" s="33">
        <f t="shared" si="20"/>
        <v>0</v>
      </c>
      <c r="F304" s="17">
        <f>0.01*Input!$F$58*(D304*$D$284)+10*(B304*$B$284+C304*$C$284)</f>
        <v>0</v>
      </c>
      <c r="G304" s="33" t="str">
        <f t="shared" si="21"/>
        <v/>
      </c>
      <c r="H304" s="41" t="str">
        <f t="shared" si="22"/>
        <v/>
      </c>
      <c r="I304" s="10"/>
    </row>
    <row r="305" spans="1:10" x14ac:dyDescent="0.25">
      <c r="A305" s="3" t="s">
        <v>1672</v>
      </c>
      <c r="B305" s="34">
        <f>Standing!$S$87</f>
        <v>0</v>
      </c>
      <c r="C305" s="34">
        <f>Standing!$S$110</f>
        <v>0</v>
      </c>
      <c r="D305" s="42">
        <f>AggCap!$S$95</f>
        <v>0</v>
      </c>
      <c r="E305" s="33">
        <f t="shared" si="20"/>
        <v>0</v>
      </c>
      <c r="F305" s="17">
        <f>0.01*Input!$F$58*(D305*$D$284)+10*(B305*$B$284+C305*$C$284)</f>
        <v>0</v>
      </c>
      <c r="G305" s="33" t="str">
        <f t="shared" si="21"/>
        <v/>
      </c>
      <c r="H305" s="41" t="str">
        <f t="shared" si="22"/>
        <v/>
      </c>
      <c r="I305" s="10"/>
    </row>
    <row r="306" spans="1:10" x14ac:dyDescent="0.25">
      <c r="A306" s="3" t="s">
        <v>1673</v>
      </c>
      <c r="B306" s="9"/>
      <c r="C306" s="9"/>
      <c r="D306" s="42">
        <f>Otex!$B$129</f>
        <v>0</v>
      </c>
      <c r="E306" s="33">
        <f t="shared" si="20"/>
        <v>0</v>
      </c>
      <c r="F306" s="17">
        <f>0.01*Input!$F$58*(D306*$D$284)+10*(B306*$B$284+C306*$C$284)</f>
        <v>0</v>
      </c>
      <c r="G306" s="33" t="str">
        <f t="shared" si="21"/>
        <v/>
      </c>
      <c r="H306" s="41" t="str">
        <f t="shared" si="22"/>
        <v/>
      </c>
      <c r="I306" s="10"/>
    </row>
    <row r="307" spans="1:10" x14ac:dyDescent="0.25">
      <c r="A307" s="3" t="s">
        <v>1674</v>
      </c>
      <c r="B307" s="9"/>
      <c r="C307" s="9"/>
      <c r="D307" s="42">
        <f>Otex!$C$129</f>
        <v>60.870906704991079</v>
      </c>
      <c r="E307" s="33">
        <f t="shared" si="20"/>
        <v>0</v>
      </c>
      <c r="F307" s="17">
        <f>0.01*Input!$F$58*(D307*$D$284)+10*(B307*$B$284+C307*$C$284)</f>
        <v>0</v>
      </c>
      <c r="G307" s="33" t="str">
        <f t="shared" si="21"/>
        <v/>
      </c>
      <c r="H307" s="41" t="str">
        <f t="shared" si="22"/>
        <v/>
      </c>
      <c r="I307" s="10"/>
    </row>
    <row r="308" spans="1:10" x14ac:dyDescent="0.25">
      <c r="A308" s="3" t="s">
        <v>1675</v>
      </c>
      <c r="B308" s="34">
        <f>Scaler!$B$424</f>
        <v>0.61751943289366795</v>
      </c>
      <c r="C308" s="34">
        <f>Scaler!$C$424</f>
        <v>1.2053475192190494E-2</v>
      </c>
      <c r="D308" s="42">
        <f>Scaler!$E$424</f>
        <v>0</v>
      </c>
      <c r="E308" s="33">
        <f t="shared" si="20"/>
        <v>0</v>
      </c>
      <c r="F308" s="17">
        <f>0.01*Input!$F$58*(D308*$D$284)+10*(B308*$B$284+C308*$C$284)</f>
        <v>0</v>
      </c>
      <c r="G308" s="33" t="str">
        <f t="shared" si="21"/>
        <v/>
      </c>
      <c r="H308" s="41" t="str">
        <f t="shared" si="22"/>
        <v/>
      </c>
      <c r="I308" s="10"/>
    </row>
    <row r="309" spans="1:10" x14ac:dyDescent="0.25">
      <c r="A309" s="3" t="s">
        <v>1676</v>
      </c>
      <c r="B309" s="34">
        <f>Adjust!$B$80</f>
        <v>-3.9699839503037904E-4</v>
      </c>
      <c r="C309" s="34">
        <f>Adjust!$C$80</f>
        <v>-2.598721050656172E-6</v>
      </c>
      <c r="D309" s="42">
        <f>Adjust!$E$80</f>
        <v>-9.06704991081142E-4</v>
      </c>
      <c r="E309" s="33">
        <f t="shared" si="20"/>
        <v>0</v>
      </c>
      <c r="F309" s="17">
        <f>0.01*Input!$F$58*(D309*$D$284)+10*(B309*$B$284+C309*$C$284)</f>
        <v>0</v>
      </c>
      <c r="G309" s="33" t="str">
        <f t="shared" si="21"/>
        <v/>
      </c>
      <c r="H309" s="41" t="str">
        <f t="shared" si="22"/>
        <v/>
      </c>
      <c r="I309" s="10"/>
    </row>
    <row r="311" spans="1:10" x14ac:dyDescent="0.25">
      <c r="A311" s="3" t="s">
        <v>1677</v>
      </c>
      <c r="B311" s="33">
        <f>SUM($B$287:$B$309)</f>
        <v>0.97299999999999998</v>
      </c>
      <c r="C311" s="33">
        <f>SUM($C$287:$C$309)</f>
        <v>1.9E-2</v>
      </c>
      <c r="D311" s="41">
        <f>SUM($D$287:$D$309)</f>
        <v>60.87</v>
      </c>
      <c r="E311" s="33">
        <f>SUM(E$287:E$309)</f>
        <v>0</v>
      </c>
      <c r="F311" s="17">
        <f>SUM($F$287:$F$309)</f>
        <v>0</v>
      </c>
      <c r="G311" s="33">
        <f>SUM($G$287:$G$309)</f>
        <v>0</v>
      </c>
      <c r="H311" s="41">
        <f>SUM($H$287:$H$309)</f>
        <v>0</v>
      </c>
    </row>
    <row r="313" spans="1:10" ht="21" customHeight="1" x14ac:dyDescent="0.3">
      <c r="A313" s="1" t="s">
        <v>177</v>
      </c>
    </row>
    <row r="315" spans="1:10" x14ac:dyDescent="0.25">
      <c r="B315" s="12" t="s">
        <v>222</v>
      </c>
      <c r="C315" s="12" t="s">
        <v>223</v>
      </c>
      <c r="D315" s="12" t="s">
        <v>224</v>
      </c>
      <c r="E315" s="12" t="s">
        <v>225</v>
      </c>
      <c r="F315" s="12" t="s">
        <v>1658</v>
      </c>
      <c r="G315" s="12" t="s">
        <v>1659</v>
      </c>
    </row>
    <row r="316" spans="1:10" x14ac:dyDescent="0.25">
      <c r="A316" s="3" t="s">
        <v>177</v>
      </c>
      <c r="B316" s="39">
        <f>Loads!B$311</f>
        <v>0</v>
      </c>
      <c r="C316" s="39">
        <f>Loads!C$311</f>
        <v>0</v>
      </c>
      <c r="D316" s="39">
        <f>Loads!D$311</f>
        <v>0</v>
      </c>
      <c r="E316" s="39">
        <f>Loads!E$311</f>
        <v>0</v>
      </c>
      <c r="F316" s="39">
        <f>Multi!B$128</f>
        <v>0</v>
      </c>
      <c r="G316" s="33" t="str">
        <f>IF(E316,F316/E316,"")</f>
        <v/>
      </c>
      <c r="H316" s="10"/>
    </row>
    <row r="318" spans="1:10" ht="30" x14ac:dyDescent="0.25">
      <c r="B318" s="12" t="s">
        <v>1489</v>
      </c>
      <c r="C318" s="12" t="s">
        <v>1490</v>
      </c>
      <c r="D318" s="12" t="s">
        <v>1491</v>
      </c>
      <c r="E318" s="12" t="s">
        <v>1492</v>
      </c>
      <c r="F318" s="12" t="s">
        <v>1678</v>
      </c>
      <c r="G318" s="12" t="s">
        <v>1660</v>
      </c>
      <c r="H318" s="12" t="s">
        <v>1630</v>
      </c>
      <c r="I318" s="12" t="s">
        <v>1661</v>
      </c>
    </row>
    <row r="319" spans="1:10" x14ac:dyDescent="0.25">
      <c r="A319" s="3" t="s">
        <v>456</v>
      </c>
      <c r="B319" s="34">
        <f>Standing!$C$88</f>
        <v>0.93377092976896503</v>
      </c>
      <c r="C319" s="34">
        <f>Standing!$C$111</f>
        <v>4.1211337442663934E-2</v>
      </c>
      <c r="D319" s="34">
        <f>Standing!$C$125</f>
        <v>1.6122846852595408E-3</v>
      </c>
      <c r="E319" s="42">
        <f>AggCap!$C$96</f>
        <v>0</v>
      </c>
      <c r="F319" s="33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33" t="str">
        <f t="shared" ref="H319:H341" si="24">IF($F$316&lt;&gt;0,0.1*G319/$F$316,"")</f>
        <v/>
      </c>
      <c r="I319" s="41" t="str">
        <f t="shared" ref="I319:I341" si="25">IF($E$316&lt;&gt;0,G319/$E$316,"")</f>
        <v/>
      </c>
      <c r="J319" s="10"/>
    </row>
    <row r="320" spans="1:10" x14ac:dyDescent="0.25">
      <c r="A320" s="3" t="s">
        <v>457</v>
      </c>
      <c r="B320" s="34">
        <f>Standing!$D$88</f>
        <v>0.46998312936454006</v>
      </c>
      <c r="C320" s="34">
        <f>Standing!$D$111</f>
        <v>2.0742382011606903E-2</v>
      </c>
      <c r="D320" s="34">
        <f>Standing!$D$125</f>
        <v>8.1149088887601587E-4</v>
      </c>
      <c r="E320" s="42">
        <f>AggCap!$D$96</f>
        <v>0</v>
      </c>
      <c r="F320" s="33">
        <f t="shared" si="23"/>
        <v>0</v>
      </c>
      <c r="G320" s="17">
        <f>0.01*Input!$F$58*(E320*$E$316)+10*(B320*$B$316+C320*$C$316+D320*$D$316)</f>
        <v>0</v>
      </c>
      <c r="H320" s="33" t="str">
        <f t="shared" si="24"/>
        <v/>
      </c>
      <c r="I320" s="41" t="str">
        <f t="shared" si="25"/>
        <v/>
      </c>
      <c r="J320" s="10"/>
    </row>
    <row r="321" spans="1:10" x14ac:dyDescent="0.25">
      <c r="A321" s="3" t="s">
        <v>458</v>
      </c>
      <c r="B321" s="34">
        <f>Standing!$E$88</f>
        <v>0.44811790711782873</v>
      </c>
      <c r="C321" s="34">
        <f>Standing!$E$111</f>
        <v>5.474040778134593E-2</v>
      </c>
      <c r="D321" s="34">
        <f>Standing!$E$125</f>
        <v>4.2591517237171818E-3</v>
      </c>
      <c r="E321" s="42">
        <f>AggCap!$E$96</f>
        <v>0</v>
      </c>
      <c r="F321" s="33">
        <f t="shared" si="23"/>
        <v>0</v>
      </c>
      <c r="G321" s="17">
        <f>0.01*Input!$F$58*(E321*$E$316)+10*(B321*$B$316+C321*$C$316+D321*$D$316)</f>
        <v>0</v>
      </c>
      <c r="H321" s="33" t="str">
        <f t="shared" si="24"/>
        <v/>
      </c>
      <c r="I321" s="41" t="str">
        <f t="shared" si="25"/>
        <v/>
      </c>
      <c r="J321" s="10"/>
    </row>
    <row r="322" spans="1:10" x14ac:dyDescent="0.25">
      <c r="A322" s="3" t="s">
        <v>459</v>
      </c>
      <c r="B322" s="34">
        <f>Standing!$F$88</f>
        <v>0.72610827899166841</v>
      </c>
      <c r="C322" s="34">
        <f>Standing!$F$111</f>
        <v>8.8698672054995528E-2</v>
      </c>
      <c r="D322" s="34">
        <f>Standing!$F$125</f>
        <v>6.9013205653027099E-3</v>
      </c>
      <c r="E322" s="42">
        <f>AggCap!$F$96</f>
        <v>0</v>
      </c>
      <c r="F322" s="33">
        <f t="shared" si="23"/>
        <v>0</v>
      </c>
      <c r="G322" s="17">
        <f>0.01*Input!$F$58*(E322*$E$316)+10*(B322*$B$316+C322*$C$316+D322*$D$316)</f>
        <v>0</v>
      </c>
      <c r="H322" s="33" t="str">
        <f t="shared" si="24"/>
        <v/>
      </c>
      <c r="I322" s="41" t="str">
        <f t="shared" si="25"/>
        <v/>
      </c>
      <c r="J322" s="10"/>
    </row>
    <row r="323" spans="1:10" x14ac:dyDescent="0.25">
      <c r="A323" s="3" t="s">
        <v>460</v>
      </c>
      <c r="B323" s="34">
        <f>Standing!$G$88</f>
        <v>7.8048351078522982E-2</v>
      </c>
      <c r="C323" s="34">
        <f>Standing!$G$111</f>
        <v>3.4446102685337806E-3</v>
      </c>
      <c r="D323" s="34">
        <f>Standing!$G$125</f>
        <v>1.3476127510715833E-4</v>
      </c>
      <c r="E323" s="42">
        <f>AggCap!$G$96</f>
        <v>0</v>
      </c>
      <c r="F323" s="33">
        <f t="shared" si="23"/>
        <v>0</v>
      </c>
      <c r="G323" s="17">
        <f>0.01*Input!$F$58*(E323*$E$316)+10*(B323*$B$316+C323*$C$316+D323*$D$316)</f>
        <v>0</v>
      </c>
      <c r="H323" s="33" t="str">
        <f t="shared" si="24"/>
        <v/>
      </c>
      <c r="I323" s="41" t="str">
        <f t="shared" si="25"/>
        <v/>
      </c>
      <c r="J323" s="10"/>
    </row>
    <row r="324" spans="1:10" x14ac:dyDescent="0.25">
      <c r="A324" s="3" t="s">
        <v>461</v>
      </c>
      <c r="B324" s="34">
        <f>Standing!$H$88</f>
        <v>0.94595276704016173</v>
      </c>
      <c r="C324" s="34">
        <f>Standing!$H$111</f>
        <v>0.11555405259905276</v>
      </c>
      <c r="D324" s="34">
        <f>Standing!$H$125</f>
        <v>8.9908398979350861E-3</v>
      </c>
      <c r="E324" s="42">
        <f>AggCap!$H$96</f>
        <v>0</v>
      </c>
      <c r="F324" s="33">
        <f t="shared" si="23"/>
        <v>0</v>
      </c>
      <c r="G324" s="17">
        <f>0.01*Input!$F$58*(E324*$E$316)+10*(B324*$B$316+C324*$C$316+D324*$D$316)</f>
        <v>0</v>
      </c>
      <c r="H324" s="33" t="str">
        <f t="shared" si="24"/>
        <v/>
      </c>
      <c r="I324" s="41" t="str">
        <f t="shared" si="25"/>
        <v/>
      </c>
      <c r="J324" s="10"/>
    </row>
    <row r="325" spans="1:10" x14ac:dyDescent="0.25">
      <c r="A325" s="3" t="s">
        <v>462</v>
      </c>
      <c r="B325" s="34">
        <f>Standing!$I$88</f>
        <v>0.22451028608518239</v>
      </c>
      <c r="C325" s="34">
        <f>Standing!$I$111</f>
        <v>2.7425336984308522E-2</v>
      </c>
      <c r="D325" s="34">
        <f>Standing!$I$125</f>
        <v>2.1338655670381668E-3</v>
      </c>
      <c r="E325" s="42">
        <f>AggCap!$I$96</f>
        <v>0</v>
      </c>
      <c r="F325" s="33">
        <f t="shared" si="23"/>
        <v>0</v>
      </c>
      <c r="G325" s="17">
        <f>0.01*Input!$F$58*(E325*$E$316)+10*(B325*$B$316+C325*$C$316+D325*$D$316)</f>
        <v>0</v>
      </c>
      <c r="H325" s="33" t="str">
        <f t="shared" si="24"/>
        <v/>
      </c>
      <c r="I325" s="41" t="str">
        <f t="shared" si="25"/>
        <v/>
      </c>
      <c r="J325" s="10"/>
    </row>
    <row r="326" spans="1:10" x14ac:dyDescent="0.25">
      <c r="A326" s="3" t="s">
        <v>463</v>
      </c>
      <c r="B326" s="34">
        <f>Standing!$J$88</f>
        <v>0</v>
      </c>
      <c r="C326" s="34">
        <f>Standing!$J$111</f>
        <v>0</v>
      </c>
      <c r="D326" s="34">
        <f>Standing!$J$125</f>
        <v>0</v>
      </c>
      <c r="E326" s="42">
        <f>AggCap!$J$96</f>
        <v>0.16643941058449349</v>
      </c>
      <c r="F326" s="33">
        <f t="shared" si="23"/>
        <v>0</v>
      </c>
      <c r="G326" s="17">
        <f>0.01*Input!$F$58*(E326*$E$316)+10*(B326*$B$316+C326*$C$316+D326*$D$316)</f>
        <v>0</v>
      </c>
      <c r="H326" s="33" t="str">
        <f t="shared" si="24"/>
        <v/>
      </c>
      <c r="I326" s="41" t="str">
        <f t="shared" si="25"/>
        <v/>
      </c>
      <c r="J326" s="10"/>
    </row>
    <row r="327" spans="1:10" x14ac:dyDescent="0.25">
      <c r="A327" s="3" t="s">
        <v>1662</v>
      </c>
      <c r="B327" s="9"/>
      <c r="C327" s="9"/>
      <c r="D327" s="9"/>
      <c r="E327" s="42">
        <f>SM!$B$115</f>
        <v>0</v>
      </c>
      <c r="F327" s="33">
        <f t="shared" si="23"/>
        <v>0</v>
      </c>
      <c r="G327" s="17">
        <f>0.01*Input!$F$58*(E327*$E$316)+10*(B327*$B$316+C327*$C$316+D327*$D$316)</f>
        <v>0</v>
      </c>
      <c r="H327" s="33" t="str">
        <f t="shared" si="24"/>
        <v/>
      </c>
      <c r="I327" s="41" t="str">
        <f t="shared" si="25"/>
        <v/>
      </c>
      <c r="J327" s="10"/>
    </row>
    <row r="328" spans="1:10" x14ac:dyDescent="0.25">
      <c r="A328" s="3" t="s">
        <v>1663</v>
      </c>
      <c r="B328" s="9"/>
      <c r="C328" s="9"/>
      <c r="D328" s="9"/>
      <c r="E328" s="42">
        <f>SM!$C$115</f>
        <v>0</v>
      </c>
      <c r="F328" s="33">
        <f t="shared" si="23"/>
        <v>0</v>
      </c>
      <c r="G328" s="17">
        <f>0.01*Input!$F$58*(E328*$E$316)+10*(B328*$B$316+C328*$C$316+D328*$D$316)</f>
        <v>0</v>
      </c>
      <c r="H328" s="33" t="str">
        <f t="shared" si="24"/>
        <v/>
      </c>
      <c r="I328" s="41" t="str">
        <f t="shared" si="25"/>
        <v/>
      </c>
      <c r="J328" s="10"/>
    </row>
    <row r="329" spans="1:10" x14ac:dyDescent="0.25">
      <c r="A329" s="3" t="s">
        <v>1664</v>
      </c>
      <c r="B329" s="34">
        <f>Standing!$K$88</f>
        <v>0.45747033706892454</v>
      </c>
      <c r="C329" s="34">
        <f>Standing!$K$111</f>
        <v>0</v>
      </c>
      <c r="D329" s="34">
        <f>Standing!$K$125</f>
        <v>1.2034133265032929E-3</v>
      </c>
      <c r="E329" s="42">
        <f>AggCap!$K$96</f>
        <v>0</v>
      </c>
      <c r="F329" s="33">
        <f t="shared" si="23"/>
        <v>0</v>
      </c>
      <c r="G329" s="17">
        <f>0.01*Input!$F$58*(E329*$E$316)+10*(B329*$B$316+C329*$C$316+D329*$D$316)</f>
        <v>0</v>
      </c>
      <c r="H329" s="33" t="str">
        <f t="shared" si="24"/>
        <v/>
      </c>
      <c r="I329" s="41" t="str">
        <f t="shared" si="25"/>
        <v/>
      </c>
      <c r="J329" s="10"/>
    </row>
    <row r="330" spans="1:10" x14ac:dyDescent="0.25">
      <c r="A330" s="3" t="s">
        <v>1665</v>
      </c>
      <c r="B330" s="34">
        <f>Standing!$L$88</f>
        <v>0.42260016697098562</v>
      </c>
      <c r="C330" s="34">
        <f>Standing!$L$111</f>
        <v>1.8651167571340516E-2</v>
      </c>
      <c r="D330" s="34">
        <f>Standing!$L$125</f>
        <v>7.2967764948950143E-4</v>
      </c>
      <c r="E330" s="42">
        <f>AggCap!$L$96</f>
        <v>0</v>
      </c>
      <c r="F330" s="33">
        <f t="shared" si="23"/>
        <v>0</v>
      </c>
      <c r="G330" s="17">
        <f>0.01*Input!$F$58*(E330*$E$316)+10*(B330*$B$316+C330*$C$316+D330*$D$316)</f>
        <v>0</v>
      </c>
      <c r="H330" s="33" t="str">
        <f t="shared" si="24"/>
        <v/>
      </c>
      <c r="I330" s="41" t="str">
        <f t="shared" si="25"/>
        <v/>
      </c>
      <c r="J330" s="10"/>
    </row>
    <row r="331" spans="1:10" x14ac:dyDescent="0.25">
      <c r="A331" s="3" t="s">
        <v>1666</v>
      </c>
      <c r="B331" s="34">
        <f>Standing!$M$88</f>
        <v>0.21270200496833042</v>
      </c>
      <c r="C331" s="34">
        <f>Standing!$M$111</f>
        <v>9.3874566256307371E-3</v>
      </c>
      <c r="D331" s="34">
        <f>Standing!$M$125</f>
        <v>3.6725943612239844E-4</v>
      </c>
      <c r="E331" s="42">
        <f>AggCap!$M$96</f>
        <v>0</v>
      </c>
      <c r="F331" s="33">
        <f t="shared" si="23"/>
        <v>0</v>
      </c>
      <c r="G331" s="17">
        <f>0.01*Input!$F$58*(E331*$E$316)+10*(B331*$B$316+C331*$C$316+D331*$D$316)</f>
        <v>0</v>
      </c>
      <c r="H331" s="33" t="str">
        <f t="shared" si="24"/>
        <v/>
      </c>
      <c r="I331" s="41" t="str">
        <f t="shared" si="25"/>
        <v/>
      </c>
      <c r="J331" s="10"/>
    </row>
    <row r="332" spans="1:10" x14ac:dyDescent="0.25">
      <c r="A332" s="3" t="s">
        <v>1667</v>
      </c>
      <c r="B332" s="34">
        <f>Standing!$N$88</f>
        <v>0.20280638038018425</v>
      </c>
      <c r="C332" s="34">
        <f>Standing!$N$111</f>
        <v>2.4774069025880155E-2</v>
      </c>
      <c r="D332" s="34">
        <f>Standing!$N$125</f>
        <v>1.9275800651054544E-3</v>
      </c>
      <c r="E332" s="42">
        <f>AggCap!$N$96</f>
        <v>0</v>
      </c>
      <c r="F332" s="33">
        <f t="shared" si="23"/>
        <v>0</v>
      </c>
      <c r="G332" s="17">
        <f>0.01*Input!$F$58*(E332*$E$316)+10*(B332*$B$316+C332*$C$316+D332*$D$316)</f>
        <v>0</v>
      </c>
      <c r="H332" s="33" t="str">
        <f t="shared" si="24"/>
        <v/>
      </c>
      <c r="I332" s="41" t="str">
        <f t="shared" si="25"/>
        <v/>
      </c>
      <c r="J332" s="10"/>
    </row>
    <row r="333" spans="1:10" x14ac:dyDescent="0.25">
      <c r="A333" s="3" t="s">
        <v>1668</v>
      </c>
      <c r="B333" s="34">
        <f>Standing!$O$88</f>
        <v>0.32861751223805624</v>
      </c>
      <c r="C333" s="34">
        <f>Standing!$O$111</f>
        <v>4.0142686418627491E-2</v>
      </c>
      <c r="D333" s="34">
        <f>Standing!$O$125</f>
        <v>3.123356200367927E-3</v>
      </c>
      <c r="E333" s="42">
        <f>AggCap!$O$96</f>
        <v>0</v>
      </c>
      <c r="F333" s="33">
        <f t="shared" si="23"/>
        <v>0</v>
      </c>
      <c r="G333" s="17">
        <f>0.01*Input!$F$58*(E333*$E$316)+10*(B333*$B$316+C333*$C$316+D333*$D$316)</f>
        <v>0</v>
      </c>
      <c r="H333" s="33" t="str">
        <f t="shared" si="24"/>
        <v/>
      </c>
      <c r="I333" s="41" t="str">
        <f t="shared" si="25"/>
        <v/>
      </c>
      <c r="J333" s="10"/>
    </row>
    <row r="334" spans="1:10" x14ac:dyDescent="0.25">
      <c r="A334" s="3" t="s">
        <v>1669</v>
      </c>
      <c r="B334" s="34">
        <f>Standing!$P$88</f>
        <v>3.5322631221508118E-2</v>
      </c>
      <c r="C334" s="34">
        <f>Standing!$P$111</f>
        <v>1.5589400228946055E-3</v>
      </c>
      <c r="D334" s="34">
        <f>Standing!$P$125</f>
        <v>6.098940922866244E-5</v>
      </c>
      <c r="E334" s="42">
        <f>AggCap!$P$96</f>
        <v>0</v>
      </c>
      <c r="F334" s="33">
        <f t="shared" si="23"/>
        <v>0</v>
      </c>
      <c r="G334" s="17">
        <f>0.01*Input!$F$58*(E334*$E$316)+10*(B334*$B$316+C334*$C$316+D334*$D$316)</f>
        <v>0</v>
      </c>
      <c r="H334" s="33" t="str">
        <f t="shared" si="24"/>
        <v/>
      </c>
      <c r="I334" s="41" t="str">
        <f t="shared" si="25"/>
        <v/>
      </c>
      <c r="J334" s="10"/>
    </row>
    <row r="335" spans="1:10" x14ac:dyDescent="0.25">
      <c r="A335" s="3" t="s">
        <v>1670</v>
      </c>
      <c r="B335" s="34">
        <f>Standing!$Q$88</f>
        <v>0.8219253143794325</v>
      </c>
      <c r="C335" s="34">
        <f>Standing!$Q$111</f>
        <v>0.10040332278689923</v>
      </c>
      <c r="D335" s="34">
        <f>Standing!$Q$125</f>
        <v>7.8120168016081225E-3</v>
      </c>
      <c r="E335" s="42">
        <f>AggCap!$Q$96</f>
        <v>0</v>
      </c>
      <c r="F335" s="33">
        <f t="shared" si="23"/>
        <v>0</v>
      </c>
      <c r="G335" s="17">
        <f>0.01*Input!$F$58*(E335*$E$316)+10*(B335*$B$316+C335*$C$316+D335*$D$316)</f>
        <v>0</v>
      </c>
      <c r="H335" s="33" t="str">
        <f t="shared" si="24"/>
        <v/>
      </c>
      <c r="I335" s="41" t="str">
        <f t="shared" si="25"/>
        <v/>
      </c>
      <c r="J335" s="10"/>
    </row>
    <row r="336" spans="1:10" x14ac:dyDescent="0.25">
      <c r="A336" s="3" t="s">
        <v>1671</v>
      </c>
      <c r="B336" s="34">
        <f>Standing!$R$88</f>
        <v>0.34907514718400712</v>
      </c>
      <c r="C336" s="34">
        <f>Standing!$R$111</f>
        <v>4.2641714601602571E-2</v>
      </c>
      <c r="D336" s="34">
        <f>Standing!$R$125</f>
        <v>3.3177964799444206E-3</v>
      </c>
      <c r="E336" s="42">
        <f>AggCap!$R$96</f>
        <v>0</v>
      </c>
      <c r="F336" s="33">
        <f t="shared" si="23"/>
        <v>0</v>
      </c>
      <c r="G336" s="17">
        <f>0.01*Input!$F$58*(E336*$E$316)+10*(B336*$B$316+C336*$C$316+D336*$D$316)</f>
        <v>0</v>
      </c>
      <c r="H336" s="33" t="str">
        <f t="shared" si="24"/>
        <v/>
      </c>
      <c r="I336" s="41" t="str">
        <f t="shared" si="25"/>
        <v/>
      </c>
      <c r="J336" s="10"/>
    </row>
    <row r="337" spans="1:10" x14ac:dyDescent="0.25">
      <c r="A337" s="3" t="s">
        <v>1672</v>
      </c>
      <c r="B337" s="34">
        <f>Standing!$S$88</f>
        <v>0</v>
      </c>
      <c r="C337" s="34">
        <f>Standing!$S$111</f>
        <v>0</v>
      </c>
      <c r="D337" s="34">
        <f>Standing!$S$125</f>
        <v>0</v>
      </c>
      <c r="E337" s="42">
        <f>AggCap!$S$96</f>
        <v>1.2290949334079249</v>
      </c>
      <c r="F337" s="33">
        <f t="shared" si="23"/>
        <v>0</v>
      </c>
      <c r="G337" s="17">
        <f>0.01*Input!$F$58*(E337*$E$316)+10*(B337*$B$316+C337*$C$316+D337*$D$316)</f>
        <v>0</v>
      </c>
      <c r="H337" s="33" t="str">
        <f t="shared" si="24"/>
        <v/>
      </c>
      <c r="I337" s="41" t="str">
        <f t="shared" si="25"/>
        <v/>
      </c>
      <c r="J337" s="10"/>
    </row>
    <row r="338" spans="1:10" x14ac:dyDescent="0.25">
      <c r="A338" s="3" t="s">
        <v>1673</v>
      </c>
      <c r="B338" s="9"/>
      <c r="C338" s="9"/>
      <c r="D338" s="9"/>
      <c r="E338" s="42">
        <f>Otex!$B$130</f>
        <v>1.725053976857601</v>
      </c>
      <c r="F338" s="33">
        <f t="shared" si="23"/>
        <v>0</v>
      </c>
      <c r="G338" s="17">
        <f>0.01*Input!$F$58*(E338*$E$316)+10*(B338*$B$316+C338*$C$316+D338*$D$316)</f>
        <v>0</v>
      </c>
      <c r="H338" s="33" t="str">
        <f t="shared" si="24"/>
        <v/>
      </c>
      <c r="I338" s="41" t="str">
        <f t="shared" si="25"/>
        <v/>
      </c>
      <c r="J338" s="10"/>
    </row>
    <row r="339" spans="1:10" x14ac:dyDescent="0.25">
      <c r="A339" s="3" t="s">
        <v>1674</v>
      </c>
      <c r="B339" s="9"/>
      <c r="C339" s="9"/>
      <c r="D339" s="9"/>
      <c r="E339" s="42">
        <f>Otex!$C$130</f>
        <v>0</v>
      </c>
      <c r="F339" s="33">
        <f t="shared" si="23"/>
        <v>0</v>
      </c>
      <c r="G339" s="17">
        <f>0.01*Input!$F$58*(E339*$E$316)+10*(B339*$B$316+C339*$C$316+D339*$D$316)</f>
        <v>0</v>
      </c>
      <c r="H339" s="33" t="str">
        <f t="shared" si="24"/>
        <v/>
      </c>
      <c r="I339" s="41" t="str">
        <f t="shared" si="25"/>
        <v/>
      </c>
      <c r="J339" s="10"/>
    </row>
    <row r="340" spans="1:10" x14ac:dyDescent="0.25">
      <c r="A340" s="3" t="s">
        <v>1675</v>
      </c>
      <c r="B340" s="34">
        <f>Scaler!$B$425</f>
        <v>6.2082302314941327</v>
      </c>
      <c r="C340" s="34">
        <f>Scaler!$C$425</f>
        <v>0</v>
      </c>
      <c r="D340" s="34">
        <f>Scaler!$D$425</f>
        <v>1.6331259951079712E-2</v>
      </c>
      <c r="E340" s="42">
        <f>Scaler!$E$425</f>
        <v>0</v>
      </c>
      <c r="F340" s="33">
        <f t="shared" si="23"/>
        <v>0</v>
      </c>
      <c r="G340" s="17">
        <f>0.01*Input!$F$58*(E340*$E$316)+10*(B340*$B$316+C340*$C$316+D340*$D$316)</f>
        <v>0</v>
      </c>
      <c r="H340" s="33" t="str">
        <f t="shared" si="24"/>
        <v/>
      </c>
      <c r="I340" s="41" t="str">
        <f t="shared" si="25"/>
        <v/>
      </c>
      <c r="J340" s="10"/>
    </row>
    <row r="341" spans="1:10" x14ac:dyDescent="0.25">
      <c r="A341" s="3" t="s">
        <v>1676</v>
      </c>
      <c r="B341" s="34">
        <f>Adjust!$B$81</f>
        <v>-2.4137535242907404E-4</v>
      </c>
      <c r="C341" s="34">
        <f>Adjust!$C$81</f>
        <v>-3.7615619538267087E-4</v>
      </c>
      <c r="D341" s="34">
        <f>Adjust!$D$81</f>
        <v>2.8293607731463832E-4</v>
      </c>
      <c r="E341" s="42">
        <f>Adjust!$E$81</f>
        <v>-5.8832085001903067E-4</v>
      </c>
      <c r="F341" s="33">
        <f t="shared" si="23"/>
        <v>0</v>
      </c>
      <c r="G341" s="17">
        <f>0.01*Input!$F$58*(E341*$E$316)+10*(B341*$B$316+C341*$C$316+D341*$D$316)</f>
        <v>0</v>
      </c>
      <c r="H341" s="33" t="str">
        <f t="shared" si="24"/>
        <v/>
      </c>
      <c r="I341" s="41" t="str">
        <f t="shared" si="25"/>
        <v/>
      </c>
      <c r="J341" s="10"/>
    </row>
    <row r="343" spans="1:10" x14ac:dyDescent="0.25">
      <c r="A343" s="3" t="s">
        <v>1677</v>
      </c>
      <c r="B343" s="33">
        <f>SUM($B$319:$B$341)</f>
        <v>12.865</v>
      </c>
      <c r="C343" s="33">
        <f>SUM($C$319:$C$341)</f>
        <v>0.58899999999999997</v>
      </c>
      <c r="D343" s="33">
        <f>SUM($D$319:$D$341)</f>
        <v>0.06</v>
      </c>
      <c r="E343" s="41">
        <f>SUM($E$319:$E$341)</f>
        <v>3.12</v>
      </c>
      <c r="F343" s="33">
        <f>SUM(F$319:F$341)</f>
        <v>0</v>
      </c>
      <c r="G343" s="17">
        <f>SUM($G$319:$G$341)</f>
        <v>0</v>
      </c>
      <c r="H343" s="33">
        <f>SUM($H$319:$H$341)</f>
        <v>0</v>
      </c>
      <c r="I343" s="41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12" t="s">
        <v>222</v>
      </c>
      <c r="C347" s="12" t="s">
        <v>223</v>
      </c>
      <c r="D347" s="12" t="s">
        <v>224</v>
      </c>
      <c r="E347" s="12" t="s">
        <v>225</v>
      </c>
      <c r="F347" s="12" t="s">
        <v>1658</v>
      </c>
      <c r="G347" s="12" t="s">
        <v>1659</v>
      </c>
    </row>
    <row r="348" spans="1:10" x14ac:dyDescent="0.25">
      <c r="A348" s="3" t="s">
        <v>178</v>
      </c>
      <c r="B348" s="39">
        <f>Loads!B$312</f>
        <v>16677.528959232903</v>
      </c>
      <c r="C348" s="39">
        <f>Loads!C$312</f>
        <v>64905.251156289785</v>
      </c>
      <c r="D348" s="39">
        <f>Loads!D$312</f>
        <v>73118.453269019825</v>
      </c>
      <c r="E348" s="39">
        <f>Loads!E$312</f>
        <v>2551.8233977395394</v>
      </c>
      <c r="F348" s="39">
        <f>Multi!B$129</f>
        <v>154701.23338454252</v>
      </c>
      <c r="G348" s="33">
        <f>IF(E348,F348/E348,"")</f>
        <v>60.623800816929666</v>
      </c>
      <c r="H348" s="10"/>
    </row>
    <row r="350" spans="1:10" ht="30" x14ac:dyDescent="0.25">
      <c r="B350" s="12" t="s">
        <v>1489</v>
      </c>
      <c r="C350" s="12" t="s">
        <v>1490</v>
      </c>
      <c r="D350" s="12" t="s">
        <v>1491</v>
      </c>
      <c r="E350" s="12" t="s">
        <v>1492</v>
      </c>
      <c r="F350" s="12" t="s">
        <v>1678</v>
      </c>
      <c r="G350" s="12" t="s">
        <v>1660</v>
      </c>
      <c r="H350" s="12" t="s">
        <v>1630</v>
      </c>
      <c r="I350" s="12" t="s">
        <v>1661</v>
      </c>
    </row>
    <row r="351" spans="1:10" x14ac:dyDescent="0.25">
      <c r="A351" s="3" t="s">
        <v>456</v>
      </c>
      <c r="B351" s="34">
        <f>Standing!$C$89</f>
        <v>0.96169595080774972</v>
      </c>
      <c r="C351" s="34">
        <f>Standing!$C$112</f>
        <v>4.2443789030557739E-2</v>
      </c>
      <c r="D351" s="34">
        <f>Standing!$C$126</f>
        <v>1.6605010971449722E-3</v>
      </c>
      <c r="E351" s="42">
        <f>AggCap!$C$97</f>
        <v>0</v>
      </c>
      <c r="F351" s="33">
        <f t="shared" ref="F351:F373" si="26">IF(F$348&lt;&gt;0,(($B351*B$348+$C351*C$348+$D351*D$348))/F$348,0)</f>
        <v>0.12226761037828217</v>
      </c>
      <c r="G351" s="17">
        <f>0.01*Input!$F$58*(E351*$E$348)+10*(B351*$B$348+C351*$C$348+D351*$D$348)</f>
        <v>189149.50128500944</v>
      </c>
      <c r="H351" s="33">
        <f t="shared" ref="H351:H373" si="27">IF($F$348&lt;&gt;0,0.1*G351/$F$348,"")</f>
        <v>0.12226761037828217</v>
      </c>
      <c r="I351" s="41">
        <f t="shared" ref="I351:I373" si="28">IF($E$348&lt;&gt;0,G351/$E$348,"")</f>
        <v>74.123272579349404</v>
      </c>
      <c r="J351" s="10"/>
    </row>
    <row r="352" spans="1:10" x14ac:dyDescent="0.25">
      <c r="A352" s="3" t="s">
        <v>457</v>
      </c>
      <c r="B352" s="34">
        <f>Standing!$D$89</f>
        <v>0.48403827753522227</v>
      </c>
      <c r="C352" s="34">
        <f>Standing!$D$112</f>
        <v>2.1362696304548043E-2</v>
      </c>
      <c r="D352" s="34">
        <f>Standing!$D$126</f>
        <v>8.3575904653889323E-4</v>
      </c>
      <c r="E352" s="42">
        <f>AggCap!$D$97</f>
        <v>0</v>
      </c>
      <c r="F352" s="33">
        <f t="shared" si="26"/>
        <v>6.1539412197943573E-2</v>
      </c>
      <c r="G352" s="17">
        <f>0.01*Input!$F$58*(E352*$E$348)+10*(B352*$B$348+C352*$C$348+D352*$D$348)</f>
        <v>95202.229687816303</v>
      </c>
      <c r="H352" s="33">
        <f t="shared" si="27"/>
        <v>6.1539412197943573E-2</v>
      </c>
      <c r="I352" s="41">
        <f t="shared" si="28"/>
        <v>37.307530674790627</v>
      </c>
      <c r="J352" s="10"/>
    </row>
    <row r="353" spans="1:10" x14ac:dyDescent="0.25">
      <c r="A353" s="3" t="s">
        <v>458</v>
      </c>
      <c r="B353" s="34">
        <f>Standing!$E$89</f>
        <v>0.46126715498732113</v>
      </c>
      <c r="C353" s="34">
        <f>Standing!$E$112</f>
        <v>5.6346670729023093E-2</v>
      </c>
      <c r="D353" s="34">
        <f>Standing!$E$126</f>
        <v>4.384129192457808E-3</v>
      </c>
      <c r="E353" s="42">
        <f>AggCap!$E$97</f>
        <v>0</v>
      </c>
      <c r="F353" s="33">
        <f t="shared" si="26"/>
        <v>7.543929444445012E-2</v>
      </c>
      <c r="G353" s="17">
        <f>0.01*Input!$F$58*(E353*$E$348)+10*(B353*$B$348+C353*$C$348+D353*$D$348)</f>
        <v>116705.51896216099</v>
      </c>
      <c r="H353" s="33">
        <f t="shared" si="27"/>
        <v>7.543929444445012E-2</v>
      </c>
      <c r="I353" s="41">
        <f t="shared" si="28"/>
        <v>45.734167601700527</v>
      </c>
      <c r="J353" s="10"/>
    </row>
    <row r="354" spans="1:10" x14ac:dyDescent="0.25">
      <c r="A354" s="3" t="s">
        <v>459</v>
      </c>
      <c r="B354" s="34">
        <f>Standing!$F$89</f>
        <v>0.74741467534159478</v>
      </c>
      <c r="C354" s="34">
        <f>Standing!$F$112</f>
        <v>9.1301381757108085E-2</v>
      </c>
      <c r="D354" s="34">
        <f>Standing!$F$126</f>
        <v>7.1038279261971937E-3</v>
      </c>
      <c r="E354" s="42">
        <f>AggCap!$F$97</f>
        <v>0</v>
      </c>
      <c r="F354" s="33">
        <f t="shared" si="26"/>
        <v>0.12223813283811093</v>
      </c>
      <c r="G354" s="17">
        <f>0.01*Input!$F$58*(E354*$E$348)+10*(B354*$B$348+C354*$C$348+D354*$D$348)</f>
        <v>189103.8991667931</v>
      </c>
      <c r="H354" s="33">
        <f t="shared" si="27"/>
        <v>0.12223813283811093</v>
      </c>
      <c r="I354" s="41">
        <f t="shared" si="28"/>
        <v>74.105402174110267</v>
      </c>
      <c r="J354" s="10"/>
    </row>
    <row r="355" spans="1:10" x14ac:dyDescent="0.25">
      <c r="A355" s="3" t="s">
        <v>460</v>
      </c>
      <c r="B355" s="34">
        <f>Standing!$G$89</f>
        <v>8.0382437283636948E-2</v>
      </c>
      <c r="C355" s="34">
        <f>Standing!$G$112</f>
        <v>3.5476235570744926E-3</v>
      </c>
      <c r="D355" s="34">
        <f>Standing!$G$126</f>
        <v>1.3879139783063178E-4</v>
      </c>
      <c r="E355" s="42">
        <f>AggCap!$G$97</f>
        <v>0</v>
      </c>
      <c r="F355" s="33">
        <f t="shared" si="26"/>
        <v>1.0219621404038906E-2</v>
      </c>
      <c r="G355" s="17">
        <f>0.01*Input!$F$58*(E355*$E$348)+10*(B355*$B$348+C355*$C$348+D355*$D$348)</f>
        <v>15809.880359278888</v>
      </c>
      <c r="H355" s="33">
        <f t="shared" si="27"/>
        <v>1.0219621404038906E-2</v>
      </c>
      <c r="I355" s="41">
        <f t="shared" si="28"/>
        <v>6.1955229242288565</v>
      </c>
      <c r="J355" s="10"/>
    </row>
    <row r="356" spans="1:10" x14ac:dyDescent="0.25">
      <c r="A356" s="3" t="s">
        <v>461</v>
      </c>
      <c r="B356" s="34">
        <f>Standing!$H$89</f>
        <v>0.97371012109602784</v>
      </c>
      <c r="C356" s="34">
        <f>Standing!$H$112</f>
        <v>0.11894478717094691</v>
      </c>
      <c r="D356" s="34">
        <f>Standing!$H$126</f>
        <v>9.2546606033678293E-3</v>
      </c>
      <c r="E356" s="42">
        <f>AggCap!$H$97</f>
        <v>0</v>
      </c>
      <c r="F356" s="33">
        <f t="shared" si="26"/>
        <v>0.15924828753723752</v>
      </c>
      <c r="G356" s="17">
        <f>0.01*Input!$F$58*(E356*$E$348)+10*(B356*$B$348+C356*$C$348+D356*$D$348)</f>
        <v>246359.06496386917</v>
      </c>
      <c r="H356" s="33">
        <f t="shared" si="27"/>
        <v>0.15924828753723752</v>
      </c>
      <c r="I356" s="41">
        <f t="shared" si="28"/>
        <v>96.542364640946303</v>
      </c>
      <c r="J356" s="10"/>
    </row>
    <row r="357" spans="1:10" x14ac:dyDescent="0.25">
      <c r="A357" s="3" t="s">
        <v>462</v>
      </c>
      <c r="B357" s="34">
        <f>Standing!$I$89</f>
        <v>0.23109815359525815</v>
      </c>
      <c r="C357" s="34">
        <f>Standing!$I$112</f>
        <v>2.8230086243784567E-2</v>
      </c>
      <c r="D357" s="34">
        <f>Standing!$I$126</f>
        <v>2.1964801754157381E-3</v>
      </c>
      <c r="E357" s="42">
        <f>AggCap!$I$97</f>
        <v>0</v>
      </c>
      <c r="F357" s="33">
        <f t="shared" si="26"/>
        <v>3.7795627688081632E-2</v>
      </c>
      <c r="G357" s="17">
        <f>0.01*Input!$F$58*(E357*$E$348)+10*(B357*$B$348+C357*$C$348+D357*$D$348)</f>
        <v>58470.302198891935</v>
      </c>
      <c r="H357" s="33">
        <f t="shared" si="27"/>
        <v>3.7795627688081632E-2</v>
      </c>
      <c r="I357" s="41">
        <f t="shared" si="28"/>
        <v>22.913146047130926</v>
      </c>
      <c r="J357" s="10"/>
    </row>
    <row r="358" spans="1:10" x14ac:dyDescent="0.25">
      <c r="A358" s="3" t="s">
        <v>463</v>
      </c>
      <c r="B358" s="34">
        <f>Standing!$J$89</f>
        <v>0</v>
      </c>
      <c r="C358" s="34">
        <f>Standing!$J$112</f>
        <v>0</v>
      </c>
      <c r="D358" s="34">
        <f>Standing!$J$126</f>
        <v>0</v>
      </c>
      <c r="E358" s="42">
        <f>AggCap!$J$97</f>
        <v>0.16643941058449349</v>
      </c>
      <c r="F358" s="33">
        <f t="shared" si="26"/>
        <v>0</v>
      </c>
      <c r="G358" s="17">
        <f>0.01*Input!$F$58*(E358*$E$348)+10*(B358*$B$348+C358*$C$348+D358*$D$348)</f>
        <v>1550.2425351595327</v>
      </c>
      <c r="H358" s="33">
        <f t="shared" si="27"/>
        <v>1.0020880255725425E-3</v>
      </c>
      <c r="I358" s="41">
        <f t="shared" si="28"/>
        <v>0.60750384863340123</v>
      </c>
      <c r="J358" s="10"/>
    </row>
    <row r="359" spans="1:10" x14ac:dyDescent="0.25">
      <c r="A359" s="3" t="s">
        <v>1662</v>
      </c>
      <c r="B359" s="9"/>
      <c r="C359" s="9"/>
      <c r="D359" s="9"/>
      <c r="E359" s="42">
        <f>SM!$B$116</f>
        <v>0</v>
      </c>
      <c r="F359" s="33">
        <f t="shared" si="26"/>
        <v>0</v>
      </c>
      <c r="G359" s="17">
        <f>0.01*Input!$F$58*(E359*$E$348)+10*(B359*$B$348+C359*$C$348+D359*$D$348)</f>
        <v>0</v>
      </c>
      <c r="H359" s="33">
        <f t="shared" si="27"/>
        <v>0</v>
      </c>
      <c r="I359" s="41">
        <f t="shared" si="28"/>
        <v>0</v>
      </c>
      <c r="J359" s="10"/>
    </row>
    <row r="360" spans="1:10" x14ac:dyDescent="0.25">
      <c r="A360" s="3" t="s">
        <v>1663</v>
      </c>
      <c r="B360" s="9"/>
      <c r="C360" s="9"/>
      <c r="D360" s="9"/>
      <c r="E360" s="42">
        <f>SM!$C$116</f>
        <v>0</v>
      </c>
      <c r="F360" s="33">
        <f t="shared" si="26"/>
        <v>0</v>
      </c>
      <c r="G360" s="17">
        <f>0.01*Input!$F$58*(E360*$E$348)+10*(B360*$B$348+C360*$C$348+D360*$D$348)</f>
        <v>0</v>
      </c>
      <c r="H360" s="33">
        <f t="shared" si="27"/>
        <v>0</v>
      </c>
      <c r="I360" s="41">
        <f t="shared" si="28"/>
        <v>0</v>
      </c>
      <c r="J360" s="10"/>
    </row>
    <row r="361" spans="1:10" x14ac:dyDescent="0.25">
      <c r="A361" s="3" t="s">
        <v>1664</v>
      </c>
      <c r="B361" s="34">
        <f>Standing!$K$89</f>
        <v>0.47128298126904355</v>
      </c>
      <c r="C361" s="34">
        <f>Standing!$K$112</f>
        <v>0</v>
      </c>
      <c r="D361" s="34">
        <f>Standing!$K$126</f>
        <v>1.2397486224946638E-3</v>
      </c>
      <c r="E361" s="42">
        <f>AggCap!$K$97</f>
        <v>0</v>
      </c>
      <c r="F361" s="33">
        <f t="shared" si="26"/>
        <v>5.139250603170497E-2</v>
      </c>
      <c r="G361" s="17">
        <f>0.01*Input!$F$58*(E361*$E$348)+10*(B361*$B$348+C361*$C$348+D361*$D$348)</f>
        <v>79504.840698272994</v>
      </c>
      <c r="H361" s="33">
        <f t="shared" si="27"/>
        <v>5.1392506031704976E-2</v>
      </c>
      <c r="I361" s="41">
        <f t="shared" si="28"/>
        <v>31.156090491489383</v>
      </c>
      <c r="J361" s="10"/>
    </row>
    <row r="362" spans="1:10" x14ac:dyDescent="0.25">
      <c r="A362" s="3" t="s">
        <v>1665</v>
      </c>
      <c r="B362" s="34">
        <f>Standing!$L$89</f>
        <v>0.43523829713485612</v>
      </c>
      <c r="C362" s="34">
        <f>Standing!$L$112</f>
        <v>1.9208942749623748E-2</v>
      </c>
      <c r="D362" s="34">
        <f>Standing!$L$126</f>
        <v>7.5149912953768286E-4</v>
      </c>
      <c r="E362" s="42">
        <f>AggCap!$L$97</f>
        <v>0</v>
      </c>
      <c r="F362" s="33">
        <f t="shared" si="26"/>
        <v>5.5335105124540339E-2</v>
      </c>
      <c r="G362" s="17">
        <f>0.01*Input!$F$58*(E362*$E$348)+10*(B362*$B$348+C362*$C$348+D362*$D$348)</f>
        <v>85604.090122297086</v>
      </c>
      <c r="H362" s="33">
        <f t="shared" si="27"/>
        <v>5.5335105124540339E-2</v>
      </c>
      <c r="I362" s="41">
        <f t="shared" si="28"/>
        <v>33.546243912539971</v>
      </c>
      <c r="J362" s="10"/>
    </row>
    <row r="363" spans="1:10" x14ac:dyDescent="0.25">
      <c r="A363" s="3" t="s">
        <v>1666</v>
      </c>
      <c r="B363" s="34">
        <f>Standing!$M$89</f>
        <v>0.21906299541510083</v>
      </c>
      <c r="C363" s="34">
        <f>Standing!$M$112</f>
        <v>9.668194561899832E-3</v>
      </c>
      <c r="D363" s="34">
        <f>Standing!$M$126</f>
        <v>3.7824256608870352E-4</v>
      </c>
      <c r="E363" s="42">
        <f>AggCap!$M$97</f>
        <v>0</v>
      </c>
      <c r="F363" s="33">
        <f t="shared" si="26"/>
        <v>2.7851119628003247E-2</v>
      </c>
      <c r="G363" s="17">
        <f>0.01*Input!$F$58*(E363*$E$348)+10*(B363*$B$348+C363*$C$348+D363*$D$348)</f>
        <v>43086.025575925436</v>
      </c>
      <c r="H363" s="33">
        <f t="shared" si="27"/>
        <v>2.7851119628003254E-2</v>
      </c>
      <c r="I363" s="41">
        <f t="shared" si="28"/>
        <v>16.884407288565491</v>
      </c>
      <c r="J363" s="10"/>
    </row>
    <row r="364" spans="1:10" x14ac:dyDescent="0.25">
      <c r="A364" s="3" t="s">
        <v>1667</v>
      </c>
      <c r="B364" s="34">
        <f>Standing!$N$89</f>
        <v>0.20875738417355061</v>
      </c>
      <c r="C364" s="34">
        <f>Standing!$N$112</f>
        <v>2.5501021395296527E-2</v>
      </c>
      <c r="D364" s="34">
        <f>Standing!$N$126</f>
        <v>1.9841415808622867E-3</v>
      </c>
      <c r="E364" s="42">
        <f>AggCap!$N$97</f>
        <v>0</v>
      </c>
      <c r="F364" s="33">
        <f t="shared" si="26"/>
        <v>3.4141840800597546E-2</v>
      </c>
      <c r="G364" s="17">
        <f>0.01*Input!$F$58*(E364*$E$348)+10*(B364*$B$348+C364*$C$348+D364*$D$348)</f>
        <v>52817.848818711369</v>
      </c>
      <c r="H364" s="33">
        <f t="shared" si="27"/>
        <v>3.4141840800597546E-2</v>
      </c>
      <c r="I364" s="41">
        <f t="shared" si="28"/>
        <v>20.698081562187479</v>
      </c>
      <c r="J364" s="10"/>
    </row>
    <row r="365" spans="1:10" x14ac:dyDescent="0.25">
      <c r="A365" s="3" t="s">
        <v>1668</v>
      </c>
      <c r="B365" s="34">
        <f>Standing!$O$89</f>
        <v>0.33826022692104241</v>
      </c>
      <c r="C365" s="34">
        <f>Standing!$O$112</f>
        <v>4.132060438504128E-2</v>
      </c>
      <c r="D365" s="34">
        <f>Standing!$O$126</f>
        <v>3.2150057064711389E-3</v>
      </c>
      <c r="E365" s="42">
        <f>AggCap!$O$97</f>
        <v>0</v>
      </c>
      <c r="F365" s="33">
        <f t="shared" si="26"/>
        <v>5.5321764365044469E-2</v>
      </c>
      <c r="G365" s="17">
        <f>0.01*Input!$F$58*(E365*$E$348)+10*(B365*$B$348+C365*$C$348+D365*$D$348)</f>
        <v>85583.451802814117</v>
      </c>
      <c r="H365" s="33">
        <f t="shared" si="27"/>
        <v>5.5321764365044469E-2</v>
      </c>
      <c r="I365" s="41">
        <f t="shared" si="28"/>
        <v>33.538156237075732</v>
      </c>
      <c r="J365" s="10"/>
    </row>
    <row r="366" spans="1:10" x14ac:dyDescent="0.25">
      <c r="A366" s="3" t="s">
        <v>1669</v>
      </c>
      <c r="B366" s="34">
        <f>Standing!$P$89</f>
        <v>3.6378977257307168E-2</v>
      </c>
      <c r="C366" s="34">
        <f>Standing!$P$112</f>
        <v>1.6055611282960187E-3</v>
      </c>
      <c r="D366" s="34">
        <f>Standing!$P$126</f>
        <v>6.2813336791148067E-5</v>
      </c>
      <c r="E366" s="42">
        <f>AggCap!$P$97</f>
        <v>0</v>
      </c>
      <c r="F366" s="33">
        <f t="shared" si="26"/>
        <v>4.6251318969585684E-3</v>
      </c>
      <c r="G366" s="17">
        <f>0.01*Input!$F$58*(E366*$E$348)+10*(B366*$B$348+C366*$C$348+D366*$D$348)</f>
        <v>7155.1360902567931</v>
      </c>
      <c r="H366" s="33">
        <f t="shared" si="27"/>
        <v>4.6251318969585684E-3</v>
      </c>
      <c r="I366" s="41">
        <f t="shared" si="28"/>
        <v>2.803930748732443</v>
      </c>
      <c r="J366" s="10"/>
    </row>
    <row r="367" spans="1:10" x14ac:dyDescent="0.25">
      <c r="A367" s="3" t="s">
        <v>1670</v>
      </c>
      <c r="B367" s="34">
        <f>Standing!$Q$89</f>
        <v>0.8460432965384086</v>
      </c>
      <c r="C367" s="34">
        <f>Standing!$Q$112</f>
        <v>0.10334948529742449</v>
      </c>
      <c r="D367" s="34">
        <f>Standing!$Q$126</f>
        <v>8.041246974411673E-3</v>
      </c>
      <c r="E367" s="42">
        <f>AggCap!$Q$97</f>
        <v>0</v>
      </c>
      <c r="F367" s="33">
        <f t="shared" si="26"/>
        <v>0.13836864097134466</v>
      </c>
      <c r="G367" s="17">
        <f>0.01*Input!$F$58*(E367*$E$348)+10*(B367*$B$348+C367*$C$348+D367*$D$348)</f>
        <v>214057.99420009964</v>
      </c>
      <c r="H367" s="33">
        <f t="shared" si="27"/>
        <v>0.13836864097134466</v>
      </c>
      <c r="I367" s="41">
        <f t="shared" si="28"/>
        <v>83.884329295560519</v>
      </c>
      <c r="J367" s="10"/>
    </row>
    <row r="368" spans="1:10" x14ac:dyDescent="0.25">
      <c r="A368" s="3" t="s">
        <v>1671</v>
      </c>
      <c r="B368" s="34">
        <f>Standing!$R$89</f>
        <v>0.35931815591562455</v>
      </c>
      <c r="C368" s="34">
        <f>Standing!$R$112</f>
        <v>4.3892962244177117E-2</v>
      </c>
      <c r="D368" s="34">
        <f>Standing!$R$126</f>
        <v>3.4151515010278498E-3</v>
      </c>
      <c r="E368" s="42">
        <f>AggCap!$R$97</f>
        <v>0</v>
      </c>
      <c r="F368" s="33">
        <f t="shared" si="26"/>
        <v>5.8765745339272459E-2</v>
      </c>
      <c r="G368" s="17">
        <f>0.01*Input!$F$58*(E368*$E$348)+10*(B368*$B$348+C368*$C$348+D368*$D$348)</f>
        <v>90911.332847473808</v>
      </c>
      <c r="H368" s="33">
        <f t="shared" si="27"/>
        <v>5.8765745339272459E-2</v>
      </c>
      <c r="I368" s="41">
        <f t="shared" si="28"/>
        <v>35.626028403064666</v>
      </c>
      <c r="J368" s="10"/>
    </row>
    <row r="369" spans="1:13" x14ac:dyDescent="0.25">
      <c r="A369" s="3" t="s">
        <v>1672</v>
      </c>
      <c r="B369" s="34">
        <f>Standing!$S$89</f>
        <v>0</v>
      </c>
      <c r="C369" s="34">
        <f>Standing!$S$112</f>
        <v>0</v>
      </c>
      <c r="D369" s="34">
        <f>Standing!$S$126</f>
        <v>0</v>
      </c>
      <c r="E369" s="42">
        <f>AggCap!$S$97</f>
        <v>1.2290949334079249</v>
      </c>
      <c r="F369" s="33">
        <f t="shared" si="26"/>
        <v>0</v>
      </c>
      <c r="G369" s="17">
        <f>0.01*Input!$F$58*(E369*$E$348)+10*(B369*$B$348+C369*$C$348+D369*$D$348)</f>
        <v>11447.981213264142</v>
      </c>
      <c r="H369" s="33">
        <f t="shared" si="27"/>
        <v>7.4000581396838462E-3</v>
      </c>
      <c r="I369" s="41">
        <f t="shared" si="28"/>
        <v>4.4861965069389251</v>
      </c>
      <c r="J369" s="10"/>
    </row>
    <row r="370" spans="1:13" x14ac:dyDescent="0.25">
      <c r="A370" s="3" t="s">
        <v>1673</v>
      </c>
      <c r="B370" s="9"/>
      <c r="C370" s="9"/>
      <c r="D370" s="9"/>
      <c r="E370" s="42">
        <f>Otex!$B$131</f>
        <v>3.8810265098995917</v>
      </c>
      <c r="F370" s="33">
        <f t="shared" si="26"/>
        <v>0</v>
      </c>
      <c r="G370" s="17">
        <f>0.01*Input!$F$58*(E370*$E$348)+10*(B370*$B$348+C370*$C$348+D370*$D$348)</f>
        <v>36148.484031513588</v>
      </c>
      <c r="H370" s="33">
        <f t="shared" si="27"/>
        <v>2.3366642424665688E-2</v>
      </c>
      <c r="I370" s="41">
        <f t="shared" si="28"/>
        <v>14.16574676113351</v>
      </c>
      <c r="J370" s="10"/>
    </row>
    <row r="371" spans="1:13" x14ac:dyDescent="0.25">
      <c r="A371" s="3" t="s">
        <v>1674</v>
      </c>
      <c r="B371" s="9"/>
      <c r="C371" s="9"/>
      <c r="D371" s="9"/>
      <c r="E371" s="42">
        <f>Otex!$C$131</f>
        <v>0</v>
      </c>
      <c r="F371" s="33">
        <f t="shared" si="26"/>
        <v>0</v>
      </c>
      <c r="G371" s="17">
        <f>0.01*Input!$F$58*(E371*$E$348)+10*(B371*$B$348+C371*$C$348+D371*$D$348)</f>
        <v>0</v>
      </c>
      <c r="H371" s="33">
        <f t="shared" si="27"/>
        <v>0</v>
      </c>
      <c r="I371" s="41">
        <f t="shared" si="28"/>
        <v>0</v>
      </c>
      <c r="J371" s="10"/>
    </row>
    <row r="372" spans="1:13" x14ac:dyDescent="0.25">
      <c r="A372" s="3" t="s">
        <v>1675</v>
      </c>
      <c r="B372" s="34">
        <f>Scaler!$B$426</f>
        <v>6.3956786152505014</v>
      </c>
      <c r="C372" s="34">
        <f>Scaler!$C$426</f>
        <v>0</v>
      </c>
      <c r="D372" s="34">
        <f>Scaler!$D$426</f>
        <v>1.6824358333128314E-2</v>
      </c>
      <c r="E372" s="42">
        <f>Scaler!$E$426</f>
        <v>0</v>
      </c>
      <c r="F372" s="33">
        <f t="shared" si="26"/>
        <v>0.69743649754979609</v>
      </c>
      <c r="G372" s="17">
        <f>0.01*Input!$F$58*(E372*$E$348)+10*(B372*$B$348+C372*$C$348+D372*$D$348)</f>
        <v>1078942.8637834892</v>
      </c>
      <c r="H372" s="33">
        <f t="shared" si="27"/>
        <v>0.6974364975497962</v>
      </c>
      <c r="I372" s="41">
        <f t="shared" si="28"/>
        <v>422.81251309915893</v>
      </c>
      <c r="J372" s="10"/>
    </row>
    <row r="373" spans="1:13" x14ac:dyDescent="0.25">
      <c r="A373" s="3" t="s">
        <v>1676</v>
      </c>
      <c r="B373" s="34">
        <f>Adjust!$B$82</f>
        <v>3.722994777550781E-4</v>
      </c>
      <c r="C373" s="34">
        <f>Adjust!$C$82</f>
        <v>2.7619344519791422E-4</v>
      </c>
      <c r="D373" s="34">
        <f>Adjust!$D$82</f>
        <v>-4.863571897665217E-4</v>
      </c>
      <c r="E373" s="42">
        <f>Adjust!$E$82</f>
        <v>3.4391461079898988E-3</v>
      </c>
      <c r="F373" s="33">
        <f t="shared" si="26"/>
        <v>-7.3860078242128177E-5</v>
      </c>
      <c r="G373" s="17">
        <f>0.01*Input!$F$58*(E373*$E$348)+10*(B373*$B$348+C373*$C$348+D373*$D$348)</f>
        <v>-82.229710720221149</v>
      </c>
      <c r="H373" s="33">
        <f t="shared" si="27"/>
        <v>-5.3153881789566526E-5</v>
      </c>
      <c r="I373" s="41">
        <f t="shared" si="28"/>
        <v>-3.2223903422573058E-2</v>
      </c>
      <c r="J373" s="10"/>
    </row>
    <row r="375" spans="1:13" x14ac:dyDescent="0.25">
      <c r="A375" s="3" t="s">
        <v>1677</v>
      </c>
      <c r="B375" s="33">
        <f>SUM($B$351:$B$373)</f>
        <v>13.25</v>
      </c>
      <c r="C375" s="33">
        <f>SUM($C$351:$C$373)</f>
        <v>0.60699999999999998</v>
      </c>
      <c r="D375" s="33">
        <f>SUM($D$351:$D$373)</f>
        <v>6.0999999999999999E-2</v>
      </c>
      <c r="E375" s="41">
        <f>SUM($E$351:$E$373)</f>
        <v>5.28</v>
      </c>
      <c r="F375" s="33">
        <f>SUM(F$351:F$373)</f>
        <v>1.7119124781171651</v>
      </c>
      <c r="G375" s="17">
        <f>SUM($G$351:$G$373)</f>
        <v>2697528.4586323779</v>
      </c>
      <c r="H375" s="33">
        <f>SUM($H$351:$H$373)</f>
        <v>1.7437019729035397</v>
      </c>
      <c r="I375" s="41">
        <f>SUM($I$351:$I$373)</f>
        <v>1057.0984108939147</v>
      </c>
    </row>
    <row r="377" spans="1:13" ht="21" customHeight="1" x14ac:dyDescent="0.3">
      <c r="A377" s="1" t="s">
        <v>179</v>
      </c>
    </row>
    <row r="379" spans="1:13" ht="30" x14ac:dyDescent="0.25">
      <c r="B379" s="12" t="s">
        <v>222</v>
      </c>
      <c r="C379" s="12" t="s">
        <v>223</v>
      </c>
      <c r="D379" s="12" t="s">
        <v>224</v>
      </c>
      <c r="E379" s="12" t="s">
        <v>225</v>
      </c>
      <c r="F379" s="12" t="s">
        <v>226</v>
      </c>
      <c r="G379" s="12" t="s">
        <v>227</v>
      </c>
      <c r="H379" s="12" t="s">
        <v>1658</v>
      </c>
      <c r="I379" s="12" t="s">
        <v>1659</v>
      </c>
    </row>
    <row r="380" spans="1:13" x14ac:dyDescent="0.25">
      <c r="A380" s="3" t="s">
        <v>179</v>
      </c>
      <c r="B380" s="39">
        <f>Loads!B$313</f>
        <v>393938.82099062181</v>
      </c>
      <c r="C380" s="39">
        <f>Loads!C$313</f>
        <v>1558998.7389553841</v>
      </c>
      <c r="D380" s="39">
        <f>Loads!D$313</f>
        <v>1704979.2496967716</v>
      </c>
      <c r="E380" s="39">
        <f>Loads!E$313</f>
        <v>14513.564414111655</v>
      </c>
      <c r="F380" s="39">
        <f>Loads!F$313</f>
        <v>2030538.1447425196</v>
      </c>
      <c r="G380" s="39">
        <f>Loads!G$313</f>
        <v>333546.59293885244</v>
      </c>
      <c r="H380" s="39">
        <f>Multi!B$130</f>
        <v>3657916.8096427778</v>
      </c>
      <c r="I380" s="33">
        <f>IF(E380,H380/E380,"")</f>
        <v>252.03435250448578</v>
      </c>
      <c r="J380" s="10"/>
    </row>
    <row r="382" spans="1:13" ht="30" x14ac:dyDescent="0.25">
      <c r="B382" s="12" t="s">
        <v>1489</v>
      </c>
      <c r="C382" s="12" t="s">
        <v>1490</v>
      </c>
      <c r="D382" s="12" t="s">
        <v>1491</v>
      </c>
      <c r="E382" s="12" t="s">
        <v>1492</v>
      </c>
      <c r="F382" s="12" t="s">
        <v>1493</v>
      </c>
      <c r="G382" s="12" t="s">
        <v>1104</v>
      </c>
      <c r="H382" s="12" t="s">
        <v>1678</v>
      </c>
      <c r="I382" s="12" t="s">
        <v>1660</v>
      </c>
      <c r="J382" s="12" t="s">
        <v>1630</v>
      </c>
      <c r="K382" s="12" t="s">
        <v>1661</v>
      </c>
      <c r="L382" s="12" t="s">
        <v>1679</v>
      </c>
    </row>
    <row r="383" spans="1:13" x14ac:dyDescent="0.25">
      <c r="A383" s="3" t="s">
        <v>456</v>
      </c>
      <c r="B383" s="34">
        <f>Standing!$C$90</f>
        <v>0.88985804321683715</v>
      </c>
      <c r="C383" s="34">
        <f>Standing!$C$113</f>
        <v>3.9273272411844293E-2</v>
      </c>
      <c r="D383" s="34">
        <f>Standing!$C$127</f>
        <v>1.5364630118529232E-3</v>
      </c>
      <c r="E383" s="9"/>
      <c r="F383" s="42">
        <f>Standing!$C$36</f>
        <v>0</v>
      </c>
      <c r="G383" s="34">
        <f>Reactive!$C$33</f>
        <v>3.0856861255435034E-2</v>
      </c>
      <c r="H383" s="33">
        <f t="shared" ref="H383:H405" si="29">IF(H$380&lt;&gt;0,(($B383*B$380+$C383*C$380+$D383*D$380+$G383*G$380))/H$380,0)</f>
        <v>0.11610117756989835</v>
      </c>
      <c r="I383" s="17">
        <f>0.01*Input!$F$58*(E383*$E$380+F383*$F$380)+10*(B383*$B$380+C383*$C$380+D383*$D$380+G383*$G$380)</f>
        <v>4246884.4905225225</v>
      </c>
      <c r="J383" s="33">
        <f t="shared" ref="J383:J405" si="30">IF($H$380&lt;&gt;0,0.1*I383/$H$380,"")</f>
        <v>0.11610117756989838</v>
      </c>
      <c r="K383" s="41">
        <f t="shared" ref="K383:K405" si="31">IF($E$380&lt;&gt;0,I383/$E$380,"")</f>
        <v>292.61485113837665</v>
      </c>
      <c r="L383" s="41">
        <f>IF($F$380&lt;&gt;0,I383/$F$380*100/Input!$F$58,"")</f>
        <v>0.5730155823056311</v>
      </c>
      <c r="M383" s="10"/>
    </row>
    <row r="384" spans="1:13" x14ac:dyDescent="0.25">
      <c r="A384" s="3" t="s">
        <v>457</v>
      </c>
      <c r="B384" s="34">
        <f>Standing!$D$90</f>
        <v>0.44788101075788617</v>
      </c>
      <c r="C384" s="34">
        <f>Standing!$D$113</f>
        <v>1.976692021572302E-2</v>
      </c>
      <c r="D384" s="34">
        <f>Standing!$D$127</f>
        <v>7.7332852356216432E-4</v>
      </c>
      <c r="E384" s="9"/>
      <c r="F384" s="42">
        <f>Standing!$D$36</f>
        <v>0</v>
      </c>
      <c r="G384" s="34">
        <f>Reactive!$D$33</f>
        <v>1.55307942803327E-2</v>
      </c>
      <c r="H384" s="33">
        <f t="shared" si="29"/>
        <v>5.8435739449191962E-2</v>
      </c>
      <c r="I384" s="17">
        <f>0.01*Input!$F$58*(E384*$E$380+F384*$F$380)+10*(B384*$B$380+C384*$C$380+D384*$D$380+G384*$G$380)</f>
        <v>2137530.7361510484</v>
      </c>
      <c r="J384" s="33">
        <f t="shared" si="30"/>
        <v>5.8435739449191962E-2</v>
      </c>
      <c r="K384" s="41">
        <f t="shared" si="31"/>
        <v>147.27813755197931</v>
      </c>
      <c r="L384" s="41">
        <f>IF($F$380&lt;&gt;0,I384/$F$380*100/Input!$F$58,"")</f>
        <v>0.28840869635262373</v>
      </c>
      <c r="M384" s="10"/>
    </row>
    <row r="385" spans="1:13" x14ac:dyDescent="0.25">
      <c r="A385" s="3" t="s">
        <v>458</v>
      </c>
      <c r="B385" s="34">
        <f>Standing!$E$90</f>
        <v>0.42681396705614877</v>
      </c>
      <c r="C385" s="34">
        <f>Standing!$E$113</f>
        <v>5.2137998130220187E-2</v>
      </c>
      <c r="D385" s="34">
        <f>Standing!$E$127</f>
        <v>4.0566677086969708E-3</v>
      </c>
      <c r="E385" s="9"/>
      <c r="F385" s="42">
        <f>Standing!$E$36</f>
        <v>0</v>
      </c>
      <c r="G385" s="34">
        <f>Reactive!$E$33</f>
        <v>1.8930668111768453E-2</v>
      </c>
      <c r="H385" s="33">
        <f t="shared" si="29"/>
        <v>7.1803835922591833E-2</v>
      </c>
      <c r="I385" s="17">
        <f>0.01*Input!$F$58*(E385*$E$380+F385*$F$380)+10*(B385*$B$380+C385*$C$380+D385*$D$380+G385*$G$380)</f>
        <v>2626524.5841808058</v>
      </c>
      <c r="J385" s="33">
        <f t="shared" si="30"/>
        <v>7.1803835922591833E-2</v>
      </c>
      <c r="K385" s="41">
        <f t="shared" si="31"/>
        <v>180.97033294088769</v>
      </c>
      <c r="L385" s="41">
        <f>IF($F$380&lt;&gt;0,I385/$F$380*100/Input!$F$58,"")</f>
        <v>0.35438673159185574</v>
      </c>
      <c r="M385" s="10"/>
    </row>
    <row r="386" spans="1:13" x14ac:dyDescent="0.25">
      <c r="A386" s="3" t="s">
        <v>459</v>
      </c>
      <c r="B386" s="34">
        <f>Standing!$F$90</f>
        <v>0.69158841935601967</v>
      </c>
      <c r="C386" s="34">
        <f>Standing!$F$113</f>
        <v>8.4481855090094898E-2</v>
      </c>
      <c r="D386" s="34">
        <f>Standing!$F$127</f>
        <v>6.573225398083719E-3</v>
      </c>
      <c r="E386" s="9"/>
      <c r="F386" s="42">
        <f>Standing!$F$36</f>
        <v>0</v>
      </c>
      <c r="G386" s="34">
        <f>Reactive!$F$33</f>
        <v>3.0674326163860108E-2</v>
      </c>
      <c r="H386" s="33">
        <f t="shared" si="29"/>
        <v>0.1163474141484023</v>
      </c>
      <c r="I386" s="17">
        <f>0.01*Input!$F$58*(E386*$E$380+F386*$F$380)+10*(B386*$B$380+C386*$C$380+D386*$D$380+G386*$G$380)</f>
        <v>4255891.6197191076</v>
      </c>
      <c r="J386" s="33">
        <f t="shared" si="30"/>
        <v>0.11634741414840231</v>
      </c>
      <c r="K386" s="41">
        <f t="shared" si="31"/>
        <v>293.23545190463824</v>
      </c>
      <c r="L386" s="41">
        <f>IF($F$380&lt;&gt;0,I386/$F$380*100/Input!$F$58,"")</f>
        <v>0.57423087916454063</v>
      </c>
      <c r="M386" s="10"/>
    </row>
    <row r="387" spans="1:13" x14ac:dyDescent="0.25">
      <c r="A387" s="3" t="s">
        <v>460</v>
      </c>
      <c r="B387" s="34">
        <f>Standing!$G$90</f>
        <v>7.437793440862317E-2</v>
      </c>
      <c r="C387" s="34">
        <f>Standing!$G$113</f>
        <v>3.2826189544800811E-3</v>
      </c>
      <c r="D387" s="34">
        <f>Standing!$G$127</f>
        <v>1.2842379297236435E-4</v>
      </c>
      <c r="E387" s="9"/>
      <c r="F387" s="42">
        <f>Standing!$G$36</f>
        <v>0</v>
      </c>
      <c r="G387" s="34">
        <f>Reactive!$G$33</f>
        <v>2.579141268663545E-3</v>
      </c>
      <c r="H387" s="33">
        <f t="shared" si="29"/>
        <v>9.7042060089056002E-3</v>
      </c>
      <c r="I387" s="17">
        <f>0.01*Input!$F$58*(E387*$E$380+F387*$F$380)+10*(B387*$B$380+C387*$C$380+D387*$D$380+G387*$G$380)</f>
        <v>354971.78284212248</v>
      </c>
      <c r="J387" s="33">
        <f t="shared" si="30"/>
        <v>9.7042060089056002E-3</v>
      </c>
      <c r="K387" s="41">
        <f t="shared" si="31"/>
        <v>24.457932780246633</v>
      </c>
      <c r="L387" s="41">
        <f>IF($F$380&lt;&gt;0,I387/$F$380*100/Input!$F$58,"")</f>
        <v>4.789496001157325E-2</v>
      </c>
      <c r="M387" s="10"/>
    </row>
    <row r="388" spans="1:13" x14ac:dyDescent="0.25">
      <c r="A388" s="3" t="s">
        <v>461</v>
      </c>
      <c r="B388" s="34">
        <f>Standing!$H$90</f>
        <v>0.72078503757180312</v>
      </c>
      <c r="C388" s="34">
        <f>Standing!$H$113</f>
        <v>8.8048404789587309E-2</v>
      </c>
      <c r="D388" s="34">
        <f>Standing!$H$127</f>
        <v>6.8507256381439051E-3</v>
      </c>
      <c r="E388" s="9"/>
      <c r="F388" s="42">
        <f>Standing!$H$36</f>
        <v>0.28859211670763896</v>
      </c>
      <c r="G388" s="34">
        <f>Reactive!$H$33</f>
        <v>3.1969296647701602E-2</v>
      </c>
      <c r="H388" s="33">
        <f t="shared" si="29"/>
        <v>0.12125922431787804</v>
      </c>
      <c r="I388" s="17">
        <f>0.01*Input!$F$58*(E388*$E$380+F388*$F$380)+10*(B388*$B$380+C388*$C$380+D388*$D$380+G388*$G$380)</f>
        <v>6574451.6991170915</v>
      </c>
      <c r="J388" s="33">
        <f t="shared" si="30"/>
        <v>0.17973212736238073</v>
      </c>
      <c r="K388" s="41">
        <f t="shared" si="31"/>
        <v>452.98670344031405</v>
      </c>
      <c r="L388" s="41">
        <f>IF($F$380&lt;&gt;0,I388/$F$380*100/Input!$F$58,"")</f>
        <v>0.88706515967574973</v>
      </c>
      <c r="M388" s="10"/>
    </row>
    <row r="389" spans="1:13" x14ac:dyDescent="0.25">
      <c r="A389" s="3" t="s">
        <v>462</v>
      </c>
      <c r="B389" s="34">
        <f>Standing!$I$90</f>
        <v>0</v>
      </c>
      <c r="C389" s="34">
        <f>Standing!$I$113</f>
        <v>0</v>
      </c>
      <c r="D389" s="34">
        <f>Standing!$I$127</f>
        <v>0</v>
      </c>
      <c r="E389" s="9"/>
      <c r="F389" s="42">
        <f>Standing!$I$36</f>
        <v>0.34246899497260802</v>
      </c>
      <c r="G389" s="34">
        <f>Reactive!$I$33</f>
        <v>0</v>
      </c>
      <c r="H389" s="33">
        <f t="shared" si="29"/>
        <v>0</v>
      </c>
      <c r="I389" s="17">
        <f>0.01*Input!$F$58*(E389*$E$380+F389*$F$380)+10*(B389*$B$380+C389*$C$380+D389*$D$380+G389*$G$380)</f>
        <v>2538196.7055448284</v>
      </c>
      <c r="J389" s="33">
        <f t="shared" si="30"/>
        <v>6.9389131509327628E-2</v>
      </c>
      <c r="K389" s="41">
        <f t="shared" si="31"/>
        <v>174.88444830802001</v>
      </c>
      <c r="L389" s="41">
        <f>IF($F$380&lt;&gt;0,I389/$F$380*100/Input!$F$58,"")</f>
        <v>0.34246899497260797</v>
      </c>
      <c r="M389" s="10"/>
    </row>
    <row r="390" spans="1:13" x14ac:dyDescent="0.25">
      <c r="A390" s="3" t="s">
        <v>463</v>
      </c>
      <c r="B390" s="34">
        <f>Standing!$J$90</f>
        <v>0</v>
      </c>
      <c r="C390" s="34">
        <f>Standing!$J$113</f>
        <v>0</v>
      </c>
      <c r="D390" s="34">
        <f>Standing!$J$127</f>
        <v>0</v>
      </c>
      <c r="E390" s="9"/>
      <c r="F390" s="42">
        <f>Standing!$J$36</f>
        <v>0.135593203487892</v>
      </c>
      <c r="G390" s="34">
        <f>Reactive!$J$33</f>
        <v>0</v>
      </c>
      <c r="H390" s="33">
        <f t="shared" si="29"/>
        <v>0</v>
      </c>
      <c r="I390" s="17">
        <f>0.01*Input!$F$58*(E390*$E$380+F390*$F$380)+10*(B390*$B$380+C390*$C$380+D390*$D$380+G390*$G$380)</f>
        <v>1004944.1772524969</v>
      </c>
      <c r="J390" s="33">
        <f t="shared" si="30"/>
        <v>2.7473128273538761E-2</v>
      </c>
      <c r="K390" s="41">
        <f t="shared" si="31"/>
        <v>69.241720956940227</v>
      </c>
      <c r="L390" s="41">
        <f>IF($F$380&lt;&gt;0,I390/$F$380*100/Input!$F$58,"")</f>
        <v>0.135593203487892</v>
      </c>
      <c r="M390" s="10"/>
    </row>
    <row r="391" spans="1:13" x14ac:dyDescent="0.25">
      <c r="A391" s="3" t="s">
        <v>1662</v>
      </c>
      <c r="B391" s="9"/>
      <c r="C391" s="9"/>
      <c r="D391" s="9"/>
      <c r="E391" s="42">
        <f>SM!$B$117</f>
        <v>0</v>
      </c>
      <c r="F391" s="9"/>
      <c r="G391" s="9"/>
      <c r="H391" s="33">
        <f t="shared" si="29"/>
        <v>0</v>
      </c>
      <c r="I391" s="17">
        <f>0.01*Input!$F$58*(E391*$E$380+F391*$F$380)+10*(B391*$B$380+C391*$C$380+D391*$D$380+G391*$G$380)</f>
        <v>0</v>
      </c>
      <c r="J391" s="33">
        <f t="shared" si="30"/>
        <v>0</v>
      </c>
      <c r="K391" s="41">
        <f t="shared" si="31"/>
        <v>0</v>
      </c>
      <c r="L391" s="41">
        <f>IF($F$380&lt;&gt;0,I391/$F$380*100/Input!$F$58,"")</f>
        <v>0</v>
      </c>
      <c r="M391" s="10"/>
    </row>
    <row r="392" spans="1:13" x14ac:dyDescent="0.25">
      <c r="A392" s="3" t="s">
        <v>1663</v>
      </c>
      <c r="B392" s="9"/>
      <c r="C392" s="9"/>
      <c r="D392" s="9"/>
      <c r="E392" s="42">
        <f>SM!$C$117</f>
        <v>0</v>
      </c>
      <c r="F392" s="9"/>
      <c r="G392" s="9"/>
      <c r="H392" s="33">
        <f t="shared" si="29"/>
        <v>0</v>
      </c>
      <c r="I392" s="17">
        <f>0.01*Input!$F$58*(E392*$E$380+F392*$F$380)+10*(B392*$B$380+C392*$C$380+D392*$D$380+G392*$G$380)</f>
        <v>0</v>
      </c>
      <c r="J392" s="33">
        <f t="shared" si="30"/>
        <v>0</v>
      </c>
      <c r="K392" s="41">
        <f t="shared" si="31"/>
        <v>0</v>
      </c>
      <c r="L392" s="41">
        <f>IF($F$380&lt;&gt;0,I392/$F$380*100/Input!$F$58,"")</f>
        <v>0</v>
      </c>
      <c r="M392" s="10"/>
    </row>
    <row r="393" spans="1:13" x14ac:dyDescent="0.25">
      <c r="A393" s="3" t="s">
        <v>1664</v>
      </c>
      <c r="B393" s="34">
        <f>Standing!$K$90</f>
        <v>0.43582587192933281</v>
      </c>
      <c r="C393" s="34">
        <f>Standing!$K$113</f>
        <v>0</v>
      </c>
      <c r="D393" s="34">
        <f>Standing!$K$127</f>
        <v>1.1464757817415735E-3</v>
      </c>
      <c r="E393" s="9"/>
      <c r="F393" s="42">
        <f>Standing!$K$36</f>
        <v>0</v>
      </c>
      <c r="G393" s="34">
        <f>Reactive!$K$33</f>
        <v>1.3189659680281414E-2</v>
      </c>
      <c r="H393" s="33">
        <f t="shared" si="29"/>
        <v>4.8673281235438584E-2</v>
      </c>
      <c r="I393" s="17">
        <f>0.01*Input!$F$58*(E393*$E$380+F393*$F$380)+10*(B393*$B$380+C393*$C$380+D393*$D$380+G393*$G$380)</f>
        <v>1780428.136115812</v>
      </c>
      <c r="J393" s="33">
        <f t="shared" si="30"/>
        <v>4.8673281235438591E-2</v>
      </c>
      <c r="K393" s="41">
        <f t="shared" si="31"/>
        <v>122.67338920442502</v>
      </c>
      <c r="L393" s="41">
        <f>IF($F$380&lt;&gt;0,I393/$F$380*100/Input!$F$58,"")</f>
        <v>0.24022623347691002</v>
      </c>
      <c r="M393" s="10"/>
    </row>
    <row r="394" spans="1:13" x14ac:dyDescent="0.25">
      <c r="A394" s="3" t="s">
        <v>1665</v>
      </c>
      <c r="B394" s="34">
        <f>Standing!$L$90</f>
        <v>0.40272634931669349</v>
      </c>
      <c r="C394" s="34">
        <f>Standing!$L$113</f>
        <v>1.7774050304659651E-2</v>
      </c>
      <c r="D394" s="34">
        <f>Standing!$L$127</f>
        <v>6.9536275402623841E-4</v>
      </c>
      <c r="E394" s="9"/>
      <c r="F394" s="42">
        <f>Standing!$L$36</f>
        <v>0</v>
      </c>
      <c r="G394" s="34">
        <f>Reactive!$L$33</f>
        <v>1.3965003945854027E-2</v>
      </c>
      <c r="H394" s="33">
        <f t="shared" si="29"/>
        <v>5.254433979724199E-2</v>
      </c>
      <c r="I394" s="17">
        <f>0.01*Input!$F$58*(E394*$E$380+F394*$F$380)+10*(B394*$B$380+C394*$C$380+D394*$D$380+G394*$G$380)</f>
        <v>1922028.2379591346</v>
      </c>
      <c r="J394" s="33">
        <f t="shared" si="30"/>
        <v>5.2544339797241997E-2</v>
      </c>
      <c r="K394" s="41">
        <f t="shared" si="31"/>
        <v>132.42978658573568</v>
      </c>
      <c r="L394" s="41">
        <f>IF($F$380&lt;&gt;0,I394/$F$380*100/Input!$F$58,"")</f>
        <v>0.25933178367338006</v>
      </c>
      <c r="M394" s="10"/>
    </row>
    <row r="395" spans="1:13" x14ac:dyDescent="0.25">
      <c r="A395" s="3" t="s">
        <v>1666</v>
      </c>
      <c r="B395" s="34">
        <f>Standing!$M$90</f>
        <v>0.2026991673174566</v>
      </c>
      <c r="C395" s="34">
        <f>Standing!$M$113</f>
        <v>8.9459882690217547E-3</v>
      </c>
      <c r="D395" s="34">
        <f>Standing!$M$127</f>
        <v>3.499881531562092E-4</v>
      </c>
      <c r="E395" s="9"/>
      <c r="F395" s="42">
        <f>Standing!$M$36</f>
        <v>0</v>
      </c>
      <c r="G395" s="34">
        <f>Reactive!$M$33</f>
        <v>7.0288290701923332E-3</v>
      </c>
      <c r="H395" s="33">
        <f t="shared" si="29"/>
        <v>2.6446478960757101E-2</v>
      </c>
      <c r="I395" s="17">
        <f>0.01*Input!$F$58*(E395*$E$380+F395*$F$380)+10*(B395*$B$380+C395*$C$380+D395*$D$380+G395*$G$380)</f>
        <v>967390.19946417469</v>
      </c>
      <c r="J395" s="33">
        <f t="shared" si="30"/>
        <v>2.6446478960757105E-2</v>
      </c>
      <c r="K395" s="41">
        <f t="shared" si="31"/>
        <v>66.654212008979229</v>
      </c>
      <c r="L395" s="41">
        <f>IF($F$380&lt;&gt;0,I395/$F$380*100/Input!$F$58,"")</f>
        <v>0.13052619154106587</v>
      </c>
      <c r="M395" s="10"/>
    </row>
    <row r="396" spans="1:13" x14ac:dyDescent="0.25">
      <c r="A396" s="3" t="s">
        <v>1667</v>
      </c>
      <c r="B396" s="34">
        <f>Standing!$N$90</f>
        <v>0.19316477734866411</v>
      </c>
      <c r="C396" s="34">
        <f>Standing!$N$113</f>
        <v>2.3596286854652405E-2</v>
      </c>
      <c r="D396" s="34">
        <f>Standing!$N$127</f>
        <v>1.8359411247310005E-3</v>
      </c>
      <c r="E396" s="9"/>
      <c r="F396" s="42">
        <f>Standing!$N$36</f>
        <v>0</v>
      </c>
      <c r="G396" s="34">
        <f>Reactive!$N$33</f>
        <v>8.5675225581128955E-3</v>
      </c>
      <c r="H396" s="33">
        <f t="shared" si="29"/>
        <v>3.249652787708051E-2</v>
      </c>
      <c r="I396" s="17">
        <f>0.01*Input!$F$58*(E396*$E$380+F396*$F$380)+10*(B396*$B$380+C396*$C$380+D396*$D$380+G396*$G$380)</f>
        <v>1188695.9557659794</v>
      </c>
      <c r="J396" s="33">
        <f t="shared" si="30"/>
        <v>3.2496527877080517E-2</v>
      </c>
      <c r="K396" s="41">
        <f t="shared" si="31"/>
        <v>81.902413621439592</v>
      </c>
      <c r="L396" s="41">
        <f>IF($F$380&lt;&gt;0,I396/$F$380*100/Input!$F$58,"")</f>
        <v>0.16038611523286006</v>
      </c>
      <c r="M396" s="10"/>
    </row>
    <row r="397" spans="1:13" x14ac:dyDescent="0.25">
      <c r="A397" s="3" t="s">
        <v>1668</v>
      </c>
      <c r="B397" s="34">
        <f>Standing!$O$90</f>
        <v>0.31299473155302304</v>
      </c>
      <c r="C397" s="34">
        <f>Standing!$O$113</f>
        <v>3.8234265952064014E-2</v>
      </c>
      <c r="D397" s="34">
        <f>Standing!$O$127</f>
        <v>2.9748689557677712E-3</v>
      </c>
      <c r="E397" s="9"/>
      <c r="F397" s="42">
        <f>Standing!$O$36</f>
        <v>0</v>
      </c>
      <c r="G397" s="34">
        <f>Reactive!$O$33</f>
        <v>1.3882393363624066E-2</v>
      </c>
      <c r="H397" s="33">
        <f t="shared" si="29"/>
        <v>5.2655779997266082E-2</v>
      </c>
      <c r="I397" s="17">
        <f>0.01*Input!$F$58*(E397*$E$380+F397*$F$380)+10*(B397*$B$380+C397*$C$380+D397*$D$380+G397*$G$380)</f>
        <v>1926104.6277685156</v>
      </c>
      <c r="J397" s="33">
        <f t="shared" si="30"/>
        <v>5.2655779997266089E-2</v>
      </c>
      <c r="K397" s="41">
        <f t="shared" si="31"/>
        <v>132.71065417229613</v>
      </c>
      <c r="L397" s="41">
        <f>IF($F$380&lt;&gt;0,I397/$F$380*100/Input!$F$58,"")</f>
        <v>0.25988179507245157</v>
      </c>
      <c r="M397" s="10"/>
    </row>
    <row r="398" spans="1:13" x14ac:dyDescent="0.25">
      <c r="A398" s="3" t="s">
        <v>1669</v>
      </c>
      <c r="B398" s="34">
        <f>Standing!$P$90</f>
        <v>3.3661497159499433E-2</v>
      </c>
      <c r="C398" s="34">
        <f>Standing!$P$113</f>
        <v>1.4856270141207287E-3</v>
      </c>
      <c r="D398" s="34">
        <f>Standing!$P$127</f>
        <v>5.8121231474400792E-5</v>
      </c>
      <c r="E398" s="9"/>
      <c r="F398" s="42">
        <f>Standing!$P$36</f>
        <v>0</v>
      </c>
      <c r="G398" s="34">
        <f>Reactive!$P$33</f>
        <v>1.1672515132256788E-3</v>
      </c>
      <c r="H398" s="33">
        <f t="shared" si="29"/>
        <v>4.3918684432583737E-3</v>
      </c>
      <c r="I398" s="17">
        <f>0.01*Input!$F$58*(E398*$E$380+F398*$F$380)+10*(B398*$B$380+C398*$C$380+D398*$D$380+G398*$G$380)</f>
        <v>160650.89404334463</v>
      </c>
      <c r="J398" s="33">
        <f t="shared" si="30"/>
        <v>4.3918684432583737E-3</v>
      </c>
      <c r="K398" s="41">
        <f t="shared" si="31"/>
        <v>11.069017193815082</v>
      </c>
      <c r="L398" s="41">
        <f>IF($F$380&lt;&gt;0,I398/$F$380*100/Input!$F$58,"")</f>
        <v>2.167599938345419E-2</v>
      </c>
      <c r="M398" s="10"/>
    </row>
    <row r="399" spans="1:13" x14ac:dyDescent="0.25">
      <c r="A399" s="3" t="s">
        <v>1670</v>
      </c>
      <c r="B399" s="34">
        <f>Standing!$Q$90</f>
        <v>0.62628017935809133</v>
      </c>
      <c r="C399" s="34">
        <f>Standing!$Q$113</f>
        <v>7.6504044714334571E-2</v>
      </c>
      <c r="D399" s="34">
        <f>Standing!$Q$127</f>
        <v>5.9525010339333412E-3</v>
      </c>
      <c r="E399" s="9"/>
      <c r="F399" s="42">
        <f>Standing!$Q$36</f>
        <v>0.25075371045696332</v>
      </c>
      <c r="G399" s="34">
        <f>Reactive!$Q$33</f>
        <v>2.7777680993385023E-2</v>
      </c>
      <c r="H399" s="33">
        <f t="shared" si="29"/>
        <v>0.1053604678177833</v>
      </c>
      <c r="I399" s="17">
        <f>0.01*Input!$F$58*(E399*$E$380+F399*$F$380)+10*(B399*$B$380+C399*$C$380+D399*$D$380+G399*$G$380)</f>
        <v>5712450.4181928001</v>
      </c>
      <c r="J399" s="33">
        <f t="shared" si="30"/>
        <v>0.15616676691864576</v>
      </c>
      <c r="K399" s="41">
        <f t="shared" si="31"/>
        <v>393.59389983059839</v>
      </c>
      <c r="L399" s="41">
        <f>IF($F$380&lt;&gt;0,I399/$F$380*100/Input!$F$58,"")</f>
        <v>0.77075868441386663</v>
      </c>
      <c r="M399" s="10"/>
    </row>
    <row r="400" spans="1:13" x14ac:dyDescent="0.25">
      <c r="A400" s="3" t="s">
        <v>1671</v>
      </c>
      <c r="B400" s="34">
        <f>Standing!$R$90</f>
        <v>0</v>
      </c>
      <c r="C400" s="34">
        <f>Standing!$R$113</f>
        <v>0</v>
      </c>
      <c r="D400" s="34">
        <f>Standing!$R$127</f>
        <v>0</v>
      </c>
      <c r="E400" s="9"/>
      <c r="F400" s="42">
        <f>Standing!$R$36</f>
        <v>0.53248079146210758</v>
      </c>
      <c r="G400" s="34">
        <f>Reactive!$R$33</f>
        <v>0</v>
      </c>
      <c r="H400" s="33">
        <f t="shared" si="29"/>
        <v>0</v>
      </c>
      <c r="I400" s="17">
        <f>0.01*Input!$F$58*(E400*$E$380+F400*$F$380)+10*(B400*$B$380+C400*$C$380+D400*$D$380+G400*$G$380)</f>
        <v>3946462.3381837117</v>
      </c>
      <c r="J400" s="33">
        <f t="shared" si="30"/>
        <v>0.10788824742488096</v>
      </c>
      <c r="K400" s="41">
        <f t="shared" si="31"/>
        <v>271.9154458257363</v>
      </c>
      <c r="L400" s="41">
        <f>IF($F$380&lt;&gt;0,I400/$F$380*100/Input!$F$58,"")</f>
        <v>0.53248079146210758</v>
      </c>
      <c r="M400" s="10"/>
    </row>
    <row r="401" spans="1:13" x14ac:dyDescent="0.25">
      <c r="A401" s="3" t="s">
        <v>1672</v>
      </c>
      <c r="B401" s="34">
        <f>Standing!$S$90</f>
        <v>0</v>
      </c>
      <c r="C401" s="34">
        <f>Standing!$S$113</f>
        <v>0</v>
      </c>
      <c r="D401" s="34">
        <f>Standing!$S$127</f>
        <v>0</v>
      </c>
      <c r="E401" s="9"/>
      <c r="F401" s="42">
        <f>Standing!$S$36</f>
        <v>1.001306834879194</v>
      </c>
      <c r="G401" s="34">
        <f>Reactive!$S$33</f>
        <v>0</v>
      </c>
      <c r="H401" s="33">
        <f t="shared" si="29"/>
        <v>0</v>
      </c>
      <c r="I401" s="17">
        <f>0.01*Input!$F$58*(E401*$E$380+F401*$F$380)+10*(B401*$B$380+C401*$C$380+D401*$D$380+G401*$G$380)</f>
        <v>7421149.7882696511</v>
      </c>
      <c r="J401" s="33">
        <f t="shared" si="30"/>
        <v>0.20287912969224636</v>
      </c>
      <c r="K401" s="41">
        <f t="shared" si="31"/>
        <v>511.32510088658904</v>
      </c>
      <c r="L401" s="41">
        <f>IF($F$380&lt;&gt;0,I401/$F$380*100/Input!$F$58,"")</f>
        <v>1.001306834879194</v>
      </c>
      <c r="M401" s="10"/>
    </row>
    <row r="402" spans="1:13" x14ac:dyDescent="0.25">
      <c r="A402" s="3" t="s">
        <v>1673</v>
      </c>
      <c r="B402" s="9"/>
      <c r="C402" s="9"/>
      <c r="D402" s="9"/>
      <c r="E402" s="42">
        <f>Otex!$B$132</f>
        <v>7.9659285407285259</v>
      </c>
      <c r="F402" s="9"/>
      <c r="G402" s="9"/>
      <c r="H402" s="33">
        <f t="shared" si="29"/>
        <v>0</v>
      </c>
      <c r="I402" s="17">
        <f>0.01*Input!$F$58*(E402*$E$380+F402*$F$380)+10*(B402*$B$380+C402*$C$380+D402*$D$380+G402*$G$380)</f>
        <v>421991.16202836984</v>
      </c>
      <c r="J402" s="33">
        <f t="shared" si="30"/>
        <v>1.1536379420000544E-2</v>
      </c>
      <c r="K402" s="41">
        <f t="shared" si="31"/>
        <v>29.07563917365912</v>
      </c>
      <c r="L402" s="41">
        <f>IF($F$380&lt;&gt;0,I402/$F$380*100/Input!$F$58,"")</f>
        <v>5.693762379860845E-2</v>
      </c>
      <c r="M402" s="10"/>
    </row>
    <row r="403" spans="1:13" x14ac:dyDescent="0.25">
      <c r="A403" s="3" t="s">
        <v>1674</v>
      </c>
      <c r="B403" s="9"/>
      <c r="C403" s="9"/>
      <c r="D403" s="9"/>
      <c r="E403" s="42">
        <f>Otex!$C$132</f>
        <v>0</v>
      </c>
      <c r="F403" s="9"/>
      <c r="G403" s="9"/>
      <c r="H403" s="33">
        <f t="shared" si="29"/>
        <v>0</v>
      </c>
      <c r="I403" s="17">
        <f>0.01*Input!$F$58*(E403*$E$380+F403*$F$380)+10*(B403*$B$380+C403*$C$380+D403*$D$380+G403*$G$380)</f>
        <v>0</v>
      </c>
      <c r="J403" s="33">
        <f t="shared" si="30"/>
        <v>0</v>
      </c>
      <c r="K403" s="41">
        <f t="shared" si="31"/>
        <v>0</v>
      </c>
      <c r="L403" s="41">
        <f>IF($F$380&lt;&gt;0,I403/$F$380*100/Input!$F$58,"")</f>
        <v>0</v>
      </c>
      <c r="M403" s="10"/>
    </row>
    <row r="404" spans="1:13" x14ac:dyDescent="0.25">
      <c r="A404" s="3" t="s">
        <v>1675</v>
      </c>
      <c r="B404" s="34">
        <f>Scaler!$B$427</f>
        <v>5.9144979128369588</v>
      </c>
      <c r="C404" s="34">
        <f>Scaler!$C$427</f>
        <v>0</v>
      </c>
      <c r="D404" s="34">
        <f>Scaler!$D$427</f>
        <v>1.5558572941553453E-2</v>
      </c>
      <c r="E404" s="42">
        <f>Scaler!$E$427</f>
        <v>0</v>
      </c>
      <c r="F404" s="42">
        <f>Scaler!$F$427</f>
        <v>0</v>
      </c>
      <c r="G404" s="34">
        <f>Scaler!$G$427</f>
        <v>0.17899399662694465</v>
      </c>
      <c r="H404" s="33">
        <f t="shared" si="29"/>
        <v>0.66053449053755564</v>
      </c>
      <c r="I404" s="17">
        <f>0.01*Input!$F$58*(E404*$E$380+F404*$F$380)+10*(B404*$B$380+C404*$C$380+D404*$D$380+G404*$G$380)</f>
        <v>24161802.16286153</v>
      </c>
      <c r="J404" s="33">
        <f t="shared" si="30"/>
        <v>0.66053449053755564</v>
      </c>
      <c r="K404" s="41">
        <f t="shared" si="31"/>
        <v>1664.7738262951323</v>
      </c>
      <c r="L404" s="41">
        <f>IF($F$380&lt;&gt;0,I404/$F$380*100/Input!$F$58,"")</f>
        <v>3.2600578534223574</v>
      </c>
      <c r="M404" s="10"/>
    </row>
    <row r="405" spans="1:13" x14ac:dyDescent="0.25">
      <c r="A405" s="3" t="s">
        <v>1676</v>
      </c>
      <c r="B405" s="34">
        <f>Adjust!$B$83</f>
        <v>-1.5489918703970318E-4</v>
      </c>
      <c r="C405" s="34">
        <f>Adjust!$C$83</f>
        <v>4.686672991970342E-4</v>
      </c>
      <c r="D405" s="34">
        <f>Adjust!$D$83</f>
        <v>-4.9066604969603966E-4</v>
      </c>
      <c r="E405" s="42">
        <f>Adjust!$E$83</f>
        <v>4.0714592714738984E-3</v>
      </c>
      <c r="F405" s="42">
        <f>Adjust!$F$83</f>
        <v>-1.1956519664035881E-3</v>
      </c>
      <c r="G405" s="34">
        <f>Adjust!$G$83</f>
        <v>-1.134254793815348E-4</v>
      </c>
      <c r="H405" s="33">
        <f t="shared" si="29"/>
        <v>-5.5981915608305447E-5</v>
      </c>
      <c r="I405" s="17">
        <f>0.01*Input!$F$58*(E405*$E$380+F405*$F$380)+10*(B405*$B$380+C405*$C$380+D405*$D$380+G405*$G$380)</f>
        <v>-10693.620119559891</v>
      </c>
      <c r="J405" s="33">
        <f t="shared" si="30"/>
        <v>-2.9234180753837867E-4</v>
      </c>
      <c r="K405" s="41">
        <f t="shared" si="31"/>
        <v>-0.73680178172926281</v>
      </c>
      <c r="L405" s="41">
        <f>IF($F$380&lt;&gt;0,I405/$F$380*100/Input!$F$58,"")</f>
        <v>-1.4428485101112094E-3</v>
      </c>
      <c r="M405" s="10"/>
    </row>
    <row r="407" spans="1:13" x14ac:dyDescent="0.25">
      <c r="A407" s="3" t="s">
        <v>1677</v>
      </c>
      <c r="B407" s="33">
        <f>SUM($B$383:$B$405)</f>
        <v>11.372999999999999</v>
      </c>
      <c r="C407" s="33">
        <f>SUM($C$383:$C$405)</f>
        <v>0.45400000000000001</v>
      </c>
      <c r="D407" s="33">
        <f>SUM($D$383:$D$405)</f>
        <v>4.8000000000000001E-2</v>
      </c>
      <c r="E407" s="41">
        <f>SUM($E$383:$E$405)</f>
        <v>7.97</v>
      </c>
      <c r="F407" s="41">
        <f>SUM($F$383:$F$405)</f>
        <v>2.5499999999999998</v>
      </c>
      <c r="G407" s="33">
        <f>SUM($G$383:$G$405)</f>
        <v>0.39500000000000002</v>
      </c>
      <c r="H407" s="33">
        <f>SUM(H$383:H$405)</f>
        <v>1.4766988501676415</v>
      </c>
      <c r="I407" s="17">
        <f>SUM($I$383:$I$405)</f>
        <v>73337856.095863491</v>
      </c>
      <c r="J407" s="33">
        <f>SUM($J$383:$J$405)</f>
        <v>2.0049077087410709</v>
      </c>
      <c r="K407" s="41">
        <f>SUM($K$383:$K$405)</f>
        <v>5053.0561620380795</v>
      </c>
      <c r="L407" s="41">
        <f>SUM($L$383:$L$405)</f>
        <v>9.89519126540862</v>
      </c>
    </row>
    <row r="409" spans="1:13" ht="21" customHeight="1" x14ac:dyDescent="0.3">
      <c r="A409" s="1" t="s">
        <v>180</v>
      </c>
    </row>
    <row r="411" spans="1:13" ht="30" x14ac:dyDescent="0.25">
      <c r="B411" s="12" t="s">
        <v>222</v>
      </c>
      <c r="C411" s="12" t="s">
        <v>223</v>
      </c>
      <c r="D411" s="12" t="s">
        <v>224</v>
      </c>
      <c r="E411" s="12" t="s">
        <v>225</v>
      </c>
      <c r="F411" s="12" t="s">
        <v>226</v>
      </c>
      <c r="G411" s="12" t="s">
        <v>227</v>
      </c>
      <c r="H411" s="12" t="s">
        <v>1658</v>
      </c>
      <c r="I411" s="12" t="s">
        <v>1659</v>
      </c>
    </row>
    <row r="412" spans="1:13" x14ac:dyDescent="0.25">
      <c r="A412" s="3" t="s">
        <v>180</v>
      </c>
      <c r="B412" s="39">
        <f>Loads!B$314</f>
        <v>10795.103209525521</v>
      </c>
      <c r="C412" s="39">
        <f>Loads!C$314</f>
        <v>41608.964309143586</v>
      </c>
      <c r="D412" s="39">
        <f>Loads!D$314</f>
        <v>50157.667807796999</v>
      </c>
      <c r="E412" s="39">
        <f>Loads!E$314</f>
        <v>151.30238565583156</v>
      </c>
      <c r="F412" s="39">
        <f>Loads!F$314</f>
        <v>67327.368806816536</v>
      </c>
      <c r="G412" s="39">
        <f>Loads!G$314</f>
        <v>11921.312518690158</v>
      </c>
      <c r="H412" s="39">
        <f>Multi!B$131</f>
        <v>102561.73532646611</v>
      </c>
      <c r="I412" s="33">
        <f>IF(E412,H412/E412,"")</f>
        <v>677.85934029992029</v>
      </c>
      <c r="J412" s="10"/>
    </row>
    <row r="414" spans="1:13" ht="30" x14ac:dyDescent="0.25">
      <c r="B414" s="12" t="s">
        <v>1489</v>
      </c>
      <c r="C414" s="12" t="s">
        <v>1490</v>
      </c>
      <c r="D414" s="12" t="s">
        <v>1491</v>
      </c>
      <c r="E414" s="12" t="s">
        <v>1492</v>
      </c>
      <c r="F414" s="12" t="s">
        <v>1493</v>
      </c>
      <c r="G414" s="12" t="s">
        <v>1104</v>
      </c>
      <c r="H414" s="12" t="s">
        <v>1678</v>
      </c>
      <c r="I414" s="12" t="s">
        <v>1660</v>
      </c>
      <c r="J414" s="12" t="s">
        <v>1630</v>
      </c>
      <c r="K414" s="12" t="s">
        <v>1661</v>
      </c>
      <c r="L414" s="12" t="s">
        <v>1679</v>
      </c>
    </row>
    <row r="415" spans="1:13" x14ac:dyDescent="0.25">
      <c r="A415" s="3" t="s">
        <v>456</v>
      </c>
      <c r="B415" s="34">
        <f>Standing!$C$91</f>
        <v>0.863179008773996</v>
      </c>
      <c r="C415" s="34">
        <f>Standing!$C$114</f>
        <v>3.8095811584979176E-2</v>
      </c>
      <c r="D415" s="34">
        <f>Standing!$C$128</f>
        <v>1.4903979681913616E-3</v>
      </c>
      <c r="E415" s="9"/>
      <c r="F415" s="42">
        <f>Standing!$C$37</f>
        <v>0</v>
      </c>
      <c r="G415" s="34">
        <f>Reactive!$C$34</f>
        <v>2.9253536082296996E-2</v>
      </c>
      <c r="H415" s="33">
        <f t="shared" ref="H415:H437" si="32">IF(H$412&lt;&gt;0,(($B415*B$412+$C415*C$412+$D415*D$412+$G415*G$412))/H$412,0)</f>
        <v>0.11043815852596452</v>
      </c>
      <c r="I415" s="17">
        <f>0.01*Input!$F$58*(E415*$E$412+F415*$F$412)+10*(B415*$B$412+C415*$C$412+D415*$D$412+G415*$G$412)</f>
        <v>113267.29184682279</v>
      </c>
      <c r="J415" s="33">
        <f t="shared" ref="J415:J437" si="33">IF($H$412&lt;&gt;0,0.1*I415/$H$412,"")</f>
        <v>0.11043815852596452</v>
      </c>
      <c r="K415" s="41">
        <f t="shared" ref="K415:K437" si="34">IF($E$412&lt;&gt;0,I415/$E$412,"")</f>
        <v>748.61537282348331</v>
      </c>
      <c r="L415" s="41">
        <f>IF($F$412&lt;&gt;0,I415/$F$412*100/Input!$F$58,"")</f>
        <v>0.46091411713407626</v>
      </c>
      <c r="M415" s="10"/>
    </row>
    <row r="416" spans="1:13" x14ac:dyDescent="0.25">
      <c r="A416" s="3" t="s">
        <v>457</v>
      </c>
      <c r="B416" s="34">
        <f>Standing!$D$91</f>
        <v>0.4344529892848113</v>
      </c>
      <c r="C416" s="34">
        <f>Standing!$D$114</f>
        <v>1.9174283728044885E-2</v>
      </c>
      <c r="D416" s="34">
        <f>Standing!$D$128</f>
        <v>7.5014318689749487E-4</v>
      </c>
      <c r="E416" s="9"/>
      <c r="F416" s="42">
        <f>Standing!$D$37</f>
        <v>0</v>
      </c>
      <c r="G416" s="34">
        <f>Reactive!$D$34</f>
        <v>1.4723812869541938E-2</v>
      </c>
      <c r="H416" s="33">
        <f t="shared" si="32"/>
        <v>5.5585443592822227E-2</v>
      </c>
      <c r="I416" s="17">
        <f>0.01*Input!$F$58*(E416*$E$412+F416*$F$412)+10*(B416*$B$412+C416*$C$412+D416*$D$412+G416*$G$412)</f>
        <v>57009.395537712444</v>
      </c>
      <c r="J416" s="33">
        <f t="shared" si="33"/>
        <v>5.5585443592822227E-2</v>
      </c>
      <c r="K416" s="41">
        <f t="shared" si="34"/>
        <v>376.79112124108906</v>
      </c>
      <c r="L416" s="41">
        <f>IF($F$412&lt;&gt;0,I416/$F$412*100/Input!$F$58,"")</f>
        <v>0.23198608163199541</v>
      </c>
      <c r="M416" s="10"/>
    </row>
    <row r="417" spans="1:13" x14ac:dyDescent="0.25">
      <c r="A417" s="3" t="s">
        <v>458</v>
      </c>
      <c r="B417" s="34">
        <f>Standing!$E$91</f>
        <v>0.41401756136585172</v>
      </c>
      <c r="C417" s="34">
        <f>Standing!$E$114</f>
        <v>5.0574837063688156E-2</v>
      </c>
      <c r="D417" s="34">
        <f>Standing!$E$128</f>
        <v>3.9350438403187703E-3</v>
      </c>
      <c r="E417" s="9"/>
      <c r="F417" s="42">
        <f>Standing!$E$37</f>
        <v>0</v>
      </c>
      <c r="G417" s="34">
        <f>Reactive!$E$34</f>
        <v>1.7947028963357863E-2</v>
      </c>
      <c r="H417" s="33">
        <f t="shared" si="32"/>
        <v>6.810584509316206E-2</v>
      </c>
      <c r="I417" s="17">
        <f>0.01*Input!$F$58*(E417*$E$412+F417*$F$412)+10*(B417*$B$412+C417*$C$412+D417*$D$412+G417*$G$412)</f>
        <v>69850.536586301881</v>
      </c>
      <c r="J417" s="33">
        <f t="shared" si="33"/>
        <v>6.8105845093162073E-2</v>
      </c>
      <c r="K417" s="41">
        <f t="shared" si="34"/>
        <v>461.66183225419405</v>
      </c>
      <c r="L417" s="41">
        <f>IF($F$412&lt;&gt;0,I417/$F$412*100/Input!$F$58,"")</f>
        <v>0.28424002973034723</v>
      </c>
      <c r="M417" s="10"/>
    </row>
    <row r="418" spans="1:13" x14ac:dyDescent="0.25">
      <c r="A418" s="3" t="s">
        <v>459</v>
      </c>
      <c r="B418" s="34">
        <f>Standing!$F$91</f>
        <v>0.67085375116830626</v>
      </c>
      <c r="C418" s="34">
        <f>Standing!$F$114</f>
        <v>8.1948985562281279E-2</v>
      </c>
      <c r="D418" s="34">
        <f>Standing!$F$128</f>
        <v>6.3761520467409804E-3</v>
      </c>
      <c r="E418" s="9"/>
      <c r="F418" s="42">
        <f>Standing!$F$37</f>
        <v>0</v>
      </c>
      <c r="G418" s="34">
        <f>Reactive!$F$34</f>
        <v>2.9080485529829284E-2</v>
      </c>
      <c r="H418" s="33">
        <f t="shared" si="32"/>
        <v>0.11035537117436825</v>
      </c>
      <c r="I418" s="17">
        <f>0.01*Input!$F$58*(E418*$E$412+F418*$F$412)+10*(B418*$B$412+C418*$C$412+D418*$D$412+G418*$G$412)</f>
        <v>113182.38370239484</v>
      </c>
      <c r="J418" s="33">
        <f t="shared" si="33"/>
        <v>0.11035537117436826</v>
      </c>
      <c r="K418" s="41">
        <f t="shared" si="34"/>
        <v>748.05419102810106</v>
      </c>
      <c r="L418" s="41">
        <f>IF($F$412&lt;&gt;0,I418/$F$412*100/Input!$F$58,"")</f>
        <v>0.4605686037754676</v>
      </c>
      <c r="M418" s="10"/>
    </row>
    <row r="419" spans="1:13" x14ac:dyDescent="0.25">
      <c r="A419" s="3" t="s">
        <v>460</v>
      </c>
      <c r="B419" s="34">
        <f>Standing!$G$91</f>
        <v>7.2147992802766972E-2</v>
      </c>
      <c r="C419" s="34">
        <f>Standing!$G$114</f>
        <v>3.1842020161640498E-3</v>
      </c>
      <c r="D419" s="34">
        <f>Standing!$G$128</f>
        <v>1.2457349030655466E-4</v>
      </c>
      <c r="E419" s="9"/>
      <c r="F419" s="42">
        <f>Standing!$G$37</f>
        <v>0</v>
      </c>
      <c r="G419" s="34">
        <f>Reactive!$G$34</f>
        <v>2.4451288658175149E-3</v>
      </c>
      <c r="H419" s="33">
        <f t="shared" si="32"/>
        <v>9.2308679723331153E-3</v>
      </c>
      <c r="I419" s="17">
        <f>0.01*Input!$F$58*(E419*$E$412+F419*$F$412)+10*(B419*$B$412+C419*$C$412+D419*$D$412+G419*$G$412)</f>
        <v>9467.338378119819</v>
      </c>
      <c r="J419" s="33">
        <f t="shared" si="33"/>
        <v>9.230867972333117E-3</v>
      </c>
      <c r="K419" s="41">
        <f t="shared" si="34"/>
        <v>62.572300741213894</v>
      </c>
      <c r="L419" s="41">
        <f>IF($F$412&lt;&gt;0,I419/$F$412*100/Input!$F$58,"")</f>
        <v>3.8525066142323025E-2</v>
      </c>
      <c r="M419" s="10"/>
    </row>
    <row r="420" spans="1:13" x14ac:dyDescent="0.25">
      <c r="A420" s="3" t="s">
        <v>461</v>
      </c>
      <c r="B420" s="34">
        <f>Standing!$H$91</f>
        <v>0</v>
      </c>
      <c r="C420" s="34">
        <f>Standing!$H$114</f>
        <v>0</v>
      </c>
      <c r="D420" s="34">
        <f>Standing!$H$128</f>
        <v>0</v>
      </c>
      <c r="E420" s="9"/>
      <c r="F420" s="42">
        <f>Standing!$H$37</f>
        <v>1.3901532428780592</v>
      </c>
      <c r="G420" s="34">
        <f>Reactive!$H$34</f>
        <v>0</v>
      </c>
      <c r="H420" s="33">
        <f t="shared" si="32"/>
        <v>0</v>
      </c>
      <c r="I420" s="17">
        <f>0.01*Input!$F$58*(E420*$E$412+F420*$F$412)+10*(B420*$B$412+C420*$C$412+D420*$D$412+G420*$G$412)</f>
        <v>341623.06429653731</v>
      </c>
      <c r="J420" s="33">
        <f t="shared" si="33"/>
        <v>0.33309017559922405</v>
      </c>
      <c r="K420" s="41">
        <f t="shared" si="34"/>
        <v>2257.882866920746</v>
      </c>
      <c r="L420" s="41">
        <f>IF($F$412&lt;&gt;0,I420/$F$412*100/Input!$F$58,"")</f>
        <v>1.3901532428780594</v>
      </c>
      <c r="M420" s="10"/>
    </row>
    <row r="421" spans="1:13" x14ac:dyDescent="0.25">
      <c r="A421" s="3" t="s">
        <v>462</v>
      </c>
      <c r="B421" s="34">
        <f>Standing!$I$91</f>
        <v>0</v>
      </c>
      <c r="C421" s="34">
        <f>Standing!$I$114</f>
        <v>0</v>
      </c>
      <c r="D421" s="34">
        <f>Standing!$I$128</f>
        <v>0</v>
      </c>
      <c r="E421" s="9"/>
      <c r="F421" s="42">
        <f>Standing!$I$37</f>
        <v>0.32993582040819414</v>
      </c>
      <c r="G421" s="34">
        <f>Reactive!$I$34</f>
        <v>0</v>
      </c>
      <c r="H421" s="33">
        <f t="shared" si="32"/>
        <v>0</v>
      </c>
      <c r="I421" s="17">
        <f>0.01*Input!$F$58*(E421*$E$412+F421*$F$412)+10*(B421*$B$412+C421*$C$412+D421*$D$412+G421*$G$412)</f>
        <v>81080.04392068756</v>
      </c>
      <c r="J421" s="33">
        <f t="shared" si="33"/>
        <v>7.9054867453831806E-2</v>
      </c>
      <c r="K421" s="41">
        <f t="shared" si="34"/>
        <v>535.88080299752062</v>
      </c>
      <c r="L421" s="41">
        <f>IF($F$412&lt;&gt;0,I421/$F$412*100/Input!$F$58,"")</f>
        <v>0.32993582040819408</v>
      </c>
      <c r="M421" s="10"/>
    </row>
    <row r="422" spans="1:13" x14ac:dyDescent="0.25">
      <c r="A422" s="3" t="s">
        <v>463</v>
      </c>
      <c r="B422" s="34">
        <f>Standing!$J$91</f>
        <v>0</v>
      </c>
      <c r="C422" s="34">
        <f>Standing!$J$114</f>
        <v>0</v>
      </c>
      <c r="D422" s="34">
        <f>Standing!$J$128</f>
        <v>0</v>
      </c>
      <c r="E422" s="9"/>
      <c r="F422" s="42">
        <f>Standing!$J$37</f>
        <v>0</v>
      </c>
      <c r="G422" s="34">
        <f>Reactive!$J$34</f>
        <v>0</v>
      </c>
      <c r="H422" s="33">
        <f t="shared" si="32"/>
        <v>0</v>
      </c>
      <c r="I422" s="17">
        <f>0.01*Input!$F$58*(E422*$E$412+F422*$F$412)+10*(B422*$B$412+C422*$C$412+D422*$D$412+G422*$G$412)</f>
        <v>0</v>
      </c>
      <c r="J422" s="33">
        <f t="shared" si="33"/>
        <v>0</v>
      </c>
      <c r="K422" s="41">
        <f t="shared" si="34"/>
        <v>0</v>
      </c>
      <c r="L422" s="41">
        <f>IF($F$412&lt;&gt;0,I422/$F$412*100/Input!$F$58,"")</f>
        <v>0</v>
      </c>
      <c r="M422" s="10"/>
    </row>
    <row r="423" spans="1:13" x14ac:dyDescent="0.25">
      <c r="A423" s="3" t="s">
        <v>1662</v>
      </c>
      <c r="B423" s="9"/>
      <c r="C423" s="9"/>
      <c r="D423" s="9"/>
      <c r="E423" s="42">
        <f>SM!$B$118</f>
        <v>0</v>
      </c>
      <c r="F423" s="9"/>
      <c r="G423" s="9"/>
      <c r="H423" s="33">
        <f t="shared" si="32"/>
        <v>0</v>
      </c>
      <c r="I423" s="17">
        <f>0.01*Input!$F$58*(E423*$E$412+F423*$F$412)+10*(B423*$B$412+C423*$C$412+D423*$D$412+G423*$G$412)</f>
        <v>0</v>
      </c>
      <c r="J423" s="33">
        <f t="shared" si="33"/>
        <v>0</v>
      </c>
      <c r="K423" s="41">
        <f t="shared" si="34"/>
        <v>0</v>
      </c>
      <c r="L423" s="41">
        <f>IF($F$412&lt;&gt;0,I423/$F$412*100/Input!$F$58,"")</f>
        <v>0</v>
      </c>
      <c r="M423" s="10"/>
    </row>
    <row r="424" spans="1:13" x14ac:dyDescent="0.25">
      <c r="A424" s="3" t="s">
        <v>1663</v>
      </c>
      <c r="B424" s="9"/>
      <c r="C424" s="9"/>
      <c r="D424" s="9"/>
      <c r="E424" s="42">
        <f>SM!$C$118</f>
        <v>0</v>
      </c>
      <c r="F424" s="9"/>
      <c r="G424" s="9"/>
      <c r="H424" s="33">
        <f t="shared" si="32"/>
        <v>0</v>
      </c>
      <c r="I424" s="17">
        <f>0.01*Input!$F$58*(E424*$E$412+F424*$F$412)+10*(B424*$B$412+C424*$C$412+D424*$D$412+G424*$G$412)</f>
        <v>0</v>
      </c>
      <c r="J424" s="33">
        <f t="shared" si="33"/>
        <v>0</v>
      </c>
      <c r="K424" s="41">
        <f t="shared" si="34"/>
        <v>0</v>
      </c>
      <c r="L424" s="41">
        <f>IF($F$412&lt;&gt;0,I424/$F$412*100/Input!$F$58,"")</f>
        <v>0</v>
      </c>
      <c r="M424" s="10"/>
    </row>
    <row r="425" spans="1:13" x14ac:dyDescent="0.25">
      <c r="A425" s="3" t="s">
        <v>1664</v>
      </c>
      <c r="B425" s="34">
        <f>Standing!$K$91</f>
        <v>0.42275927828901377</v>
      </c>
      <c r="C425" s="34">
        <f>Standing!$K$114</f>
        <v>0</v>
      </c>
      <c r="D425" s="34">
        <f>Standing!$K$128</f>
        <v>1.1121030330743871E-3</v>
      </c>
      <c r="E425" s="9"/>
      <c r="F425" s="42">
        <f>Standing!$K$37</f>
        <v>0</v>
      </c>
      <c r="G425" s="34">
        <f>Reactive!$K$34</f>
        <v>1.2504323825300565E-2</v>
      </c>
      <c r="H425" s="33">
        <f t="shared" si="32"/>
        <v>4.6494713387919752E-2</v>
      </c>
      <c r="I425" s="17">
        <f>0.01*Input!$F$58*(E425*$E$412+F425*$F$412)+10*(B425*$B$412+C425*$C$412+D425*$D$412+G425*$G$412)</f>
        <v>47685.784885717258</v>
      </c>
      <c r="J425" s="33">
        <f t="shared" si="33"/>
        <v>4.6494713387919752E-2</v>
      </c>
      <c r="K425" s="41">
        <f t="shared" si="34"/>
        <v>315.16875744569154</v>
      </c>
      <c r="L425" s="41">
        <f>IF($F$412&lt;&gt;0,I425/$F$412*100/Input!$F$58,"")</f>
        <v>0.19404588104895501</v>
      </c>
      <c r="M425" s="10"/>
    </row>
    <row r="426" spans="1:13" x14ac:dyDescent="0.25">
      <c r="A426" s="3" t="s">
        <v>1665</v>
      </c>
      <c r="B426" s="34">
        <f>Standing!$L$91</f>
        <v>0.39065211991981252</v>
      </c>
      <c r="C426" s="34">
        <f>Standing!$L$114</f>
        <v>1.7241162498698386E-2</v>
      </c>
      <c r="D426" s="34">
        <f>Standing!$L$128</f>
        <v>6.7451492666057149E-4</v>
      </c>
      <c r="E426" s="9"/>
      <c r="F426" s="42">
        <f>Standing!$L$37</f>
        <v>0</v>
      </c>
      <c r="G426" s="34">
        <f>Reactive!$L$34</f>
        <v>1.3239381135937934E-2</v>
      </c>
      <c r="H426" s="33">
        <f t="shared" si="32"/>
        <v>4.9981406301209473E-2</v>
      </c>
      <c r="I426" s="17">
        <f>0.01*Input!$F$58*(E426*$E$412+F426*$F$412)+10*(B426*$B$412+C426*$C$412+D426*$D$412+G426*$G$412)</f>
        <v>51261.797643092112</v>
      </c>
      <c r="J426" s="33">
        <f t="shared" si="33"/>
        <v>4.9981406301209473E-2</v>
      </c>
      <c r="K426" s="41">
        <f t="shared" si="34"/>
        <v>338.80363102600131</v>
      </c>
      <c r="L426" s="41">
        <f>IF($F$412&lt;&gt;0,I426/$F$412*100/Input!$F$58,"")</f>
        <v>0.20859760852518547</v>
      </c>
      <c r="M426" s="10"/>
    </row>
    <row r="427" spans="1:13" x14ac:dyDescent="0.25">
      <c r="A427" s="3" t="s">
        <v>1666</v>
      </c>
      <c r="B427" s="34">
        <f>Standing!$M$91</f>
        <v>0.19662199792215804</v>
      </c>
      <c r="C427" s="34">
        <f>Standing!$M$114</f>
        <v>8.6777765795575668E-3</v>
      </c>
      <c r="D427" s="34">
        <f>Standing!$M$128</f>
        <v>3.3949507949820607E-4</v>
      </c>
      <c r="E427" s="9"/>
      <c r="F427" s="42">
        <f>Standing!$M$37</f>
        <v>0</v>
      </c>
      <c r="G427" s="34">
        <f>Reactive!$M$34</f>
        <v>6.6636105052633159E-3</v>
      </c>
      <c r="H427" s="33">
        <f t="shared" si="32"/>
        <v>2.5156510011823778E-2</v>
      </c>
      <c r="I427" s="17">
        <f>0.01*Input!$F$58*(E427*$E$412+F427*$F$412)+10*(B427*$B$412+C427*$C$412+D427*$D$412+G427*$G$412)</f>
        <v>25800.953215702652</v>
      </c>
      <c r="J427" s="33">
        <f t="shared" si="33"/>
        <v>2.5156510011823778E-2</v>
      </c>
      <c r="K427" s="41">
        <f t="shared" si="34"/>
        <v>170.52575280863206</v>
      </c>
      <c r="L427" s="41">
        <f>IF($F$412&lt;&gt;0,I427/$F$412*100/Input!$F$58,"")</f>
        <v>0.10499079989230599</v>
      </c>
      <c r="M427" s="10"/>
    </row>
    <row r="428" spans="1:13" x14ac:dyDescent="0.25">
      <c r="A428" s="3" t="s">
        <v>1667</v>
      </c>
      <c r="B428" s="34">
        <f>Standing!$N$91</f>
        <v>0.1873734606467338</v>
      </c>
      <c r="C428" s="34">
        <f>Standing!$N$114</f>
        <v>2.2888841263170541E-2</v>
      </c>
      <c r="D428" s="34">
        <f>Standing!$N$128</f>
        <v>1.7808973603068909E-3</v>
      </c>
      <c r="E428" s="9"/>
      <c r="F428" s="42">
        <f>Standing!$N$37</f>
        <v>0</v>
      </c>
      <c r="G428" s="34">
        <f>Reactive!$N$34</f>
        <v>8.1223533467942657E-3</v>
      </c>
      <c r="H428" s="33">
        <f t="shared" si="32"/>
        <v>3.0822914475600066E-2</v>
      </c>
      <c r="I428" s="17">
        <f>0.01*Input!$F$58*(E428*$E$412+F428*$F$412)+10*(B428*$B$412+C428*$C$412+D428*$D$412+G428*$G$412)</f>
        <v>31612.515964367951</v>
      </c>
      <c r="J428" s="33">
        <f t="shared" si="33"/>
        <v>3.082291447560007E-2</v>
      </c>
      <c r="K428" s="41">
        <f t="shared" si="34"/>
        <v>208.93600472551128</v>
      </c>
      <c r="L428" s="41">
        <f>IF($F$412&lt;&gt;0,I428/$F$412*100/Input!$F$58,"")</f>
        <v>0.12863956265334034</v>
      </c>
      <c r="M428" s="10"/>
    </row>
    <row r="429" spans="1:13" x14ac:dyDescent="0.25">
      <c r="A429" s="3" t="s">
        <v>1668</v>
      </c>
      <c r="B429" s="34">
        <f>Standing!$O$91</f>
        <v>0.30361076600123216</v>
      </c>
      <c r="C429" s="34">
        <f>Standing!$O$114</f>
        <v>3.708795581191586E-2</v>
      </c>
      <c r="D429" s="34">
        <f>Standing!$O$128</f>
        <v>2.8856787394868056E-3</v>
      </c>
      <c r="E429" s="9"/>
      <c r="F429" s="42">
        <f>Standing!$O$37</f>
        <v>0</v>
      </c>
      <c r="G429" s="34">
        <f>Reactive!$O$34</f>
        <v>1.3161063006688215E-2</v>
      </c>
      <c r="H429" s="33">
        <f t="shared" si="32"/>
        <v>4.9943938922977507E-2</v>
      </c>
      <c r="I429" s="17">
        <f>0.01*Input!$F$58*(E429*$E$412+F429*$F$412)+10*(B429*$B$412+C429*$C$412+D429*$D$412+G429*$G$412)</f>
        <v>51223.370449796072</v>
      </c>
      <c r="J429" s="33">
        <f t="shared" si="33"/>
        <v>4.9943938922977507E-2</v>
      </c>
      <c r="K429" s="41">
        <f t="shared" si="34"/>
        <v>338.54965490309041</v>
      </c>
      <c r="L429" s="41">
        <f>IF($F$412&lt;&gt;0,I429/$F$412*100/Input!$F$58,"")</f>
        <v>0.20844123826521724</v>
      </c>
      <c r="M429" s="10"/>
    </row>
    <row r="430" spans="1:13" x14ac:dyDescent="0.25">
      <c r="A430" s="3" t="s">
        <v>1669</v>
      </c>
      <c r="B430" s="34">
        <f>Standing!$P$91</f>
        <v>3.2652284230581696E-2</v>
      </c>
      <c r="C430" s="34">
        <f>Standing!$P$114</f>
        <v>1.441086095958478E-3</v>
      </c>
      <c r="D430" s="34">
        <f>Standing!$P$128</f>
        <v>5.6378685741195539E-5</v>
      </c>
      <c r="E430" s="9"/>
      <c r="F430" s="42">
        <f>Standing!$P$37</f>
        <v>0</v>
      </c>
      <c r="G430" s="34">
        <f>Reactive!$P$34</f>
        <v>1.1066010238889334E-3</v>
      </c>
      <c r="H430" s="33">
        <f t="shared" si="32"/>
        <v>4.1776480955134044E-3</v>
      </c>
      <c r="I430" s="17">
        <f>0.01*Input!$F$58*(E430*$E$412+F430*$F$412)+10*(B430*$B$412+C430*$C$412+D430*$D$412+G430*$G$412)</f>
        <v>4284.6683825916098</v>
      </c>
      <c r="J430" s="33">
        <f t="shared" si="33"/>
        <v>4.1776480955134044E-3</v>
      </c>
      <c r="K430" s="41">
        <f t="shared" si="34"/>
        <v>28.31857782029935</v>
      </c>
      <c r="L430" s="41">
        <f>IF($F$412&lt;&gt;0,I430/$F$412*100/Input!$F$58,"")</f>
        <v>1.743543182302984E-2</v>
      </c>
      <c r="M430" s="10"/>
    </row>
    <row r="431" spans="1:13" x14ac:dyDescent="0.25">
      <c r="A431" s="3" t="s">
        <v>1670</v>
      </c>
      <c r="B431" s="34">
        <f>Standing!$Q$91</f>
        <v>0</v>
      </c>
      <c r="C431" s="34">
        <f>Standing!$Q$114</f>
        <v>0</v>
      </c>
      <c r="D431" s="34">
        <f>Standing!$Q$128</f>
        <v>0</v>
      </c>
      <c r="E431" s="9"/>
      <c r="F431" s="42">
        <f>Standing!$Q$37</f>
        <v>1.207884982210349</v>
      </c>
      <c r="G431" s="34">
        <f>Reactive!$Q$34</f>
        <v>0</v>
      </c>
      <c r="H431" s="33">
        <f t="shared" si="32"/>
        <v>0</v>
      </c>
      <c r="I431" s="17">
        <f>0.01*Input!$F$58*(E431*$E$412+F431*$F$412)+10*(B431*$B$412+C431*$C$412+D431*$D$412+G431*$G$412)</f>
        <v>296831.56950824283</v>
      </c>
      <c r="J431" s="33">
        <f t="shared" si="33"/>
        <v>0.28941746018960474</v>
      </c>
      <c r="K431" s="41">
        <f t="shared" si="34"/>
        <v>1961.8432863540393</v>
      </c>
      <c r="L431" s="41">
        <f>IF($F$412&lt;&gt;0,I431/$F$412*100/Input!$F$58,"")</f>
        <v>1.2078849822103486</v>
      </c>
      <c r="M431" s="10"/>
    </row>
    <row r="432" spans="1:13" x14ac:dyDescent="0.25">
      <c r="A432" s="3" t="s">
        <v>1671</v>
      </c>
      <c r="B432" s="34">
        <f>Standing!$R$91</f>
        <v>0</v>
      </c>
      <c r="C432" s="34">
        <f>Standing!$R$114</f>
        <v>0</v>
      </c>
      <c r="D432" s="34">
        <f>Standing!$R$128</f>
        <v>0</v>
      </c>
      <c r="E432" s="9"/>
      <c r="F432" s="42">
        <f>Standing!$R$37</f>
        <v>0.51299384575443674</v>
      </c>
      <c r="G432" s="34">
        <f>Reactive!$R$34</f>
        <v>0</v>
      </c>
      <c r="H432" s="33">
        <f t="shared" si="32"/>
        <v>0</v>
      </c>
      <c r="I432" s="17">
        <f>0.01*Input!$F$58*(E432*$E$412+F432*$F$412)+10*(B432*$B$412+C432*$C$412+D432*$D$412+G432*$G$412)</f>
        <v>126065.61934788684</v>
      </c>
      <c r="J432" s="33">
        <f t="shared" si="33"/>
        <v>0.12291681585398793</v>
      </c>
      <c r="K432" s="41">
        <f t="shared" si="34"/>
        <v>833.20311706551047</v>
      </c>
      <c r="L432" s="41">
        <f>IF($F$412&lt;&gt;0,I432/$F$412*100/Input!$F$58,"")</f>
        <v>0.51299384575443685</v>
      </c>
      <c r="M432" s="10"/>
    </row>
    <row r="433" spans="1:13" x14ac:dyDescent="0.25">
      <c r="A433" s="3" t="s">
        <v>1672</v>
      </c>
      <c r="B433" s="34">
        <f>Standing!$S$91</f>
        <v>0</v>
      </c>
      <c r="C433" s="34">
        <f>Standing!$S$114</f>
        <v>0</v>
      </c>
      <c r="D433" s="34">
        <f>Standing!$S$128</f>
        <v>0</v>
      </c>
      <c r="E433" s="9"/>
      <c r="F433" s="42">
        <f>Standing!$S$37</f>
        <v>0</v>
      </c>
      <c r="G433" s="34">
        <f>Reactive!$S$34</f>
        <v>0</v>
      </c>
      <c r="H433" s="33">
        <f t="shared" si="32"/>
        <v>0</v>
      </c>
      <c r="I433" s="17">
        <f>0.01*Input!$F$58*(E433*$E$412+F433*$F$412)+10*(B433*$B$412+C433*$C$412+D433*$D$412+G433*$G$412)</f>
        <v>0</v>
      </c>
      <c r="J433" s="33">
        <f t="shared" si="33"/>
        <v>0</v>
      </c>
      <c r="K433" s="41">
        <f t="shared" si="34"/>
        <v>0</v>
      </c>
      <c r="L433" s="41">
        <f>IF($F$412&lt;&gt;0,I433/$F$412*100/Input!$F$58,"")</f>
        <v>0</v>
      </c>
      <c r="M433" s="10"/>
    </row>
    <row r="434" spans="1:13" x14ac:dyDescent="0.25">
      <c r="A434" s="3" t="s">
        <v>1673</v>
      </c>
      <c r="B434" s="9"/>
      <c r="C434" s="9"/>
      <c r="D434" s="9"/>
      <c r="E434" s="42">
        <f>Otex!$B$133</f>
        <v>6.1354624318082642</v>
      </c>
      <c r="F434" s="9"/>
      <c r="G434" s="9"/>
      <c r="H434" s="33">
        <f t="shared" si="32"/>
        <v>0</v>
      </c>
      <c r="I434" s="17">
        <f>0.01*Input!$F$58*(E434*$E$412+F434*$F$412)+10*(B434*$B$412+C434*$C$412+D434*$D$412+G434*$G$412)</f>
        <v>3388.3318760752686</v>
      </c>
      <c r="J434" s="33">
        <f t="shared" si="33"/>
        <v>3.3036998304385246E-3</v>
      </c>
      <c r="K434" s="41">
        <f t="shared" si="34"/>
        <v>22.394437876100167</v>
      </c>
      <c r="L434" s="41">
        <f>IF($F$412&lt;&gt;0,I434/$F$412*100/Input!$F$58,"")</f>
        <v>1.3788005078557796E-2</v>
      </c>
      <c r="M434" s="10"/>
    </row>
    <row r="435" spans="1:13" x14ac:dyDescent="0.25">
      <c r="A435" s="3" t="s">
        <v>1674</v>
      </c>
      <c r="B435" s="9"/>
      <c r="C435" s="9"/>
      <c r="D435" s="9"/>
      <c r="E435" s="42">
        <f>Otex!$C$133</f>
        <v>0</v>
      </c>
      <c r="F435" s="9"/>
      <c r="G435" s="9"/>
      <c r="H435" s="33">
        <f t="shared" si="32"/>
        <v>0</v>
      </c>
      <c r="I435" s="17">
        <f>0.01*Input!$F$58*(E435*$E$412+F435*$F$412)+10*(B435*$B$412+C435*$C$412+D435*$D$412+G435*$G$412)</f>
        <v>0</v>
      </c>
      <c r="J435" s="33">
        <f t="shared" si="33"/>
        <v>0</v>
      </c>
      <c r="K435" s="41">
        <f t="shared" si="34"/>
        <v>0</v>
      </c>
      <c r="L435" s="41">
        <f>IF($F$412&lt;&gt;0,I435/$F$412*100/Input!$F$58,"")</f>
        <v>0</v>
      </c>
      <c r="M435" s="10"/>
    </row>
    <row r="436" spans="1:13" x14ac:dyDescent="0.25">
      <c r="A436" s="3" t="s">
        <v>1675</v>
      </c>
      <c r="B436" s="34">
        <f>Scaler!$B$428</f>
        <v>5.7371740186141613</v>
      </c>
      <c r="C436" s="34">
        <f>Scaler!$C$428</f>
        <v>0</v>
      </c>
      <c r="D436" s="34">
        <f>Scaler!$D$428</f>
        <v>1.5092107861473242E-2</v>
      </c>
      <c r="E436" s="42">
        <f>Scaler!$E$428</f>
        <v>0</v>
      </c>
      <c r="F436" s="42">
        <f>Scaler!$F$428</f>
        <v>0</v>
      </c>
      <c r="G436" s="34">
        <f>Scaler!$G$428</f>
        <v>0.16969345311874787</v>
      </c>
      <c r="H436" s="33">
        <f t="shared" si="32"/>
        <v>0.63096962113206723</v>
      </c>
      <c r="I436" s="17">
        <f>0.01*Input!$F$58*(E436*$E$412+F436*$F$412)+10*(B436*$B$412+C436*$C$412+D436*$D$412+G436*$G$412)</f>
        <v>647133.39281587675</v>
      </c>
      <c r="J436" s="33">
        <f t="shared" si="33"/>
        <v>0.63096962113206723</v>
      </c>
      <c r="K436" s="41">
        <f t="shared" si="34"/>
        <v>4277.0865112987376</v>
      </c>
      <c r="L436" s="41">
        <f>IF($F$412&lt;&gt;0,I436/$F$412*100/Input!$F$58,"")</f>
        <v>2.6333543563580477</v>
      </c>
      <c r="M436" s="10"/>
    </row>
    <row r="437" spans="1:13" x14ac:dyDescent="0.25">
      <c r="A437" s="3" t="s">
        <v>1676</v>
      </c>
      <c r="B437" s="34">
        <f>Adjust!$B$84</f>
        <v>-4.9522901942644637E-4</v>
      </c>
      <c r="C437" s="34">
        <f>Adjust!$C$84</f>
        <v>-3.1494220445837939E-4</v>
      </c>
      <c r="D437" s="34">
        <f>Adjust!$D$84</f>
        <v>3.8251378130354369E-4</v>
      </c>
      <c r="E437" s="42">
        <f>Adjust!$E$84</f>
        <v>4.5375681917354527E-3</v>
      </c>
      <c r="F437" s="42">
        <f>Adjust!$F$84</f>
        <v>-9.6789125103891038E-4</v>
      </c>
      <c r="G437" s="34">
        <f>Adjust!$G$84</f>
        <v>5.9221726535330088E-5</v>
      </c>
      <c r="H437" s="33">
        <f t="shared" si="32"/>
        <v>1.4055266889260844E-5</v>
      </c>
      <c r="I437" s="17">
        <f>0.01*Input!$F$58*(E437*$E$412+F437*$F$412)+10*(B437*$B$412+C437*$C$412+D437*$D$412+G437*$G$412)</f>
        <v>-220.93312048213082</v>
      </c>
      <c r="J437" s="33">
        <f t="shared" si="33"/>
        <v>-2.1541476436496968E-4</v>
      </c>
      <c r="K437" s="41">
        <f t="shared" si="34"/>
        <v>-1.4602091006330111</v>
      </c>
      <c r="L437" s="41">
        <f>IF($F$412&lt;&gt;0,I437/$F$412*100/Input!$F$58,"")</f>
        <v>-8.9903442125560326E-4</v>
      </c>
      <c r="M437" s="10"/>
    </row>
    <row r="439" spans="1:13" x14ac:dyDescent="0.25">
      <c r="A439" s="3" t="s">
        <v>1677</v>
      </c>
      <c r="B439" s="33">
        <f>SUM($B$415:$B$437)</f>
        <v>9.7249999999999996</v>
      </c>
      <c r="C439" s="33">
        <f>SUM($C$415:$C$437)</f>
        <v>0.28000000000000003</v>
      </c>
      <c r="D439" s="33">
        <f>SUM($D$415:$D$437)</f>
        <v>3.5000000000000003E-2</v>
      </c>
      <c r="E439" s="41">
        <f>SUM($E$415:$E$437)</f>
        <v>6.14</v>
      </c>
      <c r="F439" s="41">
        <f>SUM($F$415:$F$437)</f>
        <v>3.44</v>
      </c>
      <c r="G439" s="33">
        <f>SUM($G$415:$G$437)</f>
        <v>0.318</v>
      </c>
      <c r="H439" s="33">
        <f>SUM(H$415:H$437)</f>
        <v>1.1912764939526508</v>
      </c>
      <c r="I439" s="17">
        <f>SUM($I$415:$I$437)</f>
        <v>2070547.125237444</v>
      </c>
      <c r="J439" s="33">
        <f>SUM($J$415:$J$437)</f>
        <v>2.0188300428484833</v>
      </c>
      <c r="K439" s="41">
        <f>SUM($K$415:$K$437)</f>
        <v>13684.82801022933</v>
      </c>
      <c r="L439" s="41">
        <f>SUM($L$415:$L$437)</f>
        <v>8.4255956388886339</v>
      </c>
    </row>
    <row r="441" spans="1:13" ht="21" customHeight="1" x14ac:dyDescent="0.3">
      <c r="A441" s="1" t="s">
        <v>193</v>
      </c>
    </row>
    <row r="443" spans="1:13" ht="30" x14ac:dyDescent="0.25">
      <c r="B443" s="12" t="s">
        <v>222</v>
      </c>
      <c r="C443" s="12" t="s">
        <v>223</v>
      </c>
      <c r="D443" s="12" t="s">
        <v>224</v>
      </c>
      <c r="E443" s="12" t="s">
        <v>225</v>
      </c>
      <c r="F443" s="12" t="s">
        <v>226</v>
      </c>
      <c r="G443" s="12" t="s">
        <v>227</v>
      </c>
      <c r="H443" s="12" t="s">
        <v>1658</v>
      </c>
      <c r="I443" s="12" t="s">
        <v>1659</v>
      </c>
    </row>
    <row r="444" spans="1:13" x14ac:dyDescent="0.25">
      <c r="A444" s="3" t="s">
        <v>193</v>
      </c>
      <c r="B444" s="39">
        <f>Loads!B$315</f>
        <v>754385.98402040929</v>
      </c>
      <c r="C444" s="39">
        <f>Loads!C$315</f>
        <v>2914632.556048458</v>
      </c>
      <c r="D444" s="39">
        <f>Loads!D$315</f>
        <v>4014673.9180350979</v>
      </c>
      <c r="E444" s="39">
        <f>Loads!E$315</f>
        <v>3207.9607862875823</v>
      </c>
      <c r="F444" s="39">
        <f>Loads!F$315</f>
        <v>2772488.4945503157</v>
      </c>
      <c r="G444" s="39">
        <f>Loads!G$315</f>
        <v>689468.77374890808</v>
      </c>
      <c r="H444" s="39">
        <f>Multi!B$132</f>
        <v>7683692.458103965</v>
      </c>
      <c r="I444" s="33">
        <f>IF(E444,H444/E444,"")</f>
        <v>2395.1952564220496</v>
      </c>
      <c r="J444" s="10"/>
    </row>
    <row r="446" spans="1:13" ht="30" x14ac:dyDescent="0.25">
      <c r="B446" s="12" t="s">
        <v>1489</v>
      </c>
      <c r="C446" s="12" t="s">
        <v>1490</v>
      </c>
      <c r="D446" s="12" t="s">
        <v>1491</v>
      </c>
      <c r="E446" s="12" t="s">
        <v>1492</v>
      </c>
      <c r="F446" s="12" t="s">
        <v>1493</v>
      </c>
      <c r="G446" s="12" t="s">
        <v>1104</v>
      </c>
      <c r="H446" s="12" t="s">
        <v>1678</v>
      </c>
      <c r="I446" s="12" t="s">
        <v>1660</v>
      </c>
      <c r="J446" s="12" t="s">
        <v>1630</v>
      </c>
      <c r="K446" s="12" t="s">
        <v>1661</v>
      </c>
      <c r="L446" s="12" t="s">
        <v>1679</v>
      </c>
    </row>
    <row r="447" spans="1:13" x14ac:dyDescent="0.25">
      <c r="A447" s="3" t="s">
        <v>456</v>
      </c>
      <c r="B447" s="34">
        <f>Standing!$C$92</f>
        <v>0.74055805623110982</v>
      </c>
      <c r="C447" s="34">
        <f>Standing!$C$115</f>
        <v>3.2684020221934618E-2</v>
      </c>
      <c r="D447" s="34">
        <f>Standing!$C$129</f>
        <v>1.2786759306186697E-3</v>
      </c>
      <c r="E447" s="9"/>
      <c r="F447" s="42">
        <f>Standing!$C$38</f>
        <v>2.2874141104867473E-2</v>
      </c>
      <c r="G447" s="34">
        <f>Reactive!$C$35</f>
        <v>2.3410937682352632E-2</v>
      </c>
      <c r="H447" s="33">
        <f t="shared" ref="H447:H469" si="35">IF(H$444&lt;&gt;0,(($B447*B$444+$C447*C$444+$D447*D$444+$G447*G$444))/H$444,0)</f>
        <v>8.7874821703443823E-2</v>
      </c>
      <c r="I447" s="17">
        <f>0.01*Input!$F$58*(E447*$E$444+F447*$F$444)+10*(B447*$B$444+C447*$C$444+D447*$D$444+G447*$G$444)</f>
        <v>6983507.8173810933</v>
      </c>
      <c r="J447" s="33">
        <f t="shared" ref="J447:J469" si="36">IF($H$444&lt;&gt;0,0.1*I447/$H$444,"")</f>
        <v>9.0887393729763497E-2</v>
      </c>
      <c r="K447" s="41">
        <f t="shared" ref="K447:K469" si="37">IF($E$444&lt;&gt;0,I447/$E$444,"")</f>
        <v>2176.9305433009263</v>
      </c>
      <c r="L447" s="41">
        <f>IF($F$444&lt;&gt;0,I447/$F$444*100/Input!$F$58,"")</f>
        <v>0.69009837795249274</v>
      </c>
      <c r="M447" s="10"/>
    </row>
    <row r="448" spans="1:13" x14ac:dyDescent="0.25">
      <c r="A448" s="3" t="s">
        <v>457</v>
      </c>
      <c r="B448" s="34">
        <f>Standing!$D$92</f>
        <v>0.37841531962418035</v>
      </c>
      <c r="C448" s="34">
        <f>Standing!$D$115</f>
        <v>1.6701099737988369E-2</v>
      </c>
      <c r="D448" s="34">
        <f>Standing!$D$129</f>
        <v>6.5338639814864995E-4</v>
      </c>
      <c r="E448" s="9"/>
      <c r="F448" s="42">
        <f>Standing!$D$38</f>
        <v>0</v>
      </c>
      <c r="G448" s="34">
        <f>Reactive!$D$35</f>
        <v>1.196267786330657E-2</v>
      </c>
      <c r="H448" s="33">
        <f t="shared" si="35"/>
        <v>4.4902865429701115E-2</v>
      </c>
      <c r="I448" s="17">
        <f>0.01*Input!$F$58*(E448*$E$444+F448*$F$444)+10*(B448*$B$444+C448*$C$444+D448*$D$444+G448*$G$444)</f>
        <v>3450198.0844945172</v>
      </c>
      <c r="J448" s="33">
        <f t="shared" si="36"/>
        <v>4.4902865429701122E-2</v>
      </c>
      <c r="K448" s="41">
        <f t="shared" si="37"/>
        <v>1075.5113027697773</v>
      </c>
      <c r="L448" s="41">
        <f>IF($F$444&lt;&gt;0,I448/$F$444*100/Input!$F$58,"")</f>
        <v>0.34094271303004875</v>
      </c>
      <c r="M448" s="10"/>
    </row>
    <row r="449" spans="1:13" x14ac:dyDescent="0.25">
      <c r="A449" s="3" t="s">
        <v>458</v>
      </c>
      <c r="B449" s="34">
        <f>Standing!$E$92</f>
        <v>0.26961939506591909</v>
      </c>
      <c r="C449" s="34">
        <f>Standing!$E$115</f>
        <v>3.2935697050346734E-2</v>
      </c>
      <c r="D449" s="34">
        <f>Standing!$E$129</f>
        <v>2.562606610899494E-3</v>
      </c>
      <c r="E449" s="9"/>
      <c r="F449" s="42">
        <f>Standing!$E$38</f>
        <v>0.16196789787430105</v>
      </c>
      <c r="G449" s="34">
        <f>Reactive!$E$35</f>
        <v>1.0902023889170435E-2</v>
      </c>
      <c r="H449" s="33">
        <f t="shared" si="35"/>
        <v>4.1281868610910363E-2</v>
      </c>
      <c r="I449" s="17">
        <f>0.01*Input!$F$58*(E449*$E$444+F449*$F$444)+10*(B449*$B$444+C449*$C$444+D449*$D$444+G449*$G$444)</f>
        <v>4811019.4117228584</v>
      </c>
      <c r="J449" s="33">
        <f t="shared" si="36"/>
        <v>6.2613378111570472E-2</v>
      </c>
      <c r="K449" s="41">
        <f t="shared" si="37"/>
        <v>1499.7126624139376</v>
      </c>
      <c r="L449" s="41">
        <f>IF($F$444&lt;&gt;0,I449/$F$444*100/Input!$F$58,"")</f>
        <v>0.47541676463290233</v>
      </c>
      <c r="M449" s="10"/>
    </row>
    <row r="450" spans="1:13" x14ac:dyDescent="0.25">
      <c r="A450" s="3" t="s">
        <v>459</v>
      </c>
      <c r="B450" s="34">
        <f>Standing!$F$92</f>
        <v>0</v>
      </c>
      <c r="C450" s="34">
        <f>Standing!$F$115</f>
        <v>0</v>
      </c>
      <c r="D450" s="34">
        <f>Standing!$F$129</f>
        <v>0</v>
      </c>
      <c r="E450" s="9"/>
      <c r="F450" s="42">
        <f>Standing!$F$38</f>
        <v>0.91036330580827507</v>
      </c>
      <c r="G450" s="34">
        <f>Reactive!$F$35</f>
        <v>0</v>
      </c>
      <c r="H450" s="33">
        <f t="shared" si="35"/>
        <v>0</v>
      </c>
      <c r="I450" s="17">
        <f>0.01*Input!$F$58*(E450*$E$444+F450*$F$444)+10*(B450*$B$444+C450*$C$444+D450*$D$444+G450*$G$444)</f>
        <v>9212497.0379319508</v>
      </c>
      <c r="J450" s="33">
        <f t="shared" si="36"/>
        <v>0.11989674350143414</v>
      </c>
      <c r="K450" s="41">
        <f t="shared" si="37"/>
        <v>2871.7611129508623</v>
      </c>
      <c r="L450" s="41">
        <f>IF($F$444&lt;&gt;0,I450/$F$444*100/Input!$F$58,"")</f>
        <v>0.91036330580827518</v>
      </c>
      <c r="M450" s="10"/>
    </row>
    <row r="451" spans="1:13" x14ac:dyDescent="0.25">
      <c r="A451" s="3" t="s">
        <v>460</v>
      </c>
      <c r="B451" s="34">
        <f>Standing!$G$92</f>
        <v>0</v>
      </c>
      <c r="C451" s="34">
        <f>Standing!$G$115</f>
        <v>0</v>
      </c>
      <c r="D451" s="34">
        <f>Standing!$G$129</f>
        <v>0</v>
      </c>
      <c r="E451" s="9"/>
      <c r="F451" s="42">
        <f>Standing!$G$38</f>
        <v>8.2593028200273338E-2</v>
      </c>
      <c r="G451" s="34">
        <f>Reactive!$G$35</f>
        <v>0</v>
      </c>
      <c r="H451" s="33">
        <f t="shared" si="35"/>
        <v>0</v>
      </c>
      <c r="I451" s="17">
        <f>0.01*Input!$F$58*(E451*$E$444+F451*$F$444)+10*(B451*$B$444+C451*$C$444+D451*$D$444+G451*$G$444)</f>
        <v>835807.00451594568</v>
      </c>
      <c r="J451" s="33">
        <f t="shared" si="36"/>
        <v>1.0877673840712129E-2</v>
      </c>
      <c r="K451" s="41">
        <f t="shared" si="37"/>
        <v>260.54152784179905</v>
      </c>
      <c r="L451" s="41">
        <f>IF($F$444&lt;&gt;0,I451/$F$444*100/Input!$F$58,"")</f>
        <v>8.2593028200273338E-2</v>
      </c>
      <c r="M451" s="10"/>
    </row>
    <row r="452" spans="1:13" x14ac:dyDescent="0.25">
      <c r="A452" s="3" t="s">
        <v>461</v>
      </c>
      <c r="B452" s="34">
        <f>Standing!$H$92</f>
        <v>0</v>
      </c>
      <c r="C452" s="34">
        <f>Standing!$H$115</f>
        <v>0</v>
      </c>
      <c r="D452" s="34">
        <f>Standing!$H$129</f>
        <v>0</v>
      </c>
      <c r="E452" s="9"/>
      <c r="F452" s="42">
        <f>Standing!$H$38</f>
        <v>0.94913913280881723</v>
      </c>
      <c r="G452" s="34">
        <f>Reactive!$H$35</f>
        <v>0</v>
      </c>
      <c r="H452" s="33">
        <f t="shared" si="35"/>
        <v>0</v>
      </c>
      <c r="I452" s="17">
        <f>0.01*Input!$F$58*(E452*$E$444+F452*$F$444)+10*(B452*$B$444+C452*$C$444+D452*$D$444+G452*$G$444)</f>
        <v>9604892.237855671</v>
      </c>
      <c r="J452" s="33">
        <f t="shared" si="36"/>
        <v>0.12500360068062619</v>
      </c>
      <c r="K452" s="41">
        <f t="shared" si="37"/>
        <v>2994.0803138591191</v>
      </c>
      <c r="L452" s="41">
        <f>IF($F$444&lt;&gt;0,I452/$F$444*100/Input!$F$58,"")</f>
        <v>0.94913913280881734</v>
      </c>
      <c r="M452" s="10"/>
    </row>
    <row r="453" spans="1:13" x14ac:dyDescent="0.25">
      <c r="A453" s="3" t="s">
        <v>462</v>
      </c>
      <c r="B453" s="34">
        <f>Standing!$I$92</f>
        <v>0</v>
      </c>
      <c r="C453" s="34">
        <f>Standing!$I$115</f>
        <v>0</v>
      </c>
      <c r="D453" s="34">
        <f>Standing!$I$129</f>
        <v>0</v>
      </c>
      <c r="E453" s="9"/>
      <c r="F453" s="42">
        <f>Standing!$I$38</f>
        <v>0</v>
      </c>
      <c r="G453" s="34">
        <f>Reactive!$I$35</f>
        <v>0</v>
      </c>
      <c r="H453" s="33">
        <f t="shared" si="35"/>
        <v>0</v>
      </c>
      <c r="I453" s="17">
        <f>0.01*Input!$F$58*(E453*$E$444+F453*$F$444)+10*(B453*$B$444+C453*$C$444+D453*$D$444+G453*$G$444)</f>
        <v>0</v>
      </c>
      <c r="J453" s="33">
        <f t="shared" si="36"/>
        <v>0</v>
      </c>
      <c r="K453" s="41">
        <f t="shared" si="37"/>
        <v>0</v>
      </c>
      <c r="L453" s="41">
        <f>IF($F$444&lt;&gt;0,I453/$F$444*100/Input!$F$58,"")</f>
        <v>0</v>
      </c>
      <c r="M453" s="10"/>
    </row>
    <row r="454" spans="1:13" x14ac:dyDescent="0.25">
      <c r="A454" s="3" t="s">
        <v>463</v>
      </c>
      <c r="B454" s="34">
        <f>Standing!$J$92</f>
        <v>0</v>
      </c>
      <c r="C454" s="34">
        <f>Standing!$J$115</f>
        <v>0</v>
      </c>
      <c r="D454" s="34">
        <f>Standing!$J$129</f>
        <v>0</v>
      </c>
      <c r="E454" s="9"/>
      <c r="F454" s="42">
        <f>Standing!$J$38</f>
        <v>0</v>
      </c>
      <c r="G454" s="34">
        <f>Reactive!$J$35</f>
        <v>0</v>
      </c>
      <c r="H454" s="33">
        <f t="shared" si="35"/>
        <v>0</v>
      </c>
      <c r="I454" s="17">
        <f>0.01*Input!$F$58*(E454*$E$444+F454*$F$444)+10*(B454*$B$444+C454*$C$444+D454*$D$444+G454*$G$444)</f>
        <v>0</v>
      </c>
      <c r="J454" s="33">
        <f t="shared" si="36"/>
        <v>0</v>
      </c>
      <c r="K454" s="41">
        <f t="shared" si="37"/>
        <v>0</v>
      </c>
      <c r="L454" s="41">
        <f>IF($F$444&lt;&gt;0,I454/$F$444*100/Input!$F$58,"")</f>
        <v>0</v>
      </c>
      <c r="M454" s="10"/>
    </row>
    <row r="455" spans="1:13" x14ac:dyDescent="0.25">
      <c r="A455" s="3" t="s">
        <v>1662</v>
      </c>
      <c r="B455" s="9"/>
      <c r="C455" s="9"/>
      <c r="D455" s="9"/>
      <c r="E455" s="42">
        <f>SM!$B$119</f>
        <v>0</v>
      </c>
      <c r="F455" s="9"/>
      <c r="G455" s="9"/>
      <c r="H455" s="33">
        <f t="shared" si="35"/>
        <v>0</v>
      </c>
      <c r="I455" s="17">
        <f>0.01*Input!$F$58*(E455*$E$444+F455*$F$444)+10*(B455*$B$444+C455*$C$444+D455*$D$444+G455*$G$444)</f>
        <v>0</v>
      </c>
      <c r="J455" s="33">
        <f t="shared" si="36"/>
        <v>0</v>
      </c>
      <c r="K455" s="41">
        <f t="shared" si="37"/>
        <v>0</v>
      </c>
      <c r="L455" s="41">
        <f>IF($F$444&lt;&gt;0,I455/$F$444*100/Input!$F$58,"")</f>
        <v>0</v>
      </c>
      <c r="M455" s="10"/>
    </row>
    <row r="456" spans="1:13" x14ac:dyDescent="0.25">
      <c r="A456" s="3" t="s">
        <v>1663</v>
      </c>
      <c r="B456" s="9"/>
      <c r="C456" s="9"/>
      <c r="D456" s="9"/>
      <c r="E456" s="42">
        <f>SM!$C$119</f>
        <v>0</v>
      </c>
      <c r="F456" s="9"/>
      <c r="G456" s="9"/>
      <c r="H456" s="33">
        <f t="shared" si="35"/>
        <v>0</v>
      </c>
      <c r="I456" s="17">
        <f>0.01*Input!$F$58*(E456*$E$444+F456*$F$444)+10*(B456*$B$444+C456*$C$444+D456*$D$444+G456*$G$444)</f>
        <v>0</v>
      </c>
      <c r="J456" s="33">
        <f t="shared" si="36"/>
        <v>0</v>
      </c>
      <c r="K456" s="41">
        <f t="shared" si="37"/>
        <v>0</v>
      </c>
      <c r="L456" s="41">
        <f>IF($F$444&lt;&gt;0,I456/$F$444*100/Input!$F$58,"")</f>
        <v>0</v>
      </c>
      <c r="M456" s="10"/>
    </row>
    <row r="457" spans="1:13" x14ac:dyDescent="0.25">
      <c r="A457" s="3" t="s">
        <v>1664</v>
      </c>
      <c r="B457" s="34">
        <f>Standing!$K$92</f>
        <v>0.3682299152347388</v>
      </c>
      <c r="C457" s="34">
        <f>Standing!$K$115</f>
        <v>0</v>
      </c>
      <c r="D457" s="34">
        <f>Standing!$K$129</f>
        <v>9.6865906115328792E-4</v>
      </c>
      <c r="E457" s="9"/>
      <c r="F457" s="42">
        <f>Standing!$K$38</f>
        <v>0</v>
      </c>
      <c r="G457" s="34">
        <f>Reactive!$K$35</f>
        <v>1.0159406340322068E-2</v>
      </c>
      <c r="H457" s="33">
        <f t="shared" si="35"/>
        <v>3.7570599321085363E-2</v>
      </c>
      <c r="I457" s="17">
        <f>0.01*Input!$F$58*(E457*$E$444+F457*$F$444)+10*(B457*$B$444+C457*$C$444+D457*$D$444+G457*$G$444)</f>
        <v>2886809.3064986956</v>
      </c>
      <c r="J457" s="33">
        <f t="shared" si="36"/>
        <v>3.7570599321085363E-2</v>
      </c>
      <c r="K457" s="41">
        <f t="shared" si="37"/>
        <v>899.88921274797133</v>
      </c>
      <c r="L457" s="41">
        <f>IF($F$444&lt;&gt;0,I457/$F$444*100/Input!$F$58,"")</f>
        <v>0.28526959115225919</v>
      </c>
      <c r="M457" s="10"/>
    </row>
    <row r="458" spans="1:13" x14ac:dyDescent="0.25">
      <c r="A458" s="3" t="s">
        <v>1665</v>
      </c>
      <c r="B458" s="34">
        <f>Standing!$L$92</f>
        <v>0.33515710142358851</v>
      </c>
      <c r="C458" s="34">
        <f>Standing!$L$115</f>
        <v>1.4791928044376037E-2</v>
      </c>
      <c r="D458" s="34">
        <f>Standing!$L$129</f>
        <v>5.786951002157766E-4</v>
      </c>
      <c r="E458" s="9"/>
      <c r="F458" s="42">
        <f>Standing!$L$38</f>
        <v>1.0352234731302468E-2</v>
      </c>
      <c r="G458" s="34">
        <f>Reactive!$L$35</f>
        <v>1.0595174745863439E-2</v>
      </c>
      <c r="H458" s="33">
        <f t="shared" si="35"/>
        <v>3.9769833414721081E-2</v>
      </c>
      <c r="I458" s="17">
        <f>0.01*Input!$F$58*(E458*$E$444+F458*$F$444)+10*(B458*$B$444+C458*$C$444+D458*$D$444+G458*$G$444)</f>
        <v>3160551.9893392185</v>
      </c>
      <c r="J458" s="33">
        <f t="shared" si="36"/>
        <v>4.1133244290715916E-2</v>
      </c>
      <c r="K458" s="41">
        <f t="shared" si="37"/>
        <v>985.22151606372108</v>
      </c>
      <c r="L458" s="41">
        <f>IF($F$444&lt;&gt;0,I458/$F$444*100/Input!$F$58,"")</f>
        <v>0.31232037799815293</v>
      </c>
      <c r="M458" s="10"/>
    </row>
    <row r="459" spans="1:13" x14ac:dyDescent="0.25">
      <c r="A459" s="3" t="s">
        <v>1666</v>
      </c>
      <c r="B459" s="34">
        <f>Standing!$M$92</f>
        <v>0.1712608222844598</v>
      </c>
      <c r="C459" s="34">
        <f>Standing!$M$115</f>
        <v>7.5584785442177364E-3</v>
      </c>
      <c r="D459" s="34">
        <f>Standing!$M$129</f>
        <v>2.9570550137227833E-4</v>
      </c>
      <c r="E459" s="9"/>
      <c r="F459" s="42">
        <f>Standing!$M$38</f>
        <v>0</v>
      </c>
      <c r="G459" s="34">
        <f>Reactive!$M$35</f>
        <v>5.41399341239322E-3</v>
      </c>
      <c r="H459" s="33">
        <f t="shared" si="35"/>
        <v>2.032185606031069E-2</v>
      </c>
      <c r="I459" s="17">
        <f>0.01*Input!$F$58*(E459*$E$444+F459*$F$444)+10*(B459*$B$444+C459*$C$444+D459*$D$444+G459*$G$444)</f>
        <v>1561468.9214528361</v>
      </c>
      <c r="J459" s="33">
        <f t="shared" si="36"/>
        <v>2.032185606031069E-2</v>
      </c>
      <c r="K459" s="41">
        <f t="shared" si="37"/>
        <v>486.74813237347843</v>
      </c>
      <c r="L459" s="41">
        <f>IF($F$444&lt;&gt;0,I459/$F$444*100/Input!$F$58,"")</f>
        <v>0.15430170597588483</v>
      </c>
      <c r="M459" s="10"/>
    </row>
    <row r="460" spans="1:13" x14ac:dyDescent="0.25">
      <c r="A460" s="3" t="s">
        <v>1667</v>
      </c>
      <c r="B460" s="34">
        <f>Standing!$N$92</f>
        <v>0.13056416182831668</v>
      </c>
      <c r="C460" s="34">
        <f>Standing!$N$115</f>
        <v>1.5949229759819487E-2</v>
      </c>
      <c r="D460" s="34">
        <f>Standing!$N$129</f>
        <v>1.24095146851729E-3</v>
      </c>
      <c r="E460" s="9"/>
      <c r="F460" s="42">
        <f>Standing!$N$38</f>
        <v>7.8433537112128943E-2</v>
      </c>
      <c r="G460" s="34">
        <f>Reactive!$N$35</f>
        <v>5.2793442807547797E-3</v>
      </c>
      <c r="H460" s="33">
        <f t="shared" si="35"/>
        <v>1.9990893357551023E-2</v>
      </c>
      <c r="I460" s="17">
        <f>0.01*Input!$F$58*(E460*$E$444+F460*$F$444)+10*(B460*$B$444+C460*$C$444+D460*$D$444+G460*$G$444)</f>
        <v>2329753.4544122135</v>
      </c>
      <c r="J460" s="33">
        <f t="shared" si="36"/>
        <v>3.0320753558466938E-2</v>
      </c>
      <c r="K460" s="41">
        <f t="shared" si="37"/>
        <v>726.24125094381975</v>
      </c>
      <c r="L460" s="41">
        <f>IF($F$444&lt;&gt;0,I460/$F$444*100/Input!$F$58,"")</f>
        <v>0.23022227825356917</v>
      </c>
      <c r="M460" s="10"/>
    </row>
    <row r="461" spans="1:13" x14ac:dyDescent="0.25">
      <c r="A461" s="3" t="s">
        <v>1668</v>
      </c>
      <c r="B461" s="34">
        <f>Standing!$O$92</f>
        <v>0</v>
      </c>
      <c r="C461" s="34">
        <f>Standing!$O$115</f>
        <v>0</v>
      </c>
      <c r="D461" s="34">
        <f>Standing!$O$129</f>
        <v>0</v>
      </c>
      <c r="E461" s="9"/>
      <c r="F461" s="42">
        <f>Standing!$O$38</f>
        <v>0.63544928402897149</v>
      </c>
      <c r="G461" s="34">
        <f>Reactive!$O$35</f>
        <v>0</v>
      </c>
      <c r="H461" s="33">
        <f t="shared" si="35"/>
        <v>0</v>
      </c>
      <c r="I461" s="17">
        <f>0.01*Input!$F$58*(E461*$E$444+F461*$F$444)+10*(B461*$B$444+C461*$C$444+D461*$D$444+G461*$G$444)</f>
        <v>6430481.7752680406</v>
      </c>
      <c r="J461" s="33">
        <f t="shared" si="36"/>
        <v>8.3689994235594811E-2</v>
      </c>
      <c r="K461" s="41">
        <f t="shared" si="37"/>
        <v>2004.5387720308531</v>
      </c>
      <c r="L461" s="41">
        <f>IF($F$444&lt;&gt;0,I461/$F$444*100/Input!$F$58,"")</f>
        <v>0.63544928402897149</v>
      </c>
      <c r="M461" s="10"/>
    </row>
    <row r="462" spans="1:13" x14ac:dyDescent="0.25">
      <c r="A462" s="3" t="s">
        <v>1669</v>
      </c>
      <c r="B462" s="34">
        <f>Standing!$P$92</f>
        <v>0</v>
      </c>
      <c r="C462" s="34">
        <f>Standing!$P$115</f>
        <v>0</v>
      </c>
      <c r="D462" s="34">
        <f>Standing!$P$129</f>
        <v>0</v>
      </c>
      <c r="E462" s="9"/>
      <c r="F462" s="42">
        <f>Standing!$P$38</f>
        <v>5.7651357761009686E-2</v>
      </c>
      <c r="G462" s="34">
        <f>Reactive!$P$35</f>
        <v>0</v>
      </c>
      <c r="H462" s="33">
        <f t="shared" si="35"/>
        <v>0</v>
      </c>
      <c r="I462" s="17">
        <f>0.01*Input!$F$58*(E462*$E$444+F462*$F$444)+10*(B462*$B$444+C462*$C$444+D462*$D$444+G462*$G$444)</f>
        <v>583407.70021975238</v>
      </c>
      <c r="J462" s="33">
        <f t="shared" si="36"/>
        <v>7.5928038947528963E-3</v>
      </c>
      <c r="K462" s="41">
        <f t="shared" si="37"/>
        <v>181.86247871654999</v>
      </c>
      <c r="L462" s="41">
        <f>IF($F$444&lt;&gt;0,I462/$F$444*100/Input!$F$58,"")</f>
        <v>5.7651357761009686E-2</v>
      </c>
      <c r="M462" s="10"/>
    </row>
    <row r="463" spans="1:13" x14ac:dyDescent="0.25">
      <c r="A463" s="3" t="s">
        <v>1670</v>
      </c>
      <c r="B463" s="34">
        <f>Standing!$Q$92</f>
        <v>0</v>
      </c>
      <c r="C463" s="34">
        <f>Standing!$Q$115</f>
        <v>0</v>
      </c>
      <c r="D463" s="34">
        <f>Standing!$Q$129</f>
        <v>0</v>
      </c>
      <c r="E463" s="9"/>
      <c r="F463" s="42">
        <f>Standing!$Q$38</f>
        <v>1.1860902864249774</v>
      </c>
      <c r="G463" s="34">
        <f>Reactive!$Q$35</f>
        <v>0</v>
      </c>
      <c r="H463" s="33">
        <f t="shared" si="35"/>
        <v>0</v>
      </c>
      <c r="I463" s="17">
        <f>0.01*Input!$F$58*(E463*$E$444+F463*$F$444)+10*(B463*$B$444+C463*$C$444+D463*$D$444+G463*$G$444)</f>
        <v>12002739.105030654</v>
      </c>
      <c r="J463" s="33">
        <f t="shared" si="36"/>
        <v>0.15621056113940904</v>
      </c>
      <c r="K463" s="41">
        <f t="shared" si="37"/>
        <v>3741.5479504413902</v>
      </c>
      <c r="L463" s="41">
        <f>IF($F$444&lt;&gt;0,I463/$F$444*100/Input!$F$58,"")</f>
        <v>1.1860902864249774</v>
      </c>
      <c r="M463" s="10"/>
    </row>
    <row r="464" spans="1:13" x14ac:dyDescent="0.25">
      <c r="A464" s="3" t="s">
        <v>1671</v>
      </c>
      <c r="B464" s="34">
        <f>Standing!$R$92</f>
        <v>0</v>
      </c>
      <c r="C464" s="34">
        <f>Standing!$R$115</f>
        <v>0</v>
      </c>
      <c r="D464" s="34">
        <f>Standing!$R$129</f>
        <v>0</v>
      </c>
      <c r="E464" s="9"/>
      <c r="F464" s="42">
        <f>Standing!$R$38</f>
        <v>0</v>
      </c>
      <c r="G464" s="34">
        <f>Reactive!$R$35</f>
        <v>0</v>
      </c>
      <c r="H464" s="33">
        <f t="shared" si="35"/>
        <v>0</v>
      </c>
      <c r="I464" s="17">
        <f>0.01*Input!$F$58*(E464*$E$444+F464*$F$444)+10*(B464*$B$444+C464*$C$444+D464*$D$444+G464*$G$444)</f>
        <v>0</v>
      </c>
      <c r="J464" s="33">
        <f t="shared" si="36"/>
        <v>0</v>
      </c>
      <c r="K464" s="41">
        <f t="shared" si="37"/>
        <v>0</v>
      </c>
      <c r="L464" s="41">
        <f>IF($F$444&lt;&gt;0,I464/$F$444*100/Input!$F$58,"")</f>
        <v>0</v>
      </c>
      <c r="M464" s="10"/>
    </row>
    <row r="465" spans="1:13" x14ac:dyDescent="0.25">
      <c r="A465" s="3" t="s">
        <v>1672</v>
      </c>
      <c r="B465" s="34">
        <f>Standing!$S$92</f>
        <v>0</v>
      </c>
      <c r="C465" s="34">
        <f>Standing!$S$115</f>
        <v>0</v>
      </c>
      <c r="D465" s="34">
        <f>Standing!$S$129</f>
        <v>0</v>
      </c>
      <c r="E465" s="9"/>
      <c r="F465" s="42">
        <f>Standing!$S$38</f>
        <v>0</v>
      </c>
      <c r="G465" s="34">
        <f>Reactive!$S$35</f>
        <v>0</v>
      </c>
      <c r="H465" s="33">
        <f t="shared" si="35"/>
        <v>0</v>
      </c>
      <c r="I465" s="17">
        <f>0.01*Input!$F$58*(E465*$E$444+F465*$F$444)+10*(B465*$B$444+C465*$C$444+D465*$D$444+G465*$G$444)</f>
        <v>0</v>
      </c>
      <c r="J465" s="33">
        <f t="shared" si="36"/>
        <v>0</v>
      </c>
      <c r="K465" s="41">
        <f t="shared" si="37"/>
        <v>0</v>
      </c>
      <c r="L465" s="41">
        <f>IF($F$444&lt;&gt;0,I465/$F$444*100/Input!$F$58,"")</f>
        <v>0</v>
      </c>
      <c r="M465" s="10"/>
    </row>
    <row r="466" spans="1:13" x14ac:dyDescent="0.25">
      <c r="A466" s="3" t="s">
        <v>1673</v>
      </c>
      <c r="B466" s="9"/>
      <c r="C466" s="9"/>
      <c r="D466" s="9"/>
      <c r="E466" s="42">
        <f>Otex!$B$134</f>
        <v>0</v>
      </c>
      <c r="F466" s="9"/>
      <c r="G466" s="9"/>
      <c r="H466" s="33">
        <f t="shared" si="35"/>
        <v>0</v>
      </c>
      <c r="I466" s="17">
        <f>0.01*Input!$F$58*(E466*$E$444+F466*$F$444)+10*(B466*$B$444+C466*$C$444+D466*$D$444+G466*$G$444)</f>
        <v>0</v>
      </c>
      <c r="J466" s="33">
        <f t="shared" si="36"/>
        <v>0</v>
      </c>
      <c r="K466" s="41">
        <f t="shared" si="37"/>
        <v>0</v>
      </c>
      <c r="L466" s="41">
        <f>IF($F$444&lt;&gt;0,I466/$F$444*100/Input!$F$58,"")</f>
        <v>0</v>
      </c>
      <c r="M466" s="10"/>
    </row>
    <row r="467" spans="1:13" x14ac:dyDescent="0.25">
      <c r="A467" s="3" t="s">
        <v>1674</v>
      </c>
      <c r="B467" s="9"/>
      <c r="C467" s="9"/>
      <c r="D467" s="9"/>
      <c r="E467" s="42">
        <f>Otex!$C$134</f>
        <v>60.870906704991079</v>
      </c>
      <c r="F467" s="9"/>
      <c r="G467" s="9"/>
      <c r="H467" s="33">
        <f t="shared" si="35"/>
        <v>0</v>
      </c>
      <c r="I467" s="17">
        <f>0.01*Input!$F$58*(E467*$E$444+F467*$F$444)+10*(B467*$B$444+C467*$C$444+D467*$D$444+G467*$G$444)</f>
        <v>712740.90833414148</v>
      </c>
      <c r="J467" s="33">
        <f t="shared" si="36"/>
        <v>9.2760207702276797E-3</v>
      </c>
      <c r="K467" s="41">
        <f t="shared" si="37"/>
        <v>222.17880947321743</v>
      </c>
      <c r="L467" s="41">
        <f>IF($F$444&lt;&gt;0,I467/$F$444*100/Input!$F$58,"")</f>
        <v>7.0431845657506792E-2</v>
      </c>
      <c r="M467" s="10"/>
    </row>
    <row r="468" spans="1:13" x14ac:dyDescent="0.25">
      <c r="A468" s="3" t="s">
        <v>1675</v>
      </c>
      <c r="B468" s="34">
        <f>Scaler!$B$429</f>
        <v>4.9971679181384827</v>
      </c>
      <c r="C468" s="34">
        <f>Scaler!$C$429</f>
        <v>0</v>
      </c>
      <c r="D468" s="34">
        <f>Scaler!$D$429</f>
        <v>1.3145460984405907E-2</v>
      </c>
      <c r="E468" s="42">
        <f>Scaler!$E$429</f>
        <v>0</v>
      </c>
      <c r="F468" s="42">
        <f>Scaler!$F$429</f>
        <v>0</v>
      </c>
      <c r="G468" s="34">
        <f>Scaler!$G$429</f>
        <v>0.13787108904181897</v>
      </c>
      <c r="H468" s="33">
        <f t="shared" si="35"/>
        <v>0.50986241428233436</v>
      </c>
      <c r="I468" s="17">
        <f>0.01*Input!$F$58*(E468*$E$444+F468*$F$444)+10*(B468*$B$444+C468*$C$444+D468*$D$444+G468*$G$444)</f>
        <v>39176259.872918516</v>
      </c>
      <c r="J468" s="33">
        <f t="shared" si="36"/>
        <v>0.50986241428233436</v>
      </c>
      <c r="K468" s="41">
        <f t="shared" si="37"/>
        <v>12212.200361169409</v>
      </c>
      <c r="L468" s="41">
        <f>IF($F$444&lt;&gt;0,I468/$F$444*100/Input!$F$58,"")</f>
        <v>3.8713314425249767</v>
      </c>
      <c r="M468" s="10"/>
    </row>
    <row r="469" spans="1:13" x14ac:dyDescent="0.25">
      <c r="A469" s="3" t="s">
        <v>1676</v>
      </c>
      <c r="B469" s="34">
        <f>Adjust!$B$85</f>
        <v>2.7310169204319834E-5</v>
      </c>
      <c r="C469" s="34">
        <f>Adjust!$C$85</f>
        <v>3.7954664131700788E-4</v>
      </c>
      <c r="D469" s="34">
        <f>Adjust!$D$85</f>
        <v>2.7585894466864921E-4</v>
      </c>
      <c r="E469" s="42">
        <f>Adjust!$E$85</f>
        <v>-9.06704991081142E-4</v>
      </c>
      <c r="F469" s="42">
        <f>Adjust!$F$85</f>
        <v>-4.9142058549245249E-3</v>
      </c>
      <c r="G469" s="34">
        <f>Adjust!$G$85</f>
        <v>4.053527440178728E-4</v>
      </c>
      <c r="H469" s="33">
        <f t="shared" si="35"/>
        <v>3.2716082657768711E-4</v>
      </c>
      <c r="I469" s="17">
        <f>0.01*Input!$F$58*(E469*$E$444+F469*$F$444)+10*(B469*$B$444+C469*$C$444+D469*$D$444+G469*$G$444)</f>
        <v>-24602.29895578415</v>
      </c>
      <c r="J469" s="33">
        <f t="shared" si="36"/>
        <v>-3.2018849127461095E-4</v>
      </c>
      <c r="K469" s="41">
        <f t="shared" si="37"/>
        <v>-7.6691395546188081</v>
      </c>
      <c r="L469" s="41">
        <f>IF($F$444&lt;&gt;0,I469/$F$444*100/Input!$F$58,"")</f>
        <v>-2.43115738497962E-3</v>
      </c>
      <c r="M469" s="10"/>
    </row>
    <row r="471" spans="1:13" x14ac:dyDescent="0.25">
      <c r="A471" s="3" t="s">
        <v>1677</v>
      </c>
      <c r="B471" s="33">
        <f>SUM($B$447:$B$469)</f>
        <v>7.391</v>
      </c>
      <c r="C471" s="33">
        <f>SUM($C$447:$C$469)</f>
        <v>0.121</v>
      </c>
      <c r="D471" s="33">
        <f>SUM($D$447:$D$469)</f>
        <v>2.1000000000000001E-2</v>
      </c>
      <c r="E471" s="41">
        <f>SUM($E$447:$E$469)</f>
        <v>60.87</v>
      </c>
      <c r="F471" s="41">
        <f>SUM($F$447:$F$469)</f>
        <v>4.09</v>
      </c>
      <c r="G471" s="33">
        <f>SUM($G$447:$G$469)</f>
        <v>0.216</v>
      </c>
      <c r="H471" s="33">
        <f>SUM(H$447:H$469)</f>
        <v>0.8019023130066355</v>
      </c>
      <c r="I471" s="17">
        <f>SUM($I$447:$I$469)</f>
        <v>103717532.32842033</v>
      </c>
      <c r="J471" s="33">
        <f>SUM($J$447:$J$469)</f>
        <v>1.3498397143554306</v>
      </c>
      <c r="K471" s="41">
        <f>SUM($K$447:$K$469)</f>
        <v>32331.296807542214</v>
      </c>
      <c r="L471" s="41">
        <f>SUM($L$447:$L$469)</f>
        <v>10.249190334825139</v>
      </c>
    </row>
    <row r="473" spans="1:13" ht="21" customHeight="1" x14ac:dyDescent="0.3">
      <c r="A473" s="1" t="s">
        <v>213</v>
      </c>
    </row>
    <row r="475" spans="1:13" x14ac:dyDescent="0.25">
      <c r="B475" s="12" t="s">
        <v>222</v>
      </c>
      <c r="C475" s="12" t="s">
        <v>1658</v>
      </c>
    </row>
    <row r="476" spans="1:13" x14ac:dyDescent="0.25">
      <c r="A476" s="3" t="s">
        <v>213</v>
      </c>
      <c r="B476" s="39">
        <f>Loads!B$316</f>
        <v>50744.899374625769</v>
      </c>
      <c r="C476" s="39">
        <f>Multi!B$133</f>
        <v>50744.899374625769</v>
      </c>
      <c r="D476" s="10"/>
    </row>
    <row r="478" spans="1:13" x14ac:dyDescent="0.25">
      <c r="B478" s="12" t="s">
        <v>1489</v>
      </c>
      <c r="C478" s="12" t="s">
        <v>1660</v>
      </c>
      <c r="D478" s="12" t="s">
        <v>1630</v>
      </c>
    </row>
    <row r="479" spans="1:13" x14ac:dyDescent="0.25">
      <c r="A479" s="3" t="s">
        <v>456</v>
      </c>
      <c r="B479" s="34">
        <f>Yard!$C$75</f>
        <v>8.7327567060378752E-2</v>
      </c>
      <c r="C479" s="17">
        <f t="shared" ref="C479:C499" si="38">0+10*(B479*$B$476)</f>
        <v>44314.286031098032</v>
      </c>
      <c r="D479" s="33">
        <f t="shared" ref="D479:D499" si="39">IF($C$476&lt;&gt;0,0.1*C479/$C$476,"")</f>
        <v>8.7327567060378752E-2</v>
      </c>
      <c r="E479" s="10"/>
    </row>
    <row r="480" spans="1:13" x14ac:dyDescent="0.25">
      <c r="A480" s="3" t="s">
        <v>457</v>
      </c>
      <c r="B480" s="34">
        <f>Yard!$D$75</f>
        <v>4.395348145715279E-2</v>
      </c>
      <c r="C480" s="17">
        <f t="shared" si="38"/>
        <v>22304.149937076982</v>
      </c>
      <c r="D480" s="33">
        <f t="shared" si="39"/>
        <v>4.3953481457152797E-2</v>
      </c>
      <c r="E480" s="10"/>
    </row>
    <row r="481" spans="1:5" x14ac:dyDescent="0.25">
      <c r="A481" s="3" t="s">
        <v>458</v>
      </c>
      <c r="B481" s="34">
        <f>Yard!$E$75</f>
        <v>5.3638828597786042E-2</v>
      </c>
      <c r="C481" s="17">
        <f t="shared" si="38"/>
        <v>27218.969597674517</v>
      </c>
      <c r="D481" s="33">
        <f t="shared" si="39"/>
        <v>5.3638828597786042E-2</v>
      </c>
      <c r="E481" s="10"/>
    </row>
    <row r="482" spans="1:5" x14ac:dyDescent="0.25">
      <c r="A482" s="3" t="s">
        <v>459</v>
      </c>
      <c r="B482" s="34">
        <f>Yard!$F$75</f>
        <v>8.6913727172314451E-2</v>
      </c>
      <c r="C482" s="17">
        <f t="shared" si="38"/>
        <v>44104.283396327744</v>
      </c>
      <c r="D482" s="33">
        <f t="shared" si="39"/>
        <v>8.6913727172314451E-2</v>
      </c>
      <c r="E482" s="10"/>
    </row>
    <row r="483" spans="1:5" x14ac:dyDescent="0.25">
      <c r="A483" s="3" t="s">
        <v>460</v>
      </c>
      <c r="B483" s="34">
        <f>Yard!$G$75</f>
        <v>7.2991912635875979E-3</v>
      </c>
      <c r="C483" s="17">
        <f t="shared" si="38"/>
        <v>3703.967261869002</v>
      </c>
      <c r="D483" s="33">
        <f t="shared" si="39"/>
        <v>7.2991912635875979E-3</v>
      </c>
      <c r="E483" s="10"/>
    </row>
    <row r="484" spans="1:5" x14ac:dyDescent="0.25">
      <c r="A484" s="3" t="s">
        <v>461</v>
      </c>
      <c r="B484" s="34">
        <f>Yard!$H$75</f>
        <v>0.11322867827178149</v>
      </c>
      <c r="C484" s="17">
        <f t="shared" si="38"/>
        <v>57457.778852234267</v>
      </c>
      <c r="D484" s="33">
        <f t="shared" si="39"/>
        <v>0.11322867827178149</v>
      </c>
      <c r="E484" s="10"/>
    </row>
    <row r="485" spans="1:5" x14ac:dyDescent="0.25">
      <c r="A485" s="3" t="s">
        <v>462</v>
      </c>
      <c r="B485" s="34">
        <f>Yard!$I$75</f>
        <v>2.687343791105528E-2</v>
      </c>
      <c r="C485" s="17">
        <f t="shared" si="38"/>
        <v>13636.899026467536</v>
      </c>
      <c r="D485" s="33">
        <f t="shared" si="39"/>
        <v>2.687343791105528E-2</v>
      </c>
      <c r="E485" s="10"/>
    </row>
    <row r="486" spans="1:5" x14ac:dyDescent="0.25">
      <c r="A486" s="3" t="s">
        <v>463</v>
      </c>
      <c r="B486" s="34">
        <f>Yard!$J$75</f>
        <v>1.1165633657019903E-2</v>
      </c>
      <c r="C486" s="17">
        <f t="shared" si="38"/>
        <v>5665.9895637940972</v>
      </c>
      <c r="D486" s="33">
        <f t="shared" si="39"/>
        <v>1.1165633657019903E-2</v>
      </c>
      <c r="E486" s="10"/>
    </row>
    <row r="487" spans="1:5" x14ac:dyDescent="0.25">
      <c r="A487" s="3" t="s">
        <v>1662</v>
      </c>
      <c r="B487" s="9"/>
      <c r="C487" s="17">
        <f t="shared" si="38"/>
        <v>0</v>
      </c>
      <c r="D487" s="33">
        <f t="shared" si="39"/>
        <v>0</v>
      </c>
      <c r="E487" s="10"/>
    </row>
    <row r="488" spans="1:5" x14ac:dyDescent="0.25">
      <c r="A488" s="3" t="s">
        <v>1664</v>
      </c>
      <c r="B488" s="34">
        <f>Yard!$K$75</f>
        <v>3.7293785971893846E-2</v>
      </c>
      <c r="C488" s="17">
        <f t="shared" si="38"/>
        <v>18924.694164425833</v>
      </c>
      <c r="D488" s="33">
        <f t="shared" si="39"/>
        <v>3.7293785971893846E-2</v>
      </c>
      <c r="E488" s="10"/>
    </row>
    <row r="489" spans="1:5" x14ac:dyDescent="0.25">
      <c r="A489" s="3" t="s">
        <v>1665</v>
      </c>
      <c r="B489" s="34">
        <f>Yard!$L$75</f>
        <v>3.9522160354699624E-2</v>
      </c>
      <c r="C489" s="17">
        <f t="shared" si="38"/>
        <v>20055.480502670565</v>
      </c>
      <c r="D489" s="33">
        <f t="shared" si="39"/>
        <v>3.9522160354699631E-2</v>
      </c>
      <c r="E489" s="10"/>
    </row>
    <row r="490" spans="1:5" x14ac:dyDescent="0.25">
      <c r="A490" s="3" t="s">
        <v>1666</v>
      </c>
      <c r="B490" s="34">
        <f>Yard!$M$75</f>
        <v>1.9892189840761781E-2</v>
      </c>
      <c r="C490" s="17">
        <f t="shared" si="38"/>
        <v>10094.271718104097</v>
      </c>
      <c r="D490" s="33">
        <f t="shared" si="39"/>
        <v>1.9892189840761784E-2</v>
      </c>
      <c r="E490" s="10"/>
    </row>
    <row r="491" spans="1:5" x14ac:dyDescent="0.25">
      <c r="A491" s="3" t="s">
        <v>1667</v>
      </c>
      <c r="B491" s="34">
        <f>Yard!$N$75</f>
        <v>2.4275523256181212E-2</v>
      </c>
      <c r="C491" s="17">
        <f t="shared" si="38"/>
        <v>12318.589849013033</v>
      </c>
      <c r="D491" s="33">
        <f t="shared" si="39"/>
        <v>2.4275523256181212E-2</v>
      </c>
      <c r="E491" s="10"/>
    </row>
    <row r="492" spans="1:5" x14ac:dyDescent="0.25">
      <c r="A492" s="3" t="s">
        <v>1668</v>
      </c>
      <c r="B492" s="34">
        <f>Yard!$O$75</f>
        <v>3.933486730431681E-2</v>
      </c>
      <c r="C492" s="17">
        <f t="shared" si="38"/>
        <v>19960.438832718137</v>
      </c>
      <c r="D492" s="33">
        <f t="shared" si="39"/>
        <v>3.933486730431681E-2</v>
      </c>
      <c r="E492" s="10"/>
    </row>
    <row r="493" spans="1:5" x14ac:dyDescent="0.25">
      <c r="A493" s="3" t="s">
        <v>1669</v>
      </c>
      <c r="B493" s="34">
        <f>Yard!$P$75</f>
        <v>3.3034220154063731E-3</v>
      </c>
      <c r="C493" s="17">
        <f t="shared" si="38"/>
        <v>1676.3181776371985</v>
      </c>
      <c r="D493" s="33">
        <f t="shared" si="39"/>
        <v>3.3034220154063731E-3</v>
      </c>
      <c r="E493" s="10"/>
    </row>
    <row r="494" spans="1:5" x14ac:dyDescent="0.25">
      <c r="A494" s="3" t="s">
        <v>1670</v>
      </c>
      <c r="B494" s="34">
        <f>Yard!$Q$75</f>
        <v>9.8382837101369108E-2</v>
      </c>
      <c r="C494" s="17">
        <f t="shared" si="38"/>
        <v>49924.271688991736</v>
      </c>
      <c r="D494" s="33">
        <f t="shared" si="39"/>
        <v>9.8382837101369108E-2</v>
      </c>
      <c r="E494" s="10"/>
    </row>
    <row r="495" spans="1:5" x14ac:dyDescent="0.25">
      <c r="A495" s="3" t="s">
        <v>1671</v>
      </c>
      <c r="B495" s="34">
        <f>Yard!$R$75</f>
        <v>4.1783605810304277E-2</v>
      </c>
      <c r="C495" s="17">
        <f t="shared" si="38"/>
        <v>21203.048723529191</v>
      </c>
      <c r="D495" s="33">
        <f t="shared" si="39"/>
        <v>4.1783605810304277E-2</v>
      </c>
      <c r="E495" s="10"/>
    </row>
    <row r="496" spans="1:5" x14ac:dyDescent="0.25">
      <c r="A496" s="3" t="s">
        <v>1672</v>
      </c>
      <c r="B496" s="34">
        <f>Yard!$S$75</f>
        <v>8.2454171809057952E-2</v>
      </c>
      <c r="C496" s="17">
        <f t="shared" si="38"/>
        <v>41841.286514687512</v>
      </c>
      <c r="D496" s="33">
        <f t="shared" si="39"/>
        <v>8.245417180905798E-2</v>
      </c>
      <c r="E496" s="10"/>
    </row>
    <row r="497" spans="1:5" x14ac:dyDescent="0.25">
      <c r="A497" s="3" t="s">
        <v>1673</v>
      </c>
      <c r="B497" s="34">
        <f>Otex!$B$156</f>
        <v>0.57156617717465663</v>
      </c>
      <c r="C497" s="17">
        <f t="shared" si="38"/>
        <v>290040.68146667478</v>
      </c>
      <c r="D497" s="33">
        <f t="shared" si="39"/>
        <v>0.57156617717465674</v>
      </c>
      <c r="E497" s="10"/>
    </row>
    <row r="498" spans="1:5" x14ac:dyDescent="0.25">
      <c r="A498" s="3" t="s">
        <v>1675</v>
      </c>
      <c r="B498" s="34">
        <f>Scaler!$B$430</f>
        <v>0.50610584065628739</v>
      </c>
      <c r="C498" s="17">
        <f t="shared" si="38"/>
        <v>256822.89957013685</v>
      </c>
      <c r="D498" s="33">
        <f t="shared" si="39"/>
        <v>0.50610584065628739</v>
      </c>
      <c r="E498" s="10"/>
    </row>
    <row r="499" spans="1:5" x14ac:dyDescent="0.25">
      <c r="A499" s="3" t="s">
        <v>1676</v>
      </c>
      <c r="B499" s="34">
        <f>Adjust!$B$86</f>
        <v>-3.1512668601130223E-4</v>
      </c>
      <c r="C499" s="17">
        <f t="shared" si="38"/>
        <v>-159.91071971902821</v>
      </c>
      <c r="D499" s="33">
        <f t="shared" si="39"/>
        <v>-3.1512668601130223E-4</v>
      </c>
      <c r="E499" s="10"/>
    </row>
    <row r="501" spans="1:5" x14ac:dyDescent="0.25">
      <c r="A501" s="3" t="s">
        <v>1677</v>
      </c>
      <c r="B501" s="33">
        <f>SUM($B$479:$B$499)</f>
        <v>1.8939999999999999</v>
      </c>
      <c r="C501" s="17">
        <f>SUM($C$479:$C$499)</f>
        <v>961108.39415541198</v>
      </c>
      <c r="D501" s="33">
        <f>SUM($D$479:$D$499)</f>
        <v>1.8940000000000003</v>
      </c>
    </row>
    <row r="503" spans="1:5" ht="21" customHeight="1" x14ac:dyDescent="0.3">
      <c r="A503" s="1" t="s">
        <v>214</v>
      </c>
    </row>
    <row r="505" spans="1:5" x14ac:dyDescent="0.25">
      <c r="B505" s="12" t="s">
        <v>222</v>
      </c>
      <c r="C505" s="12" t="s">
        <v>1658</v>
      </c>
    </row>
    <row r="506" spans="1:5" x14ac:dyDescent="0.25">
      <c r="A506" s="3" t="s">
        <v>214</v>
      </c>
      <c r="B506" s="39">
        <f>Loads!B$317</f>
        <v>23328.46630202439</v>
      </c>
      <c r="C506" s="39">
        <f>Multi!B$134</f>
        <v>23328.46630202439</v>
      </c>
      <c r="D506" s="10"/>
    </row>
    <row r="508" spans="1:5" x14ac:dyDescent="0.25">
      <c r="B508" s="12" t="s">
        <v>1489</v>
      </c>
      <c r="C508" s="12" t="s">
        <v>1660</v>
      </c>
      <c r="D508" s="12" t="s">
        <v>1630</v>
      </c>
    </row>
    <row r="509" spans="1:5" x14ac:dyDescent="0.25">
      <c r="A509" s="3" t="s">
        <v>456</v>
      </c>
      <c r="B509" s="34">
        <f>Yard!$C$76</f>
        <v>0.13010750724123898</v>
      </c>
      <c r="C509" s="17">
        <f t="shared" ref="C509:C529" si="40">0+10*(B509*$B$506)</f>
        <v>30352.085983176381</v>
      </c>
      <c r="D509" s="33">
        <f t="shared" ref="D509:D529" si="41">IF($C$506&lt;&gt;0,0.1*C509/$C$506,"")</f>
        <v>0.13010750724123901</v>
      </c>
      <c r="E509" s="10"/>
    </row>
    <row r="510" spans="1:5" x14ac:dyDescent="0.25">
      <c r="A510" s="3" t="s">
        <v>457</v>
      </c>
      <c r="B510" s="34">
        <f>Yard!$D$76</f>
        <v>6.5485368474885411E-2</v>
      </c>
      <c r="C510" s="17">
        <f t="shared" si="40"/>
        <v>15276.732117420146</v>
      </c>
      <c r="D510" s="33">
        <f t="shared" si="41"/>
        <v>6.5485368474885411E-2</v>
      </c>
      <c r="E510" s="10"/>
    </row>
    <row r="511" spans="1:5" x14ac:dyDescent="0.25">
      <c r="A511" s="3" t="s">
        <v>458</v>
      </c>
      <c r="B511" s="34">
        <f>Yard!$E$76</f>
        <v>6.7050419693824317E-2</v>
      </c>
      <c r="C511" s="17">
        <f t="shared" si="40"/>
        <v>15641.834563639732</v>
      </c>
      <c r="D511" s="33">
        <f t="shared" si="41"/>
        <v>6.7050419693824317E-2</v>
      </c>
      <c r="E511" s="10"/>
    </row>
    <row r="512" spans="1:5" x14ac:dyDescent="0.25">
      <c r="A512" s="3" t="s">
        <v>459</v>
      </c>
      <c r="B512" s="34">
        <f>Yard!$F$76</f>
        <v>0.10864521162005319</v>
      </c>
      <c r="C512" s="17">
        <f t="shared" si="40"/>
        <v>25345.261581547198</v>
      </c>
      <c r="D512" s="33">
        <f t="shared" si="41"/>
        <v>0.10864521162005322</v>
      </c>
      <c r="E512" s="10"/>
    </row>
    <row r="513" spans="1:5" x14ac:dyDescent="0.25">
      <c r="A513" s="3" t="s">
        <v>460</v>
      </c>
      <c r="B513" s="34">
        <f>Yard!$G$76</f>
        <v>1.0874911693415184E-2</v>
      </c>
      <c r="C513" s="17">
        <f t="shared" si="40"/>
        <v>2536.9501097732709</v>
      </c>
      <c r="D513" s="33">
        <f t="shared" si="41"/>
        <v>1.0874911693415184E-2</v>
      </c>
      <c r="E513" s="10"/>
    </row>
    <row r="514" spans="1:5" x14ac:dyDescent="0.25">
      <c r="A514" s="3" t="s">
        <v>461</v>
      </c>
      <c r="B514" s="34">
        <f>Yard!$H$76</f>
        <v>0.14153982474951582</v>
      </c>
      <c r="C514" s="17">
        <f t="shared" si="40"/>
        <v>33019.070320635175</v>
      </c>
      <c r="D514" s="33">
        <f t="shared" si="41"/>
        <v>0.14153982474951582</v>
      </c>
      <c r="E514" s="10"/>
    </row>
    <row r="515" spans="1:5" x14ac:dyDescent="0.25">
      <c r="A515" s="3" t="s">
        <v>462</v>
      </c>
      <c r="B515" s="34">
        <f>Yard!$I$76</f>
        <v>3.3592741259576259E-2</v>
      </c>
      <c r="C515" s="17">
        <f t="shared" si="40"/>
        <v>7836.6713246664913</v>
      </c>
      <c r="D515" s="33">
        <f t="shared" si="41"/>
        <v>3.3592741259576259E-2</v>
      </c>
      <c r="E515" s="10"/>
    </row>
    <row r="516" spans="1:5" x14ac:dyDescent="0.25">
      <c r="A516" s="3" t="s">
        <v>463</v>
      </c>
      <c r="B516" s="34">
        <f>Yard!$J$76</f>
        <v>1.3957434239747291E-2</v>
      </c>
      <c r="C516" s="17">
        <f t="shared" si="40"/>
        <v>3256.0553432466613</v>
      </c>
      <c r="D516" s="33">
        <f t="shared" si="41"/>
        <v>1.3957434239747294E-2</v>
      </c>
      <c r="E516" s="10"/>
    </row>
    <row r="517" spans="1:5" x14ac:dyDescent="0.25">
      <c r="A517" s="3" t="s">
        <v>1662</v>
      </c>
      <c r="B517" s="9"/>
      <c r="C517" s="17">
        <f t="shared" si="40"/>
        <v>0</v>
      </c>
      <c r="D517" s="33">
        <f t="shared" si="41"/>
        <v>0</v>
      </c>
      <c r="E517" s="10"/>
    </row>
    <row r="518" spans="1:5" x14ac:dyDescent="0.25">
      <c r="A518" s="3" t="s">
        <v>1664</v>
      </c>
      <c r="B518" s="34">
        <f>Yard!$K$76</f>
        <v>6.2730152491812935E-2</v>
      </c>
      <c r="C518" s="17">
        <f t="shared" si="40"/>
        <v>14633.982485261095</v>
      </c>
      <c r="D518" s="33">
        <f t="shared" si="41"/>
        <v>6.2730152491812935E-2</v>
      </c>
      <c r="E518" s="10"/>
    </row>
    <row r="519" spans="1:5" x14ac:dyDescent="0.25">
      <c r="A519" s="3" t="s">
        <v>1665</v>
      </c>
      <c r="B519" s="34">
        <f>Yard!$L$76</f>
        <v>5.8883236275014877E-2</v>
      </c>
      <c r="C519" s="17">
        <f t="shared" si="40"/>
        <v>13736.555931958246</v>
      </c>
      <c r="D519" s="33">
        <f t="shared" si="41"/>
        <v>5.8883236275014871E-2</v>
      </c>
      <c r="E519" s="10"/>
    </row>
    <row r="520" spans="1:5" x14ac:dyDescent="0.25">
      <c r="A520" s="3" t="s">
        <v>1666</v>
      </c>
      <c r="B520" s="34">
        <f>Yard!$M$76</f>
        <v>2.9636955670155916E-2</v>
      </c>
      <c r="C520" s="17">
        <f t="shared" si="40"/>
        <v>6913.8472164582299</v>
      </c>
      <c r="D520" s="33">
        <f t="shared" si="41"/>
        <v>2.9636955670155916E-2</v>
      </c>
      <c r="E520" s="10"/>
    </row>
    <row r="521" spans="1:5" x14ac:dyDescent="0.25">
      <c r="A521" s="3" t="s">
        <v>1667</v>
      </c>
      <c r="B521" s="34">
        <f>Yard!$N$76</f>
        <v>3.0345256694910856E-2</v>
      </c>
      <c r="C521" s="17">
        <f t="shared" si="40"/>
        <v>7079.0829823350796</v>
      </c>
      <c r="D521" s="33">
        <f t="shared" si="41"/>
        <v>3.0345256694910862E-2</v>
      </c>
      <c r="E521" s="10"/>
    </row>
    <row r="522" spans="1:5" x14ac:dyDescent="0.25">
      <c r="A522" s="3" t="s">
        <v>1668</v>
      </c>
      <c r="B522" s="34">
        <f>Yard!$O$76</f>
        <v>4.9169965681617994E-2</v>
      </c>
      <c r="C522" s="17">
        <f t="shared" si="40"/>
        <v>11470.598874753212</v>
      </c>
      <c r="D522" s="33">
        <f t="shared" si="41"/>
        <v>4.9169965681617994E-2</v>
      </c>
      <c r="E522" s="10"/>
    </row>
    <row r="523" spans="1:5" x14ac:dyDescent="0.25">
      <c r="A523" s="3" t="s">
        <v>1669</v>
      </c>
      <c r="B523" s="34">
        <f>Yard!$P$76</f>
        <v>4.9216990494328891E-3</v>
      </c>
      <c r="C523" s="17">
        <f t="shared" si="40"/>
        <v>1148.1569042340063</v>
      </c>
      <c r="D523" s="33">
        <f t="shared" si="41"/>
        <v>4.9216990494328899E-3</v>
      </c>
      <c r="E523" s="10"/>
    </row>
    <row r="524" spans="1:5" x14ac:dyDescent="0.25">
      <c r="A524" s="3" t="s">
        <v>1670</v>
      </c>
      <c r="B524" s="34">
        <f>Yard!$Q$76</f>
        <v>0.12298200185878452</v>
      </c>
      <c r="C524" s="17">
        <f t="shared" si="40"/>
        <v>28689.814861181556</v>
      </c>
      <c r="D524" s="33">
        <f t="shared" si="41"/>
        <v>0.12298200185878452</v>
      </c>
      <c r="E524" s="10"/>
    </row>
    <row r="525" spans="1:5" x14ac:dyDescent="0.25">
      <c r="A525" s="3" t="s">
        <v>1671</v>
      </c>
      <c r="B525" s="34">
        <f>Yard!$R$76</f>
        <v>5.223097482068903E-2</v>
      </c>
      <c r="C525" s="17">
        <f t="shared" si="40"/>
        <v>12184.685360263284</v>
      </c>
      <c r="D525" s="33">
        <f t="shared" si="41"/>
        <v>5.223097482068903E-2</v>
      </c>
      <c r="E525" s="10"/>
    </row>
    <row r="526" spans="1:5" x14ac:dyDescent="0.25">
      <c r="A526" s="3" t="s">
        <v>1672</v>
      </c>
      <c r="B526" s="34">
        <f>Yard!$S$76</f>
        <v>0.10307061078384971</v>
      </c>
      <c r="C526" s="17">
        <f t="shared" si="40"/>
        <v>24044.792704001098</v>
      </c>
      <c r="D526" s="33">
        <f t="shared" si="41"/>
        <v>0.10307061078384971</v>
      </c>
      <c r="E526" s="10"/>
    </row>
    <row r="527" spans="1:5" x14ac:dyDescent="0.25">
      <c r="A527" s="3" t="s">
        <v>1673</v>
      </c>
      <c r="B527" s="34">
        <f>Otex!$B$157</f>
        <v>0.57156617717465663</v>
      </c>
      <c r="C527" s="17">
        <f t="shared" si="40"/>
        <v>133337.62303595879</v>
      </c>
      <c r="D527" s="33">
        <f t="shared" si="41"/>
        <v>0.57156617717465674</v>
      </c>
      <c r="E527" s="10"/>
    </row>
    <row r="528" spans="1:5" x14ac:dyDescent="0.25">
      <c r="A528" s="3" t="s">
        <v>1675</v>
      </c>
      <c r="B528" s="34">
        <f>Scaler!$B$431</f>
        <v>0.85129722644123007</v>
      </c>
      <c r="C528" s="17">
        <f t="shared" si="40"/>
        <v>198594.58660041064</v>
      </c>
      <c r="D528" s="33">
        <f t="shared" si="41"/>
        <v>0.85129722644123018</v>
      </c>
      <c r="E528" s="10"/>
    </row>
    <row r="529" spans="1:5" x14ac:dyDescent="0.25">
      <c r="A529" s="3" t="s">
        <v>1676</v>
      </c>
      <c r="B529" s="34">
        <f>Adjust!$B$87</f>
        <v>-8.7675914411722289E-5</v>
      </c>
      <c r="C529" s="17">
        <f t="shared" si="40"/>
        <v>-20.453446148530379</v>
      </c>
      <c r="D529" s="33">
        <f t="shared" si="41"/>
        <v>-8.7675914411722289E-5</v>
      </c>
      <c r="E529" s="10"/>
    </row>
    <row r="531" spans="1:5" x14ac:dyDescent="0.25">
      <c r="A531" s="3" t="s">
        <v>1677</v>
      </c>
      <c r="B531" s="33">
        <f>SUM($B$509:$B$529)</f>
        <v>2.508</v>
      </c>
      <c r="C531" s="17">
        <f>SUM($C$509:$C$529)</f>
        <v>585077.93485477183</v>
      </c>
      <c r="D531" s="33">
        <f>SUM($D$509:$D$529)</f>
        <v>2.5080000000000005</v>
      </c>
    </row>
    <row r="533" spans="1:5" ht="21" customHeight="1" x14ac:dyDescent="0.3">
      <c r="A533" s="1" t="s">
        <v>215</v>
      </c>
    </row>
    <row r="535" spans="1:5" x14ac:dyDescent="0.25">
      <c r="B535" s="12" t="s">
        <v>222</v>
      </c>
      <c r="C535" s="12" t="s">
        <v>1658</v>
      </c>
    </row>
    <row r="536" spans="1:5" x14ac:dyDescent="0.25">
      <c r="A536" s="3" t="s">
        <v>215</v>
      </c>
      <c r="B536" s="39">
        <f>Loads!B$318</f>
        <v>356.22882700287499</v>
      </c>
      <c r="C536" s="39">
        <f>Multi!B$135</f>
        <v>356.22882700287499</v>
      </c>
      <c r="D536" s="10"/>
    </row>
    <row r="538" spans="1:5" x14ac:dyDescent="0.25">
      <c r="B538" s="12" t="s">
        <v>1489</v>
      </c>
      <c r="C538" s="12" t="s">
        <v>1660</v>
      </c>
      <c r="D538" s="12" t="s">
        <v>1630</v>
      </c>
    </row>
    <row r="539" spans="1:5" x14ac:dyDescent="0.25">
      <c r="A539" s="3" t="s">
        <v>456</v>
      </c>
      <c r="B539" s="34">
        <f>Yard!$C$77</f>
        <v>0.23521502486975984</v>
      </c>
      <c r="C539" s="17">
        <f t="shared" ref="C539:C559" si="42">0+10*(B539*$B$536)</f>
        <v>837.90372402806622</v>
      </c>
      <c r="D539" s="33">
        <f t="shared" ref="D539:D559" si="43">IF($C$536&lt;&gt;0,0.1*C539/$C$536,"")</f>
        <v>0.23521502486975987</v>
      </c>
      <c r="E539" s="10"/>
    </row>
    <row r="540" spans="1:5" x14ac:dyDescent="0.25">
      <c r="A540" s="3" t="s">
        <v>457</v>
      </c>
      <c r="B540" s="34">
        <f>Yard!$D$77</f>
        <v>0.11838780790616341</v>
      </c>
      <c r="C540" s="17">
        <f t="shared" si="42"/>
        <v>421.73149941854274</v>
      </c>
      <c r="D540" s="33">
        <f t="shared" si="43"/>
        <v>0.11838780790616339</v>
      </c>
      <c r="E540" s="10"/>
    </row>
    <row r="541" spans="1:5" x14ac:dyDescent="0.25">
      <c r="A541" s="3" t="s">
        <v>458</v>
      </c>
      <c r="B541" s="34">
        <f>Yard!$E$77</f>
        <v>0.1184972189773822</v>
      </c>
      <c r="C541" s="17">
        <f t="shared" si="42"/>
        <v>422.12125319415685</v>
      </c>
      <c r="D541" s="33">
        <f t="shared" si="43"/>
        <v>0.11849721897738223</v>
      </c>
      <c r="E541" s="10"/>
    </row>
    <row r="542" spans="1:5" x14ac:dyDescent="0.25">
      <c r="A542" s="3" t="s">
        <v>459</v>
      </c>
      <c r="B542" s="34">
        <f>Yard!$F$77</f>
        <v>0.19200708199849273</v>
      </c>
      <c r="C542" s="17">
        <f t="shared" si="42"/>
        <v>683.98457596567891</v>
      </c>
      <c r="D542" s="33">
        <f t="shared" si="43"/>
        <v>0.1920070819984927</v>
      </c>
      <c r="E542" s="10"/>
    </row>
    <row r="543" spans="1:5" x14ac:dyDescent="0.25">
      <c r="A543" s="3" t="s">
        <v>460</v>
      </c>
      <c r="B543" s="34">
        <f>Yard!$G$77</f>
        <v>1.9660223139009829E-2</v>
      </c>
      <c r="C543" s="17">
        <f t="shared" si="42"/>
        <v>70.035382274242522</v>
      </c>
      <c r="D543" s="33">
        <f t="shared" si="43"/>
        <v>1.9660223139009829E-2</v>
      </c>
      <c r="E543" s="10"/>
    </row>
    <row r="544" spans="1:5" x14ac:dyDescent="0.25">
      <c r="A544" s="3" t="s">
        <v>461</v>
      </c>
      <c r="B544" s="34">
        <f>Yard!$H$77</f>
        <v>0.25014124719801678</v>
      </c>
      <c r="C544" s="17">
        <f t="shared" si="42"/>
        <v>891.07523074385711</v>
      </c>
      <c r="D544" s="33">
        <f t="shared" si="43"/>
        <v>0.25014124719801678</v>
      </c>
      <c r="E544" s="10"/>
    </row>
    <row r="545" spans="1:5" x14ac:dyDescent="0.25">
      <c r="A545" s="3" t="s">
        <v>462</v>
      </c>
      <c r="B545" s="34">
        <f>Yard!$I$77</f>
        <v>5.9367956759459148E-2</v>
      </c>
      <c r="C545" s="17">
        <f t="shared" si="42"/>
        <v>211.48577597979536</v>
      </c>
      <c r="D545" s="33">
        <f t="shared" si="43"/>
        <v>5.9367956759459155E-2</v>
      </c>
      <c r="E545" s="10"/>
    </row>
    <row r="546" spans="1:5" x14ac:dyDescent="0.25">
      <c r="A546" s="3" t="s">
        <v>463</v>
      </c>
      <c r="B546" s="34">
        <f>Yard!$J$77</f>
        <v>2.466676791915862E-2</v>
      </c>
      <c r="C546" s="17">
        <f t="shared" si="42"/>
        <v>87.870138017940235</v>
      </c>
      <c r="D546" s="33">
        <f t="shared" si="43"/>
        <v>2.466676791915862E-2</v>
      </c>
      <c r="E546" s="10"/>
    </row>
    <row r="547" spans="1:5" x14ac:dyDescent="0.25">
      <c r="A547" s="3" t="s">
        <v>1662</v>
      </c>
      <c r="B547" s="9"/>
      <c r="C547" s="17">
        <f t="shared" si="42"/>
        <v>0</v>
      </c>
      <c r="D547" s="33">
        <f t="shared" si="43"/>
        <v>0</v>
      </c>
      <c r="E547" s="10"/>
    </row>
    <row r="548" spans="1:5" x14ac:dyDescent="0.25">
      <c r="A548" s="3" t="s">
        <v>1664</v>
      </c>
      <c r="B548" s="34">
        <f>Yard!$K$77</f>
        <v>0.11321690668879686</v>
      </c>
      <c r="C548" s="17">
        <f t="shared" si="42"/>
        <v>403.31125866644061</v>
      </c>
      <c r="D548" s="33">
        <f t="shared" si="43"/>
        <v>0.11321690668879689</v>
      </c>
      <c r="E548" s="10"/>
    </row>
    <row r="549" spans="1:5" x14ac:dyDescent="0.25">
      <c r="A549" s="3" t="s">
        <v>1665</v>
      </c>
      <c r="B549" s="34">
        <f>Yard!$L$77</f>
        <v>0.10645213468857849</v>
      </c>
      <c r="C549" s="17">
        <f t="shared" si="42"/>
        <v>379.21319072064375</v>
      </c>
      <c r="D549" s="33">
        <f t="shared" si="43"/>
        <v>0.1064521346885785</v>
      </c>
      <c r="E549" s="10"/>
    </row>
    <row r="550" spans="1:5" x14ac:dyDescent="0.25">
      <c r="A550" s="3" t="s">
        <v>1666</v>
      </c>
      <c r="B550" s="34">
        <f>Yard!$M$77</f>
        <v>5.3579208554770802E-2</v>
      </c>
      <c r="C550" s="17">
        <f t="shared" si="42"/>
        <v>190.86458615208409</v>
      </c>
      <c r="D550" s="33">
        <f t="shared" si="43"/>
        <v>5.3579208554770809E-2</v>
      </c>
      <c r="E550" s="10"/>
    </row>
    <row r="551" spans="1:5" x14ac:dyDescent="0.25">
      <c r="A551" s="3" t="s">
        <v>1667</v>
      </c>
      <c r="B551" s="34">
        <f>Yard!$N$77</f>
        <v>5.3628725128366632E-2</v>
      </c>
      <c r="C551" s="17">
        <f t="shared" si="42"/>
        <v>191.04097846137651</v>
      </c>
      <c r="D551" s="33">
        <f t="shared" si="43"/>
        <v>5.3628725128366632E-2</v>
      </c>
      <c r="E551" s="10"/>
    </row>
    <row r="552" spans="1:5" x14ac:dyDescent="0.25">
      <c r="A552" s="3" t="s">
        <v>1668</v>
      </c>
      <c r="B552" s="34">
        <f>Yard!$O$77</f>
        <v>8.6897356005986456E-2</v>
      </c>
      <c r="C552" s="17">
        <f t="shared" si="42"/>
        <v>309.55343199663793</v>
      </c>
      <c r="D552" s="33">
        <f t="shared" si="43"/>
        <v>8.689735600598647E-2</v>
      </c>
      <c r="E552" s="10"/>
    </row>
    <row r="553" spans="1:5" x14ac:dyDescent="0.25">
      <c r="A553" s="3" t="s">
        <v>1669</v>
      </c>
      <c r="B553" s="34">
        <f>Yard!$P$77</f>
        <v>8.8976999779678996E-3</v>
      </c>
      <c r="C553" s="17">
        <f t="shared" si="42"/>
        <v>31.696172261750117</v>
      </c>
      <c r="D553" s="33">
        <f t="shared" si="43"/>
        <v>8.8976999779678996E-3</v>
      </c>
      <c r="E553" s="10"/>
    </row>
    <row r="554" spans="1:5" x14ac:dyDescent="0.25">
      <c r="A554" s="3" t="s">
        <v>1670</v>
      </c>
      <c r="B554" s="34">
        <f>Yard!$Q$77</f>
        <v>0.21734428018620541</v>
      </c>
      <c r="C554" s="17">
        <f t="shared" si="42"/>
        <v>774.24297986516171</v>
      </c>
      <c r="D554" s="33">
        <f t="shared" si="43"/>
        <v>0.21734428018620547</v>
      </c>
      <c r="E554" s="10"/>
    </row>
    <row r="555" spans="1:5" x14ac:dyDescent="0.25">
      <c r="A555" s="3" t="s">
        <v>1671</v>
      </c>
      <c r="B555" s="34">
        <f>Yard!$R$77</f>
        <v>9.2307032364472782E-2</v>
      </c>
      <c r="C555" s="17">
        <f t="shared" si="42"/>
        <v>328.82425863312557</v>
      </c>
      <c r="D555" s="33">
        <f t="shared" si="43"/>
        <v>9.2307032364472769E-2</v>
      </c>
      <c r="E555" s="10"/>
    </row>
    <row r="556" spans="1:5" x14ac:dyDescent="0.25">
      <c r="A556" s="3" t="s">
        <v>1672</v>
      </c>
      <c r="B556" s="34">
        <f>Yard!$S$77</f>
        <v>0.1821551720624249</v>
      </c>
      <c r="C556" s="17">
        <f t="shared" si="42"/>
        <v>648.8892327630449</v>
      </c>
      <c r="D556" s="33">
        <f t="shared" si="43"/>
        <v>0.18215517206242493</v>
      </c>
      <c r="E556" s="10"/>
    </row>
    <row r="557" spans="1:5" x14ac:dyDescent="0.25">
      <c r="A557" s="3" t="s">
        <v>1673</v>
      </c>
      <c r="B557" s="34">
        <f>Otex!$B$158</f>
        <v>0.57156617717465663</v>
      </c>
      <c r="C557" s="17">
        <f t="shared" si="42"/>
        <v>2036.0834884944534</v>
      </c>
      <c r="D557" s="33">
        <f t="shared" si="43"/>
        <v>0.57156617717465663</v>
      </c>
      <c r="E557" s="10"/>
    </row>
    <row r="558" spans="1:5" x14ac:dyDescent="0.25">
      <c r="A558" s="3" t="s">
        <v>1675</v>
      </c>
      <c r="B558" s="34">
        <f>Scaler!$B$432</f>
        <v>1.5364419632649109</v>
      </c>
      <c r="C558" s="17">
        <f t="shared" si="42"/>
        <v>5473.2491833185359</v>
      </c>
      <c r="D558" s="33">
        <f t="shared" si="43"/>
        <v>1.5364419632649111</v>
      </c>
      <c r="E558" s="10"/>
    </row>
    <row r="559" spans="1:5" x14ac:dyDescent="0.25">
      <c r="A559" s="3" t="s">
        <v>1676</v>
      </c>
      <c r="B559" s="34">
        <f>Adjust!$B$88</f>
        <v>-4.2998486458056817E-4</v>
      </c>
      <c r="C559" s="17">
        <f t="shared" si="42"/>
        <v>-1.5317300393852584</v>
      </c>
      <c r="D559" s="33">
        <f t="shared" si="43"/>
        <v>-4.2998486458056817E-4</v>
      </c>
      <c r="E559" s="10"/>
    </row>
    <row r="561" spans="1:5" x14ac:dyDescent="0.25">
      <c r="A561" s="3" t="s">
        <v>1677</v>
      </c>
      <c r="B561" s="33">
        <f>SUM($B$539:$B$559)</f>
        <v>4.04</v>
      </c>
      <c r="C561" s="17">
        <f>SUM($C$539:$C$559)</f>
        <v>14391.64461091615</v>
      </c>
      <c r="D561" s="33">
        <f>SUM($D$539:$D$559)</f>
        <v>4.04</v>
      </c>
    </row>
    <row r="563" spans="1:5" ht="21" customHeight="1" x14ac:dyDescent="0.3">
      <c r="A563" s="1" t="s">
        <v>216</v>
      </c>
    </row>
    <row r="565" spans="1:5" x14ac:dyDescent="0.25">
      <c r="B565" s="12" t="s">
        <v>222</v>
      </c>
      <c r="C565" s="12" t="s">
        <v>1658</v>
      </c>
    </row>
    <row r="566" spans="1:5" x14ac:dyDescent="0.25">
      <c r="A566" s="3" t="s">
        <v>216</v>
      </c>
      <c r="B566" s="39">
        <f>Loads!B$319</f>
        <v>8317.3632405332482</v>
      </c>
      <c r="C566" s="39">
        <f>Multi!B$136</f>
        <v>8317.3632405332482</v>
      </c>
      <c r="D566" s="10"/>
    </row>
    <row r="568" spans="1:5" x14ac:dyDescent="0.25">
      <c r="B568" s="12" t="s">
        <v>1489</v>
      </c>
      <c r="C568" s="12" t="s">
        <v>1660</v>
      </c>
      <c r="D568" s="12" t="s">
        <v>1630</v>
      </c>
    </row>
    <row r="569" spans="1:5" x14ac:dyDescent="0.25">
      <c r="A569" s="3" t="s">
        <v>456</v>
      </c>
      <c r="B569" s="34">
        <f>Yard!$C$78</f>
        <v>4.4924836489167251E-2</v>
      </c>
      <c r="C569" s="17">
        <f t="shared" ref="C569:C589" si="44">0+10*(B569*$B$566)</f>
        <v>3736.5618360196645</v>
      </c>
      <c r="D569" s="33">
        <f t="shared" ref="D569:D589" si="45">IF($C$566&lt;&gt;0,0.1*C569/$C$566,"")</f>
        <v>4.4924836489167251E-2</v>
      </c>
      <c r="E569" s="10"/>
    </row>
    <row r="570" spans="1:5" x14ac:dyDescent="0.25">
      <c r="A570" s="3" t="s">
        <v>457</v>
      </c>
      <c r="B570" s="34">
        <f>Yard!$D$78</f>
        <v>2.2611450588414798E-2</v>
      </c>
      <c r="C570" s="17">
        <f t="shared" si="44"/>
        <v>1880.6764793921514</v>
      </c>
      <c r="D570" s="33">
        <f t="shared" si="45"/>
        <v>2.2611450588414798E-2</v>
      </c>
      <c r="E570" s="10"/>
    </row>
    <row r="571" spans="1:5" x14ac:dyDescent="0.25">
      <c r="A571" s="3" t="s">
        <v>458</v>
      </c>
      <c r="B571" s="34">
        <f>Yard!$E$78</f>
        <v>3.9900592221258156E-2</v>
      </c>
      <c r="C571" s="17">
        <f t="shared" si="44"/>
        <v>3318.6771901659945</v>
      </c>
      <c r="D571" s="33">
        <f t="shared" si="45"/>
        <v>3.9900592221258163E-2</v>
      </c>
      <c r="E571" s="10"/>
    </row>
    <row r="572" spans="1:5" x14ac:dyDescent="0.25">
      <c r="A572" s="3" t="s">
        <v>459</v>
      </c>
      <c r="B572" s="34">
        <f>Yard!$F$78</f>
        <v>6.465296273221266E-2</v>
      </c>
      <c r="C572" s="17">
        <f t="shared" si="44"/>
        <v>5377.4217562047161</v>
      </c>
      <c r="D572" s="33">
        <f t="shared" si="45"/>
        <v>6.465296273221266E-2</v>
      </c>
      <c r="E572" s="10"/>
    </row>
    <row r="573" spans="1:5" x14ac:dyDescent="0.25">
      <c r="A573" s="3" t="s">
        <v>460</v>
      </c>
      <c r="B573" s="34">
        <f>Yard!$G$78</f>
        <v>3.7549995386120024E-3</v>
      </c>
      <c r="C573" s="17">
        <f t="shared" si="44"/>
        <v>312.31695130670778</v>
      </c>
      <c r="D573" s="33">
        <f t="shared" si="45"/>
        <v>3.7549995386120028E-3</v>
      </c>
      <c r="E573" s="10"/>
    </row>
    <row r="574" spans="1:5" x14ac:dyDescent="0.25">
      <c r="A574" s="3" t="s">
        <v>461</v>
      </c>
      <c r="B574" s="34">
        <f>Yard!$H$78</f>
        <v>8.4228001199505381E-2</v>
      </c>
      <c r="C574" s="17">
        <f t="shared" si="44"/>
        <v>7005.5488100035645</v>
      </c>
      <c r="D574" s="33">
        <f t="shared" si="45"/>
        <v>8.4228001199505395E-2</v>
      </c>
      <c r="E574" s="10"/>
    </row>
    <row r="575" spans="1:5" x14ac:dyDescent="0.25">
      <c r="A575" s="3" t="s">
        <v>462</v>
      </c>
      <c r="B575" s="34">
        <f>Yard!$I$78</f>
        <v>1.9990482933786035E-2</v>
      </c>
      <c r="C575" s="17">
        <f t="shared" si="44"/>
        <v>1662.681079139792</v>
      </c>
      <c r="D575" s="33">
        <f t="shared" si="45"/>
        <v>1.9990482933786035E-2</v>
      </c>
      <c r="E575" s="10"/>
    </row>
    <row r="576" spans="1:5" x14ac:dyDescent="0.25">
      <c r="A576" s="3" t="s">
        <v>463</v>
      </c>
      <c r="B576" s="34">
        <f>Yard!$J$78</f>
        <v>8.3058375264200932E-3</v>
      </c>
      <c r="C576" s="17">
        <f t="shared" si="44"/>
        <v>690.82667724088083</v>
      </c>
      <c r="D576" s="33">
        <f t="shared" si="45"/>
        <v>8.3058375264200932E-3</v>
      </c>
      <c r="E576" s="10"/>
    </row>
    <row r="577" spans="1:5" x14ac:dyDescent="0.25">
      <c r="A577" s="3" t="s">
        <v>1662</v>
      </c>
      <c r="B577" s="9"/>
      <c r="C577" s="17">
        <f t="shared" si="44"/>
        <v>0</v>
      </c>
      <c r="D577" s="33">
        <f t="shared" si="45"/>
        <v>0</v>
      </c>
      <c r="E577" s="10"/>
    </row>
    <row r="578" spans="1:5" x14ac:dyDescent="0.25">
      <c r="A578" s="3" t="s">
        <v>1664</v>
      </c>
      <c r="B578" s="34">
        <f>Yard!$K$78</f>
        <v>1.2370569658954847E-2</v>
      </c>
      <c r="C578" s="17">
        <f t="shared" si="44"/>
        <v>1028.9052134584697</v>
      </c>
      <c r="D578" s="33">
        <f t="shared" si="45"/>
        <v>1.2370569658954849E-2</v>
      </c>
      <c r="E578" s="10"/>
    </row>
    <row r="579" spans="1:5" x14ac:dyDescent="0.25">
      <c r="A579" s="3" t="s">
        <v>1665</v>
      </c>
      <c r="B579" s="34">
        <f>Yard!$L$78</f>
        <v>2.0331799584041091E-2</v>
      </c>
      <c r="C579" s="17">
        <f t="shared" si="44"/>
        <v>1691.0696247419255</v>
      </c>
      <c r="D579" s="33">
        <f t="shared" si="45"/>
        <v>2.0331799584041091E-2</v>
      </c>
      <c r="E579" s="10"/>
    </row>
    <row r="580" spans="1:5" x14ac:dyDescent="0.25">
      <c r="A580" s="3" t="s">
        <v>1666</v>
      </c>
      <c r="B580" s="34">
        <f>Yard!$M$78</f>
        <v>1.0233347911660246E-2</v>
      </c>
      <c r="C580" s="17">
        <f t="shared" si="44"/>
        <v>851.1447174803061</v>
      </c>
      <c r="D580" s="33">
        <f t="shared" si="45"/>
        <v>1.0233347911660246E-2</v>
      </c>
      <c r="E580" s="10"/>
    </row>
    <row r="581" spans="1:5" x14ac:dyDescent="0.25">
      <c r="A581" s="3" t="s">
        <v>1667</v>
      </c>
      <c r="B581" s="34">
        <f>Yard!$N$78</f>
        <v>1.8057958753456727E-2</v>
      </c>
      <c r="C581" s="17">
        <f t="shared" si="44"/>
        <v>1501.9460233506657</v>
      </c>
      <c r="D581" s="33">
        <f t="shared" si="45"/>
        <v>1.8057958753456727E-2</v>
      </c>
      <c r="E581" s="10"/>
    </row>
    <row r="582" spans="1:5" x14ac:dyDescent="0.25">
      <c r="A582" s="3" t="s">
        <v>1668</v>
      </c>
      <c r="B582" s="34">
        <f>Yard!$O$78</f>
        <v>2.9260230721213507E-2</v>
      </c>
      <c r="C582" s="17">
        <f t="shared" si="44"/>
        <v>2433.6796741014286</v>
      </c>
      <c r="D582" s="33">
        <f t="shared" si="45"/>
        <v>2.9260230721213507E-2</v>
      </c>
      <c r="E582" s="10"/>
    </row>
    <row r="583" spans="1:5" x14ac:dyDescent="0.25">
      <c r="A583" s="3" t="s">
        <v>1669</v>
      </c>
      <c r="B583" s="34">
        <f>Yard!$P$78</f>
        <v>1.6994140440697056E-3</v>
      </c>
      <c r="C583" s="17">
        <f t="shared" si="44"/>
        <v>141.3464390059132</v>
      </c>
      <c r="D583" s="33">
        <f t="shared" si="45"/>
        <v>1.6994140440697058E-3</v>
      </c>
      <c r="E583" s="10"/>
    </row>
    <row r="584" spans="1:5" x14ac:dyDescent="0.25">
      <c r="A584" s="3" t="s">
        <v>1670</v>
      </c>
      <c r="B584" s="34">
        <f>Yard!$Q$78</f>
        <v>7.318454871913857E-2</v>
      </c>
      <c r="C584" s="17">
        <f t="shared" si="44"/>
        <v>6087.0247529157778</v>
      </c>
      <c r="D584" s="33">
        <f t="shared" si="45"/>
        <v>7.318454871913857E-2</v>
      </c>
      <c r="E584" s="10"/>
    </row>
    <row r="585" spans="1:5" x14ac:dyDescent="0.25">
      <c r="A585" s="3" t="s">
        <v>1671</v>
      </c>
      <c r="B585" s="34">
        <f>Yard!$R$78</f>
        <v>3.1081786469877474E-2</v>
      </c>
      <c r="C585" s="17">
        <f t="shared" si="44"/>
        <v>2585.1850823466257</v>
      </c>
      <c r="D585" s="33">
        <f t="shared" si="45"/>
        <v>3.1081786469877474E-2</v>
      </c>
      <c r="E585" s="10"/>
    </row>
    <row r="586" spans="1:5" x14ac:dyDescent="0.25">
      <c r="A586" s="3" t="s">
        <v>1672</v>
      </c>
      <c r="B586" s="34">
        <f>Yard!$S$78</f>
        <v>6.133561027152213E-2</v>
      </c>
      <c r="C586" s="17">
        <f t="shared" si="44"/>
        <v>5101.5055020803165</v>
      </c>
      <c r="D586" s="33">
        <f t="shared" si="45"/>
        <v>6.133561027152213E-2</v>
      </c>
      <c r="E586" s="10"/>
    </row>
    <row r="587" spans="1:5" x14ac:dyDescent="0.25">
      <c r="A587" s="3" t="s">
        <v>1673</v>
      </c>
      <c r="B587" s="34">
        <f>Otex!$B$159</f>
        <v>0.57156617717465663</v>
      </c>
      <c r="C587" s="17">
        <f t="shared" si="44"/>
        <v>47539.235115646021</v>
      </c>
      <c r="D587" s="33">
        <f t="shared" si="45"/>
        <v>0.57156617717465663</v>
      </c>
      <c r="E587" s="10"/>
    </row>
    <row r="588" spans="1:5" x14ac:dyDescent="0.25">
      <c r="A588" s="3" t="s">
        <v>1675</v>
      </c>
      <c r="B588" s="34">
        <f>Scaler!$B$433</f>
        <v>0.16787830448109825</v>
      </c>
      <c r="C588" s="17">
        <f t="shared" si="44"/>
        <v>13963.048385741347</v>
      </c>
      <c r="D588" s="33">
        <f t="shared" si="45"/>
        <v>0.16787830448109828</v>
      </c>
      <c r="E588" s="10"/>
    </row>
    <row r="589" spans="1:5" x14ac:dyDescent="0.25">
      <c r="A589" s="3" t="s">
        <v>1676</v>
      </c>
      <c r="B589" s="34">
        <f>Adjust!$B$89</f>
        <v>-3.6891101906566526E-4</v>
      </c>
      <c r="C589" s="17">
        <f t="shared" si="44"/>
        <v>-30.683669490044245</v>
      </c>
      <c r="D589" s="33">
        <f t="shared" si="45"/>
        <v>-3.6891101906566526E-4</v>
      </c>
      <c r="E589" s="10"/>
    </row>
    <row r="591" spans="1:5" x14ac:dyDescent="0.25">
      <c r="A591" s="3" t="s">
        <v>1677</v>
      </c>
      <c r="B591" s="33">
        <f>SUM($B$569:$B$589)</f>
        <v>1.2849999999999999</v>
      </c>
      <c r="C591" s="17">
        <f>SUM($C$569:$C$589)</f>
        <v>106878.11764085223</v>
      </c>
      <c r="D591" s="33">
        <f>SUM($D$569:$D$589)</f>
        <v>1.2849999999999999</v>
      </c>
    </row>
    <row r="593" spans="1:8" ht="21" customHeight="1" x14ac:dyDescent="0.3">
      <c r="A593" s="1" t="s">
        <v>217</v>
      </c>
    </row>
    <row r="595" spans="1:8" x14ac:dyDescent="0.25">
      <c r="B595" s="12" t="s">
        <v>222</v>
      </c>
      <c r="C595" s="12" t="s">
        <v>223</v>
      </c>
      <c r="D595" s="12" t="s">
        <v>224</v>
      </c>
      <c r="E595" s="12" t="s">
        <v>1658</v>
      </c>
    </row>
    <row r="596" spans="1:8" x14ac:dyDescent="0.25">
      <c r="A596" s="3" t="s">
        <v>217</v>
      </c>
      <c r="B596" s="39">
        <f>Loads!B$320</f>
        <v>12896.468429380624</v>
      </c>
      <c r="C596" s="39">
        <f>Loads!C$320</f>
        <v>29606.903732128623</v>
      </c>
      <c r="D596" s="39">
        <f>Loads!D$320</f>
        <v>198874.5436924781</v>
      </c>
      <c r="E596" s="39">
        <f>Multi!B$137</f>
        <v>241377.91585398733</v>
      </c>
      <c r="F596" s="10"/>
    </row>
    <row r="598" spans="1:8" ht="30" x14ac:dyDescent="0.25">
      <c r="B598" s="12" t="s">
        <v>1489</v>
      </c>
      <c r="C598" s="12" t="s">
        <v>1490</v>
      </c>
      <c r="D598" s="12" t="s">
        <v>1491</v>
      </c>
      <c r="E598" s="12" t="s">
        <v>1678</v>
      </c>
      <c r="F598" s="12" t="s">
        <v>1660</v>
      </c>
      <c r="G598" s="12" t="s">
        <v>1630</v>
      </c>
    </row>
    <row r="599" spans="1:8" x14ac:dyDescent="0.25">
      <c r="A599" s="3" t="s">
        <v>456</v>
      </c>
      <c r="B599" s="34">
        <f>Yard!$C$79</f>
        <v>2.5477790888535994</v>
      </c>
      <c r="C599" s="34">
        <f>Yard!$C$104</f>
        <v>3.1446007594553259E-2</v>
      </c>
      <c r="D599" s="34">
        <f>Yard!$C$124</f>
        <v>1.4564748788609306E-3</v>
      </c>
      <c r="E599" s="33">
        <f t="shared" ref="E599:E619" si="46">IF(E$596&lt;&gt;0,(($B599*B$596+$C599*C$596+$D599*D$596))/E$596,0)</f>
        <v>0.14118121436426509</v>
      </c>
      <c r="F599" s="17">
        <f t="shared" ref="F599:F619" si="47">0+10*(B599*$B$596+C599*$C$596+D599*$D$596)</f>
        <v>340780.27280981326</v>
      </c>
      <c r="G599" s="33">
        <f t="shared" ref="G599:G619" si="48">IF($E$596&lt;&gt;0,0.1*F599/$E$596,"")</f>
        <v>0.14118121436426509</v>
      </c>
      <c r="H599" s="10"/>
    </row>
    <row r="600" spans="1:8" x14ac:dyDescent="0.25">
      <c r="A600" s="3" t="s">
        <v>457</v>
      </c>
      <c r="B600" s="34">
        <f>Yard!$D$79</f>
        <v>1.2823414725549624</v>
      </c>
      <c r="C600" s="34">
        <f>Yard!$D$104</f>
        <v>1.5827321866794346E-2</v>
      </c>
      <c r="D600" s="34">
        <f>Yard!$D$124</f>
        <v>7.330691067639727E-4</v>
      </c>
      <c r="E600" s="33">
        <f t="shared" si="46"/>
        <v>7.1058957629812208E-2</v>
      </c>
      <c r="F600" s="17">
        <f t="shared" si="47"/>
        <v>171520.63095440861</v>
      </c>
      <c r="G600" s="33">
        <f t="shared" si="48"/>
        <v>7.1058957629812208E-2</v>
      </c>
      <c r="H600" s="10"/>
    </row>
    <row r="601" spans="1:8" x14ac:dyDescent="0.25">
      <c r="A601" s="3" t="s">
        <v>458</v>
      </c>
      <c r="B601" s="34">
        <f>Yard!$E$79</f>
        <v>1.2119240928152448</v>
      </c>
      <c r="C601" s="34">
        <f>Yard!$E$104</f>
        <v>4.238427247308018E-2</v>
      </c>
      <c r="D601" s="34">
        <f>Yard!$E$124</f>
        <v>3.845477934726259E-3</v>
      </c>
      <c r="E601" s="33">
        <f t="shared" si="46"/>
        <v>7.3118435395261056E-2</v>
      </c>
      <c r="F601" s="17">
        <f t="shared" si="47"/>
        <v>176491.75546212532</v>
      </c>
      <c r="G601" s="33">
        <f t="shared" si="48"/>
        <v>7.3118435395261056E-2</v>
      </c>
      <c r="H601" s="10"/>
    </row>
    <row r="602" spans="1:8" x14ac:dyDescent="0.25">
      <c r="A602" s="3" t="s">
        <v>459</v>
      </c>
      <c r="B602" s="34">
        <f>Yard!$F$79</f>
        <v>1.9637423618316403</v>
      </c>
      <c r="C602" s="34">
        <f>Yard!$F$104</f>
        <v>6.867739640150114E-2</v>
      </c>
      <c r="D602" s="34">
        <f>Yard!$F$124</f>
        <v>6.231023846030608E-3</v>
      </c>
      <c r="E602" s="33">
        <f t="shared" si="46"/>
        <v>0.11847752666009048</v>
      </c>
      <c r="F602" s="17">
        <f t="shared" si="47"/>
        <v>285978.58460747864</v>
      </c>
      <c r="G602" s="33">
        <f t="shared" si="48"/>
        <v>0.1184775266600905</v>
      </c>
      <c r="H602" s="10"/>
    </row>
    <row r="603" spans="1:8" x14ac:dyDescent="0.25">
      <c r="A603" s="3" t="s">
        <v>460</v>
      </c>
      <c r="B603" s="34">
        <f>Yard!$G$79</f>
        <v>0.21295368109881599</v>
      </c>
      <c r="C603" s="34">
        <f>Yard!$G$104</f>
        <v>2.6283845025726394E-3</v>
      </c>
      <c r="D603" s="34">
        <f>Yard!$G$124</f>
        <v>1.2173806129359035E-4</v>
      </c>
      <c r="E603" s="33">
        <f t="shared" si="46"/>
        <v>1.1800496923930474E-2</v>
      </c>
      <c r="F603" s="17">
        <f t="shared" si="47"/>
        <v>28483.793535397264</v>
      </c>
      <c r="G603" s="33">
        <f t="shared" si="48"/>
        <v>1.1800496923930476E-2</v>
      </c>
      <c r="H603" s="10"/>
    </row>
    <row r="604" spans="1:8" x14ac:dyDescent="0.25">
      <c r="A604" s="3" t="s">
        <v>461</v>
      </c>
      <c r="B604" s="34">
        <f>Yard!$H$79</f>
        <v>2.5583064877159147</v>
      </c>
      <c r="C604" s="34">
        <f>Yard!$H$104</f>
        <v>8.9470916444211901E-2</v>
      </c>
      <c r="D604" s="34">
        <f>Yard!$H$124</f>
        <v>8.1175968091578773E-3</v>
      </c>
      <c r="E604" s="33">
        <f t="shared" si="46"/>
        <v>0.1543490790820099</v>
      </c>
      <c r="F604" s="17">
        <f t="shared" si="47"/>
        <v>372564.59022797819</v>
      </c>
      <c r="G604" s="33">
        <f t="shared" si="48"/>
        <v>0.1543490790820099</v>
      </c>
      <c r="H604" s="10"/>
    </row>
    <row r="605" spans="1:8" x14ac:dyDescent="0.25">
      <c r="A605" s="3" t="s">
        <v>462</v>
      </c>
      <c r="B605" s="34">
        <f>Yard!$I$79</f>
        <v>0.60718266436054791</v>
      </c>
      <c r="C605" s="34">
        <f>Yard!$I$104</f>
        <v>2.1234824556880468E-2</v>
      </c>
      <c r="D605" s="34">
        <f>Yard!$I$124</f>
        <v>1.9266120312229314E-3</v>
      </c>
      <c r="E605" s="33">
        <f t="shared" si="46"/>
        <v>3.6632860655520696E-2</v>
      </c>
      <c r="F605" s="17">
        <f t="shared" si="47"/>
        <v>88423.635567991179</v>
      </c>
      <c r="G605" s="33">
        <f t="shared" si="48"/>
        <v>3.6632860655520696E-2</v>
      </c>
      <c r="H605" s="10"/>
    </row>
    <row r="606" spans="1:8" x14ac:dyDescent="0.25">
      <c r="A606" s="3" t="s">
        <v>463</v>
      </c>
      <c r="B606" s="34">
        <f>Yard!$J$79</f>
        <v>0.25227807530923124</v>
      </c>
      <c r="C606" s="34">
        <f>Yard!$J$104</f>
        <v>8.822848515250007E-3</v>
      </c>
      <c r="D606" s="34">
        <f>Yard!$J$124</f>
        <v>8.0048723989246755E-4</v>
      </c>
      <c r="E606" s="33">
        <f t="shared" si="46"/>
        <v>1.5220572196307432E-2</v>
      </c>
      <c r="F606" s="17">
        <f t="shared" si="47"/>
        <v>36739.099948498348</v>
      </c>
      <c r="G606" s="33">
        <f t="shared" si="48"/>
        <v>1.5220572196307436E-2</v>
      </c>
      <c r="H606" s="10"/>
    </row>
    <row r="607" spans="1:8" x14ac:dyDescent="0.25">
      <c r="A607" s="3" t="s">
        <v>1662</v>
      </c>
      <c r="B607" s="9"/>
      <c r="C607" s="9"/>
      <c r="D607" s="9"/>
      <c r="E607" s="33">
        <f t="shared" si="46"/>
        <v>0</v>
      </c>
      <c r="F607" s="17">
        <f t="shared" si="47"/>
        <v>0</v>
      </c>
      <c r="G607" s="33">
        <f t="shared" si="48"/>
        <v>0</v>
      </c>
      <c r="H607" s="10"/>
    </row>
    <row r="608" spans="1:8" x14ac:dyDescent="0.25">
      <c r="A608" s="3" t="s">
        <v>1664</v>
      </c>
      <c r="B608" s="34">
        <f>Yard!$K$79</f>
        <v>1.2490182758222481</v>
      </c>
      <c r="C608" s="34">
        <f>Yard!$K$104</f>
        <v>0</v>
      </c>
      <c r="D608" s="34">
        <f>Yard!$K$124</f>
        <v>1.0867903505957554E-3</v>
      </c>
      <c r="E608" s="33">
        <f t="shared" si="46"/>
        <v>6.7628638018400161E-2</v>
      </c>
      <c r="F608" s="17">
        <f t="shared" si="47"/>
        <v>163240.59696925161</v>
      </c>
      <c r="G608" s="33">
        <f t="shared" si="48"/>
        <v>6.7628638018400161E-2</v>
      </c>
      <c r="H608" s="10"/>
    </row>
    <row r="609" spans="1:8" x14ac:dyDescent="0.25">
      <c r="A609" s="3" t="s">
        <v>1665</v>
      </c>
      <c r="B609" s="34">
        <f>Yard!$L$79</f>
        <v>1.153057815390669</v>
      </c>
      <c r="C609" s="34">
        <f>Yard!$L$104</f>
        <v>1.4231636085862186E-2</v>
      </c>
      <c r="D609" s="34">
        <f>Yard!$L$124</f>
        <v>6.5916222852211174E-4</v>
      </c>
      <c r="E609" s="33">
        <f t="shared" si="46"/>
        <v>6.3894904908066583E-2</v>
      </c>
      <c r="F609" s="17">
        <f t="shared" si="47"/>
        <v>154228.18980397817</v>
      </c>
      <c r="G609" s="33">
        <f t="shared" si="48"/>
        <v>6.3894904908066583E-2</v>
      </c>
      <c r="H609" s="10"/>
    </row>
    <row r="610" spans="1:8" x14ac:dyDescent="0.25">
      <c r="A610" s="3" t="s">
        <v>1666</v>
      </c>
      <c r="B610" s="34">
        <f>Yard!$M$79</f>
        <v>0.58035402810154801</v>
      </c>
      <c r="C610" s="34">
        <f>Yard!$M$104</f>
        <v>7.1630296578902219E-3</v>
      </c>
      <c r="D610" s="34">
        <f>Yard!$M$124</f>
        <v>3.3176779983542213E-4</v>
      </c>
      <c r="E610" s="33">
        <f t="shared" si="46"/>
        <v>3.2159415550206495E-2</v>
      </c>
      <c r="F610" s="17">
        <f t="shared" si="47"/>
        <v>77625.727005911554</v>
      </c>
      <c r="G610" s="33">
        <f t="shared" si="48"/>
        <v>3.2159415550206495E-2</v>
      </c>
      <c r="H610" s="10"/>
    </row>
    <row r="611" spans="1:8" x14ac:dyDescent="0.25">
      <c r="A611" s="3" t="s">
        <v>1667</v>
      </c>
      <c r="B611" s="34">
        <f>Yard!$N$79</f>
        <v>0.54848497383250305</v>
      </c>
      <c r="C611" s="34">
        <f>Yard!$N$104</f>
        <v>1.9182007120846164E-2</v>
      </c>
      <c r="D611" s="34">
        <f>Yard!$N$124</f>
        <v>1.740362186795259E-3</v>
      </c>
      <c r="E611" s="33">
        <f t="shared" si="46"/>
        <v>3.3091481027728971E-2</v>
      </c>
      <c r="F611" s="17">
        <f t="shared" si="47"/>
        <v>79875.527229949817</v>
      </c>
      <c r="G611" s="33">
        <f t="shared" si="48"/>
        <v>3.3091481027728971E-2</v>
      </c>
      <c r="H611" s="10"/>
    </row>
    <row r="612" spans="1:8" x14ac:dyDescent="0.25">
      <c r="A612" s="3" t="s">
        <v>1668</v>
      </c>
      <c r="B612" s="34">
        <f>Yard!$O$79</f>
        <v>0.88873815144724866</v>
      </c>
      <c r="C612" s="34">
        <f>Yard!$O$104</f>
        <v>3.1081583567382932E-2</v>
      </c>
      <c r="D612" s="34">
        <f>Yard!$O$124</f>
        <v>2.8199975323543701E-3</v>
      </c>
      <c r="E612" s="33">
        <f t="shared" si="46"/>
        <v>5.361981290341912E-2</v>
      </c>
      <c r="F612" s="17">
        <f t="shared" si="47"/>
        <v>129426.38687108045</v>
      </c>
      <c r="G612" s="33">
        <f t="shared" si="48"/>
        <v>5.3619812903419127E-2</v>
      </c>
      <c r="H612" s="10"/>
    </row>
    <row r="613" spans="1:8" x14ac:dyDescent="0.25">
      <c r="A613" s="3" t="s">
        <v>1669</v>
      </c>
      <c r="B613" s="34">
        <f>Yard!$P$79</f>
        <v>9.6377235915571027E-2</v>
      </c>
      <c r="C613" s="34">
        <f>Yard!$P$104</f>
        <v>1.189537705918916E-3</v>
      </c>
      <c r="D613" s="34">
        <f>Yard!$P$124</f>
        <v>5.5095445134626675E-5</v>
      </c>
      <c r="E613" s="33">
        <f t="shared" si="46"/>
        <v>5.3405945841850993E-3</v>
      </c>
      <c r="F613" s="17">
        <f t="shared" si="47"/>
        <v>12891.015901516914</v>
      </c>
      <c r="G613" s="33">
        <f t="shared" si="48"/>
        <v>5.3405945841850993E-3</v>
      </c>
      <c r="H613" s="10"/>
    </row>
    <row r="614" spans="1:8" x14ac:dyDescent="0.25">
      <c r="A614" s="3" t="s">
        <v>1670</v>
      </c>
      <c r="B614" s="34">
        <f>Yard!$Q$79</f>
        <v>2.2228772275535507</v>
      </c>
      <c r="C614" s="34">
        <f>Yard!$Q$104</f>
        <v>7.7740045474281705E-2</v>
      </c>
      <c r="D614" s="34">
        <f>Yard!$Q$124</f>
        <v>7.0532679239885283E-3</v>
      </c>
      <c r="E614" s="33">
        <f t="shared" si="46"/>
        <v>0.13411178630578569</v>
      </c>
      <c r="F614" s="17">
        <f t="shared" si="47"/>
        <v>323716.23469945864</v>
      </c>
      <c r="G614" s="33">
        <f t="shared" si="48"/>
        <v>0.13411178630578569</v>
      </c>
      <c r="H614" s="10"/>
    </row>
    <row r="615" spans="1:8" x14ac:dyDescent="0.25">
      <c r="A615" s="3" t="s">
        <v>1671</v>
      </c>
      <c r="B615" s="34">
        <f>Yard!$R$79</f>
        <v>0.94406533270737591</v>
      </c>
      <c r="C615" s="34">
        <f>Yard!$R$104</f>
        <v>3.3016525152915234E-2</v>
      </c>
      <c r="D615" s="34">
        <f>Yard!$R$124</f>
        <v>2.9955526318756523E-3</v>
      </c>
      <c r="E615" s="33">
        <f t="shared" si="46"/>
        <v>5.6957841211094026E-2</v>
      </c>
      <c r="F615" s="17">
        <f t="shared" si="47"/>
        <v>137483.65003076225</v>
      </c>
      <c r="G615" s="33">
        <f t="shared" si="48"/>
        <v>5.6957841211094026E-2</v>
      </c>
      <c r="H615" s="10"/>
    </row>
    <row r="616" spans="1:8" x14ac:dyDescent="0.25">
      <c r="A616" s="3" t="s">
        <v>1672</v>
      </c>
      <c r="B616" s="34">
        <f>Yard!$S$79</f>
        <v>1.8629824696180901</v>
      </c>
      <c r="C616" s="34">
        <f>Yard!$S$104</f>
        <v>6.5153549692573365E-2</v>
      </c>
      <c r="D616" s="34">
        <f>Yard!$S$124</f>
        <v>5.9113091506056434E-3</v>
      </c>
      <c r="E616" s="33">
        <f t="shared" si="46"/>
        <v>0.1123984283791612</v>
      </c>
      <c r="F616" s="17">
        <f t="shared" si="47"/>
        <v>271304.98387425591</v>
      </c>
      <c r="G616" s="33">
        <f t="shared" si="48"/>
        <v>0.1123984283791612</v>
      </c>
      <c r="H616" s="10"/>
    </row>
    <row r="617" spans="1:8" x14ac:dyDescent="0.25">
      <c r="A617" s="3" t="s">
        <v>1673</v>
      </c>
      <c r="B617" s="34">
        <f>Otex!$B$160</f>
        <v>0.57156617717465663</v>
      </c>
      <c r="C617" s="34">
        <f>Otex!$B$160</f>
        <v>0.57156617717465663</v>
      </c>
      <c r="D617" s="34">
        <f>Otex!$B$160</f>
        <v>0.57156617717465663</v>
      </c>
      <c r="E617" s="33">
        <f t="shared" si="46"/>
        <v>0.57156617717465652</v>
      </c>
      <c r="F617" s="17">
        <f t="shared" si="47"/>
        <v>1379634.5261904947</v>
      </c>
      <c r="G617" s="33">
        <f t="shared" si="48"/>
        <v>0.57156617717465652</v>
      </c>
      <c r="H617" s="10"/>
    </row>
    <row r="618" spans="1:8" x14ac:dyDescent="0.25">
      <c r="A618" s="3" t="s">
        <v>1675</v>
      </c>
      <c r="B618" s="34">
        <f>Scaler!$B$434</f>
        <v>16.950154777969956</v>
      </c>
      <c r="C618" s="34">
        <f>Scaler!$C$434</f>
        <v>0</v>
      </c>
      <c r="D618" s="34">
        <f>Scaler!$D$434</f>
        <v>1.4748594964853725E-2</v>
      </c>
      <c r="E618" s="33">
        <f t="shared" si="46"/>
        <v>0.91777350582044015</v>
      </c>
      <c r="F618" s="17">
        <f t="shared" si="47"/>
        <v>2215302.5606094515</v>
      </c>
      <c r="G618" s="33">
        <f t="shared" si="48"/>
        <v>0.91777350582044015</v>
      </c>
      <c r="H618" s="10"/>
    </row>
    <row r="619" spans="1:8" x14ac:dyDescent="0.25">
      <c r="A619" s="3" t="s">
        <v>1676</v>
      </c>
      <c r="B619" s="34">
        <f>Adjust!$B$90</f>
        <v>-1.8439007337178737E-4</v>
      </c>
      <c r="C619" s="34">
        <f>Adjust!$C$90</f>
        <v>1.8393601282884475E-4</v>
      </c>
      <c r="D619" s="34">
        <f>Adjust!$D$90</f>
        <v>-2.0055729716628168E-4</v>
      </c>
      <c r="E619" s="33">
        <f t="shared" si="46"/>
        <v>-1.5253237133610809E-4</v>
      </c>
      <c r="F619" s="17">
        <f t="shared" si="47"/>
        <v>-368.17945893376248</v>
      </c>
      <c r="G619" s="33">
        <f t="shared" si="48"/>
        <v>-1.5253237133610809E-4</v>
      </c>
      <c r="H619" s="10"/>
    </row>
    <row r="621" spans="1:8" x14ac:dyDescent="0.25">
      <c r="A621" s="3" t="s">
        <v>1677</v>
      </c>
      <c r="B621" s="33">
        <f>SUM($B$599:$B$619)</f>
        <v>37.704000000000001</v>
      </c>
      <c r="C621" s="33">
        <f>SUM($C$599:$C$619)</f>
        <v>1.101</v>
      </c>
      <c r="D621" s="33">
        <f>SUM($D$599:$D$619)</f>
        <v>0.63200000000000001</v>
      </c>
      <c r="E621" s="33">
        <f>SUM(E$599:E$619)</f>
        <v>2.6702291964190055</v>
      </c>
      <c r="F621" s="17">
        <f>SUM($F$599:$F$619)</f>
        <v>6445343.5828408692</v>
      </c>
      <c r="G621" s="33">
        <f>SUM($G$599:$G$619)</f>
        <v>2.6702291964190055</v>
      </c>
    </row>
    <row r="623" spans="1:8" ht="21" customHeight="1" x14ac:dyDescent="0.3">
      <c r="A623" s="1" t="s">
        <v>181</v>
      </c>
    </row>
    <row r="625" spans="1:7" x14ac:dyDescent="0.25">
      <c r="B625" s="12" t="s">
        <v>222</v>
      </c>
      <c r="C625" s="12" t="s">
        <v>225</v>
      </c>
      <c r="D625" s="12" t="s">
        <v>1658</v>
      </c>
      <c r="E625" s="12" t="s">
        <v>1659</v>
      </c>
    </row>
    <row r="626" spans="1:7" x14ac:dyDescent="0.25">
      <c r="A626" s="3" t="s">
        <v>181</v>
      </c>
      <c r="B626" s="39">
        <f>Loads!B$321</f>
        <v>1352.8514217970164</v>
      </c>
      <c r="C626" s="39">
        <f>Loads!E$321</f>
        <v>18.316015186163327</v>
      </c>
      <c r="D626" s="39">
        <f>Multi!B$138</f>
        <v>1352.8514217970164</v>
      </c>
      <c r="E626" s="33">
        <f>IF(C626,D626/C626,"")</f>
        <v>73.861667401270566</v>
      </c>
      <c r="F626" s="10"/>
    </row>
    <row r="628" spans="1:7" ht="30" x14ac:dyDescent="0.25">
      <c r="B628" s="12" t="s">
        <v>1489</v>
      </c>
      <c r="C628" s="12" t="s">
        <v>1492</v>
      </c>
      <c r="D628" s="12" t="s">
        <v>1660</v>
      </c>
      <c r="E628" s="12" t="s">
        <v>1630</v>
      </c>
      <c r="F628" s="12" t="s">
        <v>1661</v>
      </c>
    </row>
    <row r="629" spans="1:7" x14ac:dyDescent="0.25">
      <c r="A629" s="3" t="s">
        <v>456</v>
      </c>
      <c r="B629" s="34">
        <f>Yard!$C$42</f>
        <v>-7.5663437961999452E-2</v>
      </c>
      <c r="C629" s="9"/>
      <c r="D629" s="17">
        <f>0.01*Input!$F$58*(C629*$C$626)+10*(B629*$B$626)</f>
        <v>-1023.6138962494131</v>
      </c>
      <c r="E629" s="33">
        <f t="shared" ref="E629:E651" si="49">IF($D$626&lt;&gt;0,0.1*D629/$D$626,"")</f>
        <v>-7.5663437961999452E-2</v>
      </c>
      <c r="F629" s="41">
        <f t="shared" ref="F629:F651" si="50">IF($C$626&lt;&gt;0,D629/$C$626,"")</f>
        <v>-55.886276891858728</v>
      </c>
      <c r="G629" s="10"/>
    </row>
    <row r="630" spans="1:7" x14ac:dyDescent="0.25">
      <c r="A630" s="3" t="s">
        <v>457</v>
      </c>
      <c r="B630" s="34">
        <f>Yard!$D$42</f>
        <v>-3.8082722665888372E-2</v>
      </c>
      <c r="C630" s="9"/>
      <c r="D630" s="17">
        <f>0.01*Input!$F$58*(C630*$C$626)+10*(B630*$B$626)</f>
        <v>-515.20265504448548</v>
      </c>
      <c r="E630" s="33">
        <f t="shared" si="49"/>
        <v>-3.8082722665888379E-2</v>
      </c>
      <c r="F630" s="41">
        <f t="shared" si="50"/>
        <v>-28.12853395282675</v>
      </c>
      <c r="G630" s="10"/>
    </row>
    <row r="631" spans="1:7" x14ac:dyDescent="0.25">
      <c r="A631" s="3" t="s">
        <v>458</v>
      </c>
      <c r="B631" s="34">
        <f>Yard!$E$42</f>
        <v>-4.6419479298196654E-2</v>
      </c>
      <c r="C631" s="9"/>
      <c r="D631" s="17">
        <f>0.01*Input!$F$58*(C631*$C$626)+10*(B631*$B$626)</f>
        <v>-627.98658567642508</v>
      </c>
      <c r="E631" s="33">
        <f t="shared" si="49"/>
        <v>-4.6419479298196654E-2</v>
      </c>
      <c r="F631" s="41">
        <f t="shared" si="50"/>
        <v>-34.286201408635655</v>
      </c>
      <c r="G631" s="10"/>
    </row>
    <row r="632" spans="1:7" x14ac:dyDescent="0.25">
      <c r="A632" s="3" t="s">
        <v>459</v>
      </c>
      <c r="B632" s="34">
        <f>Yard!$F$42</f>
        <v>-7.5215847636368544E-2</v>
      </c>
      <c r="C632" s="9"/>
      <c r="D632" s="17">
        <f>0.01*Input!$F$58*(C632*$C$626)+10*(B632*$B$626)</f>
        <v>-1017.5586641652894</v>
      </c>
      <c r="E632" s="33">
        <f t="shared" si="49"/>
        <v>-7.5215847636368544E-2</v>
      </c>
      <c r="F632" s="41">
        <f t="shared" si="50"/>
        <v>-55.555679214220966</v>
      </c>
      <c r="G632" s="10"/>
    </row>
    <row r="633" spans="1:7" x14ac:dyDescent="0.25">
      <c r="A633" s="3" t="s">
        <v>460</v>
      </c>
      <c r="B633" s="34">
        <f>Yard!$G$42</f>
        <v>-6.3242561763272066E-3</v>
      </c>
      <c r="C633" s="9"/>
      <c r="D633" s="17">
        <f>0.01*Input!$F$58*(C633*$C$626)+10*(B633*$B$626)</f>
        <v>-85.557789599528249</v>
      </c>
      <c r="E633" s="33">
        <f t="shared" si="49"/>
        <v>-6.3242561763272075E-3</v>
      </c>
      <c r="F633" s="41">
        <f t="shared" si="50"/>
        <v>-4.6712010625631128</v>
      </c>
      <c r="G633" s="10"/>
    </row>
    <row r="634" spans="1:7" x14ac:dyDescent="0.25">
      <c r="A634" s="3" t="s">
        <v>461</v>
      </c>
      <c r="B634" s="34">
        <f>Yard!$H$42</f>
        <v>-9.7989020722500902E-2</v>
      </c>
      <c r="C634" s="9"/>
      <c r="D634" s="17">
        <f>0.01*Input!$F$58*(C634*$C$626)+10*(B634*$B$626)</f>
        <v>-1325.6458600493265</v>
      </c>
      <c r="E634" s="33">
        <f t="shared" si="49"/>
        <v>-9.7989020722500916E-2</v>
      </c>
      <c r="F634" s="41">
        <f t="shared" si="50"/>
        <v>-72.376324575815715</v>
      </c>
      <c r="G634" s="10"/>
    </row>
    <row r="635" spans="1:7" x14ac:dyDescent="0.25">
      <c r="A635" s="3" t="s">
        <v>462</v>
      </c>
      <c r="B635" s="34">
        <f>Yard!$I$42</f>
        <v>-2.3256492123228292E-2</v>
      </c>
      <c r="C635" s="9"/>
      <c r="D635" s="17">
        <f>0.01*Input!$F$58*(C635*$C$626)+10*(B635*$B$626)</f>
        <v>-314.62578434920511</v>
      </c>
      <c r="E635" s="33">
        <f t="shared" si="49"/>
        <v>-2.3256492123228296E-2</v>
      </c>
      <c r="F635" s="41">
        <f t="shared" si="50"/>
        <v>-17.177632861261568</v>
      </c>
      <c r="G635" s="10"/>
    </row>
    <row r="636" spans="1:7" x14ac:dyDescent="0.25">
      <c r="A636" s="3" t="s">
        <v>463</v>
      </c>
      <c r="B636" s="34">
        <f>Yard!$J$42</f>
        <v>0</v>
      </c>
      <c r="C636" s="9"/>
      <c r="D636" s="17">
        <f>0.01*Input!$F$58*(C636*$C$626)+10*(B636*$B$626)</f>
        <v>0</v>
      </c>
      <c r="E636" s="33">
        <f t="shared" si="49"/>
        <v>0</v>
      </c>
      <c r="F636" s="41">
        <f t="shared" si="50"/>
        <v>0</v>
      </c>
      <c r="G636" s="10"/>
    </row>
    <row r="637" spans="1:7" x14ac:dyDescent="0.25">
      <c r="A637" s="3" t="s">
        <v>1662</v>
      </c>
      <c r="B637" s="9"/>
      <c r="C637" s="42">
        <f>SM!$B$125</f>
        <v>0</v>
      </c>
      <c r="D637" s="17">
        <f>0.01*Input!$F$58*(C637*$C$626)+10*(B637*$B$626)</f>
        <v>0</v>
      </c>
      <c r="E637" s="33">
        <f t="shared" si="49"/>
        <v>0</v>
      </c>
      <c r="F637" s="41">
        <f t="shared" si="50"/>
        <v>0</v>
      </c>
      <c r="G637" s="10"/>
    </row>
    <row r="638" spans="1:7" x14ac:dyDescent="0.25">
      <c r="A638" s="3" t="s">
        <v>1663</v>
      </c>
      <c r="B638" s="9"/>
      <c r="C638" s="42">
        <f>SM!$C$125</f>
        <v>0</v>
      </c>
      <c r="D638" s="17">
        <f>0.01*Input!$F$58*(C638*$C$626)+10*(B638*$B$626)</f>
        <v>0</v>
      </c>
      <c r="E638" s="33">
        <f t="shared" si="49"/>
        <v>0</v>
      </c>
      <c r="F638" s="41">
        <f t="shared" si="50"/>
        <v>0</v>
      </c>
      <c r="G638" s="10"/>
    </row>
    <row r="639" spans="1:7" x14ac:dyDescent="0.25">
      <c r="A639" s="3" t="s">
        <v>1664</v>
      </c>
      <c r="B639" s="34">
        <f>Yard!$K$42</f>
        <v>-3.2342077462045107E-2</v>
      </c>
      <c r="C639" s="9"/>
      <c r="D639" s="17">
        <f>0.01*Input!$F$58*(C639*$C$626)+10*(B639*$B$626)</f>
        <v>-437.5402547839696</v>
      </c>
      <c r="E639" s="33">
        <f t="shared" si="49"/>
        <v>-3.2342077462045107E-2</v>
      </c>
      <c r="F639" s="41">
        <f t="shared" si="50"/>
        <v>-23.888397685677045</v>
      </c>
      <c r="G639" s="10"/>
    </row>
    <row r="640" spans="1:7" x14ac:dyDescent="0.25">
      <c r="A640" s="3" t="s">
        <v>1665</v>
      </c>
      <c r="B640" s="34">
        <f>Yard!$L$42</f>
        <v>-3.424328226222588E-2</v>
      </c>
      <c r="C640" s="9"/>
      <c r="D640" s="17">
        <f>0.01*Input!$F$58*(C640*$C$626)+10*(B640*$B$626)</f>
        <v>-463.26073095448834</v>
      </c>
      <c r="E640" s="33">
        <f t="shared" si="49"/>
        <v>-3.424328226222588E-2</v>
      </c>
      <c r="F640" s="41">
        <f t="shared" si="50"/>
        <v>-25.29265925180356</v>
      </c>
      <c r="G640" s="10"/>
    </row>
    <row r="641" spans="1:7" x14ac:dyDescent="0.25">
      <c r="A641" s="3" t="s">
        <v>1666</v>
      </c>
      <c r="B641" s="34">
        <f>Yard!$M$42</f>
        <v>-1.7235238798123761E-2</v>
      </c>
      <c r="C641" s="9"/>
      <c r="D641" s="17">
        <f>0.01*Input!$F$58*(C641*$C$626)+10*(B641*$B$626)</f>
        <v>-233.16717313052831</v>
      </c>
      <c r="E641" s="33">
        <f t="shared" si="49"/>
        <v>-1.7235238798123765E-2</v>
      </c>
      <c r="F641" s="41">
        <f t="shared" si="50"/>
        <v>-12.730234756884915</v>
      </c>
      <c r="G641" s="10"/>
    </row>
    <row r="642" spans="1:7" x14ac:dyDescent="0.25">
      <c r="A642" s="3" t="s">
        <v>1667</v>
      </c>
      <c r="B642" s="34">
        <f>Yard!$N$42</f>
        <v>-2.1008235614036256E-2</v>
      </c>
      <c r="C642" s="9"/>
      <c r="D642" s="17">
        <f>0.01*Input!$F$58*(C642*$C$626)+10*(B642*$B$626)</f>
        <v>-284.21021419895669</v>
      </c>
      <c r="E642" s="33">
        <f t="shared" si="49"/>
        <v>-2.1008235614036259E-2</v>
      </c>
      <c r="F642" s="41">
        <f t="shared" si="50"/>
        <v>-15.517033116114733</v>
      </c>
      <c r="G642" s="10"/>
    </row>
    <row r="643" spans="1:7" x14ac:dyDescent="0.25">
      <c r="A643" s="3" t="s">
        <v>1668</v>
      </c>
      <c r="B643" s="34">
        <f>Yard!$O$42</f>
        <v>-3.404071465135261E-2</v>
      </c>
      <c r="C643" s="9"/>
      <c r="D643" s="17">
        <f>0.01*Input!$F$58*(C643*$C$626)+10*(B643*$B$626)</f>
        <v>-460.52029215068904</v>
      </c>
      <c r="E643" s="33">
        <f t="shared" si="49"/>
        <v>-3.404071465135261E-2</v>
      </c>
      <c r="F643" s="41">
        <f t="shared" si="50"/>
        <v>-25.143039436797643</v>
      </c>
      <c r="G643" s="10"/>
    </row>
    <row r="644" spans="1:7" x14ac:dyDescent="0.25">
      <c r="A644" s="3" t="s">
        <v>1669</v>
      </c>
      <c r="B644" s="34">
        <f>Yard!$P$42</f>
        <v>-2.8621920332692623E-3</v>
      </c>
      <c r="C644" s="9"/>
      <c r="D644" s="17">
        <f>0.01*Input!$F$58*(C644*$C$626)+10*(B644*$B$626)</f>
        <v>-38.721205616644149</v>
      </c>
      <c r="E644" s="33">
        <f t="shared" si="49"/>
        <v>-2.8621920332692627E-3</v>
      </c>
      <c r="F644" s="41">
        <f t="shared" si="50"/>
        <v>-2.1140627599990061</v>
      </c>
      <c r="G644" s="10"/>
    </row>
    <row r="645" spans="1:7" x14ac:dyDescent="0.25">
      <c r="A645" s="3" t="s">
        <v>1670</v>
      </c>
      <c r="B645" s="34">
        <f>Yard!$Q$42</f>
        <v>-8.5141308815110034E-2</v>
      </c>
      <c r="C645" s="9"/>
      <c r="D645" s="17">
        <f>0.01*Input!$F$58*(C645*$C$626)+10*(B645*$B$626)</f>
        <v>-1151.8354068418046</v>
      </c>
      <c r="E645" s="33">
        <f t="shared" si="49"/>
        <v>-8.5141308815110034E-2</v>
      </c>
      <c r="F645" s="41">
        <f t="shared" si="50"/>
        <v>-62.886790338105229</v>
      </c>
      <c r="G645" s="10"/>
    </row>
    <row r="646" spans="1:7" x14ac:dyDescent="0.25">
      <c r="A646" s="3" t="s">
        <v>1671</v>
      </c>
      <c r="B646" s="34">
        <f>Yard!$R$42</f>
        <v>-3.6159872905865156E-2</v>
      </c>
      <c r="C646" s="9"/>
      <c r="D646" s="17">
        <f>0.01*Input!$F$58*(C646*$C$626)+10*(B646*$B$626)</f>
        <v>-489.18935472699093</v>
      </c>
      <c r="E646" s="33">
        <f t="shared" si="49"/>
        <v>-3.6159872905865163E-2</v>
      </c>
      <c r="F646" s="41">
        <f t="shared" si="50"/>
        <v>-26.708285058452276</v>
      </c>
      <c r="G646" s="10"/>
    </row>
    <row r="647" spans="1:7" x14ac:dyDescent="0.25">
      <c r="A647" s="3" t="s">
        <v>1672</v>
      </c>
      <c r="B647" s="34">
        <f>Yard!$S$42</f>
        <v>0</v>
      </c>
      <c r="C647" s="9"/>
      <c r="D647" s="17">
        <f>0.01*Input!$F$58*(C647*$C$626)+10*(B647*$B$626)</f>
        <v>0</v>
      </c>
      <c r="E647" s="33">
        <f t="shared" si="49"/>
        <v>0</v>
      </c>
      <c r="F647" s="41">
        <f t="shared" si="50"/>
        <v>0</v>
      </c>
      <c r="G647" s="10"/>
    </row>
    <row r="648" spans="1:7" x14ac:dyDescent="0.25">
      <c r="A648" s="3" t="s">
        <v>1673</v>
      </c>
      <c r="B648" s="9"/>
      <c r="C648" s="42">
        <f>Otex!$B$140</f>
        <v>0</v>
      </c>
      <c r="D648" s="17">
        <f>0.01*Input!$F$58*(C648*$C$626)+10*(B648*$B$626)</f>
        <v>0</v>
      </c>
      <c r="E648" s="33">
        <f t="shared" si="49"/>
        <v>0</v>
      </c>
      <c r="F648" s="41">
        <f t="shared" si="50"/>
        <v>0</v>
      </c>
      <c r="G648" s="10"/>
    </row>
    <row r="649" spans="1:7" x14ac:dyDescent="0.25">
      <c r="A649" s="3" t="s">
        <v>1674</v>
      </c>
      <c r="B649" s="9"/>
      <c r="C649" s="42">
        <f>Otex!$C$140</f>
        <v>0</v>
      </c>
      <c r="D649" s="17">
        <f>0.01*Input!$F$58*(C649*$C$626)+10*(B649*$B$626)</f>
        <v>0</v>
      </c>
      <c r="E649" s="33">
        <f t="shared" si="49"/>
        <v>0</v>
      </c>
      <c r="F649" s="41">
        <f t="shared" si="50"/>
        <v>0</v>
      </c>
      <c r="G649" s="10"/>
    </row>
    <row r="650" spans="1:7" x14ac:dyDescent="0.25">
      <c r="A650" s="3" t="s">
        <v>1675</v>
      </c>
      <c r="B650" s="34">
        <f>Scaler!$B$435</f>
        <v>0</v>
      </c>
      <c r="C650" s="42">
        <f>Scaler!$E$435</f>
        <v>0</v>
      </c>
      <c r="D650" s="17">
        <f>0.01*Input!$F$58*(C650*$C$626)+10*(B650*$B$626)</f>
        <v>0</v>
      </c>
      <c r="E650" s="33">
        <f t="shared" si="49"/>
        <v>0</v>
      </c>
      <c r="F650" s="41">
        <f t="shared" si="50"/>
        <v>0</v>
      </c>
      <c r="G650" s="10"/>
    </row>
    <row r="651" spans="1:7" x14ac:dyDescent="0.25">
      <c r="A651" s="3" t="s">
        <v>1676</v>
      </c>
      <c r="B651" s="34">
        <f>Adjust!$B$91</f>
        <v>-1.5820873462413232E-5</v>
      </c>
      <c r="C651" s="42">
        <f>Adjust!$E$91</f>
        <v>0</v>
      </c>
      <c r="D651" s="17">
        <f>0.01*Input!$F$58*(C651*$C$626)+10*(B651*$B$626)</f>
        <v>-0.21403291157696427</v>
      </c>
      <c r="E651" s="33">
        <f t="shared" si="49"/>
        <v>-1.5820873462413235E-5</v>
      </c>
      <c r="F651" s="41">
        <f t="shared" si="50"/>
        <v>-1.1685560936783541E-2</v>
      </c>
      <c r="G651" s="10"/>
    </row>
    <row r="653" spans="1:7" x14ac:dyDescent="0.25">
      <c r="A653" s="3" t="s">
        <v>1677</v>
      </c>
      <c r="B653" s="33">
        <f>SUM($B$629:$B$651)</f>
        <v>-0.626</v>
      </c>
      <c r="C653" s="41">
        <f>SUM($C$629:$C$651)</f>
        <v>0</v>
      </c>
      <c r="D653" s="17">
        <f>SUM($D$629:$D$651)</f>
        <v>-8468.8499004493224</v>
      </c>
      <c r="E653" s="33">
        <f>SUM($E$629:$E$651)</f>
        <v>-0.626</v>
      </c>
      <c r="F653" s="41">
        <f>SUM($F$629:$F$651)</f>
        <v>-462.37403793195375</v>
      </c>
    </row>
    <row r="655" spans="1:7" ht="21" customHeight="1" x14ac:dyDescent="0.3">
      <c r="A655" s="1" t="s">
        <v>182</v>
      </c>
    </row>
    <row r="657" spans="1:7" x14ac:dyDescent="0.25">
      <c r="B657" s="12" t="s">
        <v>222</v>
      </c>
      <c r="C657" s="12" t="s">
        <v>225</v>
      </c>
      <c r="D657" s="12" t="s">
        <v>1658</v>
      </c>
      <c r="E657" s="12" t="s">
        <v>1659</v>
      </c>
    </row>
    <row r="658" spans="1:7" x14ac:dyDescent="0.25">
      <c r="A658" s="3" t="s">
        <v>182</v>
      </c>
      <c r="B658" s="39">
        <f>Loads!B$322</f>
        <v>0</v>
      </c>
      <c r="C658" s="39">
        <f>Loads!E$322</f>
        <v>0</v>
      </c>
      <c r="D658" s="39">
        <f>Multi!B$139</f>
        <v>0</v>
      </c>
      <c r="E658" s="33" t="str">
        <f>IF(C658,D658/C658,"")</f>
        <v/>
      </c>
      <c r="F658" s="10"/>
    </row>
    <row r="660" spans="1:7" ht="30" x14ac:dyDescent="0.25">
      <c r="B660" s="12" t="s">
        <v>1489</v>
      </c>
      <c r="C660" s="12" t="s">
        <v>1492</v>
      </c>
      <c r="D660" s="12" t="s">
        <v>1660</v>
      </c>
      <c r="E660" s="12" t="s">
        <v>1630</v>
      </c>
      <c r="F660" s="12" t="s">
        <v>1661</v>
      </c>
    </row>
    <row r="661" spans="1:7" x14ac:dyDescent="0.25">
      <c r="A661" s="3" t="s">
        <v>456</v>
      </c>
      <c r="B661" s="34">
        <f>Yard!$C$43</f>
        <v>-7.2894419189373644E-2</v>
      </c>
      <c r="C661" s="9"/>
      <c r="D661" s="17">
        <f>0.01*Input!$F$58*(C661*$C$658)+10*(B661*$B$658)</f>
        <v>0</v>
      </c>
      <c r="E661" s="33" t="str">
        <f t="shared" ref="E661:E683" si="51">IF($D$658&lt;&gt;0,0.1*D661/$D$658,"")</f>
        <v/>
      </c>
      <c r="F661" s="41" t="str">
        <f t="shared" ref="F661:F683" si="52">IF($C$658&lt;&gt;0,D661/$C$658,"")</f>
        <v/>
      </c>
      <c r="G661" s="10"/>
    </row>
    <row r="662" spans="1:7" x14ac:dyDescent="0.25">
      <c r="A662" s="3" t="s">
        <v>457</v>
      </c>
      <c r="B662" s="34">
        <f>Yard!$D$43</f>
        <v>-3.6689027417365468E-2</v>
      </c>
      <c r="C662" s="9"/>
      <c r="D662" s="17">
        <f>0.01*Input!$F$58*(C662*$C$658)+10*(B662*$B$658)</f>
        <v>0</v>
      </c>
      <c r="E662" s="33" t="str">
        <f t="shared" si="51"/>
        <v/>
      </c>
      <c r="F662" s="41" t="str">
        <f t="shared" si="52"/>
        <v/>
      </c>
      <c r="G662" s="10"/>
    </row>
    <row r="663" spans="1:7" x14ac:dyDescent="0.25">
      <c r="A663" s="3" t="s">
        <v>458</v>
      </c>
      <c r="B663" s="34">
        <f>Yard!$E$43</f>
        <v>-4.4720687741080595E-2</v>
      </c>
      <c r="C663" s="9"/>
      <c r="D663" s="17">
        <f>0.01*Input!$F$58*(C663*$C$658)+10*(B663*$B$658)</f>
        <v>0</v>
      </c>
      <c r="E663" s="33" t="str">
        <f t="shared" si="51"/>
        <v/>
      </c>
      <c r="F663" s="41" t="str">
        <f t="shared" si="52"/>
        <v/>
      </c>
      <c r="G663" s="10"/>
    </row>
    <row r="664" spans="1:7" x14ac:dyDescent="0.25">
      <c r="A664" s="3" t="s">
        <v>459</v>
      </c>
      <c r="B664" s="34">
        <f>Yard!$F$43</f>
        <v>-7.2463209113537125E-2</v>
      </c>
      <c r="C664" s="9"/>
      <c r="D664" s="17">
        <f>0.01*Input!$F$58*(C664*$C$658)+10*(B664*$B$658)</f>
        <v>0</v>
      </c>
      <c r="E664" s="33" t="str">
        <f t="shared" si="51"/>
        <v/>
      </c>
      <c r="F664" s="41" t="str">
        <f t="shared" si="52"/>
        <v/>
      </c>
      <c r="G664" s="10"/>
    </row>
    <row r="665" spans="1:7" x14ac:dyDescent="0.25">
      <c r="A665" s="3" t="s">
        <v>460</v>
      </c>
      <c r="B665" s="34">
        <f>Yard!$G$43</f>
        <v>-6.0928103876235562E-3</v>
      </c>
      <c r="C665" s="9"/>
      <c r="D665" s="17">
        <f>0.01*Input!$F$58*(C665*$C$658)+10*(B665*$B$658)</f>
        <v>0</v>
      </c>
      <c r="E665" s="33" t="str">
        <f t="shared" si="51"/>
        <v/>
      </c>
      <c r="F665" s="41" t="str">
        <f t="shared" si="52"/>
        <v/>
      </c>
      <c r="G665" s="10"/>
    </row>
    <row r="666" spans="1:7" x14ac:dyDescent="0.25">
      <c r="A666" s="3" t="s">
        <v>461</v>
      </c>
      <c r="B666" s="34">
        <f>Yard!$H$43</f>
        <v>-9.4402963239518217E-2</v>
      </c>
      <c r="C666" s="9"/>
      <c r="D666" s="17">
        <f>0.01*Input!$F$58*(C666*$C$658)+10*(B666*$B$658)</f>
        <v>0</v>
      </c>
      <c r="E666" s="33" t="str">
        <f t="shared" si="51"/>
        <v/>
      </c>
      <c r="F666" s="41" t="str">
        <f t="shared" si="52"/>
        <v/>
      </c>
      <c r="G666" s="10"/>
    </row>
    <row r="667" spans="1:7" x14ac:dyDescent="0.25">
      <c r="A667" s="3" t="s">
        <v>462</v>
      </c>
      <c r="B667" s="34">
        <f>Yard!$I$43</f>
        <v>0</v>
      </c>
      <c r="C667" s="9"/>
      <c r="D667" s="17">
        <f>0.01*Input!$F$58*(C667*$C$658)+10*(B667*$B$658)</f>
        <v>0</v>
      </c>
      <c r="E667" s="33" t="str">
        <f t="shared" si="51"/>
        <v/>
      </c>
      <c r="F667" s="41" t="str">
        <f t="shared" si="52"/>
        <v/>
      </c>
      <c r="G667" s="10"/>
    </row>
    <row r="668" spans="1:7" x14ac:dyDescent="0.25">
      <c r="A668" s="3" t="s">
        <v>463</v>
      </c>
      <c r="B668" s="34">
        <f>Yard!$J$43</f>
        <v>0</v>
      </c>
      <c r="C668" s="9"/>
      <c r="D668" s="17">
        <f>0.01*Input!$F$58*(C668*$C$658)+10*(B668*$B$658)</f>
        <v>0</v>
      </c>
      <c r="E668" s="33" t="str">
        <f t="shared" si="51"/>
        <v/>
      </c>
      <c r="F668" s="41" t="str">
        <f t="shared" si="52"/>
        <v/>
      </c>
      <c r="G668" s="10"/>
    </row>
    <row r="669" spans="1:7" x14ac:dyDescent="0.25">
      <c r="A669" s="3" t="s">
        <v>1662</v>
      </c>
      <c r="B669" s="9"/>
      <c r="C669" s="42">
        <f>SM!$B$126</f>
        <v>0</v>
      </c>
      <c r="D669" s="17">
        <f>0.01*Input!$F$58*(C669*$C$658)+10*(B669*$B$658)</f>
        <v>0</v>
      </c>
      <c r="E669" s="33" t="str">
        <f t="shared" si="51"/>
        <v/>
      </c>
      <c r="F669" s="41" t="str">
        <f t="shared" si="52"/>
        <v/>
      </c>
      <c r="G669" s="10"/>
    </row>
    <row r="670" spans="1:7" x14ac:dyDescent="0.25">
      <c r="A670" s="3" t="s">
        <v>1663</v>
      </c>
      <c r="B670" s="9"/>
      <c r="C670" s="42">
        <f>SM!$C$126</f>
        <v>0</v>
      </c>
      <c r="D670" s="17">
        <f>0.01*Input!$F$58*(C670*$C$658)+10*(B670*$B$658)</f>
        <v>0</v>
      </c>
      <c r="E670" s="33" t="str">
        <f t="shared" si="51"/>
        <v/>
      </c>
      <c r="F670" s="41" t="str">
        <f t="shared" si="52"/>
        <v/>
      </c>
      <c r="G670" s="10"/>
    </row>
    <row r="671" spans="1:7" x14ac:dyDescent="0.25">
      <c r="A671" s="3" t="s">
        <v>1664</v>
      </c>
      <c r="B671" s="34">
        <f>Yard!$K$43</f>
        <v>-3.1158469869655526E-2</v>
      </c>
      <c r="C671" s="9"/>
      <c r="D671" s="17">
        <f>0.01*Input!$F$58*(C671*$C$658)+10*(B671*$B$658)</f>
        <v>0</v>
      </c>
      <c r="E671" s="33" t="str">
        <f t="shared" si="51"/>
        <v/>
      </c>
      <c r="F671" s="41" t="str">
        <f t="shared" si="52"/>
        <v/>
      </c>
      <c r="G671" s="10"/>
    </row>
    <row r="672" spans="1:7" x14ac:dyDescent="0.25">
      <c r="A672" s="3" t="s">
        <v>1665</v>
      </c>
      <c r="B672" s="34">
        <f>Yard!$L$43</f>
        <v>-3.2990097184010837E-2</v>
      </c>
      <c r="C672" s="9"/>
      <c r="D672" s="17">
        <f>0.01*Input!$F$58*(C672*$C$658)+10*(B672*$B$658)</f>
        <v>0</v>
      </c>
      <c r="E672" s="33" t="str">
        <f t="shared" si="51"/>
        <v/>
      </c>
      <c r="F672" s="41" t="str">
        <f t="shared" si="52"/>
        <v/>
      </c>
      <c r="G672" s="10"/>
    </row>
    <row r="673" spans="1:7" x14ac:dyDescent="0.25">
      <c r="A673" s="3" t="s">
        <v>1666</v>
      </c>
      <c r="B673" s="34">
        <f>Yard!$M$43</f>
        <v>-1.6604488979345213E-2</v>
      </c>
      <c r="C673" s="9"/>
      <c r="D673" s="17">
        <f>0.01*Input!$F$58*(C673*$C$658)+10*(B673*$B$658)</f>
        <v>0</v>
      </c>
      <c r="E673" s="33" t="str">
        <f t="shared" si="51"/>
        <v/>
      </c>
      <c r="F673" s="41" t="str">
        <f t="shared" si="52"/>
        <v/>
      </c>
      <c r="G673" s="10"/>
    </row>
    <row r="674" spans="1:7" x14ac:dyDescent="0.25">
      <c r="A674" s="3" t="s">
        <v>1667</v>
      </c>
      <c r="B674" s="34">
        <f>Yard!$N$43</f>
        <v>-2.0239407229259085E-2</v>
      </c>
      <c r="C674" s="9"/>
      <c r="D674" s="17">
        <f>0.01*Input!$F$58*(C674*$C$658)+10*(B674*$B$658)</f>
        <v>0</v>
      </c>
      <c r="E674" s="33" t="str">
        <f t="shared" si="51"/>
        <v/>
      </c>
      <c r="F674" s="41" t="str">
        <f t="shared" si="52"/>
        <v/>
      </c>
      <c r="G674" s="10"/>
    </row>
    <row r="675" spans="1:7" x14ac:dyDescent="0.25">
      <c r="A675" s="3" t="s">
        <v>1668</v>
      </c>
      <c r="B675" s="34">
        <f>Yard!$O$43</f>
        <v>-3.2794942843434857E-2</v>
      </c>
      <c r="C675" s="9"/>
      <c r="D675" s="17">
        <f>0.01*Input!$F$58*(C675*$C$658)+10*(B675*$B$658)</f>
        <v>0</v>
      </c>
      <c r="E675" s="33" t="str">
        <f t="shared" si="51"/>
        <v/>
      </c>
      <c r="F675" s="41" t="str">
        <f t="shared" si="52"/>
        <v/>
      </c>
      <c r="G675" s="10"/>
    </row>
    <row r="676" spans="1:7" x14ac:dyDescent="0.25">
      <c r="A676" s="3" t="s">
        <v>1669</v>
      </c>
      <c r="B676" s="34">
        <f>Yard!$P$43</f>
        <v>-2.7574457557479719E-3</v>
      </c>
      <c r="C676" s="9"/>
      <c r="D676" s="17">
        <f>0.01*Input!$F$58*(C676*$C$658)+10*(B676*$B$658)</f>
        <v>0</v>
      </c>
      <c r="E676" s="33" t="str">
        <f t="shared" si="51"/>
        <v/>
      </c>
      <c r="F676" s="41" t="str">
        <f t="shared" si="52"/>
        <v/>
      </c>
      <c r="G676" s="10"/>
    </row>
    <row r="677" spans="1:7" x14ac:dyDescent="0.25">
      <c r="A677" s="3" t="s">
        <v>1670</v>
      </c>
      <c r="B677" s="34">
        <f>Yard!$Q$43</f>
        <v>-8.2025432920686953E-2</v>
      </c>
      <c r="C677" s="9"/>
      <c r="D677" s="17">
        <f>0.01*Input!$F$58*(C677*$C$658)+10*(B677*$B$658)</f>
        <v>0</v>
      </c>
      <c r="E677" s="33" t="str">
        <f t="shared" si="51"/>
        <v/>
      </c>
      <c r="F677" s="41" t="str">
        <f t="shared" si="52"/>
        <v/>
      </c>
      <c r="G677" s="10"/>
    </row>
    <row r="678" spans="1:7" x14ac:dyDescent="0.25">
      <c r="A678" s="3" t="s">
        <v>1671</v>
      </c>
      <c r="B678" s="34">
        <f>Yard!$R$43</f>
        <v>0</v>
      </c>
      <c r="C678" s="9"/>
      <c r="D678" s="17">
        <f>0.01*Input!$F$58*(C678*$C$658)+10*(B678*$B$658)</f>
        <v>0</v>
      </c>
      <c r="E678" s="33" t="str">
        <f t="shared" si="51"/>
        <v/>
      </c>
      <c r="F678" s="41" t="str">
        <f t="shared" si="52"/>
        <v/>
      </c>
      <c r="G678" s="10"/>
    </row>
    <row r="679" spans="1:7" x14ac:dyDescent="0.25">
      <c r="A679" s="3" t="s">
        <v>1672</v>
      </c>
      <c r="B679" s="34">
        <f>Yard!$S$43</f>
        <v>0</v>
      </c>
      <c r="C679" s="9"/>
      <c r="D679" s="17">
        <f>0.01*Input!$F$58*(C679*$C$658)+10*(B679*$B$658)</f>
        <v>0</v>
      </c>
      <c r="E679" s="33" t="str">
        <f t="shared" si="51"/>
        <v/>
      </c>
      <c r="F679" s="41" t="str">
        <f t="shared" si="52"/>
        <v/>
      </c>
      <c r="G679" s="10"/>
    </row>
    <row r="680" spans="1:7" x14ac:dyDescent="0.25">
      <c r="A680" s="3" t="s">
        <v>1673</v>
      </c>
      <c r="B680" s="9"/>
      <c r="C680" s="42">
        <f>Otex!$B$141</f>
        <v>0</v>
      </c>
      <c r="D680" s="17">
        <f>0.01*Input!$F$58*(C680*$C$658)+10*(B680*$B$658)</f>
        <v>0</v>
      </c>
      <c r="E680" s="33" t="str">
        <f t="shared" si="51"/>
        <v/>
      </c>
      <c r="F680" s="41" t="str">
        <f t="shared" si="52"/>
        <v/>
      </c>
      <c r="G680" s="10"/>
    </row>
    <row r="681" spans="1:7" x14ac:dyDescent="0.25">
      <c r="A681" s="3" t="s">
        <v>1674</v>
      </c>
      <c r="B681" s="9"/>
      <c r="C681" s="42">
        <f>Otex!$C$141</f>
        <v>0</v>
      </c>
      <c r="D681" s="17">
        <f>0.01*Input!$F$58*(C681*$C$658)+10*(B681*$B$658)</f>
        <v>0</v>
      </c>
      <c r="E681" s="33" t="str">
        <f t="shared" si="51"/>
        <v/>
      </c>
      <c r="F681" s="41" t="str">
        <f t="shared" si="52"/>
        <v/>
      </c>
      <c r="G681" s="10"/>
    </row>
    <row r="682" spans="1:7" x14ac:dyDescent="0.25">
      <c r="A682" s="3" t="s">
        <v>1675</v>
      </c>
      <c r="B682" s="34">
        <f>Scaler!$B$436</f>
        <v>0</v>
      </c>
      <c r="C682" s="42">
        <f>Scaler!$E$436</f>
        <v>0</v>
      </c>
      <c r="D682" s="17">
        <f>0.01*Input!$F$58*(C682*$C$658)+10*(B682*$B$658)</f>
        <v>0</v>
      </c>
      <c r="E682" s="33" t="str">
        <f t="shared" si="51"/>
        <v/>
      </c>
      <c r="F682" s="41" t="str">
        <f t="shared" si="52"/>
        <v/>
      </c>
      <c r="G682" s="10"/>
    </row>
    <row r="683" spans="1:7" x14ac:dyDescent="0.25">
      <c r="A683" s="3" t="s">
        <v>1676</v>
      </c>
      <c r="B683" s="34">
        <f>Adjust!$B$92</f>
        <v>-1.6659812936092866E-4</v>
      </c>
      <c r="C683" s="42">
        <f>Adjust!$E$92</f>
        <v>0</v>
      </c>
      <c r="D683" s="17">
        <f>0.01*Input!$F$58*(C683*$C$658)+10*(B683*$B$658)</f>
        <v>0</v>
      </c>
      <c r="E683" s="33" t="str">
        <f t="shared" si="51"/>
        <v/>
      </c>
      <c r="F683" s="41" t="str">
        <f t="shared" si="52"/>
        <v/>
      </c>
      <c r="G683" s="10"/>
    </row>
    <row r="685" spans="1:7" x14ac:dyDescent="0.25">
      <c r="A685" s="3" t="s">
        <v>1677</v>
      </c>
      <c r="B685" s="33">
        <f>SUM($B$661:$B$683)</f>
        <v>-0.54600000000000004</v>
      </c>
      <c r="C685" s="41">
        <f>SUM($C$661:$C$683)</f>
        <v>0</v>
      </c>
      <c r="D685" s="17">
        <f>SUM($D$661:$D$683)</f>
        <v>0</v>
      </c>
      <c r="E685" s="33">
        <f>SUM($E$661:$E$683)</f>
        <v>0</v>
      </c>
      <c r="F685" s="41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12" t="s">
        <v>222</v>
      </c>
      <c r="C689" s="12" t="s">
        <v>225</v>
      </c>
      <c r="D689" s="12" t="s">
        <v>227</v>
      </c>
      <c r="E689" s="12" t="s">
        <v>1658</v>
      </c>
      <c r="F689" s="12" t="s">
        <v>1659</v>
      </c>
    </row>
    <row r="690" spans="1:8" x14ac:dyDescent="0.25">
      <c r="A690" s="3" t="s">
        <v>183</v>
      </c>
      <c r="B690" s="39">
        <f>Loads!B$323</f>
        <v>37465.173755843185</v>
      </c>
      <c r="C690" s="39">
        <f>Loads!E$323</f>
        <v>190.28304665625231</v>
      </c>
      <c r="D690" s="39">
        <f>Loads!G$323</f>
        <v>2396.4024237207173</v>
      </c>
      <c r="E690" s="39">
        <f>Multi!B$140</f>
        <v>37465.173755843185</v>
      </c>
      <c r="F690" s="33">
        <f>IF(C690,E690/C690,"")</f>
        <v>196.89181151027233</v>
      </c>
      <c r="G690" s="10"/>
    </row>
    <row r="692" spans="1:8" ht="30" x14ac:dyDescent="0.25">
      <c r="B692" s="12" t="s">
        <v>1489</v>
      </c>
      <c r="C692" s="12" t="s">
        <v>1492</v>
      </c>
      <c r="D692" s="12" t="s">
        <v>1104</v>
      </c>
      <c r="E692" s="12" t="s">
        <v>1660</v>
      </c>
      <c r="F692" s="12" t="s">
        <v>1630</v>
      </c>
      <c r="G692" s="12" t="s">
        <v>1661</v>
      </c>
    </row>
    <row r="693" spans="1:8" x14ac:dyDescent="0.25">
      <c r="A693" s="3" t="s">
        <v>456</v>
      </c>
      <c r="B693" s="34">
        <f>Yard!$C$44</f>
        <v>-7.5663437961999452E-2</v>
      </c>
      <c r="C693" s="9"/>
      <c r="D693" s="34">
        <f>Reactive!$C$77</f>
        <v>2.0892452771279518E-2</v>
      </c>
      <c r="E693" s="17">
        <f>0.01*Input!$F$58*(C693*$C$690)+10*(B693*$B$690+D693*$D$690)</f>
        <v>-27846.771257522058</v>
      </c>
      <c r="F693" s="33">
        <f t="shared" ref="F693:F715" si="53">IF($E$690&lt;&gt;0,0.1*E693/$E$690,"")</f>
        <v>-7.4327084238276067E-2</v>
      </c>
      <c r="G693" s="41">
        <f t="shared" ref="G693:G715" si="54">IF($C$690&lt;&gt;0,E693/$C$690,"")</f>
        <v>-146.34394259950781</v>
      </c>
      <c r="H693" s="10"/>
    </row>
    <row r="694" spans="1:8" x14ac:dyDescent="0.25">
      <c r="A694" s="3" t="s">
        <v>457</v>
      </c>
      <c r="B694" s="34">
        <f>Yard!$D$44</f>
        <v>-3.8082722665888372E-2</v>
      </c>
      <c r="C694" s="9"/>
      <c r="D694" s="34">
        <f>Reactive!$D$77</f>
        <v>1.13686902901423E-2</v>
      </c>
      <c r="E694" s="17">
        <f>0.01*Input!$F$58*(C694*$C$690)+10*(B694*$B$690+D694*$D$690)</f>
        <v>-13995.318648072682</v>
      </c>
      <c r="F694" s="33">
        <f t="shared" si="53"/>
        <v>-3.7355541814055856E-2</v>
      </c>
      <c r="G694" s="41">
        <f t="shared" si="54"/>
        <v>-73.550002977171815</v>
      </c>
      <c r="H694" s="10"/>
    </row>
    <row r="695" spans="1:8" x14ac:dyDescent="0.25">
      <c r="A695" s="3" t="s">
        <v>458</v>
      </c>
      <c r="B695" s="34">
        <f>Yard!$E$44</f>
        <v>-4.6419479298196654E-2</v>
      </c>
      <c r="C695" s="9"/>
      <c r="D695" s="34">
        <f>Reactive!$E$77</f>
        <v>1.3857430525669042E-2</v>
      </c>
      <c r="E695" s="17">
        <f>0.01*Input!$F$58*(C695*$C$690)+10*(B695*$B$690+D695*$D$690)</f>
        <v>-17059.058774644487</v>
      </c>
      <c r="F695" s="33">
        <f t="shared" si="53"/>
        <v>-4.5533109991205911E-2</v>
      </c>
      <c r="G695" s="41">
        <f t="shared" si="54"/>
        <v>-89.650965098650119</v>
      </c>
      <c r="H695" s="10"/>
    </row>
    <row r="696" spans="1:8" x14ac:dyDescent="0.25">
      <c r="A696" s="3" t="s">
        <v>459</v>
      </c>
      <c r="B696" s="34">
        <f>Yard!$F$44</f>
        <v>-7.5215847636368544E-2</v>
      </c>
      <c r="C696" s="9"/>
      <c r="D696" s="34">
        <f>Reactive!$F$77</f>
        <v>2.2453900793557094E-2</v>
      </c>
      <c r="E696" s="17">
        <f>0.01*Input!$F$58*(C696*$C$690)+10*(B696*$B$690+D696*$D$690)</f>
        <v>-27641.662186059097</v>
      </c>
      <c r="F696" s="33">
        <f t="shared" si="53"/>
        <v>-7.3779618282827308E-2</v>
      </c>
      <c r="G696" s="41">
        <f t="shared" si="54"/>
        <v>-145.26602696242276</v>
      </c>
      <c r="H696" s="10"/>
    </row>
    <row r="697" spans="1:8" x14ac:dyDescent="0.25">
      <c r="A697" s="3" t="s">
        <v>460</v>
      </c>
      <c r="B697" s="34">
        <f>Yard!$G$44</f>
        <v>-6.3242561763272066E-3</v>
      </c>
      <c r="C697" s="9"/>
      <c r="D697" s="34">
        <f>Reactive!$G$77</f>
        <v>2.3269918051220462E-2</v>
      </c>
      <c r="E697" s="17">
        <f>0.01*Input!$F$58*(C697*$C$690)+10*(B697*$B$690+D697*$D$690)</f>
        <v>-1811.7526850483605</v>
      </c>
      <c r="F697" s="33">
        <f t="shared" si="53"/>
        <v>-4.8358315294501839E-3</v>
      </c>
      <c r="G697" s="41">
        <f t="shared" si="54"/>
        <v>-9.5213562999193755</v>
      </c>
      <c r="H697" s="10"/>
    </row>
    <row r="698" spans="1:8" x14ac:dyDescent="0.25">
      <c r="A698" s="3" t="s">
        <v>461</v>
      </c>
      <c r="B698" s="34">
        <f>Yard!$H$44</f>
        <v>-9.7989020722500902E-2</v>
      </c>
      <c r="C698" s="9"/>
      <c r="D698" s="34">
        <f>Reactive!$H$77</f>
        <v>2.7057070663071957E-2</v>
      </c>
      <c r="E698" s="17">
        <f>0.01*Input!$F$58*(C698*$C$690)+10*(B698*$B$690+D698*$D$690)</f>
        <v>-36063.360578176464</v>
      </c>
      <c r="F698" s="33">
        <f t="shared" si="53"/>
        <v>-9.6258356662637698E-2</v>
      </c>
      <c r="G698" s="41">
        <f t="shared" si="54"/>
        <v>-189.52482216308624</v>
      </c>
      <c r="H698" s="10"/>
    </row>
    <row r="699" spans="1:8" x14ac:dyDescent="0.25">
      <c r="A699" s="3" t="s">
        <v>462</v>
      </c>
      <c r="B699" s="34">
        <f>Yard!$I$44</f>
        <v>-2.3256492123228292E-2</v>
      </c>
      <c r="C699" s="9"/>
      <c r="D699" s="34">
        <f>Reactive!$I$77</f>
        <v>6.4216638365574676E-3</v>
      </c>
      <c r="E699" s="17">
        <f>0.01*Input!$F$58*(C699*$C$690)+10*(B699*$B$690+D699*$D$690)</f>
        <v>-8559.1962756590037</v>
      </c>
      <c r="F699" s="33">
        <f t="shared" si="53"/>
        <v>-2.2845740237155809E-2</v>
      </c>
      <c r="G699" s="41">
        <f t="shared" si="54"/>
        <v>-44.981391805867254</v>
      </c>
      <c r="H699" s="10"/>
    </row>
    <row r="700" spans="1:8" x14ac:dyDescent="0.25">
      <c r="A700" s="3" t="s">
        <v>463</v>
      </c>
      <c r="B700" s="34">
        <f>Yard!$J$44</f>
        <v>0</v>
      </c>
      <c r="C700" s="9"/>
      <c r="D700" s="34">
        <f>Reactive!$J$77</f>
        <v>2.668134464404968E-3</v>
      </c>
      <c r="E700" s="17">
        <f>0.01*Input!$F$58*(C700*$C$690)+10*(B700*$B$690+D700*$D$690)</f>
        <v>63.939238973128425</v>
      </c>
      <c r="F700" s="33">
        <f t="shared" si="53"/>
        <v>1.706631320858515E-4</v>
      </c>
      <c r="G700" s="41">
        <f t="shared" si="54"/>
        <v>0.33602173234400184</v>
      </c>
      <c r="H700" s="10"/>
    </row>
    <row r="701" spans="1:8" x14ac:dyDescent="0.25">
      <c r="A701" s="3" t="s">
        <v>1662</v>
      </c>
      <c r="B701" s="9"/>
      <c r="C701" s="42">
        <f>SM!$B$127</f>
        <v>0</v>
      </c>
      <c r="D701" s="9"/>
      <c r="E701" s="17">
        <f>0.01*Input!$F$58*(C701*$C$690)+10*(B701*$B$690+D701*$D$690)</f>
        <v>0</v>
      </c>
      <c r="F701" s="33">
        <f t="shared" si="53"/>
        <v>0</v>
      </c>
      <c r="G701" s="41">
        <f t="shared" si="54"/>
        <v>0</v>
      </c>
      <c r="H701" s="10"/>
    </row>
    <row r="702" spans="1:8" x14ac:dyDescent="0.25">
      <c r="A702" s="3" t="s">
        <v>1663</v>
      </c>
      <c r="B702" s="9"/>
      <c r="C702" s="42">
        <f>SM!$C$127</f>
        <v>0</v>
      </c>
      <c r="D702" s="9"/>
      <c r="E702" s="17">
        <f>0.01*Input!$F$58*(C702*$C$690)+10*(B702*$B$690+D702*$D$690)</f>
        <v>0</v>
      </c>
      <c r="F702" s="33">
        <f t="shared" si="53"/>
        <v>0</v>
      </c>
      <c r="G702" s="41">
        <f t="shared" si="54"/>
        <v>0</v>
      </c>
      <c r="H702" s="10"/>
    </row>
    <row r="703" spans="1:8" x14ac:dyDescent="0.25">
      <c r="A703" s="3" t="s">
        <v>1664</v>
      </c>
      <c r="B703" s="34">
        <f>Yard!$K$44</f>
        <v>-3.2342077462045107E-2</v>
      </c>
      <c r="C703" s="9"/>
      <c r="D703" s="34">
        <f>Reactive!$K$77</f>
        <v>8.9304073949190849E-3</v>
      </c>
      <c r="E703" s="17">
        <f>0.01*Input!$F$58*(C703*$C$690)+10*(B703*$B$690+D703*$D$690)</f>
        <v>-11903.007018144621</v>
      </c>
      <c r="F703" s="33">
        <f t="shared" si="53"/>
        <v>-3.1770857638924448E-2</v>
      </c>
      <c r="G703" s="41">
        <f t="shared" si="54"/>
        <v>-62.554217137628072</v>
      </c>
      <c r="H703" s="10"/>
    </row>
    <row r="704" spans="1:8" x14ac:dyDescent="0.25">
      <c r="A704" s="3" t="s">
        <v>1665</v>
      </c>
      <c r="B704" s="34">
        <f>Yard!$L$44</f>
        <v>-3.424328226222588E-2</v>
      </c>
      <c r="C704" s="9"/>
      <c r="D704" s="34">
        <f>Reactive!$L$77</f>
        <v>9.4553747049725325E-3</v>
      </c>
      <c r="E704" s="17">
        <f>0.01*Input!$F$58*(C704*$C$690)+10*(B704*$B$690+D704*$D$690)</f>
        <v>-12602.716370644919</v>
      </c>
      <c r="F704" s="33">
        <f t="shared" si="53"/>
        <v>-3.3638483709632766E-2</v>
      </c>
      <c r="G704" s="41">
        <f t="shared" si="54"/>
        <v>-66.231419940483804</v>
      </c>
      <c r="H704" s="10"/>
    </row>
    <row r="705" spans="1:8" x14ac:dyDescent="0.25">
      <c r="A705" s="3" t="s">
        <v>1666</v>
      </c>
      <c r="B705" s="34">
        <f>Yard!$M$44</f>
        <v>-1.7235238798123761E-2</v>
      </c>
      <c r="C705" s="9"/>
      <c r="D705" s="34">
        <f>Reactive!$M$77</f>
        <v>5.1451702571681827E-3</v>
      </c>
      <c r="E705" s="17">
        <f>0.01*Input!$F$58*(C705*$C$690)+10*(B705*$B$690+D705*$D$690)</f>
        <v>-6333.9131782042305</v>
      </c>
      <c r="F705" s="33">
        <f t="shared" si="53"/>
        <v>-1.6906135867623927E-2</v>
      </c>
      <c r="G705" s="41">
        <f t="shared" si="54"/>
        <v>-33.286797166152645</v>
      </c>
      <c r="H705" s="10"/>
    </row>
    <row r="706" spans="1:8" x14ac:dyDescent="0.25">
      <c r="A706" s="3" t="s">
        <v>1667</v>
      </c>
      <c r="B706" s="34">
        <f>Yard!$N$44</f>
        <v>-2.1008235614036256E-2</v>
      </c>
      <c r="C706" s="9"/>
      <c r="D706" s="34">
        <f>Reactive!$N$77</f>
        <v>6.2715086401174507E-3</v>
      </c>
      <c r="E706" s="17">
        <f>0.01*Input!$F$58*(C706*$C$690)+10*(B706*$B$690+D706*$D$690)</f>
        <v>-7720.4813907799853</v>
      </c>
      <c r="F706" s="33">
        <f t="shared" si="53"/>
        <v>-2.0607088174990448E-2</v>
      </c>
      <c r="G706" s="41">
        <f t="shared" si="54"/>
        <v>-40.573669207257808</v>
      </c>
      <c r="H706" s="10"/>
    </row>
    <row r="707" spans="1:8" x14ac:dyDescent="0.25">
      <c r="A707" s="3" t="s">
        <v>1668</v>
      </c>
      <c r="B707" s="34">
        <f>Yard!$O$44</f>
        <v>-3.404071465135261E-2</v>
      </c>
      <c r="C707" s="9"/>
      <c r="D707" s="34">
        <f>Reactive!$O$77</f>
        <v>1.0162045017673619E-2</v>
      </c>
      <c r="E707" s="17">
        <f>0.01*Input!$F$58*(C707*$C$690)+10*(B707*$B$690+D707*$D$690)</f>
        <v>-12509.889398756903</v>
      </c>
      <c r="F707" s="33">
        <f t="shared" si="53"/>
        <v>-3.339071501518346E-2</v>
      </c>
      <c r="G707" s="41">
        <f t="shared" si="54"/>
        <v>-65.743583669627213</v>
      </c>
      <c r="H707" s="10"/>
    </row>
    <row r="708" spans="1:8" x14ac:dyDescent="0.25">
      <c r="A708" s="3" t="s">
        <v>1669</v>
      </c>
      <c r="B708" s="34">
        <f>Yard!$P$44</f>
        <v>-2.8621920332692623E-3</v>
      </c>
      <c r="C708" s="9"/>
      <c r="D708" s="34">
        <f>Reactive!$P$77</f>
        <v>1.0531352969276981E-2</v>
      </c>
      <c r="E708" s="17">
        <f>0.01*Input!$F$58*(C708*$C$690)+10*(B708*$B$690+D708*$D$690)</f>
        <v>-819.95162068389288</v>
      </c>
      <c r="F708" s="33">
        <f t="shared" si="53"/>
        <v>-2.188570179942141E-3</v>
      </c>
      <c r="G708" s="41">
        <f t="shared" si="54"/>
        <v>-4.3091154734617074</v>
      </c>
      <c r="H708" s="10"/>
    </row>
    <row r="709" spans="1:8" x14ac:dyDescent="0.25">
      <c r="A709" s="3" t="s">
        <v>1670</v>
      </c>
      <c r="B709" s="34">
        <f>Yard!$Q$44</f>
        <v>-8.5141308815110034E-2</v>
      </c>
      <c r="C709" s="9"/>
      <c r="D709" s="34">
        <f>Reactive!$Q$77</f>
        <v>2.3509515576043291E-2</v>
      </c>
      <c r="E709" s="17">
        <f>0.01*Input!$F$58*(C709*$C$690)+10*(B709*$B$690+D709*$D$690)</f>
        <v>-31334.956684510704</v>
      </c>
      <c r="F709" s="33">
        <f t="shared" si="53"/>
        <v>-8.3637558679742166E-2</v>
      </c>
      <c r="G709" s="41">
        <f t="shared" si="54"/>
        <v>-164.67550438751135</v>
      </c>
      <c r="H709" s="10"/>
    </row>
    <row r="710" spans="1:8" x14ac:dyDescent="0.25">
      <c r="A710" s="3" t="s">
        <v>1671</v>
      </c>
      <c r="B710" s="34">
        <f>Yard!$R$44</f>
        <v>-3.6159872905865156E-2</v>
      </c>
      <c r="C710" s="9"/>
      <c r="D710" s="34">
        <f>Reactive!$R$77</f>
        <v>9.9845904078622195E-3</v>
      </c>
      <c r="E710" s="17">
        <f>0.01*Input!$F$58*(C710*$C$690)+10*(B710*$B$690+D710*$D$690)</f>
        <v>-13308.088247541846</v>
      </c>
      <c r="F710" s="33">
        <f t="shared" si="53"/>
        <v>-3.5521223881862483E-2</v>
      </c>
      <c r="G710" s="41">
        <f t="shared" si="54"/>
        <v>-69.938381171618531</v>
      </c>
      <c r="H710" s="10"/>
    </row>
    <row r="711" spans="1:8" x14ac:dyDescent="0.25">
      <c r="A711" s="3" t="s">
        <v>1672</v>
      </c>
      <c r="B711" s="34">
        <f>Yard!$S$44</f>
        <v>0</v>
      </c>
      <c r="C711" s="9"/>
      <c r="D711" s="34">
        <f>Reactive!$S$77</f>
        <v>1.9703209356094303E-2</v>
      </c>
      <c r="E711" s="17">
        <f>0.01*Input!$F$58*(C711*$C$690)+10*(B711*$B$690+D711*$D$690)</f>
        <v>472.16818656021098</v>
      </c>
      <c r="F711" s="33">
        <f t="shared" si="53"/>
        <v>1.2602855911927279E-3</v>
      </c>
      <c r="G711" s="41">
        <f t="shared" si="54"/>
        <v>2.4813991307023069</v>
      </c>
      <c r="H711" s="10"/>
    </row>
    <row r="712" spans="1:8" x14ac:dyDescent="0.25">
      <c r="A712" s="3" t="s">
        <v>1673</v>
      </c>
      <c r="B712" s="9"/>
      <c r="C712" s="42">
        <f>Otex!$B$142</f>
        <v>0</v>
      </c>
      <c r="D712" s="9"/>
      <c r="E712" s="17">
        <f>0.01*Input!$F$58*(C712*$C$690)+10*(B712*$B$690+D712*$D$690)</f>
        <v>0</v>
      </c>
      <c r="F712" s="33">
        <f t="shared" si="53"/>
        <v>0</v>
      </c>
      <c r="G712" s="41">
        <f t="shared" si="54"/>
        <v>0</v>
      </c>
      <c r="H712" s="10"/>
    </row>
    <row r="713" spans="1:8" x14ac:dyDescent="0.25">
      <c r="A713" s="3" t="s">
        <v>1674</v>
      </c>
      <c r="B713" s="9"/>
      <c r="C713" s="42">
        <f>Otex!$C$142</f>
        <v>0</v>
      </c>
      <c r="D713" s="9"/>
      <c r="E713" s="17">
        <f>0.01*Input!$F$58*(C713*$C$690)+10*(B713*$B$690+D713*$D$690)</f>
        <v>0</v>
      </c>
      <c r="F713" s="33">
        <f t="shared" si="53"/>
        <v>0</v>
      </c>
      <c r="G713" s="41">
        <f t="shared" si="54"/>
        <v>0</v>
      </c>
      <c r="H713" s="10"/>
    </row>
    <row r="714" spans="1:8" x14ac:dyDescent="0.25">
      <c r="A714" s="3" t="s">
        <v>1675</v>
      </c>
      <c r="B714" s="34">
        <f>Scaler!$B$437</f>
        <v>0</v>
      </c>
      <c r="C714" s="42">
        <f>Scaler!$E$437</f>
        <v>0</v>
      </c>
      <c r="D714" s="34">
        <f>Scaler!$G$437</f>
        <v>0</v>
      </c>
      <c r="E714" s="17">
        <f>0.01*Input!$F$58*(C714*$C$690)+10*(B714*$B$690+D714*$D$690)</f>
        <v>0</v>
      </c>
      <c r="F714" s="33">
        <f t="shared" si="53"/>
        <v>0</v>
      </c>
      <c r="G714" s="41">
        <f t="shared" si="54"/>
        <v>0</v>
      </c>
      <c r="H714" s="10"/>
    </row>
    <row r="715" spans="1:8" x14ac:dyDescent="0.25">
      <c r="A715" s="3" t="s">
        <v>1676</v>
      </c>
      <c r="B715" s="34">
        <f>Adjust!$B$93</f>
        <v>-1.5820873462413232E-5</v>
      </c>
      <c r="C715" s="42">
        <f>Adjust!$E$93</f>
        <v>0</v>
      </c>
      <c r="D715" s="34">
        <f>Adjust!$G$93</f>
        <v>3.175642799695122E-4</v>
      </c>
      <c r="E715" s="17">
        <f>0.01*Input!$F$58*(C715*$C$690)+10*(B715*$B$690+D715*$D$690)</f>
        <v>1.6828003696754334</v>
      </c>
      <c r="F715" s="33">
        <f t="shared" si="53"/>
        <v>4.4916390369415509E-6</v>
      </c>
      <c r="G715" s="41">
        <f t="shared" si="54"/>
        <v>8.8436694663367697E-3</v>
      </c>
      <c r="H715" s="10"/>
    </row>
    <row r="717" spans="1:8" x14ac:dyDescent="0.25">
      <c r="A717" s="3" t="s">
        <v>1677</v>
      </c>
      <c r="B717" s="33">
        <f>SUM($B$693:$B$715)</f>
        <v>-0.626</v>
      </c>
      <c r="C717" s="41">
        <f>SUM($C$693:$C$715)</f>
        <v>0</v>
      </c>
      <c r="D717" s="33">
        <f>SUM($D$693:$D$715)</f>
        <v>0.23200000000000001</v>
      </c>
      <c r="E717" s="17">
        <f>SUM($E$693:$E$715)</f>
        <v>-228972.33408854619</v>
      </c>
      <c r="F717" s="33">
        <f>SUM($F$693:$F$715)</f>
        <v>-0.61116047554119513</v>
      </c>
      <c r="G717" s="41">
        <f>SUM($G$693:$G$715)</f>
        <v>-1203.3249315278538</v>
      </c>
    </row>
    <row r="719" spans="1:8" ht="21" customHeight="1" x14ac:dyDescent="0.3">
      <c r="A719" s="1" t="s">
        <v>184</v>
      </c>
    </row>
    <row r="721" spans="1:11" ht="30" x14ac:dyDescent="0.25">
      <c r="B721" s="12" t="s">
        <v>222</v>
      </c>
      <c r="C721" s="12" t="s">
        <v>223</v>
      </c>
      <c r="D721" s="12" t="s">
        <v>224</v>
      </c>
      <c r="E721" s="12" t="s">
        <v>225</v>
      </c>
      <c r="F721" s="12" t="s">
        <v>227</v>
      </c>
      <c r="G721" s="12" t="s">
        <v>1658</v>
      </c>
      <c r="H721" s="12" t="s">
        <v>1659</v>
      </c>
    </row>
    <row r="722" spans="1:11" x14ac:dyDescent="0.25">
      <c r="A722" s="3" t="s">
        <v>184</v>
      </c>
      <c r="B722" s="39">
        <f>Loads!B$324</f>
        <v>728.9515484251142</v>
      </c>
      <c r="C722" s="39">
        <f>Loads!C$324</f>
        <v>3252.8214818746578</v>
      </c>
      <c r="D722" s="39">
        <f>Loads!D$324</f>
        <v>3642.2599325289552</v>
      </c>
      <c r="E722" s="39">
        <f>Loads!E$324</f>
        <v>71.228947946190701</v>
      </c>
      <c r="F722" s="39">
        <f>Loads!G$324</f>
        <v>685.30016493204562</v>
      </c>
      <c r="G722" s="39">
        <f>Multi!B$141</f>
        <v>7624.0329628287272</v>
      </c>
      <c r="H722" s="33">
        <f>IF(E722,G722/E722,"")</f>
        <v>107.03559694000026</v>
      </c>
      <c r="I722" s="10"/>
    </row>
    <row r="724" spans="1:11" ht="30" x14ac:dyDescent="0.25">
      <c r="B724" s="12" t="s">
        <v>1489</v>
      </c>
      <c r="C724" s="12" t="s">
        <v>1490</v>
      </c>
      <c r="D724" s="12" t="s">
        <v>1491</v>
      </c>
      <c r="E724" s="12" t="s">
        <v>1492</v>
      </c>
      <c r="F724" s="12" t="s">
        <v>1104</v>
      </c>
      <c r="G724" s="12" t="s">
        <v>1678</v>
      </c>
      <c r="H724" s="12" t="s">
        <v>1660</v>
      </c>
      <c r="I724" s="12" t="s">
        <v>1630</v>
      </c>
      <c r="J724" s="12" t="s">
        <v>1661</v>
      </c>
    </row>
    <row r="725" spans="1:11" x14ac:dyDescent="0.25">
      <c r="A725" s="3" t="s">
        <v>456</v>
      </c>
      <c r="B725" s="34">
        <f>Yard!$C$80</f>
        <v>-0.72872366215227724</v>
      </c>
      <c r="C725" s="34">
        <f>Yard!$C$105</f>
        <v>-3.2161717382700912E-2</v>
      </c>
      <c r="D725" s="34">
        <f>Yard!$C$125</f>
        <v>-1.2582422121076972E-3</v>
      </c>
      <c r="E725" s="9"/>
      <c r="F725" s="34">
        <f>Reactive!$C$78</f>
        <v>2.0892452771279518E-2</v>
      </c>
      <c r="G725" s="33">
        <f t="shared" ref="G725:G747" si="55">IF(G$722&lt;&gt;0,(($B725*B$722+$C725*C$722+$D725*D$722+$F725*F$722))/G$722,0)</f>
        <v>-8.2120029387785065E-2</v>
      </c>
      <c r="H725" s="17">
        <f>0.01*Input!$F$58*(E725*$E$722)+10*(B725*$B$722+C725*$C$722+D725*$D$722+F725*$F$722)</f>
        <v>-6260.8581096093712</v>
      </c>
      <c r="I725" s="33">
        <f t="shared" ref="I725:I747" si="56">IF($G$722&lt;&gt;0,0.1*H725/$G$722,"")</f>
        <v>-8.2120029387785065E-2</v>
      </c>
      <c r="J725" s="41">
        <f t="shared" ref="J725:J747" si="57">IF($E$722&lt;&gt;0,H725/$E$722,"")</f>
        <v>-87.897663662519392</v>
      </c>
      <c r="K725" s="10"/>
    </row>
    <row r="726" spans="1:11" x14ac:dyDescent="0.25">
      <c r="A726" s="3" t="s">
        <v>457</v>
      </c>
      <c r="B726" s="34">
        <f>Yard!$D$80</f>
        <v>-0.36677927772398516</v>
      </c>
      <c r="C726" s="34">
        <f>Yard!$D$105</f>
        <v>-1.6187551035669517E-2</v>
      </c>
      <c r="D726" s="34">
        <f>Yard!$D$125</f>
        <v>-6.3329516211352841E-4</v>
      </c>
      <c r="E726" s="9"/>
      <c r="F726" s="34">
        <f>Reactive!$D$78</f>
        <v>1.13686902901423E-2</v>
      </c>
      <c r="G726" s="33">
        <f t="shared" si="55"/>
        <v>-4.1255749807480577E-2</v>
      </c>
      <c r="H726" s="17">
        <f>0.01*Input!$F$58*(E726*$E$722)+10*(B726*$B$722+C726*$C$722+D726*$D$722+F726*$F$722)</f>
        <v>-3145.3519643844684</v>
      </c>
      <c r="I726" s="33">
        <f t="shared" si="56"/>
        <v>-4.1255749807480577E-2</v>
      </c>
      <c r="J726" s="41">
        <f t="shared" si="57"/>
        <v>-44.158338078509843</v>
      </c>
      <c r="K726" s="10"/>
    </row>
    <row r="727" spans="1:11" x14ac:dyDescent="0.25">
      <c r="A727" s="3" t="s">
        <v>458</v>
      </c>
      <c r="B727" s="34">
        <f>Yard!$E$80</f>
        <v>-0.34952702793641849</v>
      </c>
      <c r="C727" s="34">
        <f>Yard!$E$105</f>
        <v>-4.2696914664493685E-2</v>
      </c>
      <c r="D727" s="34">
        <f>Yard!$E$125</f>
        <v>-3.3220913957578194E-3</v>
      </c>
      <c r="E727" s="9"/>
      <c r="F727" s="34">
        <f>Reactive!$E$78</f>
        <v>1.3857430525669042E-2</v>
      </c>
      <c r="G727" s="33">
        <f t="shared" si="55"/>
        <v>-5.1977363208077915E-2</v>
      </c>
      <c r="H727" s="17">
        <f>0.01*Input!$F$58*(E727*$E$722)+10*(B727*$B$722+C727*$C$722+D727*$D$722+F727*$F$722)</f>
        <v>-3962.771304193071</v>
      </c>
      <c r="I727" s="33">
        <f t="shared" si="56"/>
        <v>-5.1977363208077915E-2</v>
      </c>
      <c r="J727" s="41">
        <f t="shared" si="57"/>
        <v>-55.634280983438259</v>
      </c>
      <c r="K727" s="10"/>
    </row>
    <row r="728" spans="1:11" x14ac:dyDescent="0.25">
      <c r="A728" s="3" t="s">
        <v>459</v>
      </c>
      <c r="B728" s="34">
        <f>Yard!$F$80</f>
        <v>-0.5663564537028255</v>
      </c>
      <c r="C728" s="34">
        <f>Yard!$F$105</f>
        <v>-6.9183986475099241E-2</v>
      </c>
      <c r="D728" s="34">
        <f>Yard!$F$125</f>
        <v>-5.3829539674978295E-3</v>
      </c>
      <c r="E728" s="9"/>
      <c r="F728" s="34">
        <f>Reactive!$F$78</f>
        <v>2.2453900793557094E-2</v>
      </c>
      <c r="G728" s="33">
        <f t="shared" si="55"/>
        <v>-8.4221570140509017E-2</v>
      </c>
      <c r="H728" s="17">
        <f>0.01*Input!$F$58*(E728*$E$722)+10*(B728*$B$722+C728*$C$722+D728*$D$722+F728*$F$722)</f>
        <v>-6421.080269324324</v>
      </c>
      <c r="I728" s="33">
        <f t="shared" si="56"/>
        <v>-8.4221570140509031E-2</v>
      </c>
      <c r="J728" s="41">
        <f t="shared" si="57"/>
        <v>-90.147060352134844</v>
      </c>
      <c r="K728" s="10"/>
    </row>
    <row r="729" spans="1:11" x14ac:dyDescent="0.25">
      <c r="A729" s="3" t="s">
        <v>460</v>
      </c>
      <c r="B729" s="34">
        <f>Yard!$G$80</f>
        <v>-6.0909671108480702E-2</v>
      </c>
      <c r="C729" s="34">
        <f>Yard!$G$105</f>
        <v>-2.6882064214553618E-3</v>
      </c>
      <c r="D729" s="34">
        <f>Yard!$G$125</f>
        <v>-1.0516897322633148E-4</v>
      </c>
      <c r="E729" s="9"/>
      <c r="F729" s="34">
        <f>Reactive!$G$78</f>
        <v>2.3269918051220462E-2</v>
      </c>
      <c r="G729" s="33">
        <f t="shared" si="55"/>
        <v>-4.9292321932645862E-3</v>
      </c>
      <c r="H729" s="17">
        <f>0.01*Input!$F$58*(E729*$E$722)+10*(B729*$B$722+C729*$C$722+D729*$D$722+F729*$F$722)</f>
        <v>-375.80628722885751</v>
      </c>
      <c r="I729" s="33">
        <f t="shared" si="56"/>
        <v>-4.929232193264587E-3</v>
      </c>
      <c r="J729" s="41">
        <f t="shared" si="57"/>
        <v>-5.2760331026194178</v>
      </c>
      <c r="K729" s="10"/>
    </row>
    <row r="730" spans="1:11" x14ac:dyDescent="0.25">
      <c r="A730" s="3" t="s">
        <v>461</v>
      </c>
      <c r="B730" s="34">
        <f>Yard!$H$80</f>
        <v>-0.73783273102907088</v>
      </c>
      <c r="C730" s="34">
        <f>Yard!$H$105</f>
        <v>-9.0130887271897095E-2</v>
      </c>
      <c r="D730" s="34">
        <f>Yard!$H$125</f>
        <v>-7.0127560141244692E-3</v>
      </c>
      <c r="E730" s="9"/>
      <c r="F730" s="34">
        <f>Reactive!$H$78</f>
        <v>2.7057070663071957E-2</v>
      </c>
      <c r="G730" s="33">
        <f t="shared" si="55"/>
        <v>-0.10991873558332017</v>
      </c>
      <c r="H730" s="17">
        <f>0.01*Input!$F$58*(E730*$E$722)+10*(B730*$B$722+C730*$C$722+D730*$D$722+F730*$F$722)</f>
        <v>-8380.2406331968796</v>
      </c>
      <c r="I730" s="33">
        <f t="shared" si="56"/>
        <v>-0.10991873558332019</v>
      </c>
      <c r="J730" s="41">
        <f t="shared" si="57"/>
        <v>-117.65217478050722</v>
      </c>
      <c r="K730" s="10"/>
    </row>
    <row r="731" spans="1:11" x14ac:dyDescent="0.25">
      <c r="A731" s="3" t="s">
        <v>462</v>
      </c>
      <c r="B731" s="34">
        <f>Yard!$I$80</f>
        <v>-0.17511554836364798</v>
      </c>
      <c r="C731" s="34">
        <f>Yard!$I$105</f>
        <v>-2.1391460537549031E-2</v>
      </c>
      <c r="D731" s="34">
        <f>Yard!$I$125</f>
        <v>-1.664391620633446E-3</v>
      </c>
      <c r="E731" s="9"/>
      <c r="F731" s="34">
        <f>Reactive!$I$78</f>
        <v>6.4216638365574676E-3</v>
      </c>
      <c r="G731" s="33">
        <f t="shared" si="55"/>
        <v>-2.6087863614108954E-2</v>
      </c>
      <c r="H731" s="17">
        <f>0.01*Input!$F$58*(E731*$E$722)+10*(B731*$B$722+C731*$C$722+D731*$D$722+F731*$F$722)</f>
        <v>-1988.9473212374685</v>
      </c>
      <c r="I731" s="33">
        <f t="shared" si="56"/>
        <v>-2.6087863614108954E-2</v>
      </c>
      <c r="J731" s="41">
        <f t="shared" si="57"/>
        <v>-27.923300548254648</v>
      </c>
      <c r="K731" s="10"/>
    </row>
    <row r="732" spans="1:11" x14ac:dyDescent="0.25">
      <c r="A732" s="3" t="s">
        <v>463</v>
      </c>
      <c r="B732" s="34">
        <f>Yard!$J$80</f>
        <v>0</v>
      </c>
      <c r="C732" s="34">
        <f>Yard!$J$105</f>
        <v>0</v>
      </c>
      <c r="D732" s="34">
        <f>Yard!$J$125</f>
        <v>0</v>
      </c>
      <c r="E732" s="9"/>
      <c r="F732" s="34">
        <f>Reactive!$J$78</f>
        <v>2.668134464404968E-3</v>
      </c>
      <c r="G732" s="33">
        <f t="shared" si="55"/>
        <v>2.3983015254949602E-4</v>
      </c>
      <c r="H732" s="17">
        <f>0.01*Input!$F$58*(E732*$E$722)+10*(B732*$B$722+C732*$C$722+D732*$D$722+F732*$F$722)</f>
        <v>18.284729885175999</v>
      </c>
      <c r="I732" s="33">
        <f t="shared" si="56"/>
        <v>2.3983015254949602E-4</v>
      </c>
      <c r="J732" s="41">
        <f t="shared" si="57"/>
        <v>0.25670363542346636</v>
      </c>
      <c r="K732" s="10"/>
    </row>
    <row r="733" spans="1:11" x14ac:dyDescent="0.25">
      <c r="A733" s="3" t="s">
        <v>1662</v>
      </c>
      <c r="B733" s="9"/>
      <c r="C733" s="9"/>
      <c r="D733" s="9"/>
      <c r="E733" s="42">
        <f>SM!$B$128</f>
        <v>0</v>
      </c>
      <c r="F733" s="9"/>
      <c r="G733" s="33">
        <f t="shared" si="55"/>
        <v>0</v>
      </c>
      <c r="H733" s="17">
        <f>0.01*Input!$F$58*(E733*$E$722)+10*(B733*$B$722+C733*$C$722+D733*$D$722+F733*$F$722)</f>
        <v>0</v>
      </c>
      <c r="I733" s="33">
        <f t="shared" si="56"/>
        <v>0</v>
      </c>
      <c r="J733" s="41">
        <f t="shared" si="57"/>
        <v>0</v>
      </c>
      <c r="K733" s="10"/>
    </row>
    <row r="734" spans="1:11" x14ac:dyDescent="0.25">
      <c r="A734" s="3" t="s">
        <v>1663</v>
      </c>
      <c r="B734" s="9"/>
      <c r="C734" s="9"/>
      <c r="D734" s="9"/>
      <c r="E734" s="42">
        <f>SM!$C$128</f>
        <v>0</v>
      </c>
      <c r="F734" s="9"/>
      <c r="G734" s="33">
        <f t="shared" si="55"/>
        <v>0</v>
      </c>
      <c r="H734" s="17">
        <f>0.01*Input!$F$58*(E734*$E$722)+10*(B734*$B$722+C734*$C$722+D734*$D$722+F734*$F$722)</f>
        <v>0</v>
      </c>
      <c r="I734" s="33">
        <f t="shared" si="56"/>
        <v>0</v>
      </c>
      <c r="J734" s="41">
        <f t="shared" si="57"/>
        <v>0</v>
      </c>
      <c r="K734" s="10"/>
    </row>
    <row r="735" spans="1:11" x14ac:dyDescent="0.25">
      <c r="A735" s="3" t="s">
        <v>1664</v>
      </c>
      <c r="B735" s="34">
        <f>Yard!$K$80</f>
        <v>-0.35690706835097069</v>
      </c>
      <c r="C735" s="34">
        <f>Yard!$K$105</f>
        <v>0</v>
      </c>
      <c r="D735" s="34">
        <f>Yard!$K$125</f>
        <v>-9.3887338166817212E-4</v>
      </c>
      <c r="E735" s="9"/>
      <c r="F735" s="34">
        <f>Reactive!$K$78</f>
        <v>8.9304073949190849E-3</v>
      </c>
      <c r="G735" s="33">
        <f t="shared" si="55"/>
        <v>-3.3770521797678602E-2</v>
      </c>
      <c r="H735" s="17">
        <f>0.01*Input!$F$58*(E735*$E$722)+10*(B735*$B$722+C735*$C$722+D735*$D$722+F735*$F$722)</f>
        <v>-2574.6757135742769</v>
      </c>
      <c r="I735" s="33">
        <f t="shared" si="56"/>
        <v>-3.3770521797678602E-2</v>
      </c>
      <c r="J735" s="41">
        <f t="shared" si="57"/>
        <v>-36.146479595898192</v>
      </c>
      <c r="K735" s="10"/>
    </row>
    <row r="736" spans="1:11" x14ac:dyDescent="0.25">
      <c r="A736" s="3" t="s">
        <v>1665</v>
      </c>
      <c r="B736" s="34">
        <f>Yard!$L$80</f>
        <v>-0.32980116587850516</v>
      </c>
      <c r="C736" s="34">
        <f>Yard!$L$105</f>
        <v>-1.4555547514598571E-2</v>
      </c>
      <c r="D736" s="34">
        <f>Yard!$L$125</f>
        <v>-5.6944733657345427E-4</v>
      </c>
      <c r="E736" s="9"/>
      <c r="F736" s="34">
        <f>Reactive!$L$78</f>
        <v>9.4553747049725325E-3</v>
      </c>
      <c r="G736" s="33">
        <f t="shared" si="55"/>
        <v>-3.7165365749313596E-2</v>
      </c>
      <c r="H736" s="17">
        <f>0.01*Input!$F$58*(E736*$E$722)+10*(B736*$B$722+C736*$C$722+D736*$D$722+F736*$F$722)</f>
        <v>-2833.4997354835264</v>
      </c>
      <c r="I736" s="33">
        <f t="shared" si="56"/>
        <v>-3.7165365749313596E-2</v>
      </c>
      <c r="J736" s="41">
        <f t="shared" si="57"/>
        <v>-39.780171084712208</v>
      </c>
      <c r="K736" s="10"/>
    </row>
    <row r="737" spans="1:11" x14ac:dyDescent="0.25">
      <c r="A737" s="3" t="s">
        <v>1666</v>
      </c>
      <c r="B737" s="34">
        <f>Yard!$M$80</f>
        <v>-0.165994655719261</v>
      </c>
      <c r="C737" s="34">
        <f>Yard!$M$105</f>
        <v>-7.3260599065960033E-3</v>
      </c>
      <c r="D737" s="34">
        <f>Yard!$M$125</f>
        <v>-2.8661273629209256E-4</v>
      </c>
      <c r="E737" s="9"/>
      <c r="F737" s="34">
        <f>Reactive!$M$78</f>
        <v>5.1451702571681827E-3</v>
      </c>
      <c r="G737" s="33">
        <f t="shared" si="55"/>
        <v>-1.8671267439722295E-2</v>
      </c>
      <c r="H737" s="17">
        <f>0.01*Input!$F$58*(E737*$E$722)+10*(B737*$B$722+C737*$C$722+D737*$D$722+F737*$F$722)</f>
        <v>-1423.5035841823353</v>
      </c>
      <c r="I737" s="33">
        <f t="shared" si="56"/>
        <v>-1.8671267439722295E-2</v>
      </c>
      <c r="J737" s="41">
        <f t="shared" si="57"/>
        <v>-19.984902560370664</v>
      </c>
      <c r="K737" s="10"/>
    </row>
    <row r="738" spans="1:11" x14ac:dyDescent="0.25">
      <c r="A738" s="3" t="s">
        <v>1667</v>
      </c>
      <c r="B738" s="34">
        <f>Yard!$N$80</f>
        <v>-0.15818674115647344</v>
      </c>
      <c r="C738" s="34">
        <f>Yard!$N$105</f>
        <v>-1.9323500754971416E-2</v>
      </c>
      <c r="D738" s="34">
        <f>Yard!$N$125</f>
        <v>-1.5034912030164487E-3</v>
      </c>
      <c r="E738" s="9"/>
      <c r="F738" s="34">
        <f>Reactive!$N$78</f>
        <v>6.2715086401174507E-3</v>
      </c>
      <c r="G738" s="33">
        <f t="shared" si="55"/>
        <v>-2.3523587713187927E-2</v>
      </c>
      <c r="H738" s="17">
        <f>0.01*Input!$F$58*(E738*$E$722)+10*(B738*$B$722+C738*$C$722+D738*$D$722+F738*$F$722)</f>
        <v>-1793.4460812933758</v>
      </c>
      <c r="I738" s="33">
        <f t="shared" si="56"/>
        <v>-2.3523587713187927E-2</v>
      </c>
      <c r="J738" s="41">
        <f t="shared" si="57"/>
        <v>-25.178612530515252</v>
      </c>
      <c r="K738" s="10"/>
    </row>
    <row r="739" spans="1:11" x14ac:dyDescent="0.25">
      <c r="A739" s="3" t="s">
        <v>1668</v>
      </c>
      <c r="B739" s="34">
        <f>Yard!$O$80</f>
        <v>-0.25631803718619484</v>
      </c>
      <c r="C739" s="34">
        <f>Yard!$O$105</f>
        <v>-3.13108529126402E-2</v>
      </c>
      <c r="D739" s="34">
        <f>Yard!$O$125</f>
        <v>-2.4361834074493574E-3</v>
      </c>
      <c r="E739" s="9"/>
      <c r="F739" s="34">
        <f>Reactive!$O$78</f>
        <v>1.0162045017673619E-2</v>
      </c>
      <c r="G739" s="33">
        <f t="shared" si="55"/>
        <v>-3.8116467828725312E-2</v>
      </c>
      <c r="H739" s="17">
        <f>0.01*Input!$F$58*(E739*$E$722)+10*(B739*$B$722+C739*$C$722+D739*$D$722+F739*$F$722)</f>
        <v>-2906.012071528025</v>
      </c>
      <c r="I739" s="33">
        <f t="shared" si="56"/>
        <v>-3.8116467828725312E-2</v>
      </c>
      <c r="J739" s="41">
        <f t="shared" si="57"/>
        <v>-40.79818887291929</v>
      </c>
      <c r="K739" s="10"/>
    </row>
    <row r="740" spans="1:11" x14ac:dyDescent="0.25">
      <c r="A740" s="3" t="s">
        <v>1669</v>
      </c>
      <c r="B740" s="34">
        <f>Yard!$P$80</f>
        <v>-2.7566115371529601E-2</v>
      </c>
      <c r="C740" s="34">
        <f>Yard!$P$105</f>
        <v>-1.2166115332382336E-3</v>
      </c>
      <c r="D740" s="34">
        <f>Yard!$P$125</f>
        <v>-4.7596711601003996E-5</v>
      </c>
      <c r="E740" s="9"/>
      <c r="F740" s="34">
        <f>Reactive!$P$78</f>
        <v>1.0531352969276981E-2</v>
      </c>
      <c r="G740" s="33">
        <f t="shared" si="55"/>
        <v>-2.2308408641804403E-3</v>
      </c>
      <c r="H740" s="17">
        <f>0.01*Input!$F$58*(E740*$E$722)+10*(B740*$B$722+C740*$C$722+D740*$D$722+F740*$F$722)</f>
        <v>-170.08004283337002</v>
      </c>
      <c r="I740" s="33">
        <f t="shared" si="56"/>
        <v>-2.2308408641804403E-3</v>
      </c>
      <c r="J740" s="41">
        <f t="shared" si="57"/>
        <v>-2.387793835756995</v>
      </c>
      <c r="K740" s="10"/>
    </row>
    <row r="741" spans="1:11" x14ac:dyDescent="0.25">
      <c r="A741" s="3" t="s">
        <v>1670</v>
      </c>
      <c r="B741" s="34">
        <f>Yard!$Q$80</f>
        <v>-0.64109268511157791</v>
      </c>
      <c r="C741" s="34">
        <f>Yard!$Q$105</f>
        <v>-7.8313485025310978E-2</v>
      </c>
      <c r="D741" s="34">
        <f>Yard!$Q$125</f>
        <v>-6.0932869931874627E-3</v>
      </c>
      <c r="E741" s="9"/>
      <c r="F741" s="34">
        <f>Reactive!$Q$78</f>
        <v>2.3509515576043291E-2</v>
      </c>
      <c r="G741" s="33">
        <f t="shared" si="55"/>
        <v>-9.5506873544220425E-2</v>
      </c>
      <c r="H741" s="17">
        <f>0.01*Input!$F$58*(E741*$E$722)+10*(B741*$B$722+C741*$C$722+D741*$D$722+F741*$F$722)</f>
        <v>-7281.4755207785138</v>
      </c>
      <c r="I741" s="33">
        <f t="shared" si="56"/>
        <v>-9.5506873544220425E-2</v>
      </c>
      <c r="J741" s="41">
        <f t="shared" si="57"/>
        <v>-102.2263522167875</v>
      </c>
      <c r="K741" s="10"/>
    </row>
    <row r="742" spans="1:11" x14ac:dyDescent="0.25">
      <c r="A742" s="3" t="s">
        <v>1671</v>
      </c>
      <c r="B742" s="34">
        <f>Yard!$R$80</f>
        <v>-0.27227476693898794</v>
      </c>
      <c r="C742" s="34">
        <f>Yard!$R$105</f>
        <v>-3.3260067348507311E-2</v>
      </c>
      <c r="D742" s="34">
        <f>Yard!$R$125</f>
        <v>-2.5878446821987009E-3</v>
      </c>
      <c r="E742" s="9"/>
      <c r="F742" s="34">
        <f>Reactive!$R$78</f>
        <v>9.9845904078622195E-3</v>
      </c>
      <c r="G742" s="33">
        <f t="shared" si="55"/>
        <v>-4.0562171959266952E-2</v>
      </c>
      <c r="H742" s="17">
        <f>0.01*Input!$F$58*(E742*$E$722)+10*(B742*$B$722+C742*$C$722+D742*$D$722+F742*$F$722)</f>
        <v>-3092.4733606137834</v>
      </c>
      <c r="I742" s="33">
        <f t="shared" si="56"/>
        <v>-4.0562171959266952E-2</v>
      </c>
      <c r="J742" s="41">
        <f t="shared" si="57"/>
        <v>-43.415962888430784</v>
      </c>
      <c r="K742" s="10"/>
    </row>
    <row r="743" spans="1:11" x14ac:dyDescent="0.25">
      <c r="A743" s="3" t="s">
        <v>1672</v>
      </c>
      <c r="B743" s="34">
        <f>Yard!$S$80</f>
        <v>0</v>
      </c>
      <c r="C743" s="34">
        <f>Yard!$S$105</f>
        <v>0</v>
      </c>
      <c r="D743" s="34">
        <f>Yard!$S$125</f>
        <v>0</v>
      </c>
      <c r="E743" s="9"/>
      <c r="F743" s="34">
        <f>Reactive!$S$78</f>
        <v>1.9703209356094303E-2</v>
      </c>
      <c r="G743" s="33">
        <f t="shared" si="55"/>
        <v>1.7710590559162809E-3</v>
      </c>
      <c r="H743" s="17">
        <f>0.01*Input!$F$58*(E743*$E$722)+10*(B743*$B$722+C743*$C$722+D743*$D$722+F743*$F$722)</f>
        <v>135.02612621422051</v>
      </c>
      <c r="I743" s="33">
        <f t="shared" si="56"/>
        <v>1.7710590559162811E-3</v>
      </c>
      <c r="J743" s="41">
        <f t="shared" si="57"/>
        <v>1.8956636326599241</v>
      </c>
      <c r="K743" s="10"/>
    </row>
    <row r="744" spans="1:11" x14ac:dyDescent="0.25">
      <c r="A744" s="3" t="s">
        <v>1673</v>
      </c>
      <c r="B744" s="9"/>
      <c r="C744" s="9"/>
      <c r="D744" s="9"/>
      <c r="E744" s="42">
        <f>Otex!$B$143</f>
        <v>0</v>
      </c>
      <c r="F744" s="9"/>
      <c r="G744" s="33">
        <f t="shared" si="55"/>
        <v>0</v>
      </c>
      <c r="H744" s="17">
        <f>0.01*Input!$F$58*(E744*$E$722)+10*(B744*$B$722+C744*$C$722+D744*$D$722+F744*$F$722)</f>
        <v>0</v>
      </c>
      <c r="I744" s="33">
        <f t="shared" si="56"/>
        <v>0</v>
      </c>
      <c r="J744" s="41">
        <f t="shared" si="57"/>
        <v>0</v>
      </c>
      <c r="K744" s="10"/>
    </row>
    <row r="745" spans="1:11" x14ac:dyDescent="0.25">
      <c r="A745" s="3" t="s">
        <v>1674</v>
      </c>
      <c r="B745" s="9"/>
      <c r="C745" s="9"/>
      <c r="D745" s="9"/>
      <c r="E745" s="42">
        <f>Otex!$C$143</f>
        <v>0</v>
      </c>
      <c r="F745" s="9"/>
      <c r="G745" s="33">
        <f t="shared" si="55"/>
        <v>0</v>
      </c>
      <c r="H745" s="17">
        <f>0.01*Input!$F$58*(E745*$E$722)+10*(B745*$B$722+C745*$C$722+D745*$D$722+F745*$F$722)</f>
        <v>0</v>
      </c>
      <c r="I745" s="33">
        <f t="shared" si="56"/>
        <v>0</v>
      </c>
      <c r="J745" s="41">
        <f t="shared" si="57"/>
        <v>0</v>
      </c>
      <c r="K745" s="10"/>
    </row>
    <row r="746" spans="1:11" x14ac:dyDescent="0.25">
      <c r="A746" s="3" t="s">
        <v>1675</v>
      </c>
      <c r="B746" s="34">
        <f>Scaler!$B$438</f>
        <v>0</v>
      </c>
      <c r="C746" s="34">
        <f>Scaler!$C$438</f>
        <v>0</v>
      </c>
      <c r="D746" s="34">
        <f>Scaler!$D$438</f>
        <v>0</v>
      </c>
      <c r="E746" s="42">
        <f>Scaler!$E$438</f>
        <v>0</v>
      </c>
      <c r="F746" s="34">
        <f>Scaler!$G$438</f>
        <v>0</v>
      </c>
      <c r="G746" s="33">
        <f t="shared" si="55"/>
        <v>0</v>
      </c>
      <c r="H746" s="17">
        <f>0.01*Input!$F$58*(E746*$E$722)+10*(B746*$B$722+C746*$C$722+D746*$D$722+F746*$F$722)</f>
        <v>0</v>
      </c>
      <c r="I746" s="33">
        <f t="shared" si="56"/>
        <v>0</v>
      </c>
      <c r="J746" s="41">
        <f t="shared" si="57"/>
        <v>0</v>
      </c>
      <c r="K746" s="10"/>
    </row>
    <row r="747" spans="1:11" x14ac:dyDescent="0.25">
      <c r="A747" s="3" t="s">
        <v>1676</v>
      </c>
      <c r="B747" s="34">
        <f>Adjust!$B$94</f>
        <v>3.8560773020712702E-4</v>
      </c>
      <c r="C747" s="34">
        <f>Adjust!$C$94</f>
        <v>-2.5315121527241802E-4</v>
      </c>
      <c r="D747" s="34">
        <f>Adjust!$D$94</f>
        <v>-1.5776420255219498E-4</v>
      </c>
      <c r="E747" s="42">
        <f>Adjust!$E$94</f>
        <v>0</v>
      </c>
      <c r="F747" s="34">
        <f>Adjust!$G$94</f>
        <v>3.175642799695122E-4</v>
      </c>
      <c r="G747" s="33">
        <f t="shared" si="55"/>
        <v>-1.1796351666763264E-4</v>
      </c>
      <c r="H747" s="17">
        <f>0.01*Input!$F$58*(E747*$E$722)+10*(B747*$B$722+C747*$C$722+D747*$D$722+F747*$F$722)</f>
        <v>-8.9935773948522719</v>
      </c>
      <c r="I747" s="33">
        <f t="shared" si="56"/>
        <v>-1.1796351666763264E-4</v>
      </c>
      <c r="J747" s="41">
        <f t="shared" si="57"/>
        <v>-0.12626295423661729</v>
      </c>
      <c r="K747" s="10"/>
    </row>
    <row r="749" spans="1:11" x14ac:dyDescent="0.25">
      <c r="A749" s="3" t="s">
        <v>1677</v>
      </c>
      <c r="B749" s="33">
        <f>SUM($B$725:$B$747)</f>
        <v>-5.1929999999999996</v>
      </c>
      <c r="C749" s="33">
        <f>SUM($C$725:$C$747)</f>
        <v>-0.46</v>
      </c>
      <c r="D749" s="33">
        <f>SUM($D$725:$D$747)</f>
        <v>-3.4000000000000002E-2</v>
      </c>
      <c r="E749" s="41">
        <f>SUM($E$725:$E$747)</f>
        <v>0</v>
      </c>
      <c r="F749" s="33">
        <f>SUM($F$725:$F$747)</f>
        <v>0.23200000000000001</v>
      </c>
      <c r="G749" s="33">
        <f>SUM(G$725:G$747)</f>
        <v>-0.68816471513904376</v>
      </c>
      <c r="H749" s="17">
        <f>SUM($H$725:$H$747)</f>
        <v>-52465.904720757098</v>
      </c>
      <c r="I749" s="33">
        <f>SUM($I$725:$I$747)</f>
        <v>-0.68816471513904376</v>
      </c>
      <c r="J749" s="41">
        <f>SUM($J$725:$J$747)</f>
        <v>-736.58121077952762</v>
      </c>
    </row>
    <row r="751" spans="1:11" ht="21" customHeight="1" x14ac:dyDescent="0.3">
      <c r="A751" s="1" t="s">
        <v>185</v>
      </c>
    </row>
    <row r="753" spans="1:8" ht="30" x14ac:dyDescent="0.25">
      <c r="B753" s="12" t="s">
        <v>222</v>
      </c>
      <c r="C753" s="12" t="s">
        <v>225</v>
      </c>
      <c r="D753" s="12" t="s">
        <v>227</v>
      </c>
      <c r="E753" s="12" t="s">
        <v>1658</v>
      </c>
      <c r="F753" s="12" t="s">
        <v>1659</v>
      </c>
    </row>
    <row r="754" spans="1:8" x14ac:dyDescent="0.25">
      <c r="A754" s="3" t="s">
        <v>185</v>
      </c>
      <c r="B754" s="39">
        <f>Loads!B$325</f>
        <v>1081.2841728000003</v>
      </c>
      <c r="C754" s="39">
        <f>Loads!E$325</f>
        <v>4.0702255969251837</v>
      </c>
      <c r="D754" s="39">
        <f>Loads!G$325</f>
        <v>129.34290968060574</v>
      </c>
      <c r="E754" s="39">
        <f>Multi!B$142</f>
        <v>1081.2841728000003</v>
      </c>
      <c r="F754" s="33">
        <f>IF(C754,E754/C754,"")</f>
        <v>265.65706176504</v>
      </c>
      <c r="G754" s="10"/>
    </row>
    <row r="756" spans="1:8" ht="30" x14ac:dyDescent="0.25">
      <c r="B756" s="12" t="s">
        <v>1489</v>
      </c>
      <c r="C756" s="12" t="s">
        <v>1492</v>
      </c>
      <c r="D756" s="12" t="s">
        <v>1104</v>
      </c>
      <c r="E756" s="12" t="s">
        <v>1660</v>
      </c>
      <c r="F756" s="12" t="s">
        <v>1630</v>
      </c>
      <c r="G756" s="12" t="s">
        <v>1661</v>
      </c>
    </row>
    <row r="757" spans="1:8" x14ac:dyDescent="0.25">
      <c r="A757" s="3" t="s">
        <v>456</v>
      </c>
      <c r="B757" s="34">
        <f>Yard!$C$46</f>
        <v>-7.2894419189373644E-2</v>
      </c>
      <c r="C757" s="9"/>
      <c r="D757" s="34">
        <f>Reactive!$C$79</f>
        <v>2.0127861636008538E-2</v>
      </c>
      <c r="E757" s="17">
        <f>0.01*Input!$F$58*(C757*$C$754)+10*(B757*$B$754+D757*$D$754)</f>
        <v>-762.16185565268358</v>
      </c>
      <c r="F757" s="33">
        <f t="shared" ref="F757:F779" si="58">IF($E$754&lt;&gt;0,0.1*E757/$E$754,"")</f>
        <v>-7.0486730022049152E-2</v>
      </c>
      <c r="G757" s="41">
        <f t="shared" ref="G757:G779" si="59">IF($C$754&lt;&gt;0,E757/$C$754,"")</f>
        <v>-187.25297591083208</v>
      </c>
      <c r="H757" s="10"/>
    </row>
    <row r="758" spans="1:8" x14ac:dyDescent="0.25">
      <c r="A758" s="3" t="s">
        <v>457</v>
      </c>
      <c r="B758" s="34">
        <f>Yard!$D$46</f>
        <v>-3.6689027417365468E-2</v>
      </c>
      <c r="C758" s="9"/>
      <c r="D758" s="34">
        <f>Reactive!$D$79</f>
        <v>1.0952635750704339E-2</v>
      </c>
      <c r="E758" s="17">
        <f>0.01*Input!$F$58*(C758*$C$754)+10*(B758*$B$754+D758*$D$754)</f>
        <v>-382.54618885154622</v>
      </c>
      <c r="F758" s="33">
        <f t="shared" si="58"/>
        <v>-3.537887619874594E-2</v>
      </c>
      <c r="G758" s="41">
        <f t="shared" si="59"/>
        <v>-93.986482995079527</v>
      </c>
      <c r="H758" s="10"/>
    </row>
    <row r="759" spans="1:8" x14ac:dyDescent="0.25">
      <c r="A759" s="3" t="s">
        <v>458</v>
      </c>
      <c r="B759" s="34">
        <f>Yard!$E$46</f>
        <v>-4.4720687741080595E-2</v>
      </c>
      <c r="C759" s="9"/>
      <c r="D759" s="34">
        <f>Reactive!$E$79</f>
        <v>1.3350296746138607E-2</v>
      </c>
      <c r="E759" s="17">
        <f>0.01*Input!$F$58*(C759*$C$754)+10*(B759*$B$754+D759*$D$754)</f>
        <v>-466.29005624916351</v>
      </c>
      <c r="F759" s="33">
        <f t="shared" si="58"/>
        <v>-4.3123728986220057E-2</v>
      </c>
      <c r="G759" s="41">
        <f t="shared" si="59"/>
        <v>-114.56123134831107</v>
      </c>
      <c r="H759" s="10"/>
    </row>
    <row r="760" spans="1:8" x14ac:dyDescent="0.25">
      <c r="A760" s="3" t="s">
        <v>459</v>
      </c>
      <c r="B760" s="34">
        <f>Yard!$F$46</f>
        <v>-7.2463209113537125E-2</v>
      </c>
      <c r="C760" s="9"/>
      <c r="D760" s="34">
        <f>Reactive!$F$79</f>
        <v>2.1632166089309807E-2</v>
      </c>
      <c r="E760" s="17">
        <f>0.01*Input!$F$58*(C760*$C$754)+10*(B760*$B$754+D760*$D$754)</f>
        <v>-755.55353820078972</v>
      </c>
      <c r="F760" s="33">
        <f t="shared" si="58"/>
        <v>-6.9875575469145496E-2</v>
      </c>
      <c r="G760" s="41">
        <f t="shared" si="59"/>
        <v>-185.62940068274497</v>
      </c>
      <c r="H760" s="10"/>
    </row>
    <row r="761" spans="1:8" x14ac:dyDescent="0.25">
      <c r="A761" s="3" t="s">
        <v>460</v>
      </c>
      <c r="B761" s="34">
        <f>Yard!$G$46</f>
        <v>-6.0928103876235562E-3</v>
      </c>
      <c r="C761" s="9"/>
      <c r="D761" s="34">
        <f>Reactive!$G$79</f>
        <v>2.2418319952365186E-2</v>
      </c>
      <c r="E761" s="17">
        <f>0.01*Input!$F$58*(C761*$C$754)+10*(B761*$B$754+D761*$D$754)</f>
        <v>-36.884087072190944</v>
      </c>
      <c r="F761" s="33">
        <f t="shared" si="58"/>
        <v>-3.4111372384818222E-3</v>
      </c>
      <c r="G761" s="41">
        <f t="shared" si="59"/>
        <v>-9.0619269605239339</v>
      </c>
      <c r="H761" s="10"/>
    </row>
    <row r="762" spans="1:8" x14ac:dyDescent="0.25">
      <c r="A762" s="3" t="s">
        <v>461</v>
      </c>
      <c r="B762" s="34">
        <f>Yard!$H$46</f>
        <v>-9.4402963239518217E-2</v>
      </c>
      <c r="C762" s="9"/>
      <c r="D762" s="34">
        <f>Reactive!$H$79</f>
        <v>2.6066875945301712E-2</v>
      </c>
      <c r="E762" s="17">
        <f>0.01*Input!$F$58*(C762*$C$754)+10*(B762*$B$754+D762*$D$754)</f>
        <v>-987.04864435262584</v>
      </c>
      <c r="F762" s="33">
        <f t="shared" si="58"/>
        <v>-9.1284850845143678E-2</v>
      </c>
      <c r="G762" s="41">
        <f t="shared" si="59"/>
        <v>-242.50465259180797</v>
      </c>
      <c r="H762" s="10"/>
    </row>
    <row r="763" spans="1:8" x14ac:dyDescent="0.25">
      <c r="A763" s="3" t="s">
        <v>462</v>
      </c>
      <c r="B763" s="34">
        <f>Yard!$I$46</f>
        <v>0</v>
      </c>
      <c r="C763" s="9"/>
      <c r="D763" s="34">
        <f>Reactive!$I$79</f>
        <v>6.1866532661436551E-3</v>
      </c>
      <c r="E763" s="17">
        <f>0.01*Input!$F$58*(C763*$C$754)+10*(B763*$B$754+D763*$D$754)</f>
        <v>8.001997346280433</v>
      </c>
      <c r="F763" s="33">
        <f t="shared" si="58"/>
        <v>7.4004572965857363E-4</v>
      </c>
      <c r="G763" s="41">
        <f t="shared" si="59"/>
        <v>1.9659837411286174</v>
      </c>
      <c r="H763" s="10"/>
    </row>
    <row r="764" spans="1:8" x14ac:dyDescent="0.25">
      <c r="A764" s="3" t="s">
        <v>463</v>
      </c>
      <c r="B764" s="34">
        <f>Yard!$J$46</f>
        <v>0</v>
      </c>
      <c r="C764" s="9"/>
      <c r="D764" s="34">
        <f>Reactive!$J$79</f>
        <v>0</v>
      </c>
      <c r="E764" s="17">
        <f>0.01*Input!$F$58*(C764*$C$754)+10*(B764*$B$754+D764*$D$754)</f>
        <v>0</v>
      </c>
      <c r="F764" s="33">
        <f t="shared" si="58"/>
        <v>0</v>
      </c>
      <c r="G764" s="41">
        <f t="shared" si="59"/>
        <v>0</v>
      </c>
      <c r="H764" s="10"/>
    </row>
    <row r="765" spans="1:8" x14ac:dyDescent="0.25">
      <c r="A765" s="3" t="s">
        <v>1662</v>
      </c>
      <c r="B765" s="9"/>
      <c r="C765" s="42">
        <f>SM!$B$129</f>
        <v>0</v>
      </c>
      <c r="D765" s="9"/>
      <c r="E765" s="17">
        <f>0.01*Input!$F$58*(C765*$C$754)+10*(B765*$B$754+D765*$D$754)</f>
        <v>0</v>
      </c>
      <c r="F765" s="33">
        <f t="shared" si="58"/>
        <v>0</v>
      </c>
      <c r="G765" s="41">
        <f t="shared" si="59"/>
        <v>0</v>
      </c>
      <c r="H765" s="10"/>
    </row>
    <row r="766" spans="1:8" x14ac:dyDescent="0.25">
      <c r="A766" s="3" t="s">
        <v>1663</v>
      </c>
      <c r="B766" s="9"/>
      <c r="C766" s="42">
        <f>SM!$C$129</f>
        <v>0</v>
      </c>
      <c r="D766" s="9"/>
      <c r="E766" s="17">
        <f>0.01*Input!$F$58*(C766*$C$754)+10*(B766*$B$754+D766*$D$754)</f>
        <v>0</v>
      </c>
      <c r="F766" s="33">
        <f t="shared" si="58"/>
        <v>0</v>
      </c>
      <c r="G766" s="41">
        <f t="shared" si="59"/>
        <v>0</v>
      </c>
      <c r="H766" s="10"/>
    </row>
    <row r="767" spans="1:8" x14ac:dyDescent="0.25">
      <c r="A767" s="3" t="s">
        <v>1664</v>
      </c>
      <c r="B767" s="34">
        <f>Yard!$K$46</f>
        <v>-3.1158469869655526E-2</v>
      </c>
      <c r="C767" s="9"/>
      <c r="D767" s="34">
        <f>Reactive!$K$79</f>
        <v>8.6035855323419903E-3</v>
      </c>
      <c r="E767" s="17">
        <f>0.01*Input!$F$58*(C767*$C$754)+10*(B767*$B$754+D767*$D$754)</f>
        <v>-325.7834753228513</v>
      </c>
      <c r="F767" s="33">
        <f t="shared" si="58"/>
        <v>-3.0129311379748627E-2</v>
      </c>
      <c r="G767" s="41">
        <f t="shared" si="59"/>
        <v>-80.040643341480035</v>
      </c>
      <c r="H767" s="10"/>
    </row>
    <row r="768" spans="1:8" x14ac:dyDescent="0.25">
      <c r="A768" s="3" t="s">
        <v>1665</v>
      </c>
      <c r="B768" s="34">
        <f>Yard!$L$46</f>
        <v>-3.2990097184010837E-2</v>
      </c>
      <c r="C768" s="9"/>
      <c r="D768" s="34">
        <f>Reactive!$L$79</f>
        <v>9.1093408639854288E-3</v>
      </c>
      <c r="E768" s="17">
        <f>0.01*Input!$F$58*(C768*$C$754)+10*(B768*$B$754+D768*$D$754)</f>
        <v>-344.93441291584463</v>
      </c>
      <c r="F768" s="33">
        <f t="shared" si="58"/>
        <v>-3.1900440383089326E-2</v>
      </c>
      <c r="G768" s="41">
        <f t="shared" si="59"/>
        <v>-84.745772611823369</v>
      </c>
      <c r="H768" s="10"/>
    </row>
    <row r="769" spans="1:8" x14ac:dyDescent="0.25">
      <c r="A769" s="3" t="s">
        <v>1666</v>
      </c>
      <c r="B769" s="34">
        <f>Yard!$M$46</f>
        <v>-1.6604488979345213E-2</v>
      </c>
      <c r="C769" s="9"/>
      <c r="D769" s="34">
        <f>Reactive!$M$79</f>
        <v>4.9568749138134451E-3</v>
      </c>
      <c r="E769" s="17">
        <f>0.01*Input!$F$58*(C769*$C$754)+10*(B769*$B$754+D769*$D$754)</f>
        <v>-173.13034506522575</v>
      </c>
      <c r="F769" s="33">
        <f t="shared" si="58"/>
        <v>-1.6011548991501683E-2</v>
      </c>
      <c r="G769" s="41">
        <f t="shared" si="59"/>
        <v>-42.53581059389326</v>
      </c>
      <c r="H769" s="10"/>
    </row>
    <row r="770" spans="1:8" x14ac:dyDescent="0.25">
      <c r="A770" s="3" t="s">
        <v>1667</v>
      </c>
      <c r="B770" s="34">
        <f>Yard!$N$46</f>
        <v>-2.0239407229259085E-2</v>
      </c>
      <c r="C770" s="9"/>
      <c r="D770" s="34">
        <f>Reactive!$N$79</f>
        <v>6.0419932278533177E-3</v>
      </c>
      <c r="E770" s="17">
        <f>0.01*Input!$F$58*(C770*$C$754)+10*(B770*$B$754+D770*$D$754)</f>
        <v>-211.03061719490694</v>
      </c>
      <c r="F770" s="33">
        <f t="shared" si="58"/>
        <v>-1.9516665692834501E-2</v>
      </c>
      <c r="G770" s="41">
        <f t="shared" si="59"/>
        <v>-51.847400634089709</v>
      </c>
      <c r="H770" s="10"/>
    </row>
    <row r="771" spans="1:8" x14ac:dyDescent="0.25">
      <c r="A771" s="3" t="s">
        <v>1668</v>
      </c>
      <c r="B771" s="34">
        <f>Yard!$O$46</f>
        <v>-3.2794942843434857E-2</v>
      </c>
      <c r="C771" s="9"/>
      <c r="D771" s="34">
        <f>Reactive!$O$79</f>
        <v>9.7901495001009343E-3</v>
      </c>
      <c r="E771" s="17">
        <f>0.01*Input!$F$58*(C771*$C$754)+10*(B771*$B$754+D771*$D$754)</f>
        <v>-341.9436622193557</v>
      </c>
      <c r="F771" s="33">
        <f t="shared" si="58"/>
        <v>-3.1623847904282916E-2</v>
      </c>
      <c r="G771" s="41">
        <f t="shared" si="59"/>
        <v>-84.010985159563162</v>
      </c>
      <c r="H771" s="10"/>
    </row>
    <row r="772" spans="1:8" x14ac:dyDescent="0.25">
      <c r="A772" s="3" t="s">
        <v>1669</v>
      </c>
      <c r="B772" s="34">
        <f>Yard!$P$46</f>
        <v>-2.7574457557479719E-3</v>
      </c>
      <c r="C772" s="9"/>
      <c r="D772" s="34">
        <f>Reactive!$P$79</f>
        <v>1.014594206463738E-2</v>
      </c>
      <c r="E772" s="17">
        <f>0.01*Input!$F$58*(C772*$C$754)+10*(B772*$B$754+D772*$D$754)</f>
        <v>-16.692767849537663</v>
      </c>
      <c r="F772" s="33">
        <f t="shared" si="58"/>
        <v>-1.5437910097501485E-3</v>
      </c>
      <c r="G772" s="41">
        <f t="shared" si="59"/>
        <v>-4.1011898362950863</v>
      </c>
      <c r="H772" s="10"/>
    </row>
    <row r="773" spans="1:8" x14ac:dyDescent="0.25">
      <c r="A773" s="3" t="s">
        <v>1670</v>
      </c>
      <c r="B773" s="34">
        <f>Yard!$Q$46</f>
        <v>-8.2025432920686953E-2</v>
      </c>
      <c r="C773" s="9"/>
      <c r="D773" s="34">
        <f>Reactive!$Q$79</f>
        <v>2.2649149040780959E-2</v>
      </c>
      <c r="E773" s="17">
        <f>0.01*Input!$F$58*(C773*$C$754)+10*(B773*$B$754+D773*$D$754)</f>
        <v>-857.63295545482595</v>
      </c>
      <c r="F773" s="33">
        <f t="shared" si="58"/>
        <v>-7.9316148060687292E-2</v>
      </c>
      <c r="G773" s="41">
        <f t="shared" si="59"/>
        <v>-210.70894844323058</v>
      </c>
      <c r="H773" s="10"/>
    </row>
    <row r="774" spans="1:8" x14ac:dyDescent="0.25">
      <c r="A774" s="3" t="s">
        <v>1671</v>
      </c>
      <c r="B774" s="34">
        <f>Yard!$R$46</f>
        <v>0</v>
      </c>
      <c r="C774" s="9"/>
      <c r="D774" s="34">
        <f>Reactive!$R$79</f>
        <v>9.6191891120575631E-3</v>
      </c>
      <c r="E774" s="17">
        <f>0.01*Input!$F$58*(C774*$C$754)+10*(B774*$B$754+D774*$D$754)</f>
        <v>12.441739085215275</v>
      </c>
      <c r="F774" s="33">
        <f t="shared" si="58"/>
        <v>1.1506447054521495E-3</v>
      </c>
      <c r="G774" s="41">
        <f t="shared" si="59"/>
        <v>3.0567689158591795</v>
      </c>
      <c r="H774" s="10"/>
    </row>
    <row r="775" spans="1:8" x14ac:dyDescent="0.25">
      <c r="A775" s="3" t="s">
        <v>1672</v>
      </c>
      <c r="B775" s="34">
        <f>Yard!$S$46</f>
        <v>0</v>
      </c>
      <c r="C775" s="9"/>
      <c r="D775" s="34">
        <f>Reactive!$S$79</f>
        <v>0</v>
      </c>
      <c r="E775" s="17">
        <f>0.01*Input!$F$58*(C775*$C$754)+10*(B775*$B$754+D775*$D$754)</f>
        <v>0</v>
      </c>
      <c r="F775" s="33">
        <f t="shared" si="58"/>
        <v>0</v>
      </c>
      <c r="G775" s="41">
        <f t="shared" si="59"/>
        <v>0</v>
      </c>
      <c r="H775" s="10"/>
    </row>
    <row r="776" spans="1:8" x14ac:dyDescent="0.25">
      <c r="A776" s="3" t="s">
        <v>1673</v>
      </c>
      <c r="B776" s="9"/>
      <c r="C776" s="42">
        <f>Otex!$B$144</f>
        <v>0</v>
      </c>
      <c r="D776" s="9"/>
      <c r="E776" s="17">
        <f>0.01*Input!$F$58*(C776*$C$754)+10*(B776*$B$754+D776*$D$754)</f>
        <v>0</v>
      </c>
      <c r="F776" s="33">
        <f t="shared" si="58"/>
        <v>0</v>
      </c>
      <c r="G776" s="41">
        <f t="shared" si="59"/>
        <v>0</v>
      </c>
      <c r="H776" s="10"/>
    </row>
    <row r="777" spans="1:8" x14ac:dyDescent="0.25">
      <c r="A777" s="3" t="s">
        <v>1674</v>
      </c>
      <c r="B777" s="9"/>
      <c r="C777" s="42">
        <f>Otex!$C$144</f>
        <v>0</v>
      </c>
      <c r="D777" s="9"/>
      <c r="E777" s="17">
        <f>0.01*Input!$F$58*(C777*$C$754)+10*(B777*$B$754+D777*$D$754)</f>
        <v>0</v>
      </c>
      <c r="F777" s="33">
        <f t="shared" si="58"/>
        <v>0</v>
      </c>
      <c r="G777" s="41">
        <f t="shared" si="59"/>
        <v>0</v>
      </c>
      <c r="H777" s="10"/>
    </row>
    <row r="778" spans="1:8" x14ac:dyDescent="0.25">
      <c r="A778" s="3" t="s">
        <v>1675</v>
      </c>
      <c r="B778" s="34">
        <f>Scaler!$B$439</f>
        <v>0</v>
      </c>
      <c r="C778" s="42">
        <f>Scaler!$E$439</f>
        <v>0</v>
      </c>
      <c r="D778" s="34">
        <f>Scaler!$G$439</f>
        <v>0</v>
      </c>
      <c r="E778" s="17">
        <f>0.01*Input!$F$58*(C778*$C$754)+10*(B778*$B$754+D778*$D$754)</f>
        <v>0</v>
      </c>
      <c r="F778" s="33">
        <f t="shared" si="58"/>
        <v>0</v>
      </c>
      <c r="G778" s="41">
        <f t="shared" si="59"/>
        <v>0</v>
      </c>
      <c r="H778" s="10"/>
    </row>
    <row r="779" spans="1:8" x14ac:dyDescent="0.25">
      <c r="A779" s="3" t="s">
        <v>1676</v>
      </c>
      <c r="B779" s="34">
        <f>Adjust!$B$95</f>
        <v>-1.6659812936092866E-4</v>
      </c>
      <c r="C779" s="42">
        <f>Adjust!$E$95</f>
        <v>0</v>
      </c>
      <c r="D779" s="34">
        <f>Adjust!$G$95</f>
        <v>3.4896635845715895E-4</v>
      </c>
      <c r="E779" s="17">
        <f>0.01*Input!$F$58*(C779*$C$754)+10*(B779*$B$754+D779*$D$754)</f>
        <v>-1.35003596312565</v>
      </c>
      <c r="F779" s="33">
        <f t="shared" si="58"/>
        <v>-1.2485487137296324E-4</v>
      </c>
      <c r="G779" s="41">
        <f t="shared" si="59"/>
        <v>-0.33168578275993421</v>
      </c>
      <c r="H779" s="10"/>
    </row>
    <row r="781" spans="1:8" x14ac:dyDescent="0.25">
      <c r="A781" s="3" t="s">
        <v>1677</v>
      </c>
      <c r="B781" s="33">
        <f>SUM($B$757:$B$779)</f>
        <v>-0.54600000000000004</v>
      </c>
      <c r="C781" s="41">
        <f>SUM($C$757:$C$779)</f>
        <v>0</v>
      </c>
      <c r="D781" s="33">
        <f>SUM($D$757:$D$779)</f>
        <v>0.20200000000000001</v>
      </c>
      <c r="E781" s="17">
        <f>SUM($E$757:$E$779)</f>
        <v>-5642.5389059331774</v>
      </c>
      <c r="F781" s="33">
        <f>SUM($F$757:$F$779)</f>
        <v>-0.5218368166179429</v>
      </c>
      <c r="G781" s="41">
        <f>SUM($G$757:$G$779)</f>
        <v>-1386.2963542354469</v>
      </c>
    </row>
    <row r="783" spans="1:8" ht="21" customHeight="1" x14ac:dyDescent="0.3">
      <c r="A783" s="1" t="s">
        <v>186</v>
      </c>
    </row>
    <row r="785" spans="1:11" ht="30" x14ac:dyDescent="0.25">
      <c r="B785" s="12" t="s">
        <v>222</v>
      </c>
      <c r="C785" s="12" t="s">
        <v>223</v>
      </c>
      <c r="D785" s="12" t="s">
        <v>224</v>
      </c>
      <c r="E785" s="12" t="s">
        <v>225</v>
      </c>
      <c r="F785" s="12" t="s">
        <v>227</v>
      </c>
      <c r="G785" s="12" t="s">
        <v>1658</v>
      </c>
      <c r="H785" s="12" t="s">
        <v>1659</v>
      </c>
    </row>
    <row r="786" spans="1:11" x14ac:dyDescent="0.25">
      <c r="A786" s="3" t="s">
        <v>186</v>
      </c>
      <c r="B786" s="39">
        <f>Loads!B$326</f>
        <v>383.16761600000012</v>
      </c>
      <c r="C786" s="39">
        <f>Loads!C$326</f>
        <v>1336.9960448000002</v>
      </c>
      <c r="D786" s="39">
        <f>Loads!D$326</f>
        <v>2848.1643008000001</v>
      </c>
      <c r="E786" s="39">
        <f>Loads!E$326</f>
        <v>1.0175563992312959</v>
      </c>
      <c r="F786" s="39">
        <f>Loads!G$326</f>
        <v>34.076692591163521</v>
      </c>
      <c r="G786" s="39">
        <f>Multi!B$143</f>
        <v>4568.3279616</v>
      </c>
      <c r="H786" s="33">
        <f>IF(E786,G786/E786,"")</f>
        <v>4489.5083604713245</v>
      </c>
      <c r="I786" s="10"/>
    </row>
    <row r="788" spans="1:11" ht="30" x14ac:dyDescent="0.25">
      <c r="B788" s="12" t="s">
        <v>1489</v>
      </c>
      <c r="C788" s="12" t="s">
        <v>1490</v>
      </c>
      <c r="D788" s="12" t="s">
        <v>1491</v>
      </c>
      <c r="E788" s="12" t="s">
        <v>1492</v>
      </c>
      <c r="F788" s="12" t="s">
        <v>1104</v>
      </c>
      <c r="G788" s="12" t="s">
        <v>1678</v>
      </c>
      <c r="H788" s="12" t="s">
        <v>1660</v>
      </c>
      <c r="I788" s="12" t="s">
        <v>1630</v>
      </c>
      <c r="J788" s="12" t="s">
        <v>1661</v>
      </c>
    </row>
    <row r="789" spans="1:11" x14ac:dyDescent="0.25">
      <c r="A789" s="3" t="s">
        <v>456</v>
      </c>
      <c r="B789" s="34">
        <f>Yard!$C$81</f>
        <v>-0.70205490964899153</v>
      </c>
      <c r="C789" s="34">
        <f>Yard!$C$106</f>
        <v>-3.0984710342162908E-2</v>
      </c>
      <c r="D789" s="34">
        <f>Yard!$C$126</f>
        <v>-1.2121949216371503E-3</v>
      </c>
      <c r="E789" s="9"/>
      <c r="F789" s="34">
        <f>Reactive!$C$80</f>
        <v>2.0127861636008538E-2</v>
      </c>
      <c r="G789" s="33">
        <f t="shared" ref="G789:G811" si="60">IF(G$786&lt;&gt;0,(($B789*B$786+$C789*C$786+$D789*D$786+$F789*F$786))/G$786,0)</f>
        <v>-6.8558514885232041E-2</v>
      </c>
      <c r="H789" s="17">
        <f>0.01*Input!$F$58*(E789*$E$786)+10*(B789*$B$786+C789*$C$786+D789*$D$786+F789*$F$786)</f>
        <v>-3131.9778055597535</v>
      </c>
      <c r="I789" s="33">
        <f t="shared" ref="I789:I811" si="61">IF($G$786&lt;&gt;0,0.1*H789/$G$786,"")</f>
        <v>-6.8558514885232055E-2</v>
      </c>
      <c r="J789" s="41">
        <f t="shared" ref="J789:J811" si="62">IF($E$786&lt;&gt;0,H789/$E$786,"")</f>
        <v>-3077.9402575874701</v>
      </c>
      <c r="K789" s="10"/>
    </row>
    <row r="790" spans="1:11" x14ac:dyDescent="0.25">
      <c r="A790" s="3" t="s">
        <v>457</v>
      </c>
      <c r="B790" s="34">
        <f>Yard!$D$81</f>
        <v>-0.35335643132969469</v>
      </c>
      <c r="C790" s="34">
        <f>Yard!$D$106</f>
        <v>-1.559514294653248E-2</v>
      </c>
      <c r="D790" s="34">
        <f>Yard!$D$126</f>
        <v>-6.1011876093828492E-4</v>
      </c>
      <c r="E790" s="9"/>
      <c r="F790" s="34">
        <f>Reactive!$D$80</f>
        <v>1.0952635750704339E-2</v>
      </c>
      <c r="G790" s="33">
        <f t="shared" si="60"/>
        <v>-3.4500560385748565E-2</v>
      </c>
      <c r="H790" s="17">
        <f>0.01*Input!$F$58*(E790*$E$786)+10*(B790*$B$786+C790*$C$786+D790*$D$786+F790*$F$786)</f>
        <v>-1576.0987470108444</v>
      </c>
      <c r="I790" s="33">
        <f t="shared" si="61"/>
        <v>-3.4500560385748565E-2</v>
      </c>
      <c r="J790" s="41">
        <f t="shared" si="62"/>
        <v>-1548.9055429276395</v>
      </c>
      <c r="K790" s="10"/>
    </row>
    <row r="791" spans="1:11" x14ac:dyDescent="0.25">
      <c r="A791" s="3" t="s">
        <v>458</v>
      </c>
      <c r="B791" s="34">
        <f>Yard!$E$81</f>
        <v>-0.33673555390397869</v>
      </c>
      <c r="C791" s="34">
        <f>Yard!$E$106</f>
        <v>-4.1134356030843415E-2</v>
      </c>
      <c r="D791" s="34">
        <f>Yard!$E$126</f>
        <v>-3.2005144004876337E-3</v>
      </c>
      <c r="E791" s="9"/>
      <c r="F791" s="34">
        <f>Reactive!$E$80</f>
        <v>1.3350296746138607E-2</v>
      </c>
      <c r="G791" s="33">
        <f t="shared" si="60"/>
        <v>-4.2178076804367831E-2</v>
      </c>
      <c r="H791" s="17">
        <f>0.01*Input!$F$58*(E791*$E$786)+10*(B791*$B$786+C791*$C$786+D791*$D$786+F791*$F$786)</f>
        <v>-1926.8328763190593</v>
      </c>
      <c r="I791" s="33">
        <f t="shared" si="61"/>
        <v>-4.2178076804367838E-2</v>
      </c>
      <c r="J791" s="41">
        <f t="shared" si="62"/>
        <v>-1893.5882844181103</v>
      </c>
      <c r="K791" s="10"/>
    </row>
    <row r="792" spans="1:11" x14ac:dyDescent="0.25">
      <c r="A792" s="3" t="s">
        <v>459</v>
      </c>
      <c r="B792" s="34">
        <f>Yard!$F$81</f>
        <v>-0.54562977653163336</v>
      </c>
      <c r="C792" s="34">
        <f>Yard!$F$106</f>
        <v>-6.6652093099981241E-2</v>
      </c>
      <c r="D792" s="34">
        <f>Yard!$F$126</f>
        <v>-5.1859565670404522E-3</v>
      </c>
      <c r="E792" s="9"/>
      <c r="F792" s="34">
        <f>Reactive!$F$80</f>
        <v>2.1632166089309807E-2</v>
      </c>
      <c r="G792" s="33">
        <f t="shared" si="60"/>
        <v>-6.8343287052675478E-2</v>
      </c>
      <c r="H792" s="17">
        <f>0.01*Input!$F$58*(E792*$E$786)+10*(B792*$B$786+C792*$C$786+D792*$D$786+F792*$F$786)</f>
        <v>-3122.1454923039259</v>
      </c>
      <c r="I792" s="33">
        <f t="shared" si="61"/>
        <v>-6.8343287052675478E-2</v>
      </c>
      <c r="J792" s="41">
        <f t="shared" si="62"/>
        <v>-3068.2775860507813</v>
      </c>
      <c r="K792" s="10"/>
    </row>
    <row r="793" spans="1:11" x14ac:dyDescent="0.25">
      <c r="A793" s="3" t="s">
        <v>460</v>
      </c>
      <c r="B793" s="34">
        <f>Yard!$G$81</f>
        <v>-5.8680588908719286E-2</v>
      </c>
      <c r="C793" s="34">
        <f>Yard!$G$106</f>
        <v>-2.5898274124359529E-3</v>
      </c>
      <c r="D793" s="34">
        <f>Yard!$G$126</f>
        <v>-1.0132015444403205E-4</v>
      </c>
      <c r="E793" s="9"/>
      <c r="F793" s="34">
        <f>Reactive!$G$80</f>
        <v>2.2418319952365186E-2</v>
      </c>
      <c r="G793" s="33">
        <f t="shared" si="60"/>
        <v>-5.5757215393227345E-3</v>
      </c>
      <c r="H793" s="17">
        <f>0.01*Input!$F$58*(E793*$E$786)+10*(B793*$B$786+C793*$C$786+D793*$D$786+F793*$F$786)</f>
        <v>-254.71724614183444</v>
      </c>
      <c r="I793" s="33">
        <f t="shared" si="61"/>
        <v>-5.5757215393227345E-3</v>
      </c>
      <c r="J793" s="41">
        <f t="shared" si="62"/>
        <v>-250.32248466449462</v>
      </c>
      <c r="K793" s="10"/>
    </row>
    <row r="794" spans="1:11" x14ac:dyDescent="0.25">
      <c r="A794" s="3" t="s">
        <v>461</v>
      </c>
      <c r="B794" s="34">
        <f>Yard!$H$81</f>
        <v>-0.71083061827411842</v>
      </c>
      <c r="C794" s="34">
        <f>Yard!$H$106</f>
        <v>-8.6832410153071943E-2</v>
      </c>
      <c r="D794" s="34">
        <f>Yard!$H$126</f>
        <v>-6.7561135250439729E-3</v>
      </c>
      <c r="E794" s="9"/>
      <c r="F794" s="34">
        <f>Reactive!$H$80</f>
        <v>2.6066875945301712E-2</v>
      </c>
      <c r="G794" s="33">
        <f t="shared" si="60"/>
        <v>-8.905142410404103E-2</v>
      </c>
      <c r="H794" s="17">
        <f>0.01*Input!$F$58*(E794*$E$786)+10*(B794*$B$786+C794*$C$786+D794*$D$786+F794*$F$786)</f>
        <v>-4068.1611075479086</v>
      </c>
      <c r="I794" s="33">
        <f t="shared" si="61"/>
        <v>-8.905142410404103E-2</v>
      </c>
      <c r="J794" s="41">
        <f t="shared" si="62"/>
        <v>-3997.9711302696983</v>
      </c>
      <c r="K794" s="10"/>
    </row>
    <row r="795" spans="1:11" x14ac:dyDescent="0.25">
      <c r="A795" s="3" t="s">
        <v>462</v>
      </c>
      <c r="B795" s="34">
        <f>Yard!$I$81</f>
        <v>0</v>
      </c>
      <c r="C795" s="34">
        <f>Yard!$I$106</f>
        <v>0</v>
      </c>
      <c r="D795" s="34">
        <f>Yard!$I$126</f>
        <v>0</v>
      </c>
      <c r="E795" s="9"/>
      <c r="F795" s="34">
        <f>Reactive!$I$80</f>
        <v>6.1866532661436551E-3</v>
      </c>
      <c r="G795" s="33">
        <f t="shared" si="60"/>
        <v>4.6148324570956977E-5</v>
      </c>
      <c r="H795" s="17">
        <f>0.01*Input!$F$58*(E795*$E$786)+10*(B795*$B$786+C795*$C$786+D795*$D$786+F795*$F$786)</f>
        <v>2.1082068151849507</v>
      </c>
      <c r="I795" s="33">
        <f t="shared" si="61"/>
        <v>4.6148324570956977E-5</v>
      </c>
      <c r="J795" s="41">
        <f t="shared" si="62"/>
        <v>2.071832889830556</v>
      </c>
      <c r="K795" s="10"/>
    </row>
    <row r="796" spans="1:11" x14ac:dyDescent="0.25">
      <c r="A796" s="3" t="s">
        <v>463</v>
      </c>
      <c r="B796" s="34">
        <f>Yard!$J$81</f>
        <v>0</v>
      </c>
      <c r="C796" s="34">
        <f>Yard!$J$106</f>
        <v>0</v>
      </c>
      <c r="D796" s="34">
        <f>Yard!$J$126</f>
        <v>0</v>
      </c>
      <c r="E796" s="9"/>
      <c r="F796" s="34">
        <f>Reactive!$J$80</f>
        <v>0</v>
      </c>
      <c r="G796" s="33">
        <f t="shared" si="60"/>
        <v>0</v>
      </c>
      <c r="H796" s="17">
        <f>0.01*Input!$F$58*(E796*$E$786)+10*(B796*$B$786+C796*$C$786+D796*$D$786+F796*$F$786)</f>
        <v>0</v>
      </c>
      <c r="I796" s="33">
        <f t="shared" si="61"/>
        <v>0</v>
      </c>
      <c r="J796" s="41">
        <f t="shared" si="62"/>
        <v>0</v>
      </c>
      <c r="K796" s="10"/>
    </row>
    <row r="797" spans="1:11" x14ac:dyDescent="0.25">
      <c r="A797" s="3" t="s">
        <v>1662</v>
      </c>
      <c r="B797" s="9"/>
      <c r="C797" s="9"/>
      <c r="D797" s="9"/>
      <c r="E797" s="42">
        <f>SM!$B$130</f>
        <v>0</v>
      </c>
      <c r="F797" s="9"/>
      <c r="G797" s="33">
        <f t="shared" si="60"/>
        <v>0</v>
      </c>
      <c r="H797" s="17">
        <f>0.01*Input!$F$58*(E797*$E$786)+10*(B797*$B$786+C797*$C$786+D797*$D$786+F797*$F$786)</f>
        <v>0</v>
      </c>
      <c r="I797" s="33">
        <f t="shared" si="61"/>
        <v>0</v>
      </c>
      <c r="J797" s="41">
        <f t="shared" si="62"/>
        <v>0</v>
      </c>
      <c r="K797" s="10"/>
    </row>
    <row r="798" spans="1:11" x14ac:dyDescent="0.25">
      <c r="A798" s="3" t="s">
        <v>1663</v>
      </c>
      <c r="B798" s="9"/>
      <c r="C798" s="9"/>
      <c r="D798" s="9"/>
      <c r="E798" s="42">
        <f>SM!$C$130</f>
        <v>0</v>
      </c>
      <c r="F798" s="9"/>
      <c r="G798" s="33">
        <f t="shared" si="60"/>
        <v>0</v>
      </c>
      <c r="H798" s="17">
        <f>0.01*Input!$F$58*(E798*$E$786)+10*(B798*$B$786+C798*$C$786+D798*$D$786+F798*$F$786)</f>
        <v>0</v>
      </c>
      <c r="I798" s="33">
        <f t="shared" si="61"/>
        <v>0</v>
      </c>
      <c r="J798" s="41">
        <f t="shared" si="62"/>
        <v>0</v>
      </c>
      <c r="K798" s="10"/>
    </row>
    <row r="799" spans="1:11" x14ac:dyDescent="0.25">
      <c r="A799" s="3" t="s">
        <v>1664</v>
      </c>
      <c r="B799" s="34">
        <f>Yard!$K$81</f>
        <v>-0.34384551049732126</v>
      </c>
      <c r="C799" s="34">
        <f>Yard!$K$106</f>
        <v>0</v>
      </c>
      <c r="D799" s="34">
        <f>Yard!$K$126</f>
        <v>-9.0451388005177052E-4</v>
      </c>
      <c r="E799" s="9"/>
      <c r="F799" s="34">
        <f>Reactive!$K$80</f>
        <v>8.6035855323419903E-3</v>
      </c>
      <c r="G799" s="33">
        <f t="shared" si="60"/>
        <v>-2.933972518163783E-2</v>
      </c>
      <c r="H799" s="17">
        <f>0.01*Input!$F$58*(E799*$E$786)+10*(B799*$B$786+C799*$C$786+D799*$D$786+F799*$F$786)</f>
        <v>-1340.3348693293574</v>
      </c>
      <c r="I799" s="33">
        <f t="shared" si="61"/>
        <v>-2.933972518163783E-2</v>
      </c>
      <c r="J799" s="41">
        <f t="shared" si="62"/>
        <v>-1317.209414968941</v>
      </c>
      <c r="K799" s="10"/>
    </row>
    <row r="800" spans="1:11" x14ac:dyDescent="0.25">
      <c r="A800" s="3" t="s">
        <v>1665</v>
      </c>
      <c r="B800" s="34">
        <f>Yard!$L$81</f>
        <v>-0.31773158981707766</v>
      </c>
      <c r="C800" s="34">
        <f>Yard!$L$106</f>
        <v>-1.4022865080395509E-2</v>
      </c>
      <c r="D800" s="34">
        <f>Yard!$L$126</f>
        <v>-5.486075438351759E-4</v>
      </c>
      <c r="E800" s="9"/>
      <c r="F800" s="34">
        <f>Reactive!$L$80</f>
        <v>9.1093408639854288E-3</v>
      </c>
      <c r="G800" s="33">
        <f t="shared" si="60"/>
        <v>-3.1027780919406386E-2</v>
      </c>
      <c r="H800" s="17">
        <f>0.01*Input!$F$58*(E800*$E$786)+10*(B800*$B$786+C800*$C$786+D800*$D$786+F800*$F$786)</f>
        <v>-1417.4507916052314</v>
      </c>
      <c r="I800" s="33">
        <f t="shared" si="61"/>
        <v>-3.1027780919406386E-2</v>
      </c>
      <c r="J800" s="41">
        <f t="shared" si="62"/>
        <v>-1392.9948184454761</v>
      </c>
      <c r="K800" s="10"/>
    </row>
    <row r="801" spans="1:11" x14ac:dyDescent="0.25">
      <c r="A801" s="3" t="s">
        <v>1666</v>
      </c>
      <c r="B801" s="34">
        <f>Yard!$M$81</f>
        <v>-0.15991982842852864</v>
      </c>
      <c r="C801" s="34">
        <f>Yard!$M$106</f>
        <v>-7.0579515843052065E-3</v>
      </c>
      <c r="D801" s="34">
        <f>Yard!$M$126</f>
        <v>-2.7612370660162251E-4</v>
      </c>
      <c r="E801" s="9"/>
      <c r="F801" s="34">
        <f>Reactive!$M$80</f>
        <v>4.9568749138134451E-3</v>
      </c>
      <c r="G801" s="33">
        <f t="shared" si="60"/>
        <v>-1.5614046352050496E-2</v>
      </c>
      <c r="H801" s="17">
        <f>0.01*Input!$F$58*(E801*$E$786)+10*(B801*$B$786+C801*$C$786+D801*$D$786+F801*$F$786)</f>
        <v>-713.30084543790758</v>
      </c>
      <c r="I801" s="33">
        <f t="shared" si="61"/>
        <v>-1.5614046352050496E-2</v>
      </c>
      <c r="J801" s="41">
        <f t="shared" si="62"/>
        <v>-700.99391638317491</v>
      </c>
      <c r="K801" s="10"/>
    </row>
    <row r="802" spans="1:11" x14ac:dyDescent="0.25">
      <c r="A802" s="3" t="s">
        <v>1667</v>
      </c>
      <c r="B802" s="34">
        <f>Yard!$N$81</f>
        <v>-0.15239765639319902</v>
      </c>
      <c r="C802" s="34">
        <f>Yard!$N$106</f>
        <v>-1.8616327808769349E-2</v>
      </c>
      <c r="D802" s="34">
        <f>Yard!$N$126</f>
        <v>-1.4484686521283811E-3</v>
      </c>
      <c r="E802" s="9"/>
      <c r="F802" s="34">
        <f>Reactive!$N$80</f>
        <v>6.0419932278533177E-3</v>
      </c>
      <c r="G802" s="33">
        <f t="shared" si="60"/>
        <v>-1.9088688383617873E-2</v>
      </c>
      <c r="H802" s="17">
        <f>0.01*Input!$F$58*(E802*$E$786)+10*(B802*$B$786+C802*$C$786+D802*$D$786+F802*$F$786)</f>
        <v>-872.03388893150634</v>
      </c>
      <c r="I802" s="33">
        <f t="shared" si="61"/>
        <v>-1.9088688383617877E-2</v>
      </c>
      <c r="J802" s="41">
        <f t="shared" si="62"/>
        <v>-856.98826088684291</v>
      </c>
      <c r="K802" s="10"/>
    </row>
    <row r="803" spans="1:11" x14ac:dyDescent="0.25">
      <c r="A803" s="3" t="s">
        <v>1668</v>
      </c>
      <c r="B803" s="34">
        <f>Yard!$O$81</f>
        <v>-0.24693768815833775</v>
      </c>
      <c r="C803" s="34">
        <f>Yard!$O$106</f>
        <v>-3.0164984553531681E-2</v>
      </c>
      <c r="D803" s="34">
        <f>Yard!$O$126</f>
        <v>-2.3470275645417868E-3</v>
      </c>
      <c r="E803" s="9"/>
      <c r="F803" s="34">
        <f>Reactive!$O$80</f>
        <v>9.7901495001009343E-3</v>
      </c>
      <c r="G803" s="33">
        <f t="shared" si="60"/>
        <v>-3.0930374462345544E-2</v>
      </c>
      <c r="H803" s="17">
        <f>0.01*Input!$F$58*(E803*$E$786)+10*(B803*$B$786+C803*$C$786+D803*$D$786+F803*$F$786)</f>
        <v>-1413.0009451909173</v>
      </c>
      <c r="I803" s="33">
        <f t="shared" si="61"/>
        <v>-3.0930374462345551E-2</v>
      </c>
      <c r="J803" s="41">
        <f t="shared" si="62"/>
        <v>-1388.6217474120908</v>
      </c>
      <c r="K803" s="10"/>
    </row>
    <row r="804" spans="1:11" x14ac:dyDescent="0.25">
      <c r="A804" s="3" t="s">
        <v>1669</v>
      </c>
      <c r="B804" s="34">
        <f>Yard!$P$81</f>
        <v>-2.6557291387210132E-2</v>
      </c>
      <c r="C804" s="34">
        <f>Yard!$P$106</f>
        <v>-1.1720877808781883E-3</v>
      </c>
      <c r="D804" s="34">
        <f>Yard!$P$126</f>
        <v>-4.5854837434453066E-5</v>
      </c>
      <c r="E804" s="9"/>
      <c r="F804" s="34">
        <f>Reactive!$P$80</f>
        <v>1.014594206463738E-2</v>
      </c>
      <c r="G804" s="33">
        <f t="shared" si="60"/>
        <v>-2.5234249411517961E-3</v>
      </c>
      <c r="H804" s="17">
        <f>0.01*Input!$F$58*(E804*$E$786)+10*(B804*$B$786+C804*$C$786+D804*$D$786+F804*$F$786)</f>
        <v>-115.27832717662584</v>
      </c>
      <c r="I804" s="33">
        <f t="shared" si="61"/>
        <v>-2.5234249411517961E-3</v>
      </c>
      <c r="J804" s="41">
        <f t="shared" si="62"/>
        <v>-113.28937370322848</v>
      </c>
      <c r="K804" s="10"/>
    </row>
    <row r="805" spans="1:11" x14ac:dyDescent="0.25">
      <c r="A805" s="3" t="s">
        <v>1670</v>
      </c>
      <c r="B805" s="34">
        <f>Yard!$Q$81</f>
        <v>-0.61763092170401768</v>
      </c>
      <c r="C805" s="34">
        <f>Yard!$Q$106</f>
        <v>-7.5447483743506349E-2</v>
      </c>
      <c r="D805" s="34">
        <f>Yard!$Q$126</f>
        <v>-5.8702938735831637E-3</v>
      </c>
      <c r="E805" s="9"/>
      <c r="F805" s="34">
        <f>Reactive!$Q$80</f>
        <v>2.2649149040780959E-2</v>
      </c>
      <c r="G805" s="33">
        <f t="shared" si="60"/>
        <v>-7.7375554364801119E-2</v>
      </c>
      <c r="H805" s="17">
        <f>0.01*Input!$F$58*(E805*$E$786)+10*(B805*$B$786+C805*$C$786+D805*$D$786+F805*$F$786)</f>
        <v>-3534.7690854902185</v>
      </c>
      <c r="I805" s="33">
        <f t="shared" si="61"/>
        <v>-7.7375554364801119E-2</v>
      </c>
      <c r="J805" s="41">
        <f t="shared" si="62"/>
        <v>-3473.7819821687808</v>
      </c>
      <c r="K805" s="10"/>
    </row>
    <row r="806" spans="1:11" x14ac:dyDescent="0.25">
      <c r="A806" s="3" t="s">
        <v>1671</v>
      </c>
      <c r="B806" s="34">
        <f>Yard!$R$81</f>
        <v>0</v>
      </c>
      <c r="C806" s="34">
        <f>Yard!$R$106</f>
        <v>0</v>
      </c>
      <c r="D806" s="34">
        <f>Yard!$R$126</f>
        <v>0</v>
      </c>
      <c r="E806" s="9"/>
      <c r="F806" s="34">
        <f>Reactive!$R$80</f>
        <v>9.6191891120575631E-3</v>
      </c>
      <c r="G806" s="33">
        <f t="shared" si="60"/>
        <v>7.1752762302347561E-5</v>
      </c>
      <c r="H806" s="17">
        <f>0.01*Input!$F$58*(E806*$E$786)+10*(B806*$B$786+C806*$C$786+D806*$D$786+F806*$F$786)</f>
        <v>3.2779015034785273</v>
      </c>
      <c r="I806" s="33">
        <f t="shared" si="61"/>
        <v>7.1752762302347561E-5</v>
      </c>
      <c r="J806" s="41">
        <f t="shared" si="62"/>
        <v>3.2213462624330105</v>
      </c>
      <c r="K806" s="10"/>
    </row>
    <row r="807" spans="1:11" x14ac:dyDescent="0.25">
      <c r="A807" s="3" t="s">
        <v>1672</v>
      </c>
      <c r="B807" s="34">
        <f>Yard!$S$81</f>
        <v>0</v>
      </c>
      <c r="C807" s="34">
        <f>Yard!$S$106</f>
        <v>0</v>
      </c>
      <c r="D807" s="34">
        <f>Yard!$S$126</f>
        <v>0</v>
      </c>
      <c r="E807" s="9"/>
      <c r="F807" s="34">
        <f>Reactive!$S$80</f>
        <v>0</v>
      </c>
      <c r="G807" s="33">
        <f t="shared" si="60"/>
        <v>0</v>
      </c>
      <c r="H807" s="17">
        <f>0.01*Input!$F$58*(E807*$E$786)+10*(B807*$B$786+C807*$C$786+D807*$D$786+F807*$F$786)</f>
        <v>0</v>
      </c>
      <c r="I807" s="33">
        <f t="shared" si="61"/>
        <v>0</v>
      </c>
      <c r="J807" s="41">
        <f t="shared" si="62"/>
        <v>0</v>
      </c>
      <c r="K807" s="10"/>
    </row>
    <row r="808" spans="1:11" x14ac:dyDescent="0.25">
      <c r="A808" s="3" t="s">
        <v>1673</v>
      </c>
      <c r="B808" s="9"/>
      <c r="C808" s="9"/>
      <c r="D808" s="9"/>
      <c r="E808" s="42">
        <f>Otex!$B$145</f>
        <v>0</v>
      </c>
      <c r="F808" s="9"/>
      <c r="G808" s="33">
        <f t="shared" si="60"/>
        <v>0</v>
      </c>
      <c r="H808" s="17">
        <f>0.01*Input!$F$58*(E808*$E$786)+10*(B808*$B$786+C808*$C$786+D808*$D$786+F808*$F$786)</f>
        <v>0</v>
      </c>
      <c r="I808" s="33">
        <f t="shared" si="61"/>
        <v>0</v>
      </c>
      <c r="J808" s="41">
        <f t="shared" si="62"/>
        <v>0</v>
      </c>
      <c r="K808" s="10"/>
    </row>
    <row r="809" spans="1:11" x14ac:dyDescent="0.25">
      <c r="A809" s="3" t="s">
        <v>1674</v>
      </c>
      <c r="B809" s="9"/>
      <c r="C809" s="9"/>
      <c r="D809" s="9"/>
      <c r="E809" s="42">
        <f>Otex!$C$145</f>
        <v>0</v>
      </c>
      <c r="F809" s="9"/>
      <c r="G809" s="33">
        <f t="shared" si="60"/>
        <v>0</v>
      </c>
      <c r="H809" s="17">
        <f>0.01*Input!$F$58*(E809*$E$786)+10*(B809*$B$786+C809*$C$786+D809*$D$786+F809*$F$786)</f>
        <v>0</v>
      </c>
      <c r="I809" s="33">
        <f t="shared" si="61"/>
        <v>0</v>
      </c>
      <c r="J809" s="41">
        <f t="shared" si="62"/>
        <v>0</v>
      </c>
      <c r="K809" s="10"/>
    </row>
    <row r="810" spans="1:11" x14ac:dyDescent="0.25">
      <c r="A810" s="3" t="s">
        <v>1675</v>
      </c>
      <c r="B810" s="34">
        <f>Scaler!$B$440</f>
        <v>0</v>
      </c>
      <c r="C810" s="34">
        <f>Scaler!$C$440</f>
        <v>0</v>
      </c>
      <c r="D810" s="34">
        <f>Scaler!$D$440</f>
        <v>0</v>
      </c>
      <c r="E810" s="42">
        <f>Scaler!$E$440</f>
        <v>0</v>
      </c>
      <c r="F810" s="34">
        <f>Scaler!$G$440</f>
        <v>0</v>
      </c>
      <c r="G810" s="33">
        <f t="shared" si="60"/>
        <v>0</v>
      </c>
      <c r="H810" s="17">
        <f>0.01*Input!$F$58*(E810*$E$786)+10*(B810*$B$786+C810*$C$786+D810*$D$786+F810*$F$786)</f>
        <v>0</v>
      </c>
      <c r="I810" s="33">
        <f t="shared" si="61"/>
        <v>0</v>
      </c>
      <c r="J810" s="41">
        <f t="shared" si="62"/>
        <v>0</v>
      </c>
      <c r="K810" s="10"/>
    </row>
    <row r="811" spans="1:11" x14ac:dyDescent="0.25">
      <c r="A811" s="3" t="s">
        <v>1676</v>
      </c>
      <c r="B811" s="34">
        <f>Adjust!$B$96</f>
        <v>3.0836498282837965E-4</v>
      </c>
      <c r="C811" s="34">
        <f>Adjust!$C$96</f>
        <v>2.7024053641422352E-4</v>
      </c>
      <c r="D811" s="34">
        <f>Adjust!$D$96</f>
        <v>-4.9289161223212141E-4</v>
      </c>
      <c r="E811" s="42">
        <f>Adjust!$E$96</f>
        <v>0</v>
      </c>
      <c r="F811" s="34">
        <f>Adjust!$G$96</f>
        <v>3.4896635845715895E-4</v>
      </c>
      <c r="G811" s="33">
        <f t="shared" si="60"/>
        <v>-1.9974018477062662E-4</v>
      </c>
      <c r="H811" s="17">
        <f>0.01*Input!$F$58*(E811*$E$786)+10*(B811*$B$786+C811*$C$786+D811*$D$786+F811*$F$786)</f>
        <v>-9.1247867114280403</v>
      </c>
      <c r="I811" s="33">
        <f t="shared" si="61"/>
        <v>-1.9974018477062662E-4</v>
      </c>
      <c r="J811" s="41">
        <f t="shared" si="62"/>
        <v>-8.9673522944981539</v>
      </c>
      <c r="K811" s="10"/>
    </row>
    <row r="813" spans="1:11" x14ac:dyDescent="0.25">
      <c r="A813" s="3" t="s">
        <v>1677</v>
      </c>
      <c r="B813" s="33">
        <f>SUM($B$789:$B$811)</f>
        <v>-4.5720000000000001</v>
      </c>
      <c r="C813" s="33">
        <f>SUM($C$789:$C$811)</f>
        <v>-0.39</v>
      </c>
      <c r="D813" s="33">
        <f>SUM($D$789:$D$811)</f>
        <v>-2.9000000000000001E-2</v>
      </c>
      <c r="E813" s="41">
        <f>SUM($E$789:$E$811)</f>
        <v>0</v>
      </c>
      <c r="F813" s="33">
        <f>SUM($F$789:$F$811)</f>
        <v>0.20200000000000001</v>
      </c>
      <c r="G813" s="33">
        <f>SUM(G$789:G$811)</f>
        <v>-0.5141890184742961</v>
      </c>
      <c r="H813" s="17">
        <f>SUM($H$789:$H$811)</f>
        <v>-23489.840706437855</v>
      </c>
      <c r="I813" s="33">
        <f>SUM($I$789:$I$811)</f>
        <v>-0.51418901847429621</v>
      </c>
      <c r="J813" s="41">
        <f>SUM($J$789:$J$811)</f>
        <v>-23084.558973028961</v>
      </c>
    </row>
    <row r="815" spans="1:11" ht="21" customHeight="1" x14ac:dyDescent="0.3">
      <c r="A815" s="1" t="s">
        <v>194</v>
      </c>
    </row>
    <row r="817" spans="1:8" ht="30" x14ac:dyDescent="0.25">
      <c r="B817" s="12" t="s">
        <v>222</v>
      </c>
      <c r="C817" s="12" t="s">
        <v>225</v>
      </c>
      <c r="D817" s="12" t="s">
        <v>227</v>
      </c>
      <c r="E817" s="12" t="s">
        <v>1658</v>
      </c>
      <c r="F817" s="12" t="s">
        <v>1659</v>
      </c>
    </row>
    <row r="818" spans="1:8" x14ac:dyDescent="0.25">
      <c r="A818" s="3" t="s">
        <v>194</v>
      </c>
      <c r="B818" s="39">
        <f>Loads!B$327</f>
        <v>159096.25720985263</v>
      </c>
      <c r="C818" s="39">
        <f>Loads!E$327</f>
        <v>73.633827685838014</v>
      </c>
      <c r="D818" s="39">
        <f>Loads!G$327</f>
        <v>3483.8436451616044</v>
      </c>
      <c r="E818" s="39">
        <f>Multi!B$144</f>
        <v>159096.25720985263</v>
      </c>
      <c r="F818" s="33">
        <f>IF(C818,E818/C818,"")</f>
        <v>2160.6408658890296</v>
      </c>
      <c r="G818" s="10"/>
    </row>
    <row r="820" spans="1:8" ht="30" x14ac:dyDescent="0.25">
      <c r="B820" s="12" t="s">
        <v>1489</v>
      </c>
      <c r="C820" s="12" t="s">
        <v>1492</v>
      </c>
      <c r="D820" s="12" t="s">
        <v>1104</v>
      </c>
      <c r="E820" s="12" t="s">
        <v>1660</v>
      </c>
      <c r="F820" s="12" t="s">
        <v>1630</v>
      </c>
      <c r="G820" s="12" t="s">
        <v>1661</v>
      </c>
    </row>
    <row r="821" spans="1:8" x14ac:dyDescent="0.25">
      <c r="A821" s="3" t="s">
        <v>456</v>
      </c>
      <c r="B821" s="34">
        <f>Yard!$C$48</f>
        <v>-7.1579135272376401E-2</v>
      </c>
      <c r="C821" s="9"/>
      <c r="D821" s="34">
        <f>Reactive!$C$81</f>
        <v>1.9764680846754826E-2</v>
      </c>
      <c r="E821" s="17">
        <f>0.01*Input!$F$58*(C821*$C$818)+10*(B821*$B$818+D821*$D$818)</f>
        <v>-113191.15458386217</v>
      </c>
      <c r="F821" s="33">
        <f t="shared" ref="F821:F843" si="63">IF($E$818&lt;&gt;0,0.1*E821/$E$818,"")</f>
        <v>-7.1146334030070688E-2</v>
      </c>
      <c r="G821" s="41">
        <f t="shared" ref="G821:G843" si="64">IF($C$818&lt;&gt;0,E821/$C$818,"")</f>
        <v>-1537.2167676356205</v>
      </c>
      <c r="H821" s="10"/>
    </row>
    <row r="822" spans="1:8" x14ac:dyDescent="0.25">
      <c r="A822" s="3" t="s">
        <v>457</v>
      </c>
      <c r="B822" s="34">
        <f>Yard!$D$48</f>
        <v>-3.6027022174317094E-2</v>
      </c>
      <c r="C822" s="9"/>
      <c r="D822" s="34">
        <f>Reactive!$D$81</f>
        <v>1.075500984447131E-2</v>
      </c>
      <c r="E822" s="17">
        <f>0.01*Input!$F$58*(C822*$C$818)+10*(B822*$B$818+D822*$D$818)</f>
        <v>-56942.956136499044</v>
      </c>
      <c r="F822" s="33">
        <f t="shared" si="63"/>
        <v>-3.5791512091569583E-2</v>
      </c>
      <c r="G822" s="41">
        <f t="shared" si="64"/>
        <v>-773.32603677006557</v>
      </c>
      <c r="H822" s="10"/>
    </row>
    <row r="823" spans="1:8" x14ac:dyDescent="0.25">
      <c r="A823" s="3" t="s">
        <v>458</v>
      </c>
      <c r="B823" s="34">
        <f>Yard!$E$48</f>
        <v>-4.1040921281181503E-2</v>
      </c>
      <c r="C823" s="9"/>
      <c r="D823" s="34">
        <f>Reactive!$E$81</f>
        <v>1.2251790066622283E-2</v>
      </c>
      <c r="E823" s="17">
        <f>0.01*Input!$F$58*(C823*$C$818)+10*(B823*$B$818+D823*$D$818)</f>
        <v>-64867.736473147103</v>
      </c>
      <c r="F823" s="33">
        <f t="shared" si="63"/>
        <v>-4.0772635139734718E-2</v>
      </c>
      <c r="G823" s="41">
        <f t="shared" si="64"/>
        <v>-880.95021692893886</v>
      </c>
      <c r="H823" s="10"/>
    </row>
    <row r="824" spans="1:8" x14ac:dyDescent="0.25">
      <c r="A824" s="3" t="s">
        <v>459</v>
      </c>
      <c r="B824" s="34">
        <f>Yard!$F$48</f>
        <v>-4.6135251813849358E-2</v>
      </c>
      <c r="C824" s="9"/>
      <c r="D824" s="34">
        <f>Reactive!$F$81</f>
        <v>1.3772581176271418E-2</v>
      </c>
      <c r="E824" s="17">
        <f>0.01*Input!$F$58*(C824*$C$818)+10*(B824*$B$818+D824*$D$818)</f>
        <v>-72919.643696090716</v>
      </c>
      <c r="F824" s="33">
        <f t="shared" si="63"/>
        <v>-4.5833663830260676E-2</v>
      </c>
      <c r="G824" s="41">
        <f t="shared" si="64"/>
        <v>-990.30087105081111</v>
      </c>
      <c r="H824" s="10"/>
    </row>
    <row r="825" spans="1:8" x14ac:dyDescent="0.25">
      <c r="A825" s="3" t="s">
        <v>460</v>
      </c>
      <c r="B825" s="34">
        <f>Yard!$G$48</f>
        <v>-3.8791180369423888E-3</v>
      </c>
      <c r="C825" s="9"/>
      <c r="D825" s="34">
        <f>Reactive!$G$81</f>
        <v>1.4273102846235858E-2</v>
      </c>
      <c r="E825" s="17">
        <f>0.01*Input!$F$58*(C825*$C$818)+10*(B825*$B$818+D825*$D$818)</f>
        <v>-5674.2790230516812</v>
      </c>
      <c r="F825" s="33">
        <f t="shared" si="63"/>
        <v>-3.5665697751563951E-3</v>
      </c>
      <c r="G825" s="41">
        <f t="shared" si="64"/>
        <v>-77.06076407247555</v>
      </c>
      <c r="H825" s="10"/>
    </row>
    <row r="826" spans="1:8" x14ac:dyDescent="0.25">
      <c r="A826" s="3" t="s">
        <v>461</v>
      </c>
      <c r="B826" s="34">
        <f>Yard!$H$48</f>
        <v>0</v>
      </c>
      <c r="C826" s="9"/>
      <c r="D826" s="34">
        <f>Reactive!$H$81</f>
        <v>1.7797384681516659E-2</v>
      </c>
      <c r="E826" s="17">
        <f>0.01*Input!$F$58*(C826*$C$818)+10*(B826*$B$818+D826*$D$818)</f>
        <v>620.03305523198287</v>
      </c>
      <c r="F826" s="33">
        <f t="shared" si="63"/>
        <v>3.897219621038232E-4</v>
      </c>
      <c r="G826" s="41">
        <f t="shared" si="64"/>
        <v>8.4204919765597595</v>
      </c>
      <c r="H826" s="10"/>
    </row>
    <row r="827" spans="1:8" x14ac:dyDescent="0.25">
      <c r="A827" s="3" t="s">
        <v>462</v>
      </c>
      <c r="B827" s="34">
        <f>Yard!$I$48</f>
        <v>0</v>
      </c>
      <c r="C827" s="9"/>
      <c r="D827" s="34">
        <f>Reactive!$I$81</f>
        <v>0</v>
      </c>
      <c r="E827" s="17">
        <f>0.01*Input!$F$58*(C827*$C$818)+10*(B827*$B$818+D827*$D$818)</f>
        <v>0</v>
      </c>
      <c r="F827" s="33">
        <f t="shared" si="63"/>
        <v>0</v>
      </c>
      <c r="G827" s="41">
        <f t="shared" si="64"/>
        <v>0</v>
      </c>
      <c r="H827" s="10"/>
    </row>
    <row r="828" spans="1:8" x14ac:dyDescent="0.25">
      <c r="A828" s="3" t="s">
        <v>463</v>
      </c>
      <c r="B828" s="34">
        <f>Yard!$J$48</f>
        <v>0</v>
      </c>
      <c r="C828" s="9"/>
      <c r="D828" s="34">
        <f>Reactive!$J$81</f>
        <v>0</v>
      </c>
      <c r="E828" s="17">
        <f>0.01*Input!$F$58*(C828*$C$818)+10*(B828*$B$818+D828*$D$818)</f>
        <v>0</v>
      </c>
      <c r="F828" s="33">
        <f t="shared" si="63"/>
        <v>0</v>
      </c>
      <c r="G828" s="41">
        <f t="shared" si="64"/>
        <v>0</v>
      </c>
      <c r="H828" s="10"/>
    </row>
    <row r="829" spans="1:8" x14ac:dyDescent="0.25">
      <c r="A829" s="3" t="s">
        <v>1662</v>
      </c>
      <c r="B829" s="9"/>
      <c r="C829" s="42">
        <f>SM!$B$131</f>
        <v>0</v>
      </c>
      <c r="D829" s="9"/>
      <c r="E829" s="17">
        <f>0.01*Input!$F$58*(C829*$C$818)+10*(B829*$B$818+D829*$D$818)</f>
        <v>0</v>
      </c>
      <c r="F829" s="33">
        <f t="shared" si="63"/>
        <v>0</v>
      </c>
      <c r="G829" s="41">
        <f t="shared" si="64"/>
        <v>0</v>
      </c>
      <c r="H829" s="10"/>
    </row>
    <row r="830" spans="1:8" x14ac:dyDescent="0.25">
      <c r="A830" s="3" t="s">
        <v>1663</v>
      </c>
      <c r="B830" s="9"/>
      <c r="C830" s="42">
        <f>SM!$C$131</f>
        <v>0</v>
      </c>
      <c r="D830" s="9"/>
      <c r="E830" s="17">
        <f>0.01*Input!$F$58*(C830*$C$818)+10*(B830*$B$818+D830*$D$818)</f>
        <v>0</v>
      </c>
      <c r="F830" s="33">
        <f t="shared" si="63"/>
        <v>0</v>
      </c>
      <c r="G830" s="41">
        <f t="shared" si="64"/>
        <v>0</v>
      </c>
      <c r="H830" s="10"/>
    </row>
    <row r="831" spans="1:8" x14ac:dyDescent="0.25">
      <c r="A831" s="3" t="s">
        <v>1664</v>
      </c>
      <c r="B831" s="34">
        <f>Yard!$K$48</f>
        <v>-3.0596256263270481E-2</v>
      </c>
      <c r="C831" s="9"/>
      <c r="D831" s="34">
        <f>Reactive!$K$81</f>
        <v>8.4483451476178705E-3</v>
      </c>
      <c r="E831" s="17">
        <f>0.01*Input!$F$58*(C831*$C$818)+10*(B831*$B$818+D831*$D$818)</f>
        <v>-48383.171425651846</v>
      </c>
      <c r="F831" s="33">
        <f t="shared" si="63"/>
        <v>-3.0411256854291063E-2</v>
      </c>
      <c r="G831" s="41">
        <f t="shared" si="64"/>
        <v>-657.0780434242912</v>
      </c>
      <c r="H831" s="10"/>
    </row>
    <row r="832" spans="1:8" x14ac:dyDescent="0.25">
      <c r="A832" s="3" t="s">
        <v>1665</v>
      </c>
      <c r="B832" s="34">
        <f>Yard!$L$48</f>
        <v>-3.23948342718587E-2</v>
      </c>
      <c r="C832" s="9"/>
      <c r="D832" s="34">
        <f>Reactive!$L$81</f>
        <v>8.9449747895165577E-3</v>
      </c>
      <c r="E832" s="17">
        <f>0.01*Input!$F$58*(C832*$C$818)+10*(B832*$B$818+D832*$D$818)</f>
        <v>-51227.339920095917</v>
      </c>
      <c r="F832" s="33">
        <f t="shared" si="63"/>
        <v>-3.2198959811182454E-2</v>
      </c>
      <c r="G832" s="41">
        <f t="shared" si="64"/>
        <v>-695.70388407159317</v>
      </c>
      <c r="H832" s="10"/>
    </row>
    <row r="833" spans="1:8" x14ac:dyDescent="0.25">
      <c r="A833" s="3" t="s">
        <v>1666</v>
      </c>
      <c r="B833" s="34">
        <f>Yard!$M$48</f>
        <v>-1.6304882815425407E-2</v>
      </c>
      <c r="C833" s="9"/>
      <c r="D833" s="34">
        <f>Reactive!$M$81</f>
        <v>4.8674346257199458E-3</v>
      </c>
      <c r="E833" s="17">
        <f>0.01*Input!$F$58*(C833*$C$818)+10*(B833*$B$818+D833*$D$818)</f>
        <v>-25770.884489903725</v>
      </c>
      <c r="F833" s="33">
        <f t="shared" si="63"/>
        <v>-1.6198297145300643E-2</v>
      </c>
      <c r="G833" s="41">
        <f t="shared" si="64"/>
        <v>-349.98702769950171</v>
      </c>
      <c r="H833" s="10"/>
    </row>
    <row r="834" spans="1:8" x14ac:dyDescent="0.25">
      <c r="A834" s="3" t="s">
        <v>1667</v>
      </c>
      <c r="B834" s="34">
        <f>Yard!$N$48</f>
        <v>-1.9874213746489927E-2</v>
      </c>
      <c r="C834" s="9"/>
      <c r="D834" s="34">
        <f>Reactive!$N$81</f>
        <v>5.9329734070278544E-3</v>
      </c>
      <c r="E834" s="17">
        <f>0.01*Input!$F$58*(C834*$C$818)+10*(B834*$B$818+D834*$D$818)</f>
        <v>-31412.434703541636</v>
      </c>
      <c r="F834" s="33">
        <f t="shared" si="63"/>
        <v>-1.9744295217522131E-2</v>
      </c>
      <c r="G834" s="41">
        <f t="shared" si="64"/>
        <v>-426.60331115155628</v>
      </c>
      <c r="H834" s="10"/>
    </row>
    <row r="835" spans="1:8" x14ac:dyDescent="0.25">
      <c r="A835" s="3" t="s">
        <v>1668</v>
      </c>
      <c r="B835" s="34">
        <f>Yard!$O$48</f>
        <v>-3.2203201234673927E-2</v>
      </c>
      <c r="C835" s="9"/>
      <c r="D835" s="34">
        <f>Reactive!$O$81</f>
        <v>9.613499129253909E-3</v>
      </c>
      <c r="E835" s="17">
        <f>0.01*Input!$F$58*(C835*$C$818)+10*(B835*$B$818+D835*$D$818)</f>
        <v>-50899.16858763108</v>
      </c>
      <c r="F835" s="33">
        <f t="shared" si="63"/>
        <v>-3.1992687622118973E-2</v>
      </c>
      <c r="G835" s="41">
        <f t="shared" si="64"/>
        <v>-691.2470828597236</v>
      </c>
      <c r="H835" s="10"/>
    </row>
    <row r="836" spans="1:8" x14ac:dyDescent="0.25">
      <c r="A836" s="3" t="s">
        <v>1669</v>
      </c>
      <c r="B836" s="34">
        <f>Yard!$P$48</f>
        <v>-2.7076912739253589E-3</v>
      </c>
      <c r="C836" s="9"/>
      <c r="D836" s="34">
        <f>Reactive!$P$81</f>
        <v>9.9628718849335759E-3</v>
      </c>
      <c r="E836" s="17">
        <f>0.01*Input!$F$58*(C836*$C$818)+10*(B836*$B$818+D836*$D$818)</f>
        <v>-3960.7445945741738</v>
      </c>
      <c r="F836" s="33">
        <f t="shared" si="63"/>
        <v>-2.4895271982104741E-3</v>
      </c>
      <c r="G836" s="41">
        <f t="shared" si="64"/>
        <v>-53.789742011957685</v>
      </c>
      <c r="H836" s="10"/>
    </row>
    <row r="837" spans="1:8" x14ac:dyDescent="0.25">
      <c r="A837" s="3" t="s">
        <v>1670</v>
      </c>
      <c r="B837" s="34">
        <f>Yard!$Q$48</f>
        <v>0</v>
      </c>
      <c r="C837" s="9"/>
      <c r="D837" s="34">
        <f>Reactive!$Q$81</f>
        <v>2.2240474936531345E-2</v>
      </c>
      <c r="E837" s="17">
        <f>0.01*Input!$F$58*(C837*$C$818)+10*(B837*$B$818+D837*$D$818)</f>
        <v>774.8233727301066</v>
      </c>
      <c r="F837" s="33">
        <f t="shared" si="63"/>
        <v>4.8701546241159652E-4</v>
      </c>
      <c r="G837" s="41">
        <f t="shared" si="64"/>
        <v>10.522655104063377</v>
      </c>
      <c r="H837" s="10"/>
    </row>
    <row r="838" spans="1:8" x14ac:dyDescent="0.25">
      <c r="A838" s="3" t="s">
        <v>1671</v>
      </c>
      <c r="B838" s="34">
        <f>Yard!$R$48</f>
        <v>0</v>
      </c>
      <c r="C838" s="9"/>
      <c r="D838" s="34">
        <f>Reactive!$R$81</f>
        <v>0</v>
      </c>
      <c r="E838" s="17">
        <f>0.01*Input!$F$58*(C838*$C$818)+10*(B838*$B$818+D838*$D$818)</f>
        <v>0</v>
      </c>
      <c r="F838" s="33">
        <f t="shared" si="63"/>
        <v>0</v>
      </c>
      <c r="G838" s="41">
        <f t="shared" si="64"/>
        <v>0</v>
      </c>
      <c r="H838" s="10"/>
    </row>
    <row r="839" spans="1:8" x14ac:dyDescent="0.25">
      <c r="A839" s="3" t="s">
        <v>1672</v>
      </c>
      <c r="B839" s="34">
        <f>Yard!$S$48</f>
        <v>0</v>
      </c>
      <c r="C839" s="9"/>
      <c r="D839" s="34">
        <f>Reactive!$S$81</f>
        <v>0</v>
      </c>
      <c r="E839" s="17">
        <f>0.01*Input!$F$58*(C839*$C$818)+10*(B839*$B$818+D839*$D$818)</f>
        <v>0</v>
      </c>
      <c r="F839" s="33">
        <f t="shared" si="63"/>
        <v>0</v>
      </c>
      <c r="G839" s="41">
        <f t="shared" si="64"/>
        <v>0</v>
      </c>
      <c r="H839" s="10"/>
    </row>
    <row r="840" spans="1:8" x14ac:dyDescent="0.25">
      <c r="A840" s="3" t="s">
        <v>1673</v>
      </c>
      <c r="B840" s="9"/>
      <c r="C840" s="42">
        <f>Otex!$B$146</f>
        <v>0</v>
      </c>
      <c r="D840" s="9"/>
      <c r="E840" s="17">
        <f>0.01*Input!$F$58*(C840*$C$818)+10*(B840*$B$818+D840*$D$818)</f>
        <v>0</v>
      </c>
      <c r="F840" s="33">
        <f t="shared" si="63"/>
        <v>0</v>
      </c>
      <c r="G840" s="41">
        <f t="shared" si="64"/>
        <v>0</v>
      </c>
      <c r="H840" s="10"/>
    </row>
    <row r="841" spans="1:8" x14ac:dyDescent="0.25">
      <c r="A841" s="3" t="s">
        <v>1674</v>
      </c>
      <c r="B841" s="9"/>
      <c r="C841" s="42">
        <f>Otex!$C$146</f>
        <v>29.347920410185225</v>
      </c>
      <c r="D841" s="9"/>
      <c r="E841" s="17">
        <f>0.01*Input!$F$58*(C841*$C$818)+10*(B841*$B$818+D841*$D$818)</f>
        <v>7887.6489576376262</v>
      </c>
      <c r="F841" s="33">
        <f t="shared" si="63"/>
        <v>4.9577841087949581E-3</v>
      </c>
      <c r="G841" s="41">
        <f t="shared" si="64"/>
        <v>107.11990949717608</v>
      </c>
      <c r="H841" s="10"/>
    </row>
    <row r="842" spans="1:8" x14ac:dyDescent="0.25">
      <c r="A842" s="3" t="s">
        <v>1675</v>
      </c>
      <c r="B842" s="34">
        <f>Scaler!$B$441</f>
        <v>0</v>
      </c>
      <c r="C842" s="42">
        <f>Scaler!$E$441</f>
        <v>0</v>
      </c>
      <c r="D842" s="34">
        <f>Scaler!$G$441</f>
        <v>0</v>
      </c>
      <c r="E842" s="17">
        <f>0.01*Input!$F$58*(C842*$C$818)+10*(B842*$B$818+D842*$D$818)</f>
        <v>0</v>
      </c>
      <c r="F842" s="33">
        <f t="shared" si="63"/>
        <v>0</v>
      </c>
      <c r="G842" s="41">
        <f t="shared" si="64"/>
        <v>0</v>
      </c>
      <c r="H842" s="10"/>
    </row>
    <row r="843" spans="1:8" x14ac:dyDescent="0.25">
      <c r="A843" s="3" t="s">
        <v>1676</v>
      </c>
      <c r="B843" s="34">
        <f>Adjust!$B$97</f>
        <v>-2.5747181568952504E-4</v>
      </c>
      <c r="C843" s="42">
        <f>Adjust!$E$97</f>
        <v>2.0795898147767389E-3</v>
      </c>
      <c r="D843" s="34">
        <f>Adjust!$G$97</f>
        <v>3.7487661752658163E-4</v>
      </c>
      <c r="E843" s="17">
        <f>0.01*Input!$F$58*(C843*$C$818)+10*(B843*$B$818+D843*$D$818)</f>
        <v>-396.00898913840132</v>
      </c>
      <c r="F843" s="33">
        <f t="shared" si="63"/>
        <v>-2.4891156843247035E-4</v>
      </c>
      <c r="G843" s="41">
        <f t="shared" si="64"/>
        <v>-5.3780850674772909</v>
      </c>
      <c r="H843" s="10"/>
    </row>
    <row r="845" spans="1:8" x14ac:dyDescent="0.25">
      <c r="A845" s="3" t="s">
        <v>1677</v>
      </c>
      <c r="B845" s="33">
        <f>SUM($B$821:$B$843)</f>
        <v>-0.33300000000000002</v>
      </c>
      <c r="C845" s="41">
        <f>SUM($C$821:$C$843)</f>
        <v>29.35</v>
      </c>
      <c r="D845" s="33">
        <f>SUM($D$821:$D$843)</f>
        <v>0.159</v>
      </c>
      <c r="E845" s="17">
        <f>SUM($E$821:$E$843)</f>
        <v>-516363.01723758777</v>
      </c>
      <c r="F845" s="33">
        <f>SUM($F$821:$F$843)</f>
        <v>-0.32456012875053997</v>
      </c>
      <c r="G845" s="41">
        <f>SUM($G$821:$G$843)</f>
        <v>-7012.5787761662141</v>
      </c>
    </row>
    <row r="847" spans="1:8" ht="21" customHeight="1" x14ac:dyDescent="0.3">
      <c r="A847" s="1" t="s">
        <v>195</v>
      </c>
    </row>
    <row r="849" spans="1:11" ht="30" x14ac:dyDescent="0.25">
      <c r="B849" s="12" t="s">
        <v>222</v>
      </c>
      <c r="C849" s="12" t="s">
        <v>223</v>
      </c>
      <c r="D849" s="12" t="s">
        <v>224</v>
      </c>
      <c r="E849" s="12" t="s">
        <v>225</v>
      </c>
      <c r="F849" s="12" t="s">
        <v>227</v>
      </c>
      <c r="G849" s="12" t="s">
        <v>1658</v>
      </c>
      <c r="H849" s="12" t="s">
        <v>1659</v>
      </c>
    </row>
    <row r="850" spans="1:11" x14ac:dyDescent="0.25">
      <c r="A850" s="3" t="s">
        <v>195</v>
      </c>
      <c r="B850" s="39">
        <f>Loads!B$328</f>
        <v>66634.498578297527</v>
      </c>
      <c r="C850" s="39">
        <f>Loads!C$328</f>
        <v>212262.49346457375</v>
      </c>
      <c r="D850" s="39">
        <f>Loads!D$328</f>
        <v>400806.320420056</v>
      </c>
      <c r="E850" s="39">
        <f>Loads!E$328</f>
        <v>163.40657650829806</v>
      </c>
      <c r="F850" s="39">
        <f>Loads!G$328</f>
        <v>8887.1674626252116</v>
      </c>
      <c r="G850" s="39">
        <f>Multi!B$145</f>
        <v>679703.31246292731</v>
      </c>
      <c r="H850" s="33">
        <f>IF(E850,G850/E850,"")</f>
        <v>4159.5835797245945</v>
      </c>
      <c r="I850" s="10"/>
    </row>
    <row r="852" spans="1:11" ht="30" x14ac:dyDescent="0.25">
      <c r="B852" s="12" t="s">
        <v>1489</v>
      </c>
      <c r="C852" s="12" t="s">
        <v>1490</v>
      </c>
      <c r="D852" s="12" t="s">
        <v>1491</v>
      </c>
      <c r="E852" s="12" t="s">
        <v>1492</v>
      </c>
      <c r="F852" s="12" t="s">
        <v>1104</v>
      </c>
      <c r="G852" s="12" t="s">
        <v>1678</v>
      </c>
      <c r="H852" s="12" t="s">
        <v>1660</v>
      </c>
      <c r="I852" s="12" t="s">
        <v>1630</v>
      </c>
      <c r="J852" s="12" t="s">
        <v>1661</v>
      </c>
    </row>
    <row r="853" spans="1:11" x14ac:dyDescent="0.25">
      <c r="A853" s="3" t="s">
        <v>456</v>
      </c>
      <c r="B853" s="34">
        <f>Yard!$C$82</f>
        <v>-0.68938725220993102</v>
      </c>
      <c r="C853" s="34">
        <f>Yard!$C$107</f>
        <v>-3.0425631997907359E-2</v>
      </c>
      <c r="D853" s="34">
        <f>Yard!$C$127</f>
        <v>-1.1903224586636402E-3</v>
      </c>
      <c r="E853" s="9"/>
      <c r="F853" s="34">
        <f>Reactive!$C$82</f>
        <v>1.9764680846754826E-2</v>
      </c>
      <c r="G853" s="33">
        <f t="shared" ref="G853:G875" si="65">IF(G$850&lt;&gt;0,(($B853*B$850+$C853*C$850+$D853*D$850+$F853*F$850))/G$850,0)</f>
        <v>-7.752887202459309E-2</v>
      </c>
      <c r="H853" s="17">
        <f>0.01*Input!$F$58*(E853*$E$850)+10*(B853*$B$850+C853*$C$850+D853*$D$850+F853*$F$850)</f>
        <v>-526966.31126630306</v>
      </c>
      <c r="I853" s="33">
        <f t="shared" ref="I853:I875" si="66">IF($G$850&lt;&gt;0,0.1*H853/$G$850,"")</f>
        <v>-7.7528872024593104E-2</v>
      </c>
      <c r="J853" s="41">
        <f t="shared" ref="J853:J875" si="67">IF($E$850&lt;&gt;0,H853/$E$850,"")</f>
        <v>-3224.8782302806694</v>
      </c>
      <c r="K853" s="10"/>
    </row>
    <row r="854" spans="1:11" x14ac:dyDescent="0.25">
      <c r="A854" s="3" t="s">
        <v>457</v>
      </c>
      <c r="B854" s="34">
        <f>Yard!$D$82</f>
        <v>-0.34698057929240683</v>
      </c>
      <c r="C854" s="34">
        <f>Yard!$D$107</f>
        <v>-1.5313749104192392E-2</v>
      </c>
      <c r="D854" s="34">
        <f>Yard!$D$127</f>
        <v>-5.9910997038004445E-4</v>
      </c>
      <c r="E854" s="9"/>
      <c r="F854" s="34">
        <f>Reactive!$D$82</f>
        <v>1.075500984447131E-2</v>
      </c>
      <c r="G854" s="33">
        <f t="shared" si="65"/>
        <v>-3.9011075111326211E-2</v>
      </c>
      <c r="H854" s="17">
        <f>0.01*Input!$F$58*(E854*$E$850)+10*(B854*$B$850+C854*$C$850+D854*$D$850+F854*$F$850)</f>
        <v>-265159.5697590849</v>
      </c>
      <c r="I854" s="33">
        <f t="shared" si="66"/>
        <v>-3.9011075111326218E-2</v>
      </c>
      <c r="J854" s="41">
        <f t="shared" si="67"/>
        <v>-1622.6982746047536</v>
      </c>
      <c r="K854" s="10"/>
    </row>
    <row r="855" spans="1:11" x14ac:dyDescent="0.25">
      <c r="A855" s="3" t="s">
        <v>458</v>
      </c>
      <c r="B855" s="34">
        <f>Yard!$E$82</f>
        <v>-0.30902783607357615</v>
      </c>
      <c r="C855" s="34">
        <f>Yard!$E$107</f>
        <v>-3.774968483463547E-2</v>
      </c>
      <c r="D855" s="34">
        <f>Yard!$E$127</f>
        <v>-2.9371654642296637E-3</v>
      </c>
      <c r="E855" s="9"/>
      <c r="F855" s="34">
        <f>Reactive!$E$82</f>
        <v>1.2251790066622283E-2</v>
      </c>
      <c r="G855" s="33">
        <f t="shared" si="65"/>
        <v>-4.3655970718493149E-2</v>
      </c>
      <c r="H855" s="17">
        <f>0.01*Input!$F$58*(E855*$E$850)+10*(B855*$B$850+C855*$C$850+D855*$D$850+F855*$F$850)</f>
        <v>-296731.07906144357</v>
      </c>
      <c r="I855" s="33">
        <f t="shared" si="66"/>
        <v>-4.3655970718493156E-2</v>
      </c>
      <c r="J855" s="41">
        <f t="shared" si="67"/>
        <v>-1815.9065895758183</v>
      </c>
      <c r="K855" s="10"/>
    </row>
    <row r="856" spans="1:11" x14ac:dyDescent="0.25">
      <c r="A856" s="3" t="s">
        <v>459</v>
      </c>
      <c r="B856" s="34">
        <f>Yard!$F$82</f>
        <v>-0.3473868663197065</v>
      </c>
      <c r="C856" s="34">
        <f>Yard!$F$107</f>
        <v>-4.2435480524603372E-2</v>
      </c>
      <c r="D856" s="34">
        <f>Yard!$F$127</f>
        <v>-3.3017501576727824E-3</v>
      </c>
      <c r="E856" s="9"/>
      <c r="F856" s="34">
        <f>Reactive!$F$82</f>
        <v>1.3772581176271418E-2</v>
      </c>
      <c r="G856" s="33">
        <f t="shared" si="65"/>
        <v>-4.907490230243032E-2</v>
      </c>
      <c r="H856" s="17">
        <f>0.01*Input!$F$58*(E856*$E$850)+10*(B856*$B$850+C856*$C$850+D856*$D$850+F856*$F$850)</f>
        <v>-333563.73653756425</v>
      </c>
      <c r="I856" s="33">
        <f t="shared" si="66"/>
        <v>-4.907490230243032E-2</v>
      </c>
      <c r="J856" s="41">
        <f t="shared" si="67"/>
        <v>-2041.3115779377786</v>
      </c>
      <c r="K856" s="10"/>
    </row>
    <row r="857" spans="1:11" x14ac:dyDescent="0.25">
      <c r="A857" s="3" t="s">
        <v>460</v>
      </c>
      <c r="B857" s="34">
        <f>Yard!$G$82</f>
        <v>-3.7360251898959709E-2</v>
      </c>
      <c r="C857" s="34">
        <f>Yard!$G$107</f>
        <v>-1.6488690093746016E-3</v>
      </c>
      <c r="D857" s="34">
        <f>Yard!$G$127</f>
        <v>-6.4507643206492758E-5</v>
      </c>
      <c r="E857" s="9"/>
      <c r="F857" s="34">
        <f>Reactive!$G$82</f>
        <v>1.4273102846235858E-2</v>
      </c>
      <c r="G857" s="33">
        <f t="shared" si="65"/>
        <v>-4.0289377218954486E-3</v>
      </c>
      <c r="H857" s="17">
        <f>0.01*Input!$F$58*(E857*$E$850)+10*(B857*$B$850+C857*$C$850+D857*$D$850+F857*$F$850)</f>
        <v>-27384.823152791763</v>
      </c>
      <c r="I857" s="33">
        <f t="shared" si="66"/>
        <v>-4.0289377218954486E-3</v>
      </c>
      <c r="J857" s="41">
        <f t="shared" si="67"/>
        <v>-167.58703191729322</v>
      </c>
      <c r="K857" s="10"/>
    </row>
    <row r="858" spans="1:11" x14ac:dyDescent="0.25">
      <c r="A858" s="3" t="s">
        <v>461</v>
      </c>
      <c r="B858" s="34">
        <f>Yard!$H$82</f>
        <v>0</v>
      </c>
      <c r="C858" s="34">
        <f>Yard!$H$107</f>
        <v>0</v>
      </c>
      <c r="D858" s="34">
        <f>Yard!$H$127</f>
        <v>0</v>
      </c>
      <c r="E858" s="9"/>
      <c r="F858" s="34">
        <f>Reactive!$H$82</f>
        <v>1.7797384681516659E-2</v>
      </c>
      <c r="G858" s="33">
        <f t="shared" si="65"/>
        <v>2.3270202625358852E-4</v>
      </c>
      <c r="H858" s="17">
        <f>0.01*Input!$F$58*(E858*$E$850)+10*(B858*$B$850+C858*$C$850+D858*$D$850+F858*$F$850)</f>
        <v>1581.6833806139921</v>
      </c>
      <c r="I858" s="33">
        <f t="shared" si="66"/>
        <v>2.3270202625358857E-4</v>
      </c>
      <c r="J858" s="41">
        <f t="shared" si="67"/>
        <v>9.6794352737306841</v>
      </c>
      <c r="K858" s="10"/>
    </row>
    <row r="859" spans="1:11" x14ac:dyDescent="0.25">
      <c r="A859" s="3" t="s">
        <v>462</v>
      </c>
      <c r="B859" s="34">
        <f>Yard!$I$82</f>
        <v>0</v>
      </c>
      <c r="C859" s="34">
        <f>Yard!$I$107</f>
        <v>0</v>
      </c>
      <c r="D859" s="34">
        <f>Yard!$I$127</f>
        <v>0</v>
      </c>
      <c r="E859" s="9"/>
      <c r="F859" s="34">
        <f>Reactive!$I$82</f>
        <v>0</v>
      </c>
      <c r="G859" s="33">
        <f t="shared" si="65"/>
        <v>0</v>
      </c>
      <c r="H859" s="17">
        <f>0.01*Input!$F$58*(E859*$E$850)+10*(B859*$B$850+C859*$C$850+D859*$D$850+F859*$F$850)</f>
        <v>0</v>
      </c>
      <c r="I859" s="33">
        <f t="shared" si="66"/>
        <v>0</v>
      </c>
      <c r="J859" s="41">
        <f t="shared" si="67"/>
        <v>0</v>
      </c>
      <c r="K859" s="10"/>
    </row>
    <row r="860" spans="1:11" x14ac:dyDescent="0.25">
      <c r="A860" s="3" t="s">
        <v>463</v>
      </c>
      <c r="B860" s="34">
        <f>Yard!$J$82</f>
        <v>0</v>
      </c>
      <c r="C860" s="34">
        <f>Yard!$J$107</f>
        <v>0</v>
      </c>
      <c r="D860" s="34">
        <f>Yard!$J$127</f>
        <v>0</v>
      </c>
      <c r="E860" s="9"/>
      <c r="F860" s="34">
        <f>Reactive!$J$82</f>
        <v>0</v>
      </c>
      <c r="G860" s="33">
        <f t="shared" si="65"/>
        <v>0</v>
      </c>
      <c r="H860" s="17">
        <f>0.01*Input!$F$58*(E860*$E$850)+10*(B860*$B$850+C860*$C$850+D860*$D$850+F860*$F$850)</f>
        <v>0</v>
      </c>
      <c r="I860" s="33">
        <f t="shared" si="66"/>
        <v>0</v>
      </c>
      <c r="J860" s="41">
        <f t="shared" si="67"/>
        <v>0</v>
      </c>
      <c r="K860" s="10"/>
    </row>
    <row r="861" spans="1:11" x14ac:dyDescent="0.25">
      <c r="A861" s="3" t="s">
        <v>1662</v>
      </c>
      <c r="B861" s="9"/>
      <c r="C861" s="9"/>
      <c r="D861" s="9"/>
      <c r="E861" s="42">
        <f>SM!$B$132</f>
        <v>0</v>
      </c>
      <c r="F861" s="9"/>
      <c r="G861" s="33">
        <f t="shared" si="65"/>
        <v>0</v>
      </c>
      <c r="H861" s="17">
        <f>0.01*Input!$F$58*(E861*$E$850)+10*(B861*$B$850+C861*$C$850+D861*$D$850+F861*$F$850)</f>
        <v>0</v>
      </c>
      <c r="I861" s="33">
        <f t="shared" si="66"/>
        <v>0</v>
      </c>
      <c r="J861" s="41">
        <f t="shared" si="67"/>
        <v>0</v>
      </c>
      <c r="K861" s="10"/>
    </row>
    <row r="862" spans="1:11" x14ac:dyDescent="0.25">
      <c r="A862" s="3" t="s">
        <v>1663</v>
      </c>
      <c r="B862" s="9"/>
      <c r="C862" s="9"/>
      <c r="D862" s="9"/>
      <c r="E862" s="42">
        <f>SM!$C$132</f>
        <v>0</v>
      </c>
      <c r="F862" s="9"/>
      <c r="G862" s="33">
        <f t="shared" si="65"/>
        <v>0</v>
      </c>
      <c r="H862" s="17">
        <f>0.01*Input!$F$58*(E862*$E$850)+10*(B862*$B$850+C862*$C$850+D862*$D$850+F862*$F$850)</f>
        <v>0</v>
      </c>
      <c r="I862" s="33">
        <f t="shared" si="66"/>
        <v>0</v>
      </c>
      <c r="J862" s="41">
        <f t="shared" si="67"/>
        <v>0</v>
      </c>
      <c r="K862" s="10"/>
    </row>
    <row r="863" spans="1:11" x14ac:dyDescent="0.25">
      <c r="A863" s="3" t="s">
        <v>1664</v>
      </c>
      <c r="B863" s="34">
        <f>Yard!$K$82</f>
        <v>-0.33764127051683784</v>
      </c>
      <c r="C863" s="34">
        <f>Yard!$K$107</f>
        <v>0</v>
      </c>
      <c r="D863" s="34">
        <f>Yard!$K$127</f>
        <v>-8.8819311678398007E-4</v>
      </c>
      <c r="E863" s="9"/>
      <c r="F863" s="34">
        <f>Reactive!$K$82</f>
        <v>8.4483451476178705E-3</v>
      </c>
      <c r="G863" s="33">
        <f t="shared" si="65"/>
        <v>-3.351384037623463E-2</v>
      </c>
      <c r="H863" s="17">
        <f>0.01*Input!$F$58*(E863*$E$850)+10*(B863*$B$850+C863*$C$850+D863*$D$850+F863*$F$850)</f>
        <v>-227794.68317080475</v>
      </c>
      <c r="I863" s="33">
        <f t="shared" si="66"/>
        <v>-3.3513840376234637E-2</v>
      </c>
      <c r="J863" s="41">
        <f t="shared" si="67"/>
        <v>-1394.036201224967</v>
      </c>
      <c r="K863" s="10"/>
    </row>
    <row r="864" spans="1:11" x14ac:dyDescent="0.25">
      <c r="A864" s="3" t="s">
        <v>1665</v>
      </c>
      <c r="B864" s="34">
        <f>Yard!$L$82</f>
        <v>-0.31199854118789966</v>
      </c>
      <c r="C864" s="34">
        <f>Yard!$L$107</f>
        <v>-1.376984092414906E-2</v>
      </c>
      <c r="D864" s="34">
        <f>Yard!$L$127</f>
        <v>-5.3870864228449376E-4</v>
      </c>
      <c r="E864" s="9"/>
      <c r="F864" s="34">
        <f>Reactive!$L$82</f>
        <v>8.9449747895165577E-3</v>
      </c>
      <c r="G864" s="33">
        <f t="shared" si="65"/>
        <v>-3.5087528662700665E-2</v>
      </c>
      <c r="H864" s="17">
        <f>0.01*Input!$F$58*(E864*$E$850)+10*(B864*$B$850+C864*$C$850+D864*$D$850+F864*$F$850)</f>
        <v>-238491.09458175549</v>
      </c>
      <c r="I864" s="33">
        <f t="shared" si="66"/>
        <v>-3.5087528662700665E-2</v>
      </c>
      <c r="J864" s="41">
        <f t="shared" si="67"/>
        <v>-1459.4950807848577</v>
      </c>
      <c r="K864" s="10"/>
    </row>
    <row r="865" spans="1:11" x14ac:dyDescent="0.25">
      <c r="A865" s="3" t="s">
        <v>1666</v>
      </c>
      <c r="B865" s="34">
        <f>Yard!$M$82</f>
        <v>-0.15703428546543083</v>
      </c>
      <c r="C865" s="34">
        <f>Yard!$M$107</f>
        <v>-6.9306001312170792E-3</v>
      </c>
      <c r="D865" s="34">
        <f>Yard!$M$127</f>
        <v>-2.7114141749864934E-4</v>
      </c>
      <c r="E865" s="9"/>
      <c r="F865" s="34">
        <f>Reactive!$M$82</f>
        <v>4.8674346257199458E-3</v>
      </c>
      <c r="G865" s="33">
        <f t="shared" si="65"/>
        <v>-1.7655386701579078E-2</v>
      </c>
      <c r="H865" s="17">
        <f>0.01*Input!$F$58*(E865*$E$850)+10*(B865*$B$850+C865*$C$850+D865*$D$850+F865*$F$850)</f>
        <v>-120004.24823877215</v>
      </c>
      <c r="I865" s="33">
        <f t="shared" si="66"/>
        <v>-1.7655386701579078E-2</v>
      </c>
      <c r="J865" s="41">
        <f t="shared" si="67"/>
        <v>-734.39056617576307</v>
      </c>
      <c r="K865" s="10"/>
    </row>
    <row r="866" spans="1:11" x14ac:dyDescent="0.25">
      <c r="A866" s="3" t="s">
        <v>1667</v>
      </c>
      <c r="B866" s="34">
        <f>Yard!$N$82</f>
        <v>-0.14964784113064372</v>
      </c>
      <c r="C866" s="34">
        <f>Yard!$N$107</f>
        <v>-1.8280420659323376E-2</v>
      </c>
      <c r="D866" s="34">
        <f>Yard!$N$127</f>
        <v>-1.4223329404565491E-3</v>
      </c>
      <c r="E866" s="9"/>
      <c r="F866" s="34">
        <f>Reactive!$N$82</f>
        <v>5.9329734070278544E-3</v>
      </c>
      <c r="G866" s="33">
        <f t="shared" si="65"/>
        <v>-2.1140560842323786E-2</v>
      </c>
      <c r="H866" s="17">
        <f>0.01*Input!$F$58*(E866*$E$850)+10*(B866*$B$850+C866*$C$850+D866*$D$850+F866*$F$850)</f>
        <v>-143693.09231851529</v>
      </c>
      <c r="I866" s="33">
        <f t="shared" si="66"/>
        <v>-2.1140560842323786E-2</v>
      </c>
      <c r="J866" s="41">
        <f t="shared" si="67"/>
        <v>-879.35929745898761</v>
      </c>
      <c r="K866" s="10"/>
    </row>
    <row r="867" spans="1:11" x14ac:dyDescent="0.25">
      <c r="A867" s="3" t="s">
        <v>1668</v>
      </c>
      <c r="B867" s="34">
        <f>Yard!$O$82</f>
        <v>-0.24248202237010569</v>
      </c>
      <c r="C867" s="34">
        <f>Yard!$O$107</f>
        <v>-2.9620697082955144E-2</v>
      </c>
      <c r="D867" s="34">
        <f>Yard!$O$127</f>
        <v>-2.3046785391606915E-3</v>
      </c>
      <c r="E867" s="9"/>
      <c r="F867" s="34">
        <f>Reactive!$O$82</f>
        <v>9.613499129253909E-3</v>
      </c>
      <c r="G867" s="33">
        <f t="shared" si="65"/>
        <v>-3.4255127961449972E-2</v>
      </c>
      <c r="H867" s="17">
        <f>0.01*Input!$F$58*(E867*$E$850)+10*(B867*$B$850+C867*$C$850+D867*$D$850+F867*$F$850)</f>
        <v>-232833.23944238987</v>
      </c>
      <c r="I867" s="33">
        <f t="shared" si="66"/>
        <v>-3.4255127961449972E-2</v>
      </c>
      <c r="J867" s="41">
        <f t="shared" si="67"/>
        <v>-1424.8706778981211</v>
      </c>
      <c r="K867" s="10"/>
    </row>
    <row r="868" spans="1:11" x14ac:dyDescent="0.25">
      <c r="A868" s="3" t="s">
        <v>1669</v>
      </c>
      <c r="B868" s="34">
        <f>Yard!$P$82</f>
        <v>-2.6078099994658384E-2</v>
      </c>
      <c r="C868" s="34">
        <f>Yard!$P$107</f>
        <v>-1.1509389985071669E-3</v>
      </c>
      <c r="D868" s="34">
        <f>Yard!$P$127</f>
        <v>-4.5027447205341383E-5</v>
      </c>
      <c r="E868" s="9"/>
      <c r="F868" s="34">
        <f>Reactive!$P$82</f>
        <v>9.9628718849335759E-3</v>
      </c>
      <c r="G868" s="33">
        <f t="shared" si="65"/>
        <v>-2.8122679972285257E-3</v>
      </c>
      <c r="H868" s="17">
        <f>0.01*Input!$F$58*(E868*$E$850)+10*(B868*$B$850+C868*$C$850+D868*$D$850+F868*$F$850)</f>
        <v>-19115.078732497113</v>
      </c>
      <c r="I868" s="33">
        <f t="shared" si="66"/>
        <v>-2.8122679972285257E-3</v>
      </c>
      <c r="J868" s="41">
        <f t="shared" si="67"/>
        <v>-116.97863783056748</v>
      </c>
      <c r="K868" s="10"/>
    </row>
    <row r="869" spans="1:11" x14ac:dyDescent="0.25">
      <c r="A869" s="3" t="s">
        <v>1670</v>
      </c>
      <c r="B869" s="34">
        <f>Yard!$Q$82</f>
        <v>0</v>
      </c>
      <c r="C869" s="34">
        <f>Yard!$Q$107</f>
        <v>0</v>
      </c>
      <c r="D869" s="34">
        <f>Yard!$Q$127</f>
        <v>0</v>
      </c>
      <c r="E869" s="9"/>
      <c r="F869" s="34">
        <f>Reactive!$Q$82</f>
        <v>2.2240474936531345E-2</v>
      </c>
      <c r="G869" s="33">
        <f t="shared" si="65"/>
        <v>2.9079573629421364E-4</v>
      </c>
      <c r="H869" s="17">
        <f>0.01*Input!$F$58*(E869*$E$850)+10*(B869*$B$850+C869*$C$850+D869*$D$850+F869*$F$850)</f>
        <v>1976.5482520927289</v>
      </c>
      <c r="I869" s="33">
        <f t="shared" si="66"/>
        <v>2.9079573629421364E-4</v>
      </c>
      <c r="J869" s="41">
        <f t="shared" si="67"/>
        <v>12.095891697433343</v>
      </c>
      <c r="K869" s="10"/>
    </row>
    <row r="870" spans="1:11" x14ac:dyDescent="0.25">
      <c r="A870" s="3" t="s">
        <v>1671</v>
      </c>
      <c r="B870" s="34">
        <f>Yard!$R$82</f>
        <v>0</v>
      </c>
      <c r="C870" s="34">
        <f>Yard!$R$107</f>
        <v>0</v>
      </c>
      <c r="D870" s="34">
        <f>Yard!$R$127</f>
        <v>0</v>
      </c>
      <c r="E870" s="9"/>
      <c r="F870" s="34">
        <f>Reactive!$R$82</f>
        <v>0</v>
      </c>
      <c r="G870" s="33">
        <f t="shared" si="65"/>
        <v>0</v>
      </c>
      <c r="H870" s="17">
        <f>0.01*Input!$F$58*(E870*$E$850)+10*(B870*$B$850+C870*$C$850+D870*$D$850+F870*$F$850)</f>
        <v>0</v>
      </c>
      <c r="I870" s="33">
        <f t="shared" si="66"/>
        <v>0</v>
      </c>
      <c r="J870" s="41">
        <f t="shared" si="67"/>
        <v>0</v>
      </c>
      <c r="K870" s="10"/>
    </row>
    <row r="871" spans="1:11" x14ac:dyDescent="0.25">
      <c r="A871" s="3" t="s">
        <v>1672</v>
      </c>
      <c r="B871" s="34">
        <f>Yard!$S$82</f>
        <v>0</v>
      </c>
      <c r="C871" s="34">
        <f>Yard!$S$107</f>
        <v>0</v>
      </c>
      <c r="D871" s="34">
        <f>Yard!$S$127</f>
        <v>0</v>
      </c>
      <c r="E871" s="9"/>
      <c r="F871" s="34">
        <f>Reactive!$S$82</f>
        <v>0</v>
      </c>
      <c r="G871" s="33">
        <f t="shared" si="65"/>
        <v>0</v>
      </c>
      <c r="H871" s="17">
        <f>0.01*Input!$F$58*(E871*$E$850)+10*(B871*$B$850+C871*$C$850+D871*$D$850+F871*$F$850)</f>
        <v>0</v>
      </c>
      <c r="I871" s="33">
        <f t="shared" si="66"/>
        <v>0</v>
      </c>
      <c r="J871" s="41">
        <f t="shared" si="67"/>
        <v>0</v>
      </c>
      <c r="K871" s="10"/>
    </row>
    <row r="872" spans="1:11" x14ac:dyDescent="0.25">
      <c r="A872" s="3" t="s">
        <v>1673</v>
      </c>
      <c r="B872" s="9"/>
      <c r="C872" s="9"/>
      <c r="D872" s="9"/>
      <c r="E872" s="42">
        <f>Otex!$B$147</f>
        <v>0</v>
      </c>
      <c r="F872" s="9"/>
      <c r="G872" s="33">
        <f t="shared" si="65"/>
        <v>0</v>
      </c>
      <c r="H872" s="17">
        <f>0.01*Input!$F$58*(E872*$E$850)+10*(B872*$B$850+C872*$C$850+D872*$D$850+F872*$F$850)</f>
        <v>0</v>
      </c>
      <c r="I872" s="33">
        <f t="shared" si="66"/>
        <v>0</v>
      </c>
      <c r="J872" s="41">
        <f t="shared" si="67"/>
        <v>0</v>
      </c>
      <c r="K872" s="10"/>
    </row>
    <row r="873" spans="1:11" x14ac:dyDescent="0.25">
      <c r="A873" s="3" t="s">
        <v>1674</v>
      </c>
      <c r="B873" s="9"/>
      <c r="C873" s="9"/>
      <c r="D873" s="9"/>
      <c r="E873" s="42">
        <f>Otex!$C$147</f>
        <v>29.347920410185225</v>
      </c>
      <c r="F873" s="9"/>
      <c r="G873" s="33">
        <f t="shared" si="65"/>
        <v>0</v>
      </c>
      <c r="H873" s="17">
        <f>0.01*Input!$F$58*(E873*$E$850)+10*(B873*$B$850+C873*$C$850+D873*$D$850+F873*$F$850)</f>
        <v>17504.097686812267</v>
      </c>
      <c r="I873" s="33">
        <f t="shared" si="66"/>
        <v>2.5752556101846253E-3</v>
      </c>
      <c r="J873" s="41">
        <f t="shared" si="67"/>
        <v>107.11990949717608</v>
      </c>
      <c r="K873" s="10"/>
    </row>
    <row r="874" spans="1:11" x14ac:dyDescent="0.25">
      <c r="A874" s="3" t="s">
        <v>1675</v>
      </c>
      <c r="B874" s="34">
        <f>Scaler!$B$442</f>
        <v>0</v>
      </c>
      <c r="C874" s="34">
        <f>Scaler!$C$442</f>
        <v>0</v>
      </c>
      <c r="D874" s="34">
        <f>Scaler!$D$442</f>
        <v>0</v>
      </c>
      <c r="E874" s="42">
        <f>Scaler!$E$442</f>
        <v>0</v>
      </c>
      <c r="F874" s="34">
        <f>Scaler!$G$442</f>
        <v>0</v>
      </c>
      <c r="G874" s="33">
        <f t="shared" si="65"/>
        <v>0</v>
      </c>
      <c r="H874" s="17">
        <f>0.01*Input!$F$58*(E874*$E$850)+10*(B874*$B$850+C874*$C$850+D874*$D$850+F874*$F$850)</f>
        <v>0</v>
      </c>
      <c r="I874" s="33">
        <f t="shared" si="66"/>
        <v>0</v>
      </c>
      <c r="J874" s="41">
        <f t="shared" si="67"/>
        <v>0</v>
      </c>
      <c r="K874" s="10"/>
    </row>
    <row r="875" spans="1:11" x14ac:dyDescent="0.25">
      <c r="A875" s="3" t="s">
        <v>1676</v>
      </c>
      <c r="B875" s="34">
        <f>Adjust!$B$98</f>
        <v>2.4846460155991679E-5</v>
      </c>
      <c r="C875" s="34">
        <f>Adjust!$C$98</f>
        <v>3.2591326686501332E-4</v>
      </c>
      <c r="D875" s="34">
        <f>Adjust!$D$98</f>
        <v>-4.3706220245767063E-4</v>
      </c>
      <c r="E875" s="42">
        <f>Adjust!$E$98</f>
        <v>2.0795898147767389E-3</v>
      </c>
      <c r="F875" s="34">
        <f>Adjust!$G$98</f>
        <v>3.7487661752658163E-4</v>
      </c>
      <c r="G875" s="33">
        <f t="shared" si="65"/>
        <v>-1.4861029207883955E-4</v>
      </c>
      <c r="H875" s="17">
        <f>0.01*Input!$F$58*(E875*$E$850)+10*(B875*$B$850+C875*$C$850+D875*$D$850+F875*$F$850)</f>
        <v>-1008.8687398402679</v>
      </c>
      <c r="I875" s="33">
        <f t="shared" si="66"/>
        <v>-1.4842780980198536E-4</v>
      </c>
      <c r="J875" s="41">
        <f t="shared" si="67"/>
        <v>-6.1739788042682351</v>
      </c>
      <c r="K875" s="10"/>
    </row>
    <row r="877" spans="1:11" x14ac:dyDescent="0.25">
      <c r="A877" s="3" t="s">
        <v>1677</v>
      </c>
      <c r="B877" s="33">
        <f>SUM($B$853:$B$875)</f>
        <v>-2.9550000000000001</v>
      </c>
      <c r="C877" s="33">
        <f>SUM($C$853:$C$875)</f>
        <v>-0.19700000000000001</v>
      </c>
      <c r="D877" s="33">
        <f>SUM($D$853:$D$875)</f>
        <v>-1.4E-2</v>
      </c>
      <c r="E877" s="41">
        <f>SUM($E$853:$E$875)</f>
        <v>29.35</v>
      </c>
      <c r="F877" s="33">
        <f>SUM($F$853:$F$875)</f>
        <v>0.159</v>
      </c>
      <c r="G877" s="33">
        <f>SUM(G$853:G$875)</f>
        <v>-0.3573895829497859</v>
      </c>
      <c r="H877" s="17">
        <f>SUM($H$853:$H$875)</f>
        <v>-2411683.4956822433</v>
      </c>
      <c r="I877" s="33">
        <f>SUM($I$853:$I$875)</f>
        <v>-0.35481414485732449</v>
      </c>
      <c r="J877" s="41">
        <f>SUM($J$853:$J$875)</f>
        <v>-14758.790908025509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East Midlands in April 17 (Final)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31" t="s">
        <v>1682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6" ht="30" x14ac:dyDescent="0.25">
      <c r="B7" s="12" t="s">
        <v>311</v>
      </c>
      <c r="C7" s="12" t="s">
        <v>312</v>
      </c>
      <c r="D7" s="12" t="s">
        <v>313</v>
      </c>
      <c r="E7" s="12" t="s">
        <v>314</v>
      </c>
      <c r="F7" s="12" t="s">
        <v>315</v>
      </c>
      <c r="G7" s="12" t="s">
        <v>316</v>
      </c>
      <c r="H7" s="12" t="s">
        <v>317</v>
      </c>
      <c r="I7" s="12" t="s">
        <v>318</v>
      </c>
      <c r="J7" s="12" t="s">
        <v>468</v>
      </c>
      <c r="K7" s="12" t="s">
        <v>480</v>
      </c>
      <c r="L7" s="12" t="s">
        <v>299</v>
      </c>
      <c r="M7" s="12" t="s">
        <v>882</v>
      </c>
      <c r="N7" s="12" t="s">
        <v>883</v>
      </c>
      <c r="O7" s="12" t="s">
        <v>884</v>
      </c>
      <c r="P7" s="12" t="s">
        <v>885</v>
      </c>
      <c r="Q7" s="12" t="s">
        <v>886</v>
      </c>
      <c r="R7" s="12" t="s">
        <v>887</v>
      </c>
      <c r="S7" s="12" t="s">
        <v>888</v>
      </c>
      <c r="T7" s="12" t="s">
        <v>889</v>
      </c>
      <c r="U7" s="12" t="s">
        <v>890</v>
      </c>
      <c r="V7" s="12" t="s">
        <v>891</v>
      </c>
      <c r="W7" s="12" t="s">
        <v>1675</v>
      </c>
      <c r="X7" s="12" t="s">
        <v>1676</v>
      </c>
      <c r="Y7" s="12" t="s">
        <v>1683</v>
      </c>
    </row>
    <row r="8" spans="1:26" x14ac:dyDescent="0.25">
      <c r="A8" s="3" t="s">
        <v>171</v>
      </c>
      <c r="B8" s="39">
        <f>'M-ATW'!$D$39</f>
        <v>7752208.218466755</v>
      </c>
      <c r="C8" s="39">
        <f>'M-ATW'!$D$40</f>
        <v>3901821.0589421205</v>
      </c>
      <c r="D8" s="39">
        <f>'M-ATW'!$D$41</f>
        <v>4501319.1450624187</v>
      </c>
      <c r="E8" s="39">
        <f>'M-ATW'!$D$42</f>
        <v>7293716.7778794272</v>
      </c>
      <c r="F8" s="39">
        <f>'M-ATW'!$D$43</f>
        <v>647960.91780069226</v>
      </c>
      <c r="G8" s="39">
        <f>'M-ATW'!$D$44</f>
        <v>9502042.2816601228</v>
      </c>
      <c r="H8" s="39">
        <f>'M-ATW'!$D$45</f>
        <v>2255193.1823446322</v>
      </c>
      <c r="I8" s="39">
        <f>'M-ATW'!$D$46</f>
        <v>956140.87184055604</v>
      </c>
      <c r="J8" s="39">
        <f>'M-ATW'!$D$47</f>
        <v>0</v>
      </c>
      <c r="K8" s="39">
        <f>'M-ATW'!$D$48</f>
        <v>0</v>
      </c>
      <c r="L8" s="39">
        <f>'M-ATW'!$D$49</f>
        <v>3395115.2760365037</v>
      </c>
      <c r="M8" s="39">
        <f>'M-ATW'!$D$50</f>
        <v>3508445.575970619</v>
      </c>
      <c r="N8" s="39">
        <f>'M-ATW'!$D$51</f>
        <v>1765861.603131962</v>
      </c>
      <c r="O8" s="39">
        <f>'M-ATW'!$D$52</f>
        <v>2037178.671608177</v>
      </c>
      <c r="P8" s="39">
        <f>'M-ATW'!$D$53</f>
        <v>3300944.4071401516</v>
      </c>
      <c r="Q8" s="39">
        <f>'M-ATW'!$D$54</f>
        <v>293250.07164337038</v>
      </c>
      <c r="R8" s="39">
        <f>'M-ATW'!$D$55</f>
        <v>8256193.5032307692</v>
      </c>
      <c r="S8" s="39">
        <f>'M-ATW'!$D$56</f>
        <v>3506440.19827508</v>
      </c>
      <c r="T8" s="39">
        <f>'M-ATW'!$D$57</f>
        <v>7060755.0043376032</v>
      </c>
      <c r="U8" s="39">
        <f>'M-ATW'!$D$58</f>
        <v>9909880.1636726819</v>
      </c>
      <c r="V8" s="39">
        <f>'M-ATW'!$D$59</f>
        <v>0</v>
      </c>
      <c r="W8" s="39">
        <f>'M-ATW'!$D$60</f>
        <v>46074369.392220758</v>
      </c>
      <c r="X8" s="39">
        <f>'M-ATW'!$D$61</f>
        <v>-3379.8775862174534</v>
      </c>
      <c r="Y8" s="17">
        <f t="shared" ref="Y8:Y34" si="0">SUM($B8:$X8)</f>
        <v>125915456.4436782</v>
      </c>
      <c r="Z8" s="10"/>
    </row>
    <row r="9" spans="1:26" x14ac:dyDescent="0.25">
      <c r="A9" s="3" t="s">
        <v>172</v>
      </c>
      <c r="B9" s="39">
        <f>'M-ATW'!$F$71</f>
        <v>4845483.6561877616</v>
      </c>
      <c r="C9" s="39">
        <f>'M-ATW'!$F$72</f>
        <v>2438816.0944176195</v>
      </c>
      <c r="D9" s="39">
        <f>'M-ATW'!$F$73</f>
        <v>2863188.5253096689</v>
      </c>
      <c r="E9" s="39">
        <f>'M-ATW'!$F$74</f>
        <v>4639370.2628684416</v>
      </c>
      <c r="F9" s="39">
        <f>'M-ATW'!$F$75</f>
        <v>405005.12222730875</v>
      </c>
      <c r="G9" s="39">
        <f>'M-ATW'!$F$76</f>
        <v>6044036.7703541946</v>
      </c>
      <c r="H9" s="39">
        <f>'M-ATW'!$F$77</f>
        <v>1434477.9905527467</v>
      </c>
      <c r="I9" s="39">
        <f>'M-ATW'!$F$78</f>
        <v>541899.01497825759</v>
      </c>
      <c r="J9" s="39">
        <f>'M-ATW'!$F$79</f>
        <v>0</v>
      </c>
      <c r="K9" s="39">
        <f>'M-ATW'!$F$80</f>
        <v>0</v>
      </c>
      <c r="L9" s="39">
        <f>'M-ATW'!$F$81</f>
        <v>2128321.2050359459</v>
      </c>
      <c r="M9" s="39">
        <f>'M-ATW'!$F$82</f>
        <v>2192938.4786767513</v>
      </c>
      <c r="N9" s="39">
        <f>'M-ATW'!$F$83</f>
        <v>1103744.0295634568</v>
      </c>
      <c r="O9" s="39">
        <f>'M-ATW'!$F$84</f>
        <v>1295803.8318505506</v>
      </c>
      <c r="P9" s="39">
        <f>'M-ATW'!$F$85</f>
        <v>2099656.977127702</v>
      </c>
      <c r="Q9" s="39">
        <f>'M-ATW'!$F$86</f>
        <v>183294.6676972612</v>
      </c>
      <c r="R9" s="39">
        <f>'M-ATW'!$F$87</f>
        <v>5251580.2011320787</v>
      </c>
      <c r="S9" s="39">
        <f>'M-ATW'!$F$88</f>
        <v>2230368.2580246269</v>
      </c>
      <c r="T9" s="39">
        <f>'M-ATW'!$F$89</f>
        <v>4001728.5052232365</v>
      </c>
      <c r="U9" s="39">
        <f>'M-ATW'!$F$90</f>
        <v>5616488.5922189876</v>
      </c>
      <c r="V9" s="39">
        <f>'M-ATW'!$F$91</f>
        <v>0</v>
      </c>
      <c r="W9" s="39">
        <f>'M-ATW'!$F$92</f>
        <v>28882983.172400612</v>
      </c>
      <c r="X9" s="39">
        <f>'M-ATW'!$F$93</f>
        <v>4159.3804485583369</v>
      </c>
      <c r="Y9" s="17">
        <f t="shared" si="0"/>
        <v>78203344.736295775</v>
      </c>
      <c r="Z9" s="10"/>
    </row>
    <row r="10" spans="1:26" x14ac:dyDescent="0.25">
      <c r="A10" s="3" t="s">
        <v>211</v>
      </c>
      <c r="B10" s="39">
        <f>'M-ATW'!$C$103</f>
        <v>55378.540832890983</v>
      </c>
      <c r="C10" s="39">
        <f>'M-ATW'!$C$104</f>
        <v>27872.981574532096</v>
      </c>
      <c r="D10" s="39">
        <f>'M-ATW'!$C$105</f>
        <v>39691.921295210203</v>
      </c>
      <c r="E10" s="39">
        <f>'M-ATW'!$C$106</f>
        <v>64314.842597798044</v>
      </c>
      <c r="F10" s="39">
        <f>'M-ATW'!$C$107</f>
        <v>4628.7624291443735</v>
      </c>
      <c r="G10" s="39">
        <f>'M-ATW'!$C$108</f>
        <v>83787.508113287346</v>
      </c>
      <c r="H10" s="39">
        <f>'M-ATW'!$C$109</f>
        <v>19885.937302914012</v>
      </c>
      <c r="I10" s="39">
        <f>'M-ATW'!$C$110</f>
        <v>0</v>
      </c>
      <c r="J10" s="9"/>
      <c r="K10" s="9"/>
      <c r="L10" s="39">
        <f>'M-ATW'!$C$111</f>
        <v>21061.161553070651</v>
      </c>
      <c r="M10" s="39">
        <f>'M-ATW'!$C$112</f>
        <v>25062.87126370455</v>
      </c>
      <c r="N10" s="39">
        <f>'M-ATW'!$C$113</f>
        <v>12614.57847085781</v>
      </c>
      <c r="O10" s="39">
        <f>'M-ATW'!$C$114</f>
        <v>17963.519779851416</v>
      </c>
      <c r="P10" s="39">
        <f>'M-ATW'!$C$115</f>
        <v>29107.206440092203</v>
      </c>
      <c r="Q10" s="39">
        <f>'M-ATW'!$C$116</f>
        <v>2094.8561505437119</v>
      </c>
      <c r="R10" s="39">
        <f>'M-ATW'!$C$117</f>
        <v>72801.810351022621</v>
      </c>
      <c r="S10" s="39">
        <f>'M-ATW'!$C$118</f>
        <v>30919.235870880639</v>
      </c>
      <c r="T10" s="39">
        <f>'M-ATW'!$C$119</f>
        <v>0</v>
      </c>
      <c r="U10" s="9"/>
      <c r="V10" s="9"/>
      <c r="W10" s="39">
        <f>'M-ATW'!$C$120</f>
        <v>285816.43282470433</v>
      </c>
      <c r="X10" s="39">
        <f>'M-ATW'!$C$121</f>
        <v>-176.38999471640713</v>
      </c>
      <c r="Y10" s="17">
        <f t="shared" si="0"/>
        <v>792825.77685578866</v>
      </c>
      <c r="Z10" s="10"/>
    </row>
    <row r="11" spans="1:26" x14ac:dyDescent="0.25">
      <c r="A11" s="3" t="s">
        <v>173</v>
      </c>
      <c r="B11" s="39">
        <f>'M-ATW'!$D$131</f>
        <v>1561721.041153562</v>
      </c>
      <c r="C11" s="39">
        <f>'M-ATW'!$D$132</f>
        <v>786041.32846307592</v>
      </c>
      <c r="D11" s="39">
        <f>'M-ATW'!$D$133</f>
        <v>975840.11901658087</v>
      </c>
      <c r="E11" s="39">
        <f>'M-ATW'!$D$134</f>
        <v>1581203.4692999746</v>
      </c>
      <c r="F11" s="39">
        <f>'M-ATW'!$D$135</f>
        <v>130534.96122097931</v>
      </c>
      <c r="G11" s="39">
        <f>'M-ATW'!$D$136</f>
        <v>2059945.9341173242</v>
      </c>
      <c r="H11" s="39">
        <f>'M-ATW'!$D$137</f>
        <v>488902.89991514268</v>
      </c>
      <c r="I11" s="39">
        <f>'M-ATW'!$D$138</f>
        <v>58311.39952465528</v>
      </c>
      <c r="J11" s="39">
        <f>'M-ATW'!$D$139</f>
        <v>0</v>
      </c>
      <c r="K11" s="39">
        <f>'M-ATW'!$D$140</f>
        <v>0</v>
      </c>
      <c r="L11" s="39">
        <f>'M-ATW'!$D$141</f>
        <v>641099.68765950075</v>
      </c>
      <c r="M11" s="39">
        <f>'M-ATW'!$D$142</f>
        <v>706793.87386464351</v>
      </c>
      <c r="N11" s="39">
        <f>'M-ATW'!$D$143</f>
        <v>355741.63433935546</v>
      </c>
      <c r="O11" s="39">
        <f>'M-ATW'!$D$144</f>
        <v>441639.57570988825</v>
      </c>
      <c r="P11" s="39">
        <f>'M-ATW'!$D$145</f>
        <v>715611.10850452585</v>
      </c>
      <c r="Q11" s="39">
        <f>'M-ATW'!$D$146</f>
        <v>59076.690705273664</v>
      </c>
      <c r="R11" s="39">
        <f>'M-ATW'!$D$147</f>
        <v>1789858.615036041</v>
      </c>
      <c r="S11" s="39">
        <f>'M-ATW'!$D$148</f>
        <v>760160.50187479635</v>
      </c>
      <c r="T11" s="39">
        <f>'M-ATW'!$D$149</f>
        <v>430608.62486829975</v>
      </c>
      <c r="U11" s="39">
        <f>'M-ATW'!$D$150</f>
        <v>1359702.528324249</v>
      </c>
      <c r="V11" s="39">
        <f>'M-ATW'!$D$151</f>
        <v>0</v>
      </c>
      <c r="W11" s="39">
        <f>'M-ATW'!$D$152</f>
        <v>8700224.1234484669</v>
      </c>
      <c r="X11" s="39">
        <f>'M-ATW'!$D$153</f>
        <v>-580.65652168753513</v>
      </c>
      <c r="Y11" s="17">
        <f t="shared" si="0"/>
        <v>23602437.460524645</v>
      </c>
      <c r="Z11" s="10"/>
    </row>
    <row r="12" spans="1:26" x14ac:dyDescent="0.25">
      <c r="A12" s="3" t="s">
        <v>174</v>
      </c>
      <c r="B12" s="39">
        <f>'M-ATW'!$F$163</f>
        <v>2388704.2044569012</v>
      </c>
      <c r="C12" s="39">
        <f>'M-ATW'!$F$164</f>
        <v>1202276.3199692415</v>
      </c>
      <c r="D12" s="39">
        <f>'M-ATW'!$F$165</f>
        <v>1493904.4946763546</v>
      </c>
      <c r="E12" s="39">
        <f>'M-ATW'!$F$166</f>
        <v>2420649.5754300305</v>
      </c>
      <c r="F12" s="39">
        <f>'M-ATW'!$F$167</f>
        <v>199657.55886009859</v>
      </c>
      <c r="G12" s="39">
        <f>'M-ATW'!$F$168</f>
        <v>3153551.9290490076</v>
      </c>
      <c r="H12" s="39">
        <f>'M-ATW'!$F$169</f>
        <v>748456.86850790924</v>
      </c>
      <c r="I12" s="39">
        <f>'M-ATW'!$F$170</f>
        <v>50588.33779347258</v>
      </c>
      <c r="J12" s="39">
        <f>'M-ATW'!$F$171</f>
        <v>0</v>
      </c>
      <c r="K12" s="39">
        <f>'M-ATW'!$F$172</f>
        <v>0</v>
      </c>
      <c r="L12" s="39">
        <f>'M-ATW'!$F$173</f>
        <v>996808.37951974187</v>
      </c>
      <c r="M12" s="39">
        <f>'M-ATW'!$F$174</f>
        <v>1081064.7059847382</v>
      </c>
      <c r="N12" s="39">
        <f>'M-ATW'!$F$175</f>
        <v>544118.64555472299</v>
      </c>
      <c r="O12" s="39">
        <f>'M-ATW'!$F$176</f>
        <v>676101.88833479397</v>
      </c>
      <c r="P12" s="39">
        <f>'M-ATW'!$F$177</f>
        <v>1095522.340803735</v>
      </c>
      <c r="Q12" s="39">
        <f>'M-ATW'!$F$178</f>
        <v>90359.760645122355</v>
      </c>
      <c r="R12" s="39">
        <f>'M-ATW'!$F$179</f>
        <v>2740077.7829591408</v>
      </c>
      <c r="S12" s="39">
        <f>'M-ATW'!$F$180</f>
        <v>1163722.5896908387</v>
      </c>
      <c r="T12" s="39">
        <f>'M-ATW'!$F$181</f>
        <v>373576.60336054245</v>
      </c>
      <c r="U12" s="39">
        <f>'M-ATW'!$F$182</f>
        <v>1179616.5305965957</v>
      </c>
      <c r="V12" s="39">
        <f>'M-ATW'!$F$183</f>
        <v>0</v>
      </c>
      <c r="W12" s="39">
        <f>'M-ATW'!$F$184</f>
        <v>13527469.248369571</v>
      </c>
      <c r="X12" s="39">
        <f>'M-ATW'!$F$185</f>
        <v>-1794.9443566642383</v>
      </c>
      <c r="Y12" s="17">
        <f t="shared" si="0"/>
        <v>35124432.820205897</v>
      </c>
      <c r="Z12" s="10"/>
    </row>
    <row r="13" spans="1:26" x14ac:dyDescent="0.25">
      <c r="A13" s="3" t="s">
        <v>212</v>
      </c>
      <c r="B13" s="39">
        <f>'M-ATW'!$C$195</f>
        <v>818.68183591253865</v>
      </c>
      <c r="C13" s="39">
        <f>'M-ATW'!$C$196</f>
        <v>412.05678922911136</v>
      </c>
      <c r="D13" s="39">
        <f>'M-ATW'!$C$197</f>
        <v>700.5192455682602</v>
      </c>
      <c r="E13" s="39">
        <f>'M-ATW'!$C$198</f>
        <v>1135.0870289286736</v>
      </c>
      <c r="F13" s="39">
        <f>'M-ATW'!$C$199</f>
        <v>68.42873911990489</v>
      </c>
      <c r="G13" s="39">
        <f>'M-ATW'!$C$200</f>
        <v>1478.7583985924991</v>
      </c>
      <c r="H13" s="39">
        <f>'M-ATW'!$C$201</f>
        <v>350.96516727538955</v>
      </c>
      <c r="I13" s="39">
        <f>'M-ATW'!$C$202</f>
        <v>0</v>
      </c>
      <c r="J13" s="9"/>
      <c r="K13" s="9"/>
      <c r="L13" s="39">
        <f>'M-ATW'!$C$203</f>
        <v>286.99015579867739</v>
      </c>
      <c r="M13" s="39">
        <f>'M-ATW'!$C$204</f>
        <v>370.51386964718796</v>
      </c>
      <c r="N13" s="39">
        <f>'M-ATW'!$C$205</f>
        <v>186.48606674105338</v>
      </c>
      <c r="O13" s="39">
        <f>'M-ATW'!$C$206</f>
        <v>317.03658863826723</v>
      </c>
      <c r="P13" s="39">
        <f>'M-ATW'!$C$207</f>
        <v>513.71053934024519</v>
      </c>
      <c r="Q13" s="39">
        <f>'M-ATW'!$C$208</f>
        <v>30.969047820797712</v>
      </c>
      <c r="R13" s="39">
        <f>'M-ATW'!$C$209</f>
        <v>1284.8727801255675</v>
      </c>
      <c r="S13" s="39">
        <f>'M-ATW'!$C$210</f>
        <v>545.69088819669082</v>
      </c>
      <c r="T13" s="39">
        <f>'M-ATW'!$C$211</f>
        <v>0</v>
      </c>
      <c r="U13" s="9"/>
      <c r="V13" s="9"/>
      <c r="W13" s="39">
        <f>'M-ATW'!$C$212</f>
        <v>3894.6808503173429</v>
      </c>
      <c r="X13" s="39">
        <f>'M-ATW'!$C$213</f>
        <v>5.4948875374745096</v>
      </c>
      <c r="Y13" s="17">
        <f t="shared" si="0"/>
        <v>12400.942878789681</v>
      </c>
      <c r="Z13" s="10"/>
    </row>
    <row r="14" spans="1:26" x14ac:dyDescent="0.25">
      <c r="A14" s="3" t="s">
        <v>175</v>
      </c>
      <c r="B14" s="39">
        <f>'M-ATW'!$F$223</f>
        <v>0</v>
      </c>
      <c r="C14" s="39">
        <f>'M-ATW'!$F$224</f>
        <v>0</v>
      </c>
      <c r="D14" s="39">
        <f>'M-ATW'!$F$225</f>
        <v>0</v>
      </c>
      <c r="E14" s="39">
        <f>'M-ATW'!$F$226</f>
        <v>0</v>
      </c>
      <c r="F14" s="39">
        <f>'M-ATW'!$F$227</f>
        <v>0</v>
      </c>
      <c r="G14" s="39">
        <f>'M-ATW'!$F$228</f>
        <v>0</v>
      </c>
      <c r="H14" s="39">
        <f>'M-ATW'!$F$229</f>
        <v>0</v>
      </c>
      <c r="I14" s="39">
        <f>'M-ATW'!$F$230</f>
        <v>0</v>
      </c>
      <c r="J14" s="39">
        <f>'M-ATW'!$F$231</f>
        <v>0</v>
      </c>
      <c r="K14" s="39">
        <f>'M-ATW'!$F$232</f>
        <v>0</v>
      </c>
      <c r="L14" s="39">
        <f>'M-ATW'!$F$233</f>
        <v>0</v>
      </c>
      <c r="M14" s="39">
        <f>'M-ATW'!$F$234</f>
        <v>0</v>
      </c>
      <c r="N14" s="39">
        <f>'M-ATW'!$F$235</f>
        <v>0</v>
      </c>
      <c r="O14" s="39">
        <f>'M-ATW'!$F$236</f>
        <v>0</v>
      </c>
      <c r="P14" s="39">
        <f>'M-ATW'!$F$237</f>
        <v>0</v>
      </c>
      <c r="Q14" s="39">
        <f>'M-ATW'!$F$238</f>
        <v>0</v>
      </c>
      <c r="R14" s="39">
        <f>'M-ATW'!$F$239</f>
        <v>0</v>
      </c>
      <c r="S14" s="39">
        <f>'M-ATW'!$F$240</f>
        <v>0</v>
      </c>
      <c r="T14" s="39">
        <f>'M-ATW'!$F$241</f>
        <v>0</v>
      </c>
      <c r="U14" s="39">
        <f>'M-ATW'!$F$242</f>
        <v>0</v>
      </c>
      <c r="V14" s="39">
        <f>'M-ATW'!$F$243</f>
        <v>0</v>
      </c>
      <c r="W14" s="39">
        <f>'M-ATW'!$F$244</f>
        <v>0</v>
      </c>
      <c r="X14" s="39">
        <f>'M-ATW'!$F$245</f>
        <v>0</v>
      </c>
      <c r="Y14" s="17">
        <f t="shared" si="0"/>
        <v>0</v>
      </c>
      <c r="Z14" s="10"/>
    </row>
    <row r="15" spans="1:26" x14ac:dyDescent="0.25">
      <c r="A15" s="3" t="s">
        <v>176</v>
      </c>
      <c r="B15" s="39">
        <f>'M-ATW'!$F$255</f>
        <v>0</v>
      </c>
      <c r="C15" s="39">
        <f>'M-ATW'!$F$256</f>
        <v>0</v>
      </c>
      <c r="D15" s="39">
        <f>'M-ATW'!$F$257</f>
        <v>0</v>
      </c>
      <c r="E15" s="39">
        <f>'M-ATW'!$F$258</f>
        <v>0</v>
      </c>
      <c r="F15" s="39">
        <f>'M-ATW'!$F$259</f>
        <v>0</v>
      </c>
      <c r="G15" s="39">
        <f>'M-ATW'!$F$260</f>
        <v>0</v>
      </c>
      <c r="H15" s="39">
        <f>'M-ATW'!$F$261</f>
        <v>0</v>
      </c>
      <c r="I15" s="39">
        <f>'M-ATW'!$F$262</f>
        <v>0</v>
      </c>
      <c r="J15" s="39">
        <f>'M-ATW'!$F$263</f>
        <v>0</v>
      </c>
      <c r="K15" s="39">
        <f>'M-ATW'!$F$264</f>
        <v>0</v>
      </c>
      <c r="L15" s="39">
        <f>'M-ATW'!$F$265</f>
        <v>0</v>
      </c>
      <c r="M15" s="39">
        <f>'M-ATW'!$F$266</f>
        <v>0</v>
      </c>
      <c r="N15" s="39">
        <f>'M-ATW'!$F$267</f>
        <v>0</v>
      </c>
      <c r="O15" s="39">
        <f>'M-ATW'!$F$268</f>
        <v>0</v>
      </c>
      <c r="P15" s="39">
        <f>'M-ATW'!$F$269</f>
        <v>0</v>
      </c>
      <c r="Q15" s="39">
        <f>'M-ATW'!$F$270</f>
        <v>0</v>
      </c>
      <c r="R15" s="39">
        <f>'M-ATW'!$F$271</f>
        <v>0</v>
      </c>
      <c r="S15" s="39">
        <f>'M-ATW'!$F$272</f>
        <v>0</v>
      </c>
      <c r="T15" s="39">
        <f>'M-ATW'!$F$273</f>
        <v>0</v>
      </c>
      <c r="U15" s="39">
        <f>'M-ATW'!$F$274</f>
        <v>0</v>
      </c>
      <c r="V15" s="39">
        <f>'M-ATW'!$F$275</f>
        <v>0</v>
      </c>
      <c r="W15" s="39">
        <f>'M-ATW'!$F$276</f>
        <v>0</v>
      </c>
      <c r="X15" s="39">
        <f>'M-ATW'!$F$277</f>
        <v>0</v>
      </c>
      <c r="Y15" s="17">
        <f t="shared" si="0"/>
        <v>0</v>
      </c>
      <c r="Z15" s="10"/>
    </row>
    <row r="16" spans="1:26" x14ac:dyDescent="0.25">
      <c r="A16" s="3" t="s">
        <v>192</v>
      </c>
      <c r="B16" s="39">
        <f>'M-ATW'!$F$287</f>
        <v>0</v>
      </c>
      <c r="C16" s="39">
        <f>'M-ATW'!$F$288</f>
        <v>0</v>
      </c>
      <c r="D16" s="39">
        <f>'M-ATW'!$F$289</f>
        <v>0</v>
      </c>
      <c r="E16" s="39">
        <f>'M-ATW'!$F$290</f>
        <v>0</v>
      </c>
      <c r="F16" s="39">
        <f>'M-ATW'!$F$291</f>
        <v>0</v>
      </c>
      <c r="G16" s="39">
        <f>'M-ATW'!$F$292</f>
        <v>0</v>
      </c>
      <c r="H16" s="39">
        <f>'M-ATW'!$F$293</f>
        <v>0</v>
      </c>
      <c r="I16" s="39">
        <f>'M-ATW'!$F$294</f>
        <v>0</v>
      </c>
      <c r="J16" s="39">
        <f>'M-ATW'!$F$295</f>
        <v>0</v>
      </c>
      <c r="K16" s="39">
        <f>'M-ATW'!$F$296</f>
        <v>0</v>
      </c>
      <c r="L16" s="39">
        <f>'M-ATW'!$F$297</f>
        <v>0</v>
      </c>
      <c r="M16" s="39">
        <f>'M-ATW'!$F$298</f>
        <v>0</v>
      </c>
      <c r="N16" s="39">
        <f>'M-ATW'!$F$299</f>
        <v>0</v>
      </c>
      <c r="O16" s="39">
        <f>'M-ATW'!$F$300</f>
        <v>0</v>
      </c>
      <c r="P16" s="39">
        <f>'M-ATW'!$F$301</f>
        <v>0</v>
      </c>
      <c r="Q16" s="39">
        <f>'M-ATW'!$F$302</f>
        <v>0</v>
      </c>
      <c r="R16" s="39">
        <f>'M-ATW'!$F$303</f>
        <v>0</v>
      </c>
      <c r="S16" s="39">
        <f>'M-ATW'!$F$304</f>
        <v>0</v>
      </c>
      <c r="T16" s="39">
        <f>'M-ATW'!$F$305</f>
        <v>0</v>
      </c>
      <c r="U16" s="39">
        <f>'M-ATW'!$F$306</f>
        <v>0</v>
      </c>
      <c r="V16" s="39">
        <f>'M-ATW'!$F$307</f>
        <v>0</v>
      </c>
      <c r="W16" s="39">
        <f>'M-ATW'!$F$308</f>
        <v>0</v>
      </c>
      <c r="X16" s="39">
        <f>'M-ATW'!$F$309</f>
        <v>0</v>
      </c>
      <c r="Y16" s="17">
        <f t="shared" si="0"/>
        <v>0</v>
      </c>
      <c r="Z16" s="10"/>
    </row>
    <row r="17" spans="1:26" x14ac:dyDescent="0.25">
      <c r="A17" s="3" t="s">
        <v>177</v>
      </c>
      <c r="B17" s="39">
        <f>'M-ATW'!$G$319</f>
        <v>0</v>
      </c>
      <c r="C17" s="39">
        <f>'M-ATW'!$G$320</f>
        <v>0</v>
      </c>
      <c r="D17" s="39">
        <f>'M-ATW'!$G$321</f>
        <v>0</v>
      </c>
      <c r="E17" s="39">
        <f>'M-ATW'!$G$322</f>
        <v>0</v>
      </c>
      <c r="F17" s="39">
        <f>'M-ATW'!$G$323</f>
        <v>0</v>
      </c>
      <c r="G17" s="39">
        <f>'M-ATW'!$G$324</f>
        <v>0</v>
      </c>
      <c r="H17" s="39">
        <f>'M-ATW'!$G$325</f>
        <v>0</v>
      </c>
      <c r="I17" s="39">
        <f>'M-ATW'!$G$326</f>
        <v>0</v>
      </c>
      <c r="J17" s="39">
        <f>'M-ATW'!$G$327</f>
        <v>0</v>
      </c>
      <c r="K17" s="39">
        <f>'M-ATW'!$G$328</f>
        <v>0</v>
      </c>
      <c r="L17" s="39">
        <f>'M-ATW'!$G$329</f>
        <v>0</v>
      </c>
      <c r="M17" s="39">
        <f>'M-ATW'!$G$330</f>
        <v>0</v>
      </c>
      <c r="N17" s="39">
        <f>'M-ATW'!$G$331</f>
        <v>0</v>
      </c>
      <c r="O17" s="39">
        <f>'M-ATW'!$G$332</f>
        <v>0</v>
      </c>
      <c r="P17" s="39">
        <f>'M-ATW'!$G$333</f>
        <v>0</v>
      </c>
      <c r="Q17" s="39">
        <f>'M-ATW'!$G$334</f>
        <v>0</v>
      </c>
      <c r="R17" s="39">
        <f>'M-ATW'!$G$335</f>
        <v>0</v>
      </c>
      <c r="S17" s="39">
        <f>'M-ATW'!$G$336</f>
        <v>0</v>
      </c>
      <c r="T17" s="39">
        <f>'M-ATW'!$G$337</f>
        <v>0</v>
      </c>
      <c r="U17" s="39">
        <f>'M-ATW'!$G$338</f>
        <v>0</v>
      </c>
      <c r="V17" s="39">
        <f>'M-ATW'!$G$339</f>
        <v>0</v>
      </c>
      <c r="W17" s="39">
        <f>'M-ATW'!$G$340</f>
        <v>0</v>
      </c>
      <c r="X17" s="39">
        <f>'M-ATW'!$G$341</f>
        <v>0</v>
      </c>
      <c r="Y17" s="17">
        <f t="shared" si="0"/>
        <v>0</v>
      </c>
      <c r="Z17" s="10"/>
    </row>
    <row r="18" spans="1:26" x14ac:dyDescent="0.25">
      <c r="A18" s="3" t="s">
        <v>178</v>
      </c>
      <c r="B18" s="39">
        <f>'M-ATW'!$G$351</f>
        <v>189149.50128500944</v>
      </c>
      <c r="C18" s="39">
        <f>'M-ATW'!$G$352</f>
        <v>95202.229687816303</v>
      </c>
      <c r="D18" s="39">
        <f>'M-ATW'!$G$353</f>
        <v>116705.51896216099</v>
      </c>
      <c r="E18" s="39">
        <f>'M-ATW'!$G$354</f>
        <v>189103.8991667931</v>
      </c>
      <c r="F18" s="39">
        <f>'M-ATW'!$G$355</f>
        <v>15809.880359278888</v>
      </c>
      <c r="G18" s="39">
        <f>'M-ATW'!$G$356</f>
        <v>246359.06496386917</v>
      </c>
      <c r="H18" s="39">
        <f>'M-ATW'!$G$357</f>
        <v>58470.302198891935</v>
      </c>
      <c r="I18" s="39">
        <f>'M-ATW'!$G$358</f>
        <v>1550.2425351595327</v>
      </c>
      <c r="J18" s="39">
        <f>'M-ATW'!$G$359</f>
        <v>0</v>
      </c>
      <c r="K18" s="39">
        <f>'M-ATW'!$G$360</f>
        <v>0</v>
      </c>
      <c r="L18" s="39">
        <f>'M-ATW'!$G$361</f>
        <v>79504.840698272994</v>
      </c>
      <c r="M18" s="39">
        <f>'M-ATW'!$G$362</f>
        <v>85604.090122297086</v>
      </c>
      <c r="N18" s="39">
        <f>'M-ATW'!$G$363</f>
        <v>43086.025575925436</v>
      </c>
      <c r="O18" s="39">
        <f>'M-ATW'!$G$364</f>
        <v>52817.848818711369</v>
      </c>
      <c r="P18" s="39">
        <f>'M-ATW'!$G$365</f>
        <v>85583.451802814117</v>
      </c>
      <c r="Q18" s="39">
        <f>'M-ATW'!$G$366</f>
        <v>7155.1360902567931</v>
      </c>
      <c r="R18" s="39">
        <f>'M-ATW'!$G$367</f>
        <v>214057.99420009964</v>
      </c>
      <c r="S18" s="39">
        <f>'M-ATW'!$G$368</f>
        <v>90911.332847473808</v>
      </c>
      <c r="T18" s="39">
        <f>'M-ATW'!$G$369</f>
        <v>11447.981213264142</v>
      </c>
      <c r="U18" s="39">
        <f>'M-ATW'!$G$370</f>
        <v>36148.484031513588</v>
      </c>
      <c r="V18" s="39">
        <f>'M-ATW'!$G$371</f>
        <v>0</v>
      </c>
      <c r="W18" s="39">
        <f>'M-ATW'!$G$372</f>
        <v>1078942.8637834892</v>
      </c>
      <c r="X18" s="39">
        <f>'M-ATW'!$G$373</f>
        <v>-82.229710720221149</v>
      </c>
      <c r="Y18" s="17">
        <f t="shared" si="0"/>
        <v>2697528.4586323779</v>
      </c>
      <c r="Z18" s="10"/>
    </row>
    <row r="19" spans="1:26" x14ac:dyDescent="0.25">
      <c r="A19" s="3" t="s">
        <v>179</v>
      </c>
      <c r="B19" s="39">
        <f>'M-ATW'!$I$383</f>
        <v>4246884.4905225225</v>
      </c>
      <c r="C19" s="39">
        <f>'M-ATW'!$I$384</f>
        <v>2137530.7361510484</v>
      </c>
      <c r="D19" s="39">
        <f>'M-ATW'!$I$385</f>
        <v>2626524.5841808058</v>
      </c>
      <c r="E19" s="39">
        <f>'M-ATW'!$I$386</f>
        <v>4255891.6197191076</v>
      </c>
      <c r="F19" s="39">
        <f>'M-ATW'!$I$387</f>
        <v>354971.78284212248</v>
      </c>
      <c r="G19" s="39">
        <f>'M-ATW'!$I$388</f>
        <v>6574451.6991170915</v>
      </c>
      <c r="H19" s="39">
        <f>'M-ATW'!$I$389</f>
        <v>2538196.7055448284</v>
      </c>
      <c r="I19" s="39">
        <f>'M-ATW'!$I$390</f>
        <v>1004944.1772524969</v>
      </c>
      <c r="J19" s="39">
        <f>'M-ATW'!$I$391</f>
        <v>0</v>
      </c>
      <c r="K19" s="39">
        <f>'M-ATW'!$I$392</f>
        <v>0</v>
      </c>
      <c r="L19" s="39">
        <f>'M-ATW'!$I$393</f>
        <v>1780428.136115812</v>
      </c>
      <c r="M19" s="39">
        <f>'M-ATW'!$I$394</f>
        <v>1922028.2379591346</v>
      </c>
      <c r="N19" s="39">
        <f>'M-ATW'!$I$395</f>
        <v>967390.19946417469</v>
      </c>
      <c r="O19" s="39">
        <f>'M-ATW'!$I$396</f>
        <v>1188695.9557659794</v>
      </c>
      <c r="P19" s="39">
        <f>'M-ATW'!$I$397</f>
        <v>1926104.6277685156</v>
      </c>
      <c r="Q19" s="39">
        <f>'M-ATW'!$I$398</f>
        <v>160650.89404334463</v>
      </c>
      <c r="R19" s="39">
        <f>'M-ATW'!$I$399</f>
        <v>5712450.4181928001</v>
      </c>
      <c r="S19" s="39">
        <f>'M-ATW'!$I$400</f>
        <v>3946462.3381837117</v>
      </c>
      <c r="T19" s="39">
        <f>'M-ATW'!$I$401</f>
        <v>7421149.7882696511</v>
      </c>
      <c r="U19" s="39">
        <f>'M-ATW'!$I$402</f>
        <v>421991.16202836984</v>
      </c>
      <c r="V19" s="39">
        <f>'M-ATW'!$I$403</f>
        <v>0</v>
      </c>
      <c r="W19" s="39">
        <f>'M-ATW'!$I$404</f>
        <v>24161802.16286153</v>
      </c>
      <c r="X19" s="39">
        <f>'M-ATW'!$I$405</f>
        <v>-10693.620119559891</v>
      </c>
      <c r="Y19" s="17">
        <f t="shared" si="0"/>
        <v>73337856.095863491</v>
      </c>
      <c r="Z19" s="10"/>
    </row>
    <row r="20" spans="1:26" x14ac:dyDescent="0.25">
      <c r="A20" s="3" t="s">
        <v>180</v>
      </c>
      <c r="B20" s="39">
        <f>'M-ATW'!$I$415</f>
        <v>113267.29184682279</v>
      </c>
      <c r="C20" s="39">
        <f>'M-ATW'!$I$416</f>
        <v>57009.395537712444</v>
      </c>
      <c r="D20" s="39">
        <f>'M-ATW'!$I$417</f>
        <v>69850.536586301881</v>
      </c>
      <c r="E20" s="39">
        <f>'M-ATW'!$I$418</f>
        <v>113182.38370239484</v>
      </c>
      <c r="F20" s="39">
        <f>'M-ATW'!$I$419</f>
        <v>9467.338378119819</v>
      </c>
      <c r="G20" s="39">
        <f>'M-ATW'!$I$420</f>
        <v>341623.06429653731</v>
      </c>
      <c r="H20" s="39">
        <f>'M-ATW'!$I$421</f>
        <v>81080.04392068756</v>
      </c>
      <c r="I20" s="39">
        <f>'M-ATW'!$I$422</f>
        <v>0</v>
      </c>
      <c r="J20" s="39">
        <f>'M-ATW'!$I$423</f>
        <v>0</v>
      </c>
      <c r="K20" s="39">
        <f>'M-ATW'!$I$424</f>
        <v>0</v>
      </c>
      <c r="L20" s="39">
        <f>'M-ATW'!$I$425</f>
        <v>47685.784885717258</v>
      </c>
      <c r="M20" s="39">
        <f>'M-ATW'!$I$426</f>
        <v>51261.797643092112</v>
      </c>
      <c r="N20" s="39">
        <f>'M-ATW'!$I$427</f>
        <v>25800.953215702652</v>
      </c>
      <c r="O20" s="39">
        <f>'M-ATW'!$I$428</f>
        <v>31612.515964367951</v>
      </c>
      <c r="P20" s="39">
        <f>'M-ATW'!$I$429</f>
        <v>51223.370449796072</v>
      </c>
      <c r="Q20" s="39">
        <f>'M-ATW'!$I$430</f>
        <v>4284.6683825916098</v>
      </c>
      <c r="R20" s="39">
        <f>'M-ATW'!$I$431</f>
        <v>296831.56950824283</v>
      </c>
      <c r="S20" s="39">
        <f>'M-ATW'!$I$432</f>
        <v>126065.61934788684</v>
      </c>
      <c r="T20" s="39">
        <f>'M-ATW'!$I$433</f>
        <v>0</v>
      </c>
      <c r="U20" s="39">
        <f>'M-ATW'!$I$434</f>
        <v>3388.3318760752686</v>
      </c>
      <c r="V20" s="39">
        <f>'M-ATW'!$I$435</f>
        <v>0</v>
      </c>
      <c r="W20" s="39">
        <f>'M-ATW'!$I$436</f>
        <v>647133.39281587675</v>
      </c>
      <c r="X20" s="39">
        <f>'M-ATW'!$I$437</f>
        <v>-220.93312048213082</v>
      </c>
      <c r="Y20" s="17">
        <f t="shared" si="0"/>
        <v>2070547.125237444</v>
      </c>
      <c r="Z20" s="10"/>
    </row>
    <row r="21" spans="1:26" x14ac:dyDescent="0.25">
      <c r="A21" s="3" t="s">
        <v>193</v>
      </c>
      <c r="B21" s="39">
        <f>'M-ATW'!$I$447</f>
        <v>6983507.8173810933</v>
      </c>
      <c r="C21" s="39">
        <f>'M-ATW'!$I$448</f>
        <v>3450198.0844945172</v>
      </c>
      <c r="D21" s="39">
        <f>'M-ATW'!$I$449</f>
        <v>4811019.4117228584</v>
      </c>
      <c r="E21" s="39">
        <f>'M-ATW'!$I$450</f>
        <v>9212497.0379319508</v>
      </c>
      <c r="F21" s="39">
        <f>'M-ATW'!$I$451</f>
        <v>835807.00451594568</v>
      </c>
      <c r="G21" s="39">
        <f>'M-ATW'!$I$452</f>
        <v>9604892.237855671</v>
      </c>
      <c r="H21" s="39">
        <f>'M-ATW'!$I$453</f>
        <v>0</v>
      </c>
      <c r="I21" s="39">
        <f>'M-ATW'!$I$454</f>
        <v>0</v>
      </c>
      <c r="J21" s="39">
        <f>'M-ATW'!$I$455</f>
        <v>0</v>
      </c>
      <c r="K21" s="39">
        <f>'M-ATW'!$I$456</f>
        <v>0</v>
      </c>
      <c r="L21" s="39">
        <f>'M-ATW'!$I$457</f>
        <v>2886809.3064986956</v>
      </c>
      <c r="M21" s="39">
        <f>'M-ATW'!$I$458</f>
        <v>3160551.9893392185</v>
      </c>
      <c r="N21" s="39">
        <f>'M-ATW'!$I$459</f>
        <v>1561468.9214528361</v>
      </c>
      <c r="O21" s="39">
        <f>'M-ATW'!$I$460</f>
        <v>2329753.4544122135</v>
      </c>
      <c r="P21" s="39">
        <f>'M-ATW'!$I$461</f>
        <v>6430481.7752680406</v>
      </c>
      <c r="Q21" s="39">
        <f>'M-ATW'!$I$462</f>
        <v>583407.70021975238</v>
      </c>
      <c r="R21" s="39">
        <f>'M-ATW'!$I$463</f>
        <v>12002739.105030654</v>
      </c>
      <c r="S21" s="39">
        <f>'M-ATW'!$I$464</f>
        <v>0</v>
      </c>
      <c r="T21" s="39">
        <f>'M-ATW'!$I$465</f>
        <v>0</v>
      </c>
      <c r="U21" s="39">
        <f>'M-ATW'!$I$466</f>
        <v>0</v>
      </c>
      <c r="V21" s="39">
        <f>'M-ATW'!$I$467</f>
        <v>712740.90833414148</v>
      </c>
      <c r="W21" s="39">
        <f>'M-ATW'!$I$468</f>
        <v>39176259.872918516</v>
      </c>
      <c r="X21" s="39">
        <f>'M-ATW'!$I$469</f>
        <v>-24602.29895578415</v>
      </c>
      <c r="Y21" s="17">
        <f t="shared" si="0"/>
        <v>103717532.32842033</v>
      </c>
      <c r="Z21" s="10"/>
    </row>
    <row r="22" spans="1:26" x14ac:dyDescent="0.25">
      <c r="A22" s="3" t="s">
        <v>213</v>
      </c>
      <c r="B22" s="39">
        <f>'M-ATW'!$C$479</f>
        <v>44314.286031098032</v>
      </c>
      <c r="C22" s="39">
        <f>'M-ATW'!$C$480</f>
        <v>22304.149937076982</v>
      </c>
      <c r="D22" s="39">
        <f>'M-ATW'!$C$481</f>
        <v>27218.969597674517</v>
      </c>
      <c r="E22" s="39">
        <f>'M-ATW'!$C$482</f>
        <v>44104.283396327744</v>
      </c>
      <c r="F22" s="39">
        <f>'M-ATW'!$C$483</f>
        <v>3703.967261869002</v>
      </c>
      <c r="G22" s="39">
        <f>'M-ATW'!$C$484</f>
        <v>57457.778852234267</v>
      </c>
      <c r="H22" s="39">
        <f>'M-ATW'!$C$485</f>
        <v>13636.899026467536</v>
      </c>
      <c r="I22" s="39">
        <f>'M-ATW'!$C$486</f>
        <v>5665.9895637940972</v>
      </c>
      <c r="J22" s="39">
        <f>'M-ATW'!$C$487</f>
        <v>0</v>
      </c>
      <c r="K22" s="9"/>
      <c r="L22" s="39">
        <f>'M-ATW'!$C$488</f>
        <v>18924.694164425833</v>
      </c>
      <c r="M22" s="39">
        <f>'M-ATW'!$C$489</f>
        <v>20055.480502670565</v>
      </c>
      <c r="N22" s="39">
        <f>'M-ATW'!$C$490</f>
        <v>10094.271718104097</v>
      </c>
      <c r="O22" s="39">
        <f>'M-ATW'!$C$491</f>
        <v>12318.589849013033</v>
      </c>
      <c r="P22" s="39">
        <f>'M-ATW'!$C$492</f>
        <v>19960.438832718137</v>
      </c>
      <c r="Q22" s="39">
        <f>'M-ATW'!$C$493</f>
        <v>1676.3181776371985</v>
      </c>
      <c r="R22" s="39">
        <f>'M-ATW'!$C$494</f>
        <v>49924.271688991736</v>
      </c>
      <c r="S22" s="39">
        <f>'M-ATW'!$C$495</f>
        <v>21203.048723529191</v>
      </c>
      <c r="T22" s="39">
        <f>'M-ATW'!$C$496</f>
        <v>41841.286514687512</v>
      </c>
      <c r="U22" s="39">
        <f>'M-ATW'!$C$497</f>
        <v>290040.68146667478</v>
      </c>
      <c r="V22" s="9"/>
      <c r="W22" s="39">
        <f>'M-ATW'!$C$498</f>
        <v>256822.89957013685</v>
      </c>
      <c r="X22" s="39">
        <f>'M-ATW'!$C$499</f>
        <v>-159.91071971902821</v>
      </c>
      <c r="Y22" s="17">
        <f t="shared" si="0"/>
        <v>961108.39415541198</v>
      </c>
      <c r="Z22" s="10"/>
    </row>
    <row r="23" spans="1:26" x14ac:dyDescent="0.25">
      <c r="A23" s="3" t="s">
        <v>214</v>
      </c>
      <c r="B23" s="39">
        <f>'M-ATW'!$C$509</f>
        <v>30352.085983176381</v>
      </c>
      <c r="C23" s="39">
        <f>'M-ATW'!$C$510</f>
        <v>15276.732117420146</v>
      </c>
      <c r="D23" s="39">
        <f>'M-ATW'!$C$511</f>
        <v>15641.834563639732</v>
      </c>
      <c r="E23" s="39">
        <f>'M-ATW'!$C$512</f>
        <v>25345.261581547198</v>
      </c>
      <c r="F23" s="39">
        <f>'M-ATW'!$C$513</f>
        <v>2536.9501097732709</v>
      </c>
      <c r="G23" s="39">
        <f>'M-ATW'!$C$514</f>
        <v>33019.070320635175</v>
      </c>
      <c r="H23" s="39">
        <f>'M-ATW'!$C$515</f>
        <v>7836.6713246664913</v>
      </c>
      <c r="I23" s="39">
        <f>'M-ATW'!$C$516</f>
        <v>3256.0553432466613</v>
      </c>
      <c r="J23" s="39">
        <f>'M-ATW'!$C$517</f>
        <v>0</v>
      </c>
      <c r="K23" s="9"/>
      <c r="L23" s="39">
        <f>'M-ATW'!$C$518</f>
        <v>14633.982485261095</v>
      </c>
      <c r="M23" s="39">
        <f>'M-ATW'!$C$519</f>
        <v>13736.555931958246</v>
      </c>
      <c r="N23" s="39">
        <f>'M-ATW'!$C$520</f>
        <v>6913.8472164582299</v>
      </c>
      <c r="O23" s="39">
        <f>'M-ATW'!$C$521</f>
        <v>7079.0829823350796</v>
      </c>
      <c r="P23" s="39">
        <f>'M-ATW'!$C$522</f>
        <v>11470.598874753212</v>
      </c>
      <c r="Q23" s="39">
        <f>'M-ATW'!$C$523</f>
        <v>1148.1569042340063</v>
      </c>
      <c r="R23" s="39">
        <f>'M-ATW'!$C$524</f>
        <v>28689.814861181556</v>
      </c>
      <c r="S23" s="39">
        <f>'M-ATW'!$C$525</f>
        <v>12184.685360263284</v>
      </c>
      <c r="T23" s="39">
        <f>'M-ATW'!$C$526</f>
        <v>24044.792704001098</v>
      </c>
      <c r="U23" s="39">
        <f>'M-ATW'!$C$527</f>
        <v>133337.62303595879</v>
      </c>
      <c r="V23" s="9"/>
      <c r="W23" s="39">
        <f>'M-ATW'!$C$528</f>
        <v>198594.58660041064</v>
      </c>
      <c r="X23" s="39">
        <f>'M-ATW'!$C$529</f>
        <v>-20.453446148530379</v>
      </c>
      <c r="Y23" s="17">
        <f t="shared" si="0"/>
        <v>585077.93485477183</v>
      </c>
      <c r="Z23" s="10"/>
    </row>
    <row r="24" spans="1:26" x14ac:dyDescent="0.25">
      <c r="A24" s="3" t="s">
        <v>215</v>
      </c>
      <c r="B24" s="39">
        <f>'M-ATW'!$C$539</f>
        <v>837.90372402806622</v>
      </c>
      <c r="C24" s="39">
        <f>'M-ATW'!$C$540</f>
        <v>421.73149941854274</v>
      </c>
      <c r="D24" s="39">
        <f>'M-ATW'!$C$541</f>
        <v>422.12125319415685</v>
      </c>
      <c r="E24" s="39">
        <f>'M-ATW'!$C$542</f>
        <v>683.98457596567891</v>
      </c>
      <c r="F24" s="39">
        <f>'M-ATW'!$C$543</f>
        <v>70.035382274242522</v>
      </c>
      <c r="G24" s="39">
        <f>'M-ATW'!$C$544</f>
        <v>891.07523074385711</v>
      </c>
      <c r="H24" s="39">
        <f>'M-ATW'!$C$545</f>
        <v>211.48577597979536</v>
      </c>
      <c r="I24" s="39">
        <f>'M-ATW'!$C$546</f>
        <v>87.870138017940235</v>
      </c>
      <c r="J24" s="39">
        <f>'M-ATW'!$C$547</f>
        <v>0</v>
      </c>
      <c r="K24" s="9"/>
      <c r="L24" s="39">
        <f>'M-ATW'!$C$548</f>
        <v>403.31125866644061</v>
      </c>
      <c r="M24" s="39">
        <f>'M-ATW'!$C$549</f>
        <v>379.21319072064375</v>
      </c>
      <c r="N24" s="39">
        <f>'M-ATW'!$C$550</f>
        <v>190.86458615208409</v>
      </c>
      <c r="O24" s="39">
        <f>'M-ATW'!$C$551</f>
        <v>191.04097846137651</v>
      </c>
      <c r="P24" s="39">
        <f>'M-ATW'!$C$552</f>
        <v>309.55343199663793</v>
      </c>
      <c r="Q24" s="39">
        <f>'M-ATW'!$C$553</f>
        <v>31.696172261750117</v>
      </c>
      <c r="R24" s="39">
        <f>'M-ATW'!$C$554</f>
        <v>774.24297986516171</v>
      </c>
      <c r="S24" s="39">
        <f>'M-ATW'!$C$555</f>
        <v>328.82425863312557</v>
      </c>
      <c r="T24" s="39">
        <f>'M-ATW'!$C$556</f>
        <v>648.8892327630449</v>
      </c>
      <c r="U24" s="39">
        <f>'M-ATW'!$C$557</f>
        <v>2036.0834884944534</v>
      </c>
      <c r="V24" s="9"/>
      <c r="W24" s="39">
        <f>'M-ATW'!$C$558</f>
        <v>5473.2491833185359</v>
      </c>
      <c r="X24" s="39">
        <f>'M-ATW'!$C$559</f>
        <v>-1.5317300393852584</v>
      </c>
      <c r="Y24" s="17">
        <f t="shared" si="0"/>
        <v>14391.64461091615</v>
      </c>
      <c r="Z24" s="10"/>
    </row>
    <row r="25" spans="1:26" x14ac:dyDescent="0.25">
      <c r="A25" s="3" t="s">
        <v>216</v>
      </c>
      <c r="B25" s="39">
        <f>'M-ATW'!$C$569</f>
        <v>3736.5618360196645</v>
      </c>
      <c r="C25" s="39">
        <f>'M-ATW'!$C$570</f>
        <v>1880.6764793921514</v>
      </c>
      <c r="D25" s="39">
        <f>'M-ATW'!$C$571</f>
        <v>3318.6771901659945</v>
      </c>
      <c r="E25" s="39">
        <f>'M-ATW'!$C$572</f>
        <v>5377.4217562047161</v>
      </c>
      <c r="F25" s="39">
        <f>'M-ATW'!$C$573</f>
        <v>312.31695130670778</v>
      </c>
      <c r="G25" s="39">
        <f>'M-ATW'!$C$574</f>
        <v>7005.5488100035645</v>
      </c>
      <c r="H25" s="39">
        <f>'M-ATW'!$C$575</f>
        <v>1662.681079139792</v>
      </c>
      <c r="I25" s="39">
        <f>'M-ATW'!$C$576</f>
        <v>690.82667724088083</v>
      </c>
      <c r="J25" s="39">
        <f>'M-ATW'!$C$577</f>
        <v>0</v>
      </c>
      <c r="K25" s="9"/>
      <c r="L25" s="39">
        <f>'M-ATW'!$C$578</f>
        <v>1028.9052134584697</v>
      </c>
      <c r="M25" s="39">
        <f>'M-ATW'!$C$579</f>
        <v>1691.0696247419255</v>
      </c>
      <c r="N25" s="39">
        <f>'M-ATW'!$C$580</f>
        <v>851.1447174803061</v>
      </c>
      <c r="O25" s="39">
        <f>'M-ATW'!$C$581</f>
        <v>1501.9460233506657</v>
      </c>
      <c r="P25" s="39">
        <f>'M-ATW'!$C$582</f>
        <v>2433.6796741014286</v>
      </c>
      <c r="Q25" s="39">
        <f>'M-ATW'!$C$583</f>
        <v>141.3464390059132</v>
      </c>
      <c r="R25" s="39">
        <f>'M-ATW'!$C$584</f>
        <v>6087.0247529157778</v>
      </c>
      <c r="S25" s="39">
        <f>'M-ATW'!$C$585</f>
        <v>2585.1850823466257</v>
      </c>
      <c r="T25" s="39">
        <f>'M-ATW'!$C$586</f>
        <v>5101.5055020803165</v>
      </c>
      <c r="U25" s="39">
        <f>'M-ATW'!$C$587</f>
        <v>47539.235115646021</v>
      </c>
      <c r="V25" s="9"/>
      <c r="W25" s="39">
        <f>'M-ATW'!$C$588</f>
        <v>13963.048385741347</v>
      </c>
      <c r="X25" s="39">
        <f>'M-ATW'!$C$589</f>
        <v>-30.683669490044245</v>
      </c>
      <c r="Y25" s="17">
        <f t="shared" si="0"/>
        <v>106878.11764085223</v>
      </c>
      <c r="Z25" s="10"/>
    </row>
    <row r="26" spans="1:26" x14ac:dyDescent="0.25">
      <c r="A26" s="3" t="s">
        <v>217</v>
      </c>
      <c r="B26" s="39">
        <f>'M-ATW'!$F$599</f>
        <v>340780.27280981326</v>
      </c>
      <c r="C26" s="39">
        <f>'M-ATW'!$F$600</f>
        <v>171520.63095440861</v>
      </c>
      <c r="D26" s="39">
        <f>'M-ATW'!$F$601</f>
        <v>176491.75546212532</v>
      </c>
      <c r="E26" s="39">
        <f>'M-ATW'!$F$602</f>
        <v>285978.58460747864</v>
      </c>
      <c r="F26" s="39">
        <f>'M-ATW'!$F$603</f>
        <v>28483.793535397264</v>
      </c>
      <c r="G26" s="39">
        <f>'M-ATW'!$F$604</f>
        <v>372564.59022797819</v>
      </c>
      <c r="H26" s="39">
        <f>'M-ATW'!$F$605</f>
        <v>88423.635567991179</v>
      </c>
      <c r="I26" s="39">
        <f>'M-ATW'!$F$606</f>
        <v>36739.099948498348</v>
      </c>
      <c r="J26" s="39">
        <f>'M-ATW'!$F$607</f>
        <v>0</v>
      </c>
      <c r="K26" s="9"/>
      <c r="L26" s="39">
        <f>'M-ATW'!$F$608</f>
        <v>163240.59696925161</v>
      </c>
      <c r="M26" s="39">
        <f>'M-ATW'!$F$609</f>
        <v>154228.18980397817</v>
      </c>
      <c r="N26" s="39">
        <f>'M-ATW'!$F$610</f>
        <v>77625.727005911554</v>
      </c>
      <c r="O26" s="39">
        <f>'M-ATW'!$F$611</f>
        <v>79875.527229949817</v>
      </c>
      <c r="P26" s="39">
        <f>'M-ATW'!$F$612</f>
        <v>129426.38687108045</v>
      </c>
      <c r="Q26" s="39">
        <f>'M-ATW'!$F$613</f>
        <v>12891.015901516914</v>
      </c>
      <c r="R26" s="39">
        <f>'M-ATW'!$F$614</f>
        <v>323716.23469945864</v>
      </c>
      <c r="S26" s="39">
        <f>'M-ATW'!$F$615</f>
        <v>137483.65003076225</v>
      </c>
      <c r="T26" s="39">
        <f>'M-ATW'!$F$616</f>
        <v>271304.98387425591</v>
      </c>
      <c r="U26" s="39">
        <f>'M-ATW'!$F$617</f>
        <v>1379634.5261904947</v>
      </c>
      <c r="V26" s="9"/>
      <c r="W26" s="39">
        <f>'M-ATW'!$F$618</f>
        <v>2215302.5606094515</v>
      </c>
      <c r="X26" s="39">
        <f>'M-ATW'!$F$619</f>
        <v>-368.17945893376248</v>
      </c>
      <c r="Y26" s="17">
        <f t="shared" si="0"/>
        <v>6445343.5828408692</v>
      </c>
      <c r="Z26" s="10"/>
    </row>
    <row r="27" spans="1:26" x14ac:dyDescent="0.25">
      <c r="A27" s="3" t="s">
        <v>181</v>
      </c>
      <c r="B27" s="39">
        <f>'M-ATW'!$D$629</f>
        <v>-1023.6138962494131</v>
      </c>
      <c r="C27" s="39">
        <f>'M-ATW'!$D$630</f>
        <v>-515.20265504448548</v>
      </c>
      <c r="D27" s="39">
        <f>'M-ATW'!$D$631</f>
        <v>-627.98658567642508</v>
      </c>
      <c r="E27" s="39">
        <f>'M-ATW'!$D$632</f>
        <v>-1017.5586641652894</v>
      </c>
      <c r="F27" s="39">
        <f>'M-ATW'!$D$633</f>
        <v>-85.557789599528249</v>
      </c>
      <c r="G27" s="39">
        <f>'M-ATW'!$D$634</f>
        <v>-1325.6458600493265</v>
      </c>
      <c r="H27" s="39">
        <f>'M-ATW'!$D$635</f>
        <v>-314.62578434920511</v>
      </c>
      <c r="I27" s="39">
        <f>'M-ATW'!$D$636</f>
        <v>0</v>
      </c>
      <c r="J27" s="39">
        <f>'M-ATW'!$D$637</f>
        <v>0</v>
      </c>
      <c r="K27" s="39">
        <f>'M-ATW'!$D$638</f>
        <v>0</v>
      </c>
      <c r="L27" s="39">
        <f>'M-ATW'!$D$639</f>
        <v>-437.5402547839696</v>
      </c>
      <c r="M27" s="39">
        <f>'M-ATW'!$D$640</f>
        <v>-463.26073095448834</v>
      </c>
      <c r="N27" s="39">
        <f>'M-ATW'!$D$641</f>
        <v>-233.16717313052831</v>
      </c>
      <c r="O27" s="39">
        <f>'M-ATW'!$D$642</f>
        <v>-284.21021419895669</v>
      </c>
      <c r="P27" s="39">
        <f>'M-ATW'!$D$643</f>
        <v>-460.52029215068904</v>
      </c>
      <c r="Q27" s="39">
        <f>'M-ATW'!$D$644</f>
        <v>-38.721205616644149</v>
      </c>
      <c r="R27" s="39">
        <f>'M-ATW'!$D$645</f>
        <v>-1151.8354068418046</v>
      </c>
      <c r="S27" s="39">
        <f>'M-ATW'!$D$646</f>
        <v>-489.18935472699093</v>
      </c>
      <c r="T27" s="39">
        <f>'M-ATW'!$D$647</f>
        <v>0</v>
      </c>
      <c r="U27" s="39">
        <f>'M-ATW'!$D$648</f>
        <v>0</v>
      </c>
      <c r="V27" s="39">
        <f>'M-ATW'!$D$649</f>
        <v>0</v>
      </c>
      <c r="W27" s="39">
        <f>'M-ATW'!$D$650</f>
        <v>0</v>
      </c>
      <c r="X27" s="39">
        <f>'M-ATW'!$D$651</f>
        <v>-0.21403291157696427</v>
      </c>
      <c r="Y27" s="17">
        <f t="shared" si="0"/>
        <v>-8468.8499004493224</v>
      </c>
      <c r="Z27" s="10"/>
    </row>
    <row r="28" spans="1:26" x14ac:dyDescent="0.25">
      <c r="A28" s="3" t="s">
        <v>182</v>
      </c>
      <c r="B28" s="39">
        <f>'M-ATW'!$D$661</f>
        <v>0</v>
      </c>
      <c r="C28" s="39">
        <f>'M-ATW'!$D$662</f>
        <v>0</v>
      </c>
      <c r="D28" s="39">
        <f>'M-ATW'!$D$663</f>
        <v>0</v>
      </c>
      <c r="E28" s="39">
        <f>'M-ATW'!$D$664</f>
        <v>0</v>
      </c>
      <c r="F28" s="39">
        <f>'M-ATW'!$D$665</f>
        <v>0</v>
      </c>
      <c r="G28" s="39">
        <f>'M-ATW'!$D$666</f>
        <v>0</v>
      </c>
      <c r="H28" s="39">
        <f>'M-ATW'!$D$667</f>
        <v>0</v>
      </c>
      <c r="I28" s="39">
        <f>'M-ATW'!$D$668</f>
        <v>0</v>
      </c>
      <c r="J28" s="39">
        <f>'M-ATW'!$D$669</f>
        <v>0</v>
      </c>
      <c r="K28" s="39">
        <f>'M-ATW'!$D$670</f>
        <v>0</v>
      </c>
      <c r="L28" s="39">
        <f>'M-ATW'!$D$671</f>
        <v>0</v>
      </c>
      <c r="M28" s="39">
        <f>'M-ATW'!$D$672</f>
        <v>0</v>
      </c>
      <c r="N28" s="39">
        <f>'M-ATW'!$D$673</f>
        <v>0</v>
      </c>
      <c r="O28" s="39">
        <f>'M-ATW'!$D$674</f>
        <v>0</v>
      </c>
      <c r="P28" s="39">
        <f>'M-ATW'!$D$675</f>
        <v>0</v>
      </c>
      <c r="Q28" s="39">
        <f>'M-ATW'!$D$676</f>
        <v>0</v>
      </c>
      <c r="R28" s="39">
        <f>'M-ATW'!$D$677</f>
        <v>0</v>
      </c>
      <c r="S28" s="39">
        <f>'M-ATW'!$D$678</f>
        <v>0</v>
      </c>
      <c r="T28" s="39">
        <f>'M-ATW'!$D$679</f>
        <v>0</v>
      </c>
      <c r="U28" s="39">
        <f>'M-ATW'!$D$680</f>
        <v>0</v>
      </c>
      <c r="V28" s="39">
        <f>'M-ATW'!$D$681</f>
        <v>0</v>
      </c>
      <c r="W28" s="39">
        <f>'M-ATW'!$D$682</f>
        <v>0</v>
      </c>
      <c r="X28" s="39">
        <f>'M-ATW'!$D$683</f>
        <v>0</v>
      </c>
      <c r="Y28" s="17">
        <f t="shared" si="0"/>
        <v>0</v>
      </c>
      <c r="Z28" s="10"/>
    </row>
    <row r="29" spans="1:26" x14ac:dyDescent="0.25">
      <c r="A29" s="3" t="s">
        <v>183</v>
      </c>
      <c r="B29" s="39">
        <f>'M-ATW'!$E$693</f>
        <v>-27846.771257522058</v>
      </c>
      <c r="C29" s="39">
        <f>'M-ATW'!$E$694</f>
        <v>-13995.318648072682</v>
      </c>
      <c r="D29" s="39">
        <f>'M-ATW'!$E$695</f>
        <v>-17059.058774644487</v>
      </c>
      <c r="E29" s="39">
        <f>'M-ATW'!$E$696</f>
        <v>-27641.662186059097</v>
      </c>
      <c r="F29" s="39">
        <f>'M-ATW'!$E$697</f>
        <v>-1811.7526850483605</v>
      </c>
      <c r="G29" s="39">
        <f>'M-ATW'!$E$698</f>
        <v>-36063.360578176464</v>
      </c>
      <c r="H29" s="39">
        <f>'M-ATW'!$E$699</f>
        <v>-8559.1962756590037</v>
      </c>
      <c r="I29" s="39">
        <f>'M-ATW'!$E$700</f>
        <v>63.939238973128425</v>
      </c>
      <c r="J29" s="39">
        <f>'M-ATW'!$E$701</f>
        <v>0</v>
      </c>
      <c r="K29" s="39">
        <f>'M-ATW'!$E$702</f>
        <v>0</v>
      </c>
      <c r="L29" s="39">
        <f>'M-ATW'!$E$703</f>
        <v>-11903.007018144621</v>
      </c>
      <c r="M29" s="39">
        <f>'M-ATW'!$E$704</f>
        <v>-12602.716370644919</v>
      </c>
      <c r="N29" s="39">
        <f>'M-ATW'!$E$705</f>
        <v>-6333.9131782042305</v>
      </c>
      <c r="O29" s="39">
        <f>'M-ATW'!$E$706</f>
        <v>-7720.4813907799853</v>
      </c>
      <c r="P29" s="39">
        <f>'M-ATW'!$E$707</f>
        <v>-12509.889398756903</v>
      </c>
      <c r="Q29" s="39">
        <f>'M-ATW'!$E$708</f>
        <v>-819.95162068389288</v>
      </c>
      <c r="R29" s="39">
        <f>'M-ATW'!$E$709</f>
        <v>-31334.956684510704</v>
      </c>
      <c r="S29" s="39">
        <f>'M-ATW'!$E$710</f>
        <v>-13308.088247541846</v>
      </c>
      <c r="T29" s="39">
        <f>'M-ATW'!$E$711</f>
        <v>472.16818656021098</v>
      </c>
      <c r="U29" s="39">
        <f>'M-ATW'!$E$712</f>
        <v>0</v>
      </c>
      <c r="V29" s="39">
        <f>'M-ATW'!$E$713</f>
        <v>0</v>
      </c>
      <c r="W29" s="39">
        <f>'M-ATW'!$E$714</f>
        <v>0</v>
      </c>
      <c r="X29" s="39">
        <f>'M-ATW'!$E$715</f>
        <v>1.6828003696754334</v>
      </c>
      <c r="Y29" s="17">
        <f t="shared" si="0"/>
        <v>-228972.33408854619</v>
      </c>
      <c r="Z29" s="10"/>
    </row>
    <row r="30" spans="1:26" x14ac:dyDescent="0.25">
      <c r="A30" s="3" t="s">
        <v>184</v>
      </c>
      <c r="B30" s="39">
        <f>'M-ATW'!$H$725</f>
        <v>-6260.8581096093712</v>
      </c>
      <c r="C30" s="39">
        <f>'M-ATW'!$H$726</f>
        <v>-3145.3519643844684</v>
      </c>
      <c r="D30" s="39">
        <f>'M-ATW'!$H$727</f>
        <v>-3962.771304193071</v>
      </c>
      <c r="E30" s="39">
        <f>'M-ATW'!$H$728</f>
        <v>-6421.080269324324</v>
      </c>
      <c r="F30" s="39">
        <f>'M-ATW'!$H$729</f>
        <v>-375.80628722885751</v>
      </c>
      <c r="G30" s="39">
        <f>'M-ATW'!$H$730</f>
        <v>-8380.2406331968796</v>
      </c>
      <c r="H30" s="39">
        <f>'M-ATW'!$H$731</f>
        <v>-1988.9473212374685</v>
      </c>
      <c r="I30" s="39">
        <f>'M-ATW'!$H$732</f>
        <v>18.284729885175999</v>
      </c>
      <c r="J30" s="39">
        <f>'M-ATW'!$H$733</f>
        <v>0</v>
      </c>
      <c r="K30" s="39">
        <f>'M-ATW'!$H$734</f>
        <v>0</v>
      </c>
      <c r="L30" s="39">
        <f>'M-ATW'!$H$735</f>
        <v>-2574.6757135742769</v>
      </c>
      <c r="M30" s="39">
        <f>'M-ATW'!$H$736</f>
        <v>-2833.4997354835264</v>
      </c>
      <c r="N30" s="39">
        <f>'M-ATW'!$H$737</f>
        <v>-1423.5035841823353</v>
      </c>
      <c r="O30" s="39">
        <f>'M-ATW'!$H$738</f>
        <v>-1793.4460812933758</v>
      </c>
      <c r="P30" s="39">
        <f>'M-ATW'!$H$739</f>
        <v>-2906.012071528025</v>
      </c>
      <c r="Q30" s="39">
        <f>'M-ATW'!$H$740</f>
        <v>-170.08004283337002</v>
      </c>
      <c r="R30" s="39">
        <f>'M-ATW'!$H$741</f>
        <v>-7281.4755207785138</v>
      </c>
      <c r="S30" s="39">
        <f>'M-ATW'!$H$742</f>
        <v>-3092.4733606137834</v>
      </c>
      <c r="T30" s="39">
        <f>'M-ATW'!$H$743</f>
        <v>135.02612621422051</v>
      </c>
      <c r="U30" s="39">
        <f>'M-ATW'!$H$744</f>
        <v>0</v>
      </c>
      <c r="V30" s="39">
        <f>'M-ATW'!$H$745</f>
        <v>0</v>
      </c>
      <c r="W30" s="39">
        <f>'M-ATW'!$H$746</f>
        <v>0</v>
      </c>
      <c r="X30" s="39">
        <f>'M-ATW'!$H$747</f>
        <v>-8.9935773948522719</v>
      </c>
      <c r="Y30" s="17">
        <f t="shared" si="0"/>
        <v>-52465.904720757098</v>
      </c>
      <c r="Z30" s="10"/>
    </row>
    <row r="31" spans="1:26" x14ac:dyDescent="0.25">
      <c r="A31" s="3" t="s">
        <v>185</v>
      </c>
      <c r="B31" s="39">
        <f>'M-ATW'!$E$757</f>
        <v>-762.16185565268358</v>
      </c>
      <c r="C31" s="39">
        <f>'M-ATW'!$E$758</f>
        <v>-382.54618885154622</v>
      </c>
      <c r="D31" s="39">
        <f>'M-ATW'!$E$759</f>
        <v>-466.29005624916351</v>
      </c>
      <c r="E31" s="39">
        <f>'M-ATW'!$E$760</f>
        <v>-755.55353820078972</v>
      </c>
      <c r="F31" s="39">
        <f>'M-ATW'!$E$761</f>
        <v>-36.884087072190944</v>
      </c>
      <c r="G31" s="39">
        <f>'M-ATW'!$E$762</f>
        <v>-987.04864435262584</v>
      </c>
      <c r="H31" s="39">
        <f>'M-ATW'!$E$763</f>
        <v>8.001997346280433</v>
      </c>
      <c r="I31" s="39">
        <f>'M-ATW'!$E$764</f>
        <v>0</v>
      </c>
      <c r="J31" s="39">
        <f>'M-ATW'!$E$765</f>
        <v>0</v>
      </c>
      <c r="K31" s="39">
        <f>'M-ATW'!$E$766</f>
        <v>0</v>
      </c>
      <c r="L31" s="39">
        <f>'M-ATW'!$E$767</f>
        <v>-325.7834753228513</v>
      </c>
      <c r="M31" s="39">
        <f>'M-ATW'!$E$768</f>
        <v>-344.93441291584463</v>
      </c>
      <c r="N31" s="39">
        <f>'M-ATW'!$E$769</f>
        <v>-173.13034506522575</v>
      </c>
      <c r="O31" s="39">
        <f>'M-ATW'!$E$770</f>
        <v>-211.03061719490694</v>
      </c>
      <c r="P31" s="39">
        <f>'M-ATW'!$E$771</f>
        <v>-341.9436622193557</v>
      </c>
      <c r="Q31" s="39">
        <f>'M-ATW'!$E$772</f>
        <v>-16.692767849537663</v>
      </c>
      <c r="R31" s="39">
        <f>'M-ATW'!$E$773</f>
        <v>-857.63295545482595</v>
      </c>
      <c r="S31" s="39">
        <f>'M-ATW'!$E$774</f>
        <v>12.441739085215275</v>
      </c>
      <c r="T31" s="39">
        <f>'M-ATW'!$E$775</f>
        <v>0</v>
      </c>
      <c r="U31" s="39">
        <f>'M-ATW'!$E$776</f>
        <v>0</v>
      </c>
      <c r="V31" s="39">
        <f>'M-ATW'!$E$777</f>
        <v>0</v>
      </c>
      <c r="W31" s="39">
        <f>'M-ATW'!$E$778</f>
        <v>0</v>
      </c>
      <c r="X31" s="39">
        <f>'M-ATW'!$E$779</f>
        <v>-1.35003596312565</v>
      </c>
      <c r="Y31" s="17">
        <f t="shared" si="0"/>
        <v>-5642.5389059331774</v>
      </c>
      <c r="Z31" s="10"/>
    </row>
    <row r="32" spans="1:26" x14ac:dyDescent="0.25">
      <c r="A32" s="3" t="s">
        <v>186</v>
      </c>
      <c r="B32" s="39">
        <f>'M-ATW'!$H$789</f>
        <v>-3131.9778055597535</v>
      </c>
      <c r="C32" s="39">
        <f>'M-ATW'!$H$790</f>
        <v>-1576.0987470108444</v>
      </c>
      <c r="D32" s="39">
        <f>'M-ATW'!$H$791</f>
        <v>-1926.8328763190593</v>
      </c>
      <c r="E32" s="39">
        <f>'M-ATW'!$H$792</f>
        <v>-3122.1454923039259</v>
      </c>
      <c r="F32" s="39">
        <f>'M-ATW'!$H$793</f>
        <v>-254.71724614183444</v>
      </c>
      <c r="G32" s="39">
        <f>'M-ATW'!$H$794</f>
        <v>-4068.1611075479086</v>
      </c>
      <c r="H32" s="39">
        <f>'M-ATW'!$H$795</f>
        <v>2.1082068151849507</v>
      </c>
      <c r="I32" s="39">
        <f>'M-ATW'!$H$796</f>
        <v>0</v>
      </c>
      <c r="J32" s="39">
        <f>'M-ATW'!$H$797</f>
        <v>0</v>
      </c>
      <c r="K32" s="39">
        <f>'M-ATW'!$H$798</f>
        <v>0</v>
      </c>
      <c r="L32" s="39">
        <f>'M-ATW'!$H$799</f>
        <v>-1340.3348693293574</v>
      </c>
      <c r="M32" s="39">
        <f>'M-ATW'!$H$800</f>
        <v>-1417.4507916052314</v>
      </c>
      <c r="N32" s="39">
        <f>'M-ATW'!$H$801</f>
        <v>-713.30084543790758</v>
      </c>
      <c r="O32" s="39">
        <f>'M-ATW'!$H$802</f>
        <v>-872.03388893150634</v>
      </c>
      <c r="P32" s="39">
        <f>'M-ATW'!$H$803</f>
        <v>-1413.0009451909173</v>
      </c>
      <c r="Q32" s="39">
        <f>'M-ATW'!$H$804</f>
        <v>-115.27832717662584</v>
      </c>
      <c r="R32" s="39">
        <f>'M-ATW'!$H$805</f>
        <v>-3534.7690854902185</v>
      </c>
      <c r="S32" s="39">
        <f>'M-ATW'!$H$806</f>
        <v>3.2779015034785273</v>
      </c>
      <c r="T32" s="39">
        <f>'M-ATW'!$H$807</f>
        <v>0</v>
      </c>
      <c r="U32" s="39">
        <f>'M-ATW'!$H$808</f>
        <v>0</v>
      </c>
      <c r="V32" s="39">
        <f>'M-ATW'!$H$809</f>
        <v>0</v>
      </c>
      <c r="W32" s="39">
        <f>'M-ATW'!$H$810</f>
        <v>0</v>
      </c>
      <c r="X32" s="39">
        <f>'M-ATW'!$H$811</f>
        <v>-9.1247867114280403</v>
      </c>
      <c r="Y32" s="17">
        <f t="shared" si="0"/>
        <v>-23489.840706437855</v>
      </c>
      <c r="Z32" s="10"/>
    </row>
    <row r="33" spans="1:26" x14ac:dyDescent="0.25">
      <c r="A33" s="3" t="s">
        <v>194</v>
      </c>
      <c r="B33" s="39">
        <f>'M-ATW'!$E$821</f>
        <v>-113191.15458386217</v>
      </c>
      <c r="C33" s="39">
        <f>'M-ATW'!$E$822</f>
        <v>-56942.956136499044</v>
      </c>
      <c r="D33" s="39">
        <f>'M-ATW'!$E$823</f>
        <v>-64867.736473147103</v>
      </c>
      <c r="E33" s="39">
        <f>'M-ATW'!$E$824</f>
        <v>-72919.643696090716</v>
      </c>
      <c r="F33" s="39">
        <f>'M-ATW'!$E$825</f>
        <v>-5674.2790230516812</v>
      </c>
      <c r="G33" s="39">
        <f>'M-ATW'!$E$826</f>
        <v>620.03305523198287</v>
      </c>
      <c r="H33" s="39">
        <f>'M-ATW'!$E$827</f>
        <v>0</v>
      </c>
      <c r="I33" s="39">
        <f>'M-ATW'!$E$828</f>
        <v>0</v>
      </c>
      <c r="J33" s="39">
        <f>'M-ATW'!$E$829</f>
        <v>0</v>
      </c>
      <c r="K33" s="39">
        <f>'M-ATW'!$E$830</f>
        <v>0</v>
      </c>
      <c r="L33" s="39">
        <f>'M-ATW'!$E$831</f>
        <v>-48383.171425651846</v>
      </c>
      <c r="M33" s="39">
        <f>'M-ATW'!$E$832</f>
        <v>-51227.339920095917</v>
      </c>
      <c r="N33" s="39">
        <f>'M-ATW'!$E$833</f>
        <v>-25770.884489903725</v>
      </c>
      <c r="O33" s="39">
        <f>'M-ATW'!$E$834</f>
        <v>-31412.434703541636</v>
      </c>
      <c r="P33" s="39">
        <f>'M-ATW'!$E$835</f>
        <v>-50899.16858763108</v>
      </c>
      <c r="Q33" s="39">
        <f>'M-ATW'!$E$836</f>
        <v>-3960.7445945741738</v>
      </c>
      <c r="R33" s="39">
        <f>'M-ATW'!$E$837</f>
        <v>774.8233727301066</v>
      </c>
      <c r="S33" s="39">
        <f>'M-ATW'!$E$838</f>
        <v>0</v>
      </c>
      <c r="T33" s="39">
        <f>'M-ATW'!$E$839</f>
        <v>0</v>
      </c>
      <c r="U33" s="39">
        <f>'M-ATW'!$E$840</f>
        <v>0</v>
      </c>
      <c r="V33" s="39">
        <f>'M-ATW'!$E$841</f>
        <v>7887.6489576376262</v>
      </c>
      <c r="W33" s="39">
        <f>'M-ATW'!$E$842</f>
        <v>0</v>
      </c>
      <c r="X33" s="39">
        <f>'M-ATW'!$E$843</f>
        <v>-396.00898913840132</v>
      </c>
      <c r="Y33" s="17">
        <f t="shared" si="0"/>
        <v>-516363.01723758777</v>
      </c>
      <c r="Z33" s="10"/>
    </row>
    <row r="34" spans="1:26" x14ac:dyDescent="0.25">
      <c r="A34" s="3" t="s">
        <v>195</v>
      </c>
      <c r="B34" s="39">
        <f>'M-ATW'!$H$853</f>
        <v>-526966.31126630306</v>
      </c>
      <c r="C34" s="39">
        <f>'M-ATW'!$H$854</f>
        <v>-265159.5697590849</v>
      </c>
      <c r="D34" s="39">
        <f>'M-ATW'!$H$855</f>
        <v>-296731.07906144357</v>
      </c>
      <c r="E34" s="39">
        <f>'M-ATW'!$H$856</f>
        <v>-333563.73653756425</v>
      </c>
      <c r="F34" s="39">
        <f>'M-ATW'!$H$857</f>
        <v>-27384.823152791763</v>
      </c>
      <c r="G34" s="39">
        <f>'M-ATW'!$H$858</f>
        <v>1581.6833806139921</v>
      </c>
      <c r="H34" s="39">
        <f>'M-ATW'!$H$859</f>
        <v>0</v>
      </c>
      <c r="I34" s="39">
        <f>'M-ATW'!$H$860</f>
        <v>0</v>
      </c>
      <c r="J34" s="39">
        <f>'M-ATW'!$H$861</f>
        <v>0</v>
      </c>
      <c r="K34" s="39">
        <f>'M-ATW'!$H$862</f>
        <v>0</v>
      </c>
      <c r="L34" s="39">
        <f>'M-ATW'!$H$863</f>
        <v>-227794.68317080475</v>
      </c>
      <c r="M34" s="39">
        <f>'M-ATW'!$H$864</f>
        <v>-238491.09458175549</v>
      </c>
      <c r="N34" s="39">
        <f>'M-ATW'!$H$865</f>
        <v>-120004.24823877215</v>
      </c>
      <c r="O34" s="39">
        <f>'M-ATW'!$H$866</f>
        <v>-143693.09231851529</v>
      </c>
      <c r="P34" s="39">
        <f>'M-ATW'!$H$867</f>
        <v>-232833.23944238987</v>
      </c>
      <c r="Q34" s="39">
        <f>'M-ATW'!$H$868</f>
        <v>-19115.078732497113</v>
      </c>
      <c r="R34" s="39">
        <f>'M-ATW'!$H$869</f>
        <v>1976.5482520927289</v>
      </c>
      <c r="S34" s="39">
        <f>'M-ATW'!$H$870</f>
        <v>0</v>
      </c>
      <c r="T34" s="39">
        <f>'M-ATW'!$H$871</f>
        <v>0</v>
      </c>
      <c r="U34" s="39">
        <f>'M-ATW'!$H$872</f>
        <v>0</v>
      </c>
      <c r="V34" s="39">
        <f>'M-ATW'!$H$873</f>
        <v>17504.097686812267</v>
      </c>
      <c r="W34" s="39">
        <f>'M-ATW'!$H$874</f>
        <v>0</v>
      </c>
      <c r="X34" s="39">
        <f>'M-ATW'!$H$875</f>
        <v>-1008.8687398402679</v>
      </c>
      <c r="Y34" s="17">
        <f t="shared" si="0"/>
        <v>-2411683.4956822433</v>
      </c>
      <c r="Z34" s="10"/>
    </row>
    <row r="36" spans="1:26" ht="21" customHeight="1" x14ac:dyDescent="0.3">
      <c r="A36" s="1" t="s">
        <v>1684</v>
      </c>
    </row>
    <row r="38" spans="1:26" x14ac:dyDescent="0.25">
      <c r="B38" s="31" t="s">
        <v>1685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6" ht="30" x14ac:dyDescent="0.25">
      <c r="B39" s="12" t="s">
        <v>311</v>
      </c>
      <c r="C39" s="12" t="s">
        <v>312</v>
      </c>
      <c r="D39" s="12" t="s">
        <v>313</v>
      </c>
      <c r="E39" s="12" t="s">
        <v>314</v>
      </c>
      <c r="F39" s="12" t="s">
        <v>315</v>
      </c>
      <c r="G39" s="12" t="s">
        <v>316</v>
      </c>
      <c r="H39" s="12" t="s">
        <v>317</v>
      </c>
      <c r="I39" s="12" t="s">
        <v>318</v>
      </c>
      <c r="J39" s="12" t="s">
        <v>468</v>
      </c>
      <c r="K39" s="12" t="s">
        <v>480</v>
      </c>
      <c r="L39" s="12" t="s">
        <v>299</v>
      </c>
      <c r="M39" s="12" t="s">
        <v>882</v>
      </c>
      <c r="N39" s="12" t="s">
        <v>883</v>
      </c>
      <c r="O39" s="12" t="s">
        <v>884</v>
      </c>
      <c r="P39" s="12" t="s">
        <v>885</v>
      </c>
      <c r="Q39" s="12" t="s">
        <v>886</v>
      </c>
      <c r="R39" s="12" t="s">
        <v>887</v>
      </c>
      <c r="S39" s="12" t="s">
        <v>888</v>
      </c>
      <c r="T39" s="12" t="s">
        <v>889</v>
      </c>
      <c r="U39" s="12" t="s">
        <v>890</v>
      </c>
      <c r="V39" s="12" t="s">
        <v>891</v>
      </c>
      <c r="W39" s="12" t="s">
        <v>1675</v>
      </c>
      <c r="X39" s="12" t="s">
        <v>1676</v>
      </c>
      <c r="Y39" s="12" t="s">
        <v>1686</v>
      </c>
    </row>
    <row r="40" spans="1:26" x14ac:dyDescent="0.25">
      <c r="A40" s="3" t="s">
        <v>1687</v>
      </c>
      <c r="B40" s="17">
        <f t="shared" ref="B40:X40" si="1">SUM(B$8:B$34)</f>
        <v>27877961.705578603</v>
      </c>
      <c r="C40" s="17">
        <f t="shared" si="1"/>
        <v>13966867.162915677</v>
      </c>
      <c r="D40" s="17">
        <f t="shared" si="1"/>
        <v>17336196.378993053</v>
      </c>
      <c r="E40" s="17">
        <f t="shared" si="1"/>
        <v>29687113.11115865</v>
      </c>
      <c r="F40" s="17">
        <f t="shared" si="1"/>
        <v>2603395.0003424962</v>
      </c>
      <c r="G40" s="17">
        <f t="shared" si="1"/>
        <v>38034484.570979819</v>
      </c>
      <c r="H40" s="17">
        <f t="shared" si="1"/>
        <v>7725933.6090521887</v>
      </c>
      <c r="I40" s="17">
        <f t="shared" si="1"/>
        <v>2659956.1095642541</v>
      </c>
      <c r="J40" s="17">
        <f t="shared" si="1"/>
        <v>0</v>
      </c>
      <c r="K40" s="17">
        <f t="shared" si="1"/>
        <v>0</v>
      </c>
      <c r="L40" s="17">
        <f t="shared" si="1"/>
        <v>11882593.06232251</v>
      </c>
      <c r="M40" s="17">
        <f t="shared" si="1"/>
        <v>12616832.347204464</v>
      </c>
      <c r="N40" s="17">
        <f t="shared" si="1"/>
        <v>6321036.7842251454</v>
      </c>
      <c r="O40" s="17">
        <f t="shared" si="1"/>
        <v>7986863.756681826</v>
      </c>
      <c r="P40" s="17">
        <f t="shared" si="1"/>
        <v>15596985.8591295</v>
      </c>
      <c r="Q40" s="17">
        <f t="shared" si="1"/>
        <v>1375257.4009287618</v>
      </c>
      <c r="R40" s="17">
        <f t="shared" si="1"/>
        <v>36705658.163375124</v>
      </c>
      <c r="S40" s="17">
        <f t="shared" si="1"/>
        <v>12012507.127136737</v>
      </c>
      <c r="T40" s="17">
        <f t="shared" si="1"/>
        <v>19642815.159413159</v>
      </c>
      <c r="U40" s="17">
        <f t="shared" si="1"/>
        <v>20379803.942045745</v>
      </c>
      <c r="V40" s="17">
        <f t="shared" si="1"/>
        <v>738132.65497859137</v>
      </c>
      <c r="W40" s="17">
        <f t="shared" si="1"/>
        <v>165229051.68684292</v>
      </c>
      <c r="X40" s="17">
        <f t="shared" si="1"/>
        <v>-39369.711415656959</v>
      </c>
      <c r="Y40" s="17">
        <f>SUM($B$8:$X$34)</f>
        <v>450340075.88145351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East Midlands in April 17 (Final)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1" t="s">
        <v>1689</v>
      </c>
    </row>
    <row r="7" spans="1:1" x14ac:dyDescent="0.25">
      <c r="A7" s="11" t="s">
        <v>547</v>
      </c>
    </row>
    <row r="8" spans="1:1" x14ac:dyDescent="0.25">
      <c r="A8" s="11" t="s">
        <v>1690</v>
      </c>
    </row>
    <row r="9" spans="1:1" x14ac:dyDescent="0.25">
      <c r="A9" s="11" t="s">
        <v>1588</v>
      </c>
    </row>
    <row r="10" spans="1:1" x14ac:dyDescent="0.25">
      <c r="A10" s="11" t="s">
        <v>1691</v>
      </c>
    </row>
    <row r="11" spans="1:1" x14ac:dyDescent="0.25">
      <c r="A11" s="11" t="s">
        <v>1692</v>
      </c>
    </row>
    <row r="12" spans="1:1" x14ac:dyDescent="0.25">
      <c r="A12" s="11" t="s">
        <v>1693</v>
      </c>
    </row>
    <row r="13" spans="1:1" x14ac:dyDescent="0.25">
      <c r="A13" s="11" t="s">
        <v>1694</v>
      </c>
    </row>
    <row r="14" spans="1:1" x14ac:dyDescent="0.25">
      <c r="A14" s="11" t="s">
        <v>1695</v>
      </c>
    </row>
    <row r="15" spans="1:1" x14ac:dyDescent="0.25">
      <c r="A15" s="11" t="s">
        <v>1696</v>
      </c>
    </row>
    <row r="16" spans="1:1" x14ac:dyDescent="0.25">
      <c r="A16" s="11" t="s">
        <v>1697</v>
      </c>
    </row>
    <row r="17" spans="1:3" x14ac:dyDescent="0.25">
      <c r="A17" s="11" t="s">
        <v>1698</v>
      </c>
    </row>
    <row r="18" spans="1:3" x14ac:dyDescent="0.25">
      <c r="A18" s="11" t="s">
        <v>1699</v>
      </c>
    </row>
    <row r="19" spans="1:3" x14ac:dyDescent="0.25">
      <c r="A19" s="11" t="s">
        <v>1700</v>
      </c>
    </row>
    <row r="20" spans="1:3" x14ac:dyDescent="0.25">
      <c r="A20" s="2" t="s">
        <v>1701</v>
      </c>
    </row>
    <row r="22" spans="1:3" ht="30" x14ac:dyDescent="0.25">
      <c r="B22" s="12" t="s">
        <v>1702</v>
      </c>
    </row>
    <row r="23" spans="1:3" x14ac:dyDescent="0.25">
      <c r="A23" s="3" t="s">
        <v>171</v>
      </c>
      <c r="B23" s="17">
        <f>IF(Input!B375,Input!B375,0.01*Input!F$58*(Input!F375*Input!E$187+Input!G375*Input!F$187)+10*(Input!C375*Input!B$187+Input!D375*Input!C$187+Input!E375*Input!D$187+Input!H375*Input!G$187))</f>
        <v>127421689.86946614</v>
      </c>
      <c r="C23" s="10"/>
    </row>
    <row r="24" spans="1:3" x14ac:dyDescent="0.25">
      <c r="A24" s="3" t="s">
        <v>172</v>
      </c>
      <c r="B24" s="17">
        <f>IF(Input!B376,Input!B376,0.01*Input!F$58*(Input!F376*Input!E$191+Input!G376*Input!F$191)+10*(Input!C376*Input!B$191+Input!D376*Input!C$191+Input!E376*Input!D$191+Input!H376*Input!G$191))</f>
        <v>77318496.976102099</v>
      </c>
      <c r="C24" s="10"/>
    </row>
    <row r="25" spans="1:3" x14ac:dyDescent="0.25">
      <c r="A25" s="3" t="s">
        <v>211</v>
      </c>
      <c r="B25" s="17">
        <f>IF(Input!B377,Input!B377,0.01*Input!F$58*(Input!F377*Input!E$195+Input!G377*Input!F$195)+10*(Input!C377*Input!B$195+Input!D377*Input!C$195+Input!E377*Input!D$195+Input!H377*Input!G$195))</f>
        <v>780201.16257464536</v>
      </c>
      <c r="C25" s="10"/>
    </row>
    <row r="26" spans="1:3" x14ac:dyDescent="0.25">
      <c r="A26" s="3" t="s">
        <v>173</v>
      </c>
      <c r="B26" s="17">
        <f>IF(Input!B378,Input!B378,0.01*Input!F$58*(Input!F378*Input!E$199+Input!G378*Input!F$199)+10*(Input!C378*Input!B$199+Input!D378*Input!C$199+Input!E378*Input!D$199+Input!H378*Input!G$199))</f>
        <v>22789088.071700256</v>
      </c>
      <c r="C26" s="10"/>
    </row>
    <row r="27" spans="1:3" x14ac:dyDescent="0.25">
      <c r="A27" s="3" t="s">
        <v>174</v>
      </c>
      <c r="B27" s="17">
        <f>IF(Input!B379,Input!B379,0.01*Input!F$58*(Input!F379*Input!E$203+Input!G379*Input!F$203)+10*(Input!C379*Input!B$203+Input!D379*Input!C$203+Input!E379*Input!D$203+Input!H379*Input!G$203))</f>
        <v>34728885.584958717</v>
      </c>
      <c r="C27" s="10"/>
    </row>
    <row r="28" spans="1:3" x14ac:dyDescent="0.25">
      <c r="A28" s="3" t="s">
        <v>212</v>
      </c>
      <c r="B28" s="17">
        <f>IF(Input!B380,Input!B380,0.01*Input!F$58*(Input!F380*Input!E$207+Input!G380*Input!F$207)+10*(Input!C380*Input!B$207+Input!D380*Input!C$207+Input!E380*Input!D$207+Input!H380*Input!G$207))</f>
        <v>12146.998656015832</v>
      </c>
      <c r="C28" s="10"/>
    </row>
    <row r="29" spans="1:3" x14ac:dyDescent="0.25">
      <c r="A29" s="3" t="s">
        <v>175</v>
      </c>
      <c r="B29" s="17">
        <f>IF(Input!B381,Input!B381,0.01*Input!F$58*(Input!F381*Input!E$211+Input!G381*Input!F$211)+10*(Input!C381*Input!B$211+Input!D381*Input!C$211+Input!E381*Input!D$211+Input!H381*Input!G$211))</f>
        <v>0</v>
      </c>
      <c r="C29" s="10"/>
    </row>
    <row r="30" spans="1:3" x14ac:dyDescent="0.25">
      <c r="A30" s="3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3" t="s">
        <v>192</v>
      </c>
      <c r="B31" s="17">
        <f>IF(Input!B383,Input!B383,0.01*Input!F$58*(Input!F383*Input!E$217+Input!G383*Input!F$217)+10*(Input!C383*Input!B$217+Input!D383*Input!C$217+Input!E383*Input!D$217+Input!H383*Input!G$217))</f>
        <v>0</v>
      </c>
      <c r="C31" s="10"/>
    </row>
    <row r="32" spans="1:3" x14ac:dyDescent="0.25">
      <c r="A32" s="3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3" t="s">
        <v>178</v>
      </c>
      <c r="B33" s="17">
        <f>IF(Input!B385,Input!B385,0.01*Input!F$58*(Input!F385*Input!E$223+Input!G385*Input!F$223)+10*(Input!C385*Input!B$223+Input!D385*Input!C$223+Input!E385*Input!D$223+Input!H385*Input!G$223))</f>
        <v>2639714.844384212</v>
      </c>
      <c r="C33" s="10"/>
    </row>
    <row r="34" spans="1:3" x14ac:dyDescent="0.25">
      <c r="A34" s="3" t="s">
        <v>179</v>
      </c>
      <c r="B34" s="17">
        <f>IF(Input!B386,Input!B386,0.01*Input!F$58*(Input!F386*Input!E$227+Input!G386*Input!F$227)+10*(Input!C386*Input!B$227+Input!D386*Input!C$227+Input!E386*Input!D$227+Input!H386*Input!G$227))</f>
        <v>71131165.245887637</v>
      </c>
      <c r="C34" s="10"/>
    </row>
    <row r="35" spans="1:3" x14ac:dyDescent="0.25">
      <c r="A35" s="3" t="s">
        <v>180</v>
      </c>
      <c r="B35" s="17">
        <f>IF(Input!B387,Input!B387,0.01*Input!F$58*(Input!F387*Input!E$231+Input!G387*Input!F$231)+10*(Input!C387*Input!B$231+Input!D387*Input!C$231+Input!E387*Input!D$231+Input!H387*Input!G$231))</f>
        <v>2026259.4050541231</v>
      </c>
      <c r="C35" s="10"/>
    </row>
    <row r="36" spans="1:3" x14ac:dyDescent="0.25">
      <c r="A36" s="3" t="s">
        <v>193</v>
      </c>
      <c r="B36" s="17">
        <f>IF(Input!B388,Input!B388,0.01*Input!F$58*(Input!F388*Input!E$234+Input!G388*Input!F$234)+10*(Input!C388*Input!B$234+Input!D388*Input!C$234+Input!E388*Input!D$234+Input!H388*Input!G$234))</f>
        <v>101478636.18688267</v>
      </c>
      <c r="C36" s="10"/>
    </row>
    <row r="37" spans="1:3" x14ac:dyDescent="0.25">
      <c r="A37" s="3" t="s">
        <v>213</v>
      </c>
      <c r="B37" s="17">
        <f>IF(Input!B389,Input!B389,0.01*Input!F$58*(Input!F389*Input!E$237+Input!G389*Input!F$237)+10*(Input!C389*Input!B$237+Input!D389*Input!C$237+Input!E389*Input!D$237+Input!H389*Input!G$237))</f>
        <v>927659.8552058842</v>
      </c>
      <c r="C37" s="10"/>
    </row>
    <row r="38" spans="1:3" x14ac:dyDescent="0.25">
      <c r="A38" s="3" t="s">
        <v>214</v>
      </c>
      <c r="B38" s="17">
        <f>IF(Input!B390,Input!B390,0.01*Input!F$58*(Input!F390*Input!E$241+Input!G390*Input!F$241)+10*(Input!C390*Input!B$241+Input!D390*Input!C$241+Input!E390*Input!D$241+Input!H390*Input!G$241))</f>
        <v>562960.29026636668</v>
      </c>
      <c r="C38" s="10"/>
    </row>
    <row r="39" spans="1:3" x14ac:dyDescent="0.25">
      <c r="A39" s="3" t="s">
        <v>215</v>
      </c>
      <c r="B39" s="17">
        <f>IF(Input!B391,Input!B391,0.01*Input!F$58*(Input!F391*Input!E$245+Input!G391*Input!F$245)+10*(Input!C391*Input!B$245+Input!D391*Input!C$245+Input!E391*Input!D$245+Input!H391*Input!G$245))</f>
        <v>14177.907314714426</v>
      </c>
      <c r="C39" s="10"/>
    </row>
    <row r="40" spans="1:3" x14ac:dyDescent="0.25">
      <c r="A40" s="3" t="s">
        <v>216</v>
      </c>
      <c r="B40" s="17">
        <f>IF(Input!B392,Input!B392,0.01*Input!F$58*(Input!F392*Input!E$249+Input!G392*Input!F$249)+10*(Input!C392*Input!B$249+Input!D392*Input!C$249+Input!E392*Input!D$249+Input!H392*Input!G$249))</f>
        <v>102469.9151233696</v>
      </c>
      <c r="C40" s="10"/>
    </row>
    <row r="41" spans="1:3" x14ac:dyDescent="0.25">
      <c r="A41" s="3" t="s">
        <v>217</v>
      </c>
      <c r="B41" s="17">
        <f>IF(Input!B393,Input!B393,0.01*Input!F$58*(Input!F393*Input!E$253+Input!G393*Input!F$253)+10*(Input!C393*Input!B$253+Input!D393*Input!C$253+Input!E393*Input!D$253+Input!H393*Input!G$253))</f>
        <v>6320851.9355718661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1" t="s">
        <v>1585</v>
      </c>
    </row>
    <row r="46" spans="1:3" x14ac:dyDescent="0.25">
      <c r="A46" s="11" t="s">
        <v>1586</v>
      </c>
    </row>
    <row r="47" spans="1:3" x14ac:dyDescent="0.25">
      <c r="A47" s="11" t="s">
        <v>1587</v>
      </c>
    </row>
    <row r="48" spans="1:3" x14ac:dyDescent="0.25">
      <c r="A48" s="11" t="s">
        <v>1588</v>
      </c>
    </row>
    <row r="49" spans="1:9" x14ac:dyDescent="0.25">
      <c r="A49" s="11" t="s">
        <v>1704</v>
      </c>
    </row>
    <row r="50" spans="1:9" x14ac:dyDescent="0.25">
      <c r="A50" s="11" t="s">
        <v>1705</v>
      </c>
    </row>
    <row r="51" spans="1:9" x14ac:dyDescent="0.25">
      <c r="A51" s="11" t="s">
        <v>1706</v>
      </c>
    </row>
    <row r="52" spans="1:9" x14ac:dyDescent="0.25">
      <c r="A52" s="29" t="s">
        <v>359</v>
      </c>
      <c r="B52" s="29" t="s">
        <v>418</v>
      </c>
      <c r="C52" s="29" t="s">
        <v>418</v>
      </c>
      <c r="D52" s="29" t="s">
        <v>418</v>
      </c>
      <c r="E52" s="29" t="s">
        <v>418</v>
      </c>
      <c r="F52" s="29" t="s">
        <v>418</v>
      </c>
      <c r="G52" s="29" t="s">
        <v>418</v>
      </c>
      <c r="H52" s="29" t="s">
        <v>418</v>
      </c>
    </row>
    <row r="53" spans="1:9" x14ac:dyDescent="0.25">
      <c r="A53" s="29" t="s">
        <v>362</v>
      </c>
      <c r="B53" s="29" t="s">
        <v>1568</v>
      </c>
      <c r="C53" s="29" t="s">
        <v>421</v>
      </c>
      <c r="D53" s="29" t="s">
        <v>1569</v>
      </c>
      <c r="E53" s="29" t="s">
        <v>1019</v>
      </c>
      <c r="F53" s="29" t="s">
        <v>912</v>
      </c>
      <c r="G53" s="29" t="s">
        <v>1570</v>
      </c>
      <c r="H53" s="29" t="s">
        <v>1707</v>
      </c>
    </row>
    <row r="55" spans="1:9" ht="30" x14ac:dyDescent="0.25">
      <c r="B55" s="12" t="s">
        <v>222</v>
      </c>
      <c r="C55" s="12" t="s">
        <v>223</v>
      </c>
      <c r="D55" s="12" t="s">
        <v>224</v>
      </c>
      <c r="E55" s="12" t="s">
        <v>225</v>
      </c>
      <c r="F55" s="12" t="s">
        <v>226</v>
      </c>
      <c r="G55" s="12" t="s">
        <v>227</v>
      </c>
      <c r="H55" s="12" t="s">
        <v>577</v>
      </c>
    </row>
    <row r="56" spans="1:9" x14ac:dyDescent="0.25">
      <c r="A56" s="3" t="s">
        <v>171</v>
      </c>
      <c r="B56" s="34">
        <f>Input!B$187</f>
        <v>5135811.7457730779</v>
      </c>
      <c r="C56" s="34">
        <f>Input!C$187</f>
        <v>0</v>
      </c>
      <c r="D56" s="34">
        <f>Input!D$187</f>
        <v>0</v>
      </c>
      <c r="E56" s="39">
        <f>Input!E$187</f>
        <v>1545669.8679699886</v>
      </c>
      <c r="F56" s="39">
        <f>Input!F$187</f>
        <v>0</v>
      </c>
      <c r="G56" s="34">
        <f>Input!G$187</f>
        <v>0</v>
      </c>
      <c r="H56" s="39">
        <f>Summary!B$46</f>
        <v>5135811.7457730779</v>
      </c>
      <c r="I56" s="10"/>
    </row>
    <row r="57" spans="1:9" x14ac:dyDescent="0.25">
      <c r="A57" s="3" t="s">
        <v>172</v>
      </c>
      <c r="B57" s="34">
        <f>Input!B$191</f>
        <v>2674882.1277773143</v>
      </c>
      <c r="C57" s="34">
        <f>Input!C$191</f>
        <v>1237908.3874274781</v>
      </c>
      <c r="D57" s="34">
        <f>Input!D$191</f>
        <v>0</v>
      </c>
      <c r="E57" s="39">
        <f>Input!E$191</f>
        <v>890301.56713661191</v>
      </c>
      <c r="F57" s="39">
        <f>Input!F$191</f>
        <v>0</v>
      </c>
      <c r="G57" s="34">
        <f>Input!G$191</f>
        <v>0</v>
      </c>
      <c r="H57" s="39">
        <f>Summary!B$50</f>
        <v>3912790.5152047924</v>
      </c>
      <c r="I57" s="10"/>
    </row>
    <row r="58" spans="1:9" x14ac:dyDescent="0.25">
      <c r="A58" s="3" t="s">
        <v>211</v>
      </c>
      <c r="B58" s="34">
        <f>Input!B$195</f>
        <v>126246.1428114313</v>
      </c>
      <c r="C58" s="34">
        <f>Input!C$195</f>
        <v>0</v>
      </c>
      <c r="D58" s="34">
        <f>Input!D$195</f>
        <v>0</v>
      </c>
      <c r="E58" s="39">
        <f>Input!E$195</f>
        <v>37550</v>
      </c>
      <c r="F58" s="39">
        <f>Input!F$195</f>
        <v>0</v>
      </c>
      <c r="G58" s="34">
        <f>Input!G$195</f>
        <v>0</v>
      </c>
      <c r="H58" s="39">
        <f>Summary!B$54</f>
        <v>126246.1428114313</v>
      </c>
      <c r="I58" s="10"/>
    </row>
    <row r="59" spans="1:9" x14ac:dyDescent="0.25">
      <c r="A59" s="3" t="s">
        <v>173</v>
      </c>
      <c r="B59" s="34">
        <f>Input!B$199</f>
        <v>1110178.3066284719</v>
      </c>
      <c r="C59" s="34">
        <f>Input!C$199</f>
        <v>0</v>
      </c>
      <c r="D59" s="34">
        <f>Input!D$199</f>
        <v>0</v>
      </c>
      <c r="E59" s="39">
        <f>Input!E$199</f>
        <v>95231.738896922456</v>
      </c>
      <c r="F59" s="39">
        <f>Input!F$199</f>
        <v>0</v>
      </c>
      <c r="G59" s="34">
        <f>Input!G$199</f>
        <v>0</v>
      </c>
      <c r="H59" s="39">
        <f>Summary!B$58</f>
        <v>1110178.3066284719</v>
      </c>
      <c r="I59" s="10"/>
    </row>
    <row r="60" spans="1:9" x14ac:dyDescent="0.25">
      <c r="A60" s="3" t="s">
        <v>174</v>
      </c>
      <c r="B60" s="34">
        <f>Input!B$203</f>
        <v>1563113.8010605199</v>
      </c>
      <c r="C60" s="34">
        <f>Input!C$203</f>
        <v>493762.86707884743</v>
      </c>
      <c r="D60" s="34">
        <f>Input!D$203</f>
        <v>0</v>
      </c>
      <c r="E60" s="39">
        <f>Input!E$203</f>
        <v>83250.607318122653</v>
      </c>
      <c r="F60" s="39">
        <f>Input!F$203</f>
        <v>0</v>
      </c>
      <c r="G60" s="34">
        <f>Input!G$203</f>
        <v>0</v>
      </c>
      <c r="H60" s="39">
        <f>Summary!B$62</f>
        <v>2056876.6681393674</v>
      </c>
      <c r="I60" s="10"/>
    </row>
    <row r="61" spans="1:9" x14ac:dyDescent="0.25">
      <c r="A61" s="3" t="s">
        <v>212</v>
      </c>
      <c r="B61" s="34">
        <f>Input!B$207</f>
        <v>4232.4037128975033</v>
      </c>
      <c r="C61" s="34">
        <f>Input!C$207</f>
        <v>0</v>
      </c>
      <c r="D61" s="34">
        <f>Input!D$207</f>
        <v>0</v>
      </c>
      <c r="E61" s="39">
        <f>Input!E$207</f>
        <v>725</v>
      </c>
      <c r="F61" s="39">
        <f>Input!F$207</f>
        <v>0</v>
      </c>
      <c r="G61" s="34">
        <f>Input!G$207</f>
        <v>0</v>
      </c>
      <c r="H61" s="39">
        <f>Summary!B$66</f>
        <v>4232.4037128975033</v>
      </c>
      <c r="I61" s="10"/>
    </row>
    <row r="62" spans="1:9" x14ac:dyDescent="0.25">
      <c r="A62" s="3" t="s">
        <v>175</v>
      </c>
      <c r="B62" s="34">
        <f>Input!B$211</f>
        <v>0</v>
      </c>
      <c r="C62" s="34">
        <f>Input!C$211</f>
        <v>0</v>
      </c>
      <c r="D62" s="34">
        <f>Input!D$211</f>
        <v>0</v>
      </c>
      <c r="E62" s="39">
        <f>Input!E$211</f>
        <v>0</v>
      </c>
      <c r="F62" s="39">
        <f>Input!F$211</f>
        <v>0</v>
      </c>
      <c r="G62" s="34">
        <f>Input!G$211</f>
        <v>0</v>
      </c>
      <c r="H62" s="39">
        <f>Summary!B$70</f>
        <v>0</v>
      </c>
      <c r="I62" s="10"/>
    </row>
    <row r="63" spans="1:9" x14ac:dyDescent="0.25">
      <c r="A63" s="3" t="s">
        <v>176</v>
      </c>
      <c r="B63" s="34">
        <f>Input!B$215</f>
        <v>0</v>
      </c>
      <c r="C63" s="34">
        <f>Input!C$215</f>
        <v>0</v>
      </c>
      <c r="D63" s="34">
        <f>Input!D$215</f>
        <v>0</v>
      </c>
      <c r="E63" s="39">
        <f>Input!E$215</f>
        <v>0</v>
      </c>
      <c r="F63" s="39">
        <f>Input!F$215</f>
        <v>0</v>
      </c>
      <c r="G63" s="34">
        <f>Input!G$215</f>
        <v>0</v>
      </c>
      <c r="H63" s="39">
        <f>Summary!B$74</f>
        <v>0</v>
      </c>
      <c r="I63" s="10"/>
    </row>
    <row r="64" spans="1:9" x14ac:dyDescent="0.25">
      <c r="A64" s="3" t="s">
        <v>192</v>
      </c>
      <c r="B64" s="34">
        <f>Input!B$217</f>
        <v>0</v>
      </c>
      <c r="C64" s="34">
        <f>Input!C$217</f>
        <v>0</v>
      </c>
      <c r="D64" s="34">
        <f>Input!D$217</f>
        <v>0</v>
      </c>
      <c r="E64" s="39">
        <f>Input!E$217</f>
        <v>0</v>
      </c>
      <c r="F64" s="39">
        <f>Input!F$217</f>
        <v>0</v>
      </c>
      <c r="G64" s="34">
        <f>Input!G$217</f>
        <v>0</v>
      </c>
      <c r="H64" s="39">
        <f>Summary!B$76</f>
        <v>0</v>
      </c>
      <c r="I64" s="10"/>
    </row>
    <row r="65" spans="1:9" x14ac:dyDescent="0.25">
      <c r="A65" s="3" t="s">
        <v>177</v>
      </c>
      <c r="B65" s="34">
        <f>Input!B$219</f>
        <v>0</v>
      </c>
      <c r="C65" s="34">
        <f>Input!C$219</f>
        <v>0</v>
      </c>
      <c r="D65" s="34">
        <f>Input!D$219</f>
        <v>0</v>
      </c>
      <c r="E65" s="39">
        <f>Input!E$219</f>
        <v>0</v>
      </c>
      <c r="F65" s="39">
        <f>Input!F$219</f>
        <v>0</v>
      </c>
      <c r="G65" s="34">
        <f>Input!G$219</f>
        <v>0</v>
      </c>
      <c r="H65" s="39">
        <f>Summary!B$78</f>
        <v>0</v>
      </c>
      <c r="I65" s="10"/>
    </row>
    <row r="66" spans="1:9" x14ac:dyDescent="0.25">
      <c r="A66" s="3" t="s">
        <v>178</v>
      </c>
      <c r="B66" s="34">
        <f>Input!B$223</f>
        <v>16585.035174751687</v>
      </c>
      <c r="C66" s="34">
        <f>Input!C$223</f>
        <v>64545.285820488316</v>
      </c>
      <c r="D66" s="34">
        <f>Input!D$223</f>
        <v>72719.479750151208</v>
      </c>
      <c r="E66" s="39">
        <f>Input!E$223</f>
        <v>2537.8966696577436</v>
      </c>
      <c r="F66" s="39">
        <f>Input!F$223</f>
        <v>0</v>
      </c>
      <c r="G66" s="34">
        <f>Input!G$223</f>
        <v>0</v>
      </c>
      <c r="H66" s="39">
        <f>Summary!B$82</f>
        <v>153849.80074539123</v>
      </c>
      <c r="I66" s="10"/>
    </row>
    <row r="67" spans="1:9" x14ac:dyDescent="0.25">
      <c r="A67" s="3" t="s">
        <v>179</v>
      </c>
      <c r="B67" s="34">
        <f>Input!B$227</f>
        <v>387715.64090520731</v>
      </c>
      <c r="C67" s="34">
        <f>Input!C$227</f>
        <v>1535127.9869164913</v>
      </c>
      <c r="D67" s="34">
        <f>Input!D$227</f>
        <v>1677145.8159297034</v>
      </c>
      <c r="E67" s="39">
        <f>Input!E$227</f>
        <v>14377.710046664228</v>
      </c>
      <c r="F67" s="39">
        <f>Input!F$227</f>
        <v>1992168.009842166</v>
      </c>
      <c r="G67" s="34">
        <f>Input!G$227</f>
        <v>328940.95397160598</v>
      </c>
      <c r="H67" s="39">
        <f>Summary!B$86</f>
        <v>3599989.4437514022</v>
      </c>
      <c r="I67" s="10"/>
    </row>
    <row r="68" spans="1:9" x14ac:dyDescent="0.25">
      <c r="A68" s="3" t="s">
        <v>180</v>
      </c>
      <c r="B68" s="34">
        <f>Input!B$231</f>
        <v>10795.103209525521</v>
      </c>
      <c r="C68" s="34">
        <f>Input!C$231</f>
        <v>41608.964309143586</v>
      </c>
      <c r="D68" s="34">
        <f>Input!D$231</f>
        <v>50157.667807796999</v>
      </c>
      <c r="E68" s="39">
        <f>Input!E$231</f>
        <v>151.30238565583156</v>
      </c>
      <c r="F68" s="39">
        <f>Input!F$231</f>
        <v>67327.368806816536</v>
      </c>
      <c r="G68" s="34">
        <f>Input!G$231</f>
        <v>11921.312518690158</v>
      </c>
      <c r="H68" s="39">
        <f>Summary!B$90</f>
        <v>102561.73532646611</v>
      </c>
      <c r="I68" s="10"/>
    </row>
    <row r="69" spans="1:9" x14ac:dyDescent="0.25">
      <c r="A69" s="3" t="s">
        <v>193</v>
      </c>
      <c r="B69" s="34">
        <f>Input!B$234</f>
        <v>750759.78145804664</v>
      </c>
      <c r="C69" s="34">
        <f>Input!C$234</f>
        <v>2901574.3162864516</v>
      </c>
      <c r="D69" s="34">
        <f>Input!D$234</f>
        <v>3996289.6937109437</v>
      </c>
      <c r="E69" s="39">
        <f>Input!E$234</f>
        <v>3193.4890199090846</v>
      </c>
      <c r="F69" s="39">
        <f>Input!F$234</f>
        <v>2753192.8060456524</v>
      </c>
      <c r="G69" s="34">
        <f>Input!G$234</f>
        <v>688380.98895730195</v>
      </c>
      <c r="H69" s="39">
        <f>Summary!B$93</f>
        <v>7648623.7914554421</v>
      </c>
      <c r="I69" s="10"/>
    </row>
    <row r="70" spans="1:9" x14ac:dyDescent="0.25">
      <c r="A70" s="3" t="s">
        <v>213</v>
      </c>
      <c r="B70" s="34">
        <f>Input!B$237</f>
        <v>50361.555657214129</v>
      </c>
      <c r="C70" s="34">
        <f>Input!C$237</f>
        <v>0</v>
      </c>
      <c r="D70" s="34">
        <f>Input!D$237</f>
        <v>0</v>
      </c>
      <c r="E70" s="39">
        <f>Input!E$237</f>
        <v>1442.8949741099771</v>
      </c>
      <c r="F70" s="39">
        <f>Input!F$237</f>
        <v>0</v>
      </c>
      <c r="G70" s="34">
        <f>Input!G$237</f>
        <v>0</v>
      </c>
      <c r="H70" s="39">
        <f>Summary!B$96</f>
        <v>50361.555657214129</v>
      </c>
      <c r="I70" s="10"/>
    </row>
    <row r="71" spans="1:9" x14ac:dyDescent="0.25">
      <c r="A71" s="3" t="s">
        <v>214</v>
      </c>
      <c r="B71" s="34">
        <f>Input!B$241</f>
        <v>22903.185120682123</v>
      </c>
      <c r="C71" s="34">
        <f>Input!C$241</f>
        <v>0</v>
      </c>
      <c r="D71" s="34">
        <f>Input!D$241</f>
        <v>0</v>
      </c>
      <c r="E71" s="39">
        <f>Input!E$241</f>
        <v>1187.4883179029223</v>
      </c>
      <c r="F71" s="39">
        <f>Input!F$241</f>
        <v>0</v>
      </c>
      <c r="G71" s="34">
        <f>Input!G$241</f>
        <v>0</v>
      </c>
      <c r="H71" s="39">
        <f>Summary!B$100</f>
        <v>22903.185120682123</v>
      </c>
      <c r="I71" s="10"/>
    </row>
    <row r="72" spans="1:9" x14ac:dyDescent="0.25">
      <c r="A72" s="3" t="s">
        <v>215</v>
      </c>
      <c r="B72" s="34">
        <f>Input!B$245</f>
        <v>356.22882700287499</v>
      </c>
      <c r="C72" s="34">
        <f>Input!C$245</f>
        <v>0</v>
      </c>
      <c r="D72" s="34">
        <f>Input!D$245</f>
        <v>0</v>
      </c>
      <c r="E72" s="39">
        <f>Input!E$245</f>
        <v>161.79146747777602</v>
      </c>
      <c r="F72" s="39">
        <f>Input!F$245</f>
        <v>0</v>
      </c>
      <c r="G72" s="34">
        <f>Input!G$245</f>
        <v>0</v>
      </c>
      <c r="H72" s="39">
        <f>Summary!B$104</f>
        <v>356.22882700287499</v>
      </c>
      <c r="I72" s="10"/>
    </row>
    <row r="73" spans="1:9" x14ac:dyDescent="0.25">
      <c r="A73" s="3" t="s">
        <v>216</v>
      </c>
      <c r="B73" s="34">
        <f>Input!B$249</f>
        <v>8317.3632405332482</v>
      </c>
      <c r="C73" s="34">
        <f>Input!C$249</f>
        <v>0</v>
      </c>
      <c r="D73" s="34">
        <f>Input!D$249</f>
        <v>0</v>
      </c>
      <c r="E73" s="39">
        <f>Input!E$249</f>
        <v>261.51199460244294</v>
      </c>
      <c r="F73" s="39">
        <f>Input!F$249</f>
        <v>0</v>
      </c>
      <c r="G73" s="34">
        <f>Input!G$249</f>
        <v>0</v>
      </c>
      <c r="H73" s="39">
        <f>Summary!B$108</f>
        <v>8317.3632405332482</v>
      </c>
      <c r="I73" s="10"/>
    </row>
    <row r="74" spans="1:9" x14ac:dyDescent="0.25">
      <c r="A74" s="3" t="s">
        <v>217</v>
      </c>
      <c r="B74" s="34">
        <f>Input!B$253</f>
        <v>12896.468429380624</v>
      </c>
      <c r="C74" s="34">
        <f>Input!C$253</f>
        <v>29606.903732128623</v>
      </c>
      <c r="D74" s="34">
        <f>Input!D$253</f>
        <v>198874.5436924781</v>
      </c>
      <c r="E74" s="39">
        <f>Input!E$253</f>
        <v>117.01898591159899</v>
      </c>
      <c r="F74" s="39">
        <f>Input!F$253</f>
        <v>0</v>
      </c>
      <c r="G74" s="34">
        <f>Input!G$253</f>
        <v>0</v>
      </c>
      <c r="H74" s="39">
        <f>Summary!B$112</f>
        <v>241377.91585398733</v>
      </c>
      <c r="I74" s="10"/>
    </row>
    <row r="75" spans="1:9" x14ac:dyDescent="0.25">
      <c r="A75" s="3" t="s">
        <v>181</v>
      </c>
      <c r="B75" s="34">
        <f>Input!B$257</f>
        <v>1315.3859367110706</v>
      </c>
      <c r="C75" s="34">
        <f>Input!C$257</f>
        <v>0</v>
      </c>
      <c r="D75" s="34">
        <f>Input!D$257</f>
        <v>0</v>
      </c>
      <c r="E75" s="39">
        <f>Input!E$257</f>
        <v>18.316015186163327</v>
      </c>
      <c r="F75" s="39">
        <f>Input!F$257</f>
        <v>0</v>
      </c>
      <c r="G75" s="34">
        <f>Input!G$257</f>
        <v>0</v>
      </c>
      <c r="H75" s="39">
        <f>Summary!B$116</f>
        <v>1315.3859367110706</v>
      </c>
      <c r="I75" s="10"/>
    </row>
    <row r="76" spans="1:9" x14ac:dyDescent="0.25">
      <c r="A76" s="3" t="s">
        <v>182</v>
      </c>
      <c r="B76" s="34">
        <f>Input!B$261</f>
        <v>0</v>
      </c>
      <c r="C76" s="34">
        <f>Input!C$261</f>
        <v>0</v>
      </c>
      <c r="D76" s="34">
        <f>Input!D$261</f>
        <v>0</v>
      </c>
      <c r="E76" s="39">
        <f>Input!E$261</f>
        <v>0</v>
      </c>
      <c r="F76" s="39">
        <f>Input!F$261</f>
        <v>0</v>
      </c>
      <c r="G76" s="34">
        <f>Input!G$261</f>
        <v>0</v>
      </c>
      <c r="H76" s="39">
        <f>Summary!B$120</f>
        <v>0</v>
      </c>
      <c r="I76" s="10"/>
    </row>
    <row r="77" spans="1:9" x14ac:dyDescent="0.25">
      <c r="A77" s="3" t="s">
        <v>183</v>
      </c>
      <c r="B77" s="34">
        <f>Input!B$264</f>
        <v>37363.575641600008</v>
      </c>
      <c r="C77" s="34">
        <f>Input!C$264</f>
        <v>0</v>
      </c>
      <c r="D77" s="34">
        <f>Input!D$264</f>
        <v>0</v>
      </c>
      <c r="E77" s="39">
        <f>Input!E$264</f>
        <v>190.28304665625231</v>
      </c>
      <c r="F77" s="39">
        <f>Input!F$264</f>
        <v>0</v>
      </c>
      <c r="G77" s="34">
        <f>Input!G$264</f>
        <v>2298.3905648579534</v>
      </c>
      <c r="H77" s="39">
        <f>Summary!B$123</f>
        <v>37363.575641600008</v>
      </c>
      <c r="I77" s="10"/>
    </row>
    <row r="78" spans="1:9" x14ac:dyDescent="0.25">
      <c r="A78" s="3" t="s">
        <v>184</v>
      </c>
      <c r="B78" s="34">
        <f>Input!B$268</f>
        <v>728.9515484251142</v>
      </c>
      <c r="C78" s="34">
        <f>Input!C$268</f>
        <v>3252.8214818746578</v>
      </c>
      <c r="D78" s="34">
        <f>Input!D$268</f>
        <v>3642.2599325289552</v>
      </c>
      <c r="E78" s="39">
        <f>Input!E$268</f>
        <v>71.228947946190701</v>
      </c>
      <c r="F78" s="39">
        <f>Input!F$268</f>
        <v>0</v>
      </c>
      <c r="G78" s="34">
        <f>Input!G$268</f>
        <v>685.30016493204562</v>
      </c>
      <c r="H78" s="39">
        <f>Summary!B$127</f>
        <v>7624.0329628287272</v>
      </c>
      <c r="I78" s="10"/>
    </row>
    <row r="79" spans="1:9" x14ac:dyDescent="0.25">
      <c r="A79" s="3" t="s">
        <v>185</v>
      </c>
      <c r="B79" s="34">
        <f>Input!B$272</f>
        <v>1081.2841728000003</v>
      </c>
      <c r="C79" s="34">
        <f>Input!C$272</f>
        <v>0</v>
      </c>
      <c r="D79" s="34">
        <f>Input!D$272</f>
        <v>0</v>
      </c>
      <c r="E79" s="39">
        <f>Input!E$272</f>
        <v>4.0702255969251837</v>
      </c>
      <c r="F79" s="39">
        <f>Input!F$272</f>
        <v>0</v>
      </c>
      <c r="G79" s="34">
        <f>Input!G$272</f>
        <v>129.34290968060574</v>
      </c>
      <c r="H79" s="39">
        <f>Summary!B$131</f>
        <v>1081.2841728000003</v>
      </c>
      <c r="I79" s="10"/>
    </row>
    <row r="80" spans="1:9" x14ac:dyDescent="0.25">
      <c r="A80" s="3" t="s">
        <v>186</v>
      </c>
      <c r="B80" s="34">
        <f>Input!B$275</f>
        <v>383.16761600000012</v>
      </c>
      <c r="C80" s="34">
        <f>Input!C$275</f>
        <v>1336.9960448000002</v>
      </c>
      <c r="D80" s="34">
        <f>Input!D$275</f>
        <v>2848.1643008000001</v>
      </c>
      <c r="E80" s="39">
        <f>Input!E$275</f>
        <v>1.0175563992312959</v>
      </c>
      <c r="F80" s="39">
        <f>Input!F$275</f>
        <v>0</v>
      </c>
      <c r="G80" s="34">
        <f>Input!G$275</f>
        <v>34.076692591163521</v>
      </c>
      <c r="H80" s="39">
        <f>Summary!B$134</f>
        <v>4568.3279616</v>
      </c>
      <c r="I80" s="10"/>
    </row>
    <row r="81" spans="1:9" x14ac:dyDescent="0.25">
      <c r="A81" s="3" t="s">
        <v>194</v>
      </c>
      <c r="B81" s="34">
        <f>Input!B$278</f>
        <v>159023.41678079998</v>
      </c>
      <c r="C81" s="34">
        <f>Input!C$278</f>
        <v>0</v>
      </c>
      <c r="D81" s="34">
        <f>Input!D$278</f>
        <v>0</v>
      </c>
      <c r="E81" s="39">
        <f>Input!E$278</f>
        <v>73.633827685838014</v>
      </c>
      <c r="F81" s="39">
        <f>Input!F$278</f>
        <v>0</v>
      </c>
      <c r="G81" s="34">
        <f>Input!G$278</f>
        <v>3483.8436451616044</v>
      </c>
      <c r="H81" s="39">
        <f>Summary!B$137</f>
        <v>159023.41678079998</v>
      </c>
      <c r="I81" s="10"/>
    </row>
    <row r="82" spans="1:9" x14ac:dyDescent="0.25">
      <c r="A82" s="3" t="s">
        <v>195</v>
      </c>
      <c r="B82" s="34">
        <f>Input!B$281</f>
        <v>66634.498578297527</v>
      </c>
      <c r="C82" s="34">
        <f>Input!C$281</f>
        <v>212262.49346457375</v>
      </c>
      <c r="D82" s="34">
        <f>Input!D$281</f>
        <v>400806.320420056</v>
      </c>
      <c r="E82" s="39">
        <f>Input!E$281</f>
        <v>163.40657650829806</v>
      </c>
      <c r="F82" s="39">
        <f>Input!F$281</f>
        <v>0</v>
      </c>
      <c r="G82" s="34">
        <f>Input!G$281</f>
        <v>8887.1674626252116</v>
      </c>
      <c r="H82" s="39">
        <f>Summary!B$140</f>
        <v>679703.31246292731</v>
      </c>
      <c r="I82" s="10"/>
    </row>
    <row r="84" spans="1:9" ht="21" customHeight="1" x14ac:dyDescent="0.3">
      <c r="A84" s="1" t="s">
        <v>1708</v>
      </c>
    </row>
    <row r="86" spans="1:9" x14ac:dyDescent="0.25">
      <c r="B86" s="12" t="s">
        <v>1709</v>
      </c>
    </row>
    <row r="87" spans="1:9" x14ac:dyDescent="0.25">
      <c r="A87" s="3" t="s">
        <v>171</v>
      </c>
      <c r="B87" s="23" t="s">
        <v>1710</v>
      </c>
      <c r="C87" s="10"/>
    </row>
    <row r="88" spans="1:9" x14ac:dyDescent="0.25">
      <c r="A88" s="3" t="s">
        <v>172</v>
      </c>
      <c r="B88" s="23" t="s">
        <v>1710</v>
      </c>
      <c r="C88" s="10"/>
    </row>
    <row r="89" spans="1:9" x14ac:dyDescent="0.25">
      <c r="A89" s="3" t="s">
        <v>211</v>
      </c>
      <c r="B89" s="23" t="s">
        <v>1710</v>
      </c>
      <c r="C89" s="10"/>
    </row>
    <row r="90" spans="1:9" x14ac:dyDescent="0.25">
      <c r="A90" s="3" t="s">
        <v>173</v>
      </c>
      <c r="B90" s="23" t="s">
        <v>1710</v>
      </c>
      <c r="C90" s="10"/>
    </row>
    <row r="91" spans="1:9" x14ac:dyDescent="0.25">
      <c r="A91" s="3" t="s">
        <v>174</v>
      </c>
      <c r="B91" s="23" t="s">
        <v>1710</v>
      </c>
      <c r="C91" s="10"/>
    </row>
    <row r="92" spans="1:9" x14ac:dyDescent="0.25">
      <c r="A92" s="3" t="s">
        <v>212</v>
      </c>
      <c r="B92" s="23" t="s">
        <v>1710</v>
      </c>
      <c r="C92" s="10"/>
    </row>
    <row r="93" spans="1:9" x14ac:dyDescent="0.25">
      <c r="A93" s="3" t="s">
        <v>175</v>
      </c>
      <c r="B93" s="23" t="s">
        <v>1710</v>
      </c>
      <c r="C93" s="10"/>
    </row>
    <row r="94" spans="1:9" x14ac:dyDescent="0.25">
      <c r="A94" s="3" t="s">
        <v>176</v>
      </c>
      <c r="B94" s="23" t="s">
        <v>1710</v>
      </c>
      <c r="C94" s="10"/>
    </row>
    <row r="95" spans="1:9" x14ac:dyDescent="0.25">
      <c r="A95" s="3" t="s">
        <v>192</v>
      </c>
      <c r="B95" s="23" t="s">
        <v>1710</v>
      </c>
      <c r="C95" s="10"/>
    </row>
    <row r="96" spans="1:9" x14ac:dyDescent="0.25">
      <c r="A96" s="3" t="s">
        <v>177</v>
      </c>
      <c r="B96" s="23" t="s">
        <v>1710</v>
      </c>
      <c r="C96" s="10"/>
    </row>
    <row r="97" spans="1:3" x14ac:dyDescent="0.25">
      <c r="A97" s="3" t="s">
        <v>178</v>
      </c>
      <c r="B97" s="23" t="s">
        <v>1710</v>
      </c>
      <c r="C97" s="10"/>
    </row>
    <row r="98" spans="1:3" x14ac:dyDescent="0.25">
      <c r="A98" s="3" t="s">
        <v>179</v>
      </c>
      <c r="B98" s="23" t="s">
        <v>1711</v>
      </c>
      <c r="C98" s="10"/>
    </row>
    <row r="99" spans="1:3" x14ac:dyDescent="0.25">
      <c r="A99" s="3" t="s">
        <v>180</v>
      </c>
      <c r="B99" s="23" t="s">
        <v>1711</v>
      </c>
      <c r="C99" s="10"/>
    </row>
    <row r="100" spans="1:3" x14ac:dyDescent="0.25">
      <c r="A100" s="3" t="s">
        <v>193</v>
      </c>
      <c r="B100" s="23" t="s">
        <v>1711</v>
      </c>
      <c r="C100" s="10"/>
    </row>
    <row r="101" spans="1:3" x14ac:dyDescent="0.25">
      <c r="A101" s="3" t="s">
        <v>213</v>
      </c>
      <c r="B101" s="23" t="s">
        <v>1712</v>
      </c>
      <c r="C101" s="10"/>
    </row>
    <row r="102" spans="1:3" x14ac:dyDescent="0.25">
      <c r="A102" s="3" t="s">
        <v>214</v>
      </c>
      <c r="B102" s="23" t="s">
        <v>1712</v>
      </c>
      <c r="C102" s="10"/>
    </row>
    <row r="103" spans="1:3" x14ac:dyDescent="0.25">
      <c r="A103" s="3" t="s">
        <v>215</v>
      </c>
      <c r="B103" s="23" t="s">
        <v>1712</v>
      </c>
      <c r="C103" s="10"/>
    </row>
    <row r="104" spans="1:3" x14ac:dyDescent="0.25">
      <c r="A104" s="3" t="s">
        <v>216</v>
      </c>
      <c r="B104" s="23" t="s">
        <v>1712</v>
      </c>
      <c r="C104" s="10"/>
    </row>
    <row r="105" spans="1:3" x14ac:dyDescent="0.25">
      <c r="A105" s="3" t="s">
        <v>217</v>
      </c>
      <c r="B105" s="23" t="s">
        <v>1712</v>
      </c>
      <c r="C105" s="10"/>
    </row>
    <row r="106" spans="1:3" x14ac:dyDescent="0.25">
      <c r="A106" s="3" t="s">
        <v>181</v>
      </c>
      <c r="B106" s="23" t="s">
        <v>1712</v>
      </c>
      <c r="C106" s="10"/>
    </row>
    <row r="107" spans="1:3" x14ac:dyDescent="0.25">
      <c r="A107" s="3" t="s">
        <v>182</v>
      </c>
      <c r="B107" s="23" t="s">
        <v>1712</v>
      </c>
      <c r="C107" s="10"/>
    </row>
    <row r="108" spans="1:3" x14ac:dyDescent="0.25">
      <c r="A108" s="3" t="s">
        <v>183</v>
      </c>
      <c r="B108" s="23" t="s">
        <v>1712</v>
      </c>
      <c r="C108" s="10"/>
    </row>
    <row r="109" spans="1:3" x14ac:dyDescent="0.25">
      <c r="A109" s="3" t="s">
        <v>184</v>
      </c>
      <c r="B109" s="23" t="s">
        <v>1712</v>
      </c>
      <c r="C109" s="10"/>
    </row>
    <row r="110" spans="1:3" x14ac:dyDescent="0.25">
      <c r="A110" s="3" t="s">
        <v>185</v>
      </c>
      <c r="B110" s="23" t="s">
        <v>1712</v>
      </c>
      <c r="C110" s="10"/>
    </row>
    <row r="111" spans="1:3" x14ac:dyDescent="0.25">
      <c r="A111" s="3" t="s">
        <v>186</v>
      </c>
      <c r="B111" s="23" t="s">
        <v>1712</v>
      </c>
      <c r="C111" s="10"/>
    </row>
    <row r="112" spans="1:3" x14ac:dyDescent="0.25">
      <c r="A112" s="3" t="s">
        <v>194</v>
      </c>
      <c r="B112" s="23" t="s">
        <v>1712</v>
      </c>
      <c r="C112" s="10"/>
    </row>
    <row r="113" spans="1:3" x14ac:dyDescent="0.25">
      <c r="A113" s="3" t="s">
        <v>195</v>
      </c>
      <c r="B113" s="23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1" t="s">
        <v>1714</v>
      </c>
    </row>
    <row r="118" spans="1:3" x14ac:dyDescent="0.25">
      <c r="A118" s="11" t="s">
        <v>1715</v>
      </c>
    </row>
    <row r="119" spans="1:3" x14ac:dyDescent="0.25">
      <c r="A119" s="11" t="s">
        <v>1716</v>
      </c>
    </row>
    <row r="120" spans="1:3" x14ac:dyDescent="0.25">
      <c r="A120" s="11" t="s">
        <v>1717</v>
      </c>
    </row>
    <row r="121" spans="1:3" x14ac:dyDescent="0.25">
      <c r="A121" s="11" t="s">
        <v>1718</v>
      </c>
    </row>
    <row r="122" spans="1:3" x14ac:dyDescent="0.25">
      <c r="A122" s="11" t="s">
        <v>1719</v>
      </c>
    </row>
    <row r="123" spans="1:3" x14ac:dyDescent="0.25">
      <c r="A123" s="11" t="s">
        <v>1720</v>
      </c>
    </row>
    <row r="124" spans="1:3" x14ac:dyDescent="0.25">
      <c r="A124" s="11" t="s">
        <v>1721</v>
      </c>
    </row>
    <row r="125" spans="1:3" x14ac:dyDescent="0.25">
      <c r="A125" s="11" t="s">
        <v>1169</v>
      </c>
    </row>
    <row r="126" spans="1:3" x14ac:dyDescent="0.25">
      <c r="A126" s="11" t="s">
        <v>1722</v>
      </c>
    </row>
    <row r="127" spans="1:3" x14ac:dyDescent="0.25">
      <c r="A127" s="11" t="s">
        <v>1723</v>
      </c>
    </row>
    <row r="128" spans="1:3" x14ac:dyDescent="0.25">
      <c r="A128" s="11" t="s">
        <v>1724</v>
      </c>
    </row>
    <row r="129" spans="1:9" x14ac:dyDescent="0.25">
      <c r="A129" s="11" t="s">
        <v>1725</v>
      </c>
    </row>
    <row r="130" spans="1:9" x14ac:dyDescent="0.25">
      <c r="A130" s="11" t="s">
        <v>1726</v>
      </c>
    </row>
    <row r="131" spans="1:9" x14ac:dyDescent="0.25">
      <c r="A131" s="11" t="s">
        <v>1727</v>
      </c>
    </row>
    <row r="132" spans="1:9" x14ac:dyDescent="0.25">
      <c r="A132" s="11" t="s">
        <v>1728</v>
      </c>
    </row>
    <row r="133" spans="1:9" x14ac:dyDescent="0.25">
      <c r="A133" s="11" t="s">
        <v>1729</v>
      </c>
    </row>
    <row r="134" spans="1:9" x14ac:dyDescent="0.25">
      <c r="A134" s="11" t="s">
        <v>1730</v>
      </c>
    </row>
    <row r="135" spans="1:9" x14ac:dyDescent="0.25">
      <c r="A135" s="11" t="s">
        <v>1731</v>
      </c>
    </row>
    <row r="136" spans="1:9" x14ac:dyDescent="0.25">
      <c r="A136" s="11" t="s">
        <v>1732</v>
      </c>
    </row>
    <row r="137" spans="1:9" x14ac:dyDescent="0.25">
      <c r="A137" s="11" t="s">
        <v>1733</v>
      </c>
    </row>
    <row r="138" spans="1:9" x14ac:dyDescent="0.25">
      <c r="A138" s="29" t="s">
        <v>359</v>
      </c>
      <c r="B138" s="29" t="s">
        <v>489</v>
      </c>
      <c r="C138" s="29" t="s">
        <v>489</v>
      </c>
      <c r="D138" s="29" t="s">
        <v>489</v>
      </c>
      <c r="E138" s="29" t="s">
        <v>489</v>
      </c>
      <c r="F138" s="29" t="s">
        <v>489</v>
      </c>
      <c r="G138" s="29" t="s">
        <v>489</v>
      </c>
      <c r="H138" s="29" t="s">
        <v>489</v>
      </c>
    </row>
    <row r="139" spans="1:9" ht="60" x14ac:dyDescent="0.25">
      <c r="A139" s="29" t="s">
        <v>362</v>
      </c>
      <c r="B139" s="29" t="s">
        <v>1734</v>
      </c>
      <c r="C139" s="29" t="s">
        <v>1735</v>
      </c>
      <c r="D139" s="29" t="s">
        <v>1736</v>
      </c>
      <c r="E139" s="29" t="s">
        <v>1737</v>
      </c>
      <c r="F139" s="29" t="s">
        <v>1738</v>
      </c>
      <c r="G139" s="29" t="s">
        <v>1739</v>
      </c>
      <c r="H139" s="29" t="s">
        <v>1740</v>
      </c>
    </row>
    <row r="141" spans="1:9" ht="30" x14ac:dyDescent="0.25">
      <c r="B141" s="12" t="s">
        <v>1741</v>
      </c>
      <c r="C141" s="12" t="s">
        <v>1742</v>
      </c>
      <c r="D141" s="12" t="s">
        <v>1743</v>
      </c>
      <c r="E141" s="12" t="s">
        <v>1744</v>
      </c>
      <c r="F141" s="12" t="s">
        <v>1745</v>
      </c>
      <c r="G141" s="12" t="s">
        <v>1746</v>
      </c>
      <c r="H141" s="12" t="s">
        <v>1747</v>
      </c>
    </row>
    <row r="142" spans="1:9" x14ac:dyDescent="0.25">
      <c r="A142" s="24" t="s">
        <v>171</v>
      </c>
      <c r="I142" s="10"/>
    </row>
    <row r="143" spans="1:9" x14ac:dyDescent="0.25">
      <c r="A143" s="3" t="s">
        <v>171</v>
      </c>
      <c r="B143" s="33">
        <f>B$56/IF(B$87="kVA",IF(F$56,F$56,1),IF(B$87="MPAN",IF(E$56,E$56,1),IF(H$56,H$56,1)))</f>
        <v>3.3227093651752528</v>
      </c>
      <c r="C143" s="33">
        <f>C$56/IF(B$87="kVA",IF(F$56,F$56,1),IF(B$87="MPAN",IF(E$56,E$56,1),IF(H$56,H$56,1)))</f>
        <v>0</v>
      </c>
      <c r="D143" s="33">
        <f>D$56/IF(B$87="kVA",IF(F$56,F$56,1),IF(B$87="MPAN",IF(E$56,E$56,1),IF(H$56,H$56,1)))</f>
        <v>0</v>
      </c>
      <c r="E143" s="33">
        <f>E$56/IF(B$87="kVA",IF(F$56,F$56,1),IF(B$87="MPAN",IF(E$56,E$56,1),IF(H$56,H$56,1)))</f>
        <v>1</v>
      </c>
      <c r="F143" s="33">
        <f>F$56/IF(B$87="kVA",IF(F$56,F$56,1),IF(B$87="MPAN",IF(E$56,E$56,1),IF(H$56,H$56,1)))</f>
        <v>0</v>
      </c>
      <c r="G143" s="33">
        <f>G$56/IF(B$87="kVA",IF(F$56,F$56,1),IF(B$87="MPAN",IF(E$56,E$56,1),IF(H$56,H$56,1)))</f>
        <v>0</v>
      </c>
      <c r="H143" s="41">
        <f>0.01*Input!F$58*(Adjust!$E$223*E143+Adjust!$F$223*F143)+10*(Adjust!$B$223*B143+Adjust!$C$223*C143+Adjust!$D$223*D143+Adjust!$G$223*G143)</f>
        <v>80.134856765475988</v>
      </c>
      <c r="I143" s="10"/>
    </row>
    <row r="144" spans="1:9" x14ac:dyDescent="0.25">
      <c r="A144" s="3" t="s">
        <v>229</v>
      </c>
      <c r="B144" s="33">
        <f>B$56/IF(B$87="kVA",IF(F$56,F$56,1),IF(B$87="MPAN",IF(E$56,E$56,1),IF(H$56,H$56,1)))</f>
        <v>3.3227093651752528</v>
      </c>
      <c r="C144" s="33">
        <f>C$56/IF(B$87="kVA",IF(F$56,F$56,1),IF(B$87="MPAN",IF(E$56,E$56,1),IF(H$56,H$56,1)))</f>
        <v>0</v>
      </c>
      <c r="D144" s="33">
        <f>D$56/IF(B$87="kVA",IF(F$56,F$56,1),IF(B$87="MPAN",IF(E$56,E$56,1),IF(H$56,H$56,1)))</f>
        <v>0</v>
      </c>
      <c r="E144" s="33">
        <f>E$56/IF(B$87="kVA",IF(F$56,F$56,1),IF(B$87="MPAN",IF(E$56,E$56,1),IF(H$56,H$56,1)))</f>
        <v>1</v>
      </c>
      <c r="F144" s="33">
        <f>F$56/IF(B$87="kVA",IF(F$56,F$56,1),IF(B$87="MPAN",IF(E$56,E$56,1),IF(H$56,H$56,1)))</f>
        <v>0</v>
      </c>
      <c r="G144" s="33">
        <f>G$56/IF(B$87="kVA",IF(F$56,F$56,1),IF(B$87="MPAN",IF(E$56,E$56,1),IF(H$56,H$56,1)))</f>
        <v>0</v>
      </c>
      <c r="H144" s="41">
        <f>0.01*Input!F$58*(Adjust!$E$224*E144+Adjust!$F$224*F144)+10*(Adjust!$B$224*B144+Adjust!$C$224*C144+Adjust!$D$224*D144+Adjust!$G$224*G144)</f>
        <v>56.003377420434155</v>
      </c>
      <c r="I144" s="10"/>
    </row>
    <row r="145" spans="1:9" x14ac:dyDescent="0.25">
      <c r="A145" s="3" t="s">
        <v>230</v>
      </c>
      <c r="B145" s="33">
        <f>B$56/IF(B$87="kVA",IF(F$56,F$56,1),IF(B$87="MPAN",IF(E$56,E$56,1),IF(H$56,H$56,1)))</f>
        <v>3.3227093651752528</v>
      </c>
      <c r="C145" s="33">
        <f>C$56/IF(B$87="kVA",IF(F$56,F$56,1),IF(B$87="MPAN",IF(E$56,E$56,1),IF(H$56,H$56,1)))</f>
        <v>0</v>
      </c>
      <c r="D145" s="33">
        <f>D$56/IF(B$87="kVA",IF(F$56,F$56,1),IF(B$87="MPAN",IF(E$56,E$56,1),IF(H$56,H$56,1)))</f>
        <v>0</v>
      </c>
      <c r="E145" s="33">
        <f>E$56/IF(B$87="kVA",IF(F$56,F$56,1),IF(B$87="MPAN",IF(E$56,E$56,1),IF(H$56,H$56,1)))</f>
        <v>1</v>
      </c>
      <c r="F145" s="33">
        <f>F$56/IF(B$87="kVA",IF(F$56,F$56,1),IF(B$87="MPAN",IF(E$56,E$56,1),IF(H$56,H$56,1)))</f>
        <v>0</v>
      </c>
      <c r="G145" s="33">
        <f>G$56/IF(B$87="kVA",IF(F$56,F$56,1),IF(B$87="MPAN",IF(E$56,E$56,1),IF(H$56,H$56,1)))</f>
        <v>0</v>
      </c>
      <c r="H145" s="41">
        <f>0.01*Input!F$58*(Adjust!$E$225*E145+Adjust!$F$225*F145)+10*(Adjust!$B$225*B145+Adjust!$C$225*C145+Adjust!$D$225*D145+Adjust!$G$225*G145)</f>
        <v>41.027492177205929</v>
      </c>
      <c r="I145" s="10"/>
    </row>
    <row r="146" spans="1:9" x14ac:dyDescent="0.25">
      <c r="A146" s="24" t="s">
        <v>172</v>
      </c>
      <c r="I146" s="10"/>
    </row>
    <row r="147" spans="1:9" x14ac:dyDescent="0.25">
      <c r="A147" s="3" t="s">
        <v>172</v>
      </c>
      <c r="B147" s="33">
        <f>B$57/IF(B$88="kVA",IF(F$57,F$57,1),IF(B$88="MPAN",IF(E$57,E$57,1),IF(H$57,H$57,1)))</f>
        <v>3.0044675046234848</v>
      </c>
      <c r="C147" s="33">
        <f>C$57/IF(B$88="kVA",IF(F$57,F$57,1),IF(B$88="MPAN",IF(E$57,E$57,1),IF(H$57,H$57,1)))</f>
        <v>1.3904371654751089</v>
      </c>
      <c r="D147" s="33">
        <f>D$57/IF(B$88="kVA",IF(F$57,F$57,1),IF(B$88="MPAN",IF(E$57,E$57,1),IF(H$57,H$57,1)))</f>
        <v>0</v>
      </c>
      <c r="E147" s="33">
        <f>E$57/IF(B$88="kVA",IF(F$57,F$57,1),IF(B$88="MPAN",IF(E$57,E$57,1),IF(H$57,H$57,1)))</f>
        <v>1</v>
      </c>
      <c r="F147" s="33">
        <f>F$57/IF(B$88="kVA",IF(F$57,F$57,1),IF(B$88="MPAN",IF(E$57,E$57,1),IF(H$57,H$57,1)))</f>
        <v>0</v>
      </c>
      <c r="G147" s="33">
        <f>G$57/IF(B$88="kVA",IF(F$57,F$57,1),IF(B$88="MPAN",IF(E$57,E$57,1),IF(H$57,H$57,1)))</f>
        <v>0</v>
      </c>
      <c r="H147" s="41">
        <f>0.01*Input!F$58*(Adjust!$E$227*E147+Adjust!$F$227*F147)+10*(Adjust!$B$227*B147+Adjust!$C$227*C147+Adjust!$D$227*D147+Adjust!$G$227*G147)</f>
        <v>87.655497613433852</v>
      </c>
      <c r="I147" s="10"/>
    </row>
    <row r="148" spans="1:9" x14ac:dyDescent="0.25">
      <c r="A148" s="3" t="s">
        <v>232</v>
      </c>
      <c r="B148" s="33">
        <f>B$57/IF(B$88="kVA",IF(F$57,F$57,1),IF(B$88="MPAN",IF(E$57,E$57,1),IF(H$57,H$57,1)))</f>
        <v>3.0044675046234848</v>
      </c>
      <c r="C148" s="33">
        <f>C$57/IF(B$88="kVA",IF(F$57,F$57,1),IF(B$88="MPAN",IF(E$57,E$57,1),IF(H$57,H$57,1)))</f>
        <v>1.3904371654751089</v>
      </c>
      <c r="D148" s="33">
        <f>D$57/IF(B$88="kVA",IF(F$57,F$57,1),IF(B$88="MPAN",IF(E$57,E$57,1),IF(H$57,H$57,1)))</f>
        <v>0</v>
      </c>
      <c r="E148" s="33">
        <f>E$57/IF(B$88="kVA",IF(F$57,F$57,1),IF(B$88="MPAN",IF(E$57,E$57,1),IF(H$57,H$57,1)))</f>
        <v>1</v>
      </c>
      <c r="F148" s="33">
        <f>F$57/IF(B$88="kVA",IF(F$57,F$57,1),IF(B$88="MPAN",IF(E$57,E$57,1),IF(H$57,H$57,1)))</f>
        <v>0</v>
      </c>
      <c r="G148" s="33">
        <f>G$57/IF(B$88="kVA",IF(F$57,F$57,1),IF(B$88="MPAN",IF(E$57,E$57,1),IF(H$57,H$57,1)))</f>
        <v>0</v>
      </c>
      <c r="H148" s="41">
        <f>0.01*Input!F$58*(Adjust!$E$228*E148+Adjust!$F$228*F148)+10*(Adjust!$B$228*B148+Adjust!$C$228*C148+Adjust!$D$228*D148+Adjust!$G$228*G148)</f>
        <v>61.262680520431495</v>
      </c>
      <c r="I148" s="10"/>
    </row>
    <row r="149" spans="1:9" x14ac:dyDescent="0.25">
      <c r="A149" s="3" t="s">
        <v>233</v>
      </c>
      <c r="B149" s="33">
        <f>B$57/IF(B$88="kVA",IF(F$57,F$57,1),IF(B$88="MPAN",IF(E$57,E$57,1),IF(H$57,H$57,1)))</f>
        <v>3.0044675046234848</v>
      </c>
      <c r="C149" s="33">
        <f>C$57/IF(B$88="kVA",IF(F$57,F$57,1),IF(B$88="MPAN",IF(E$57,E$57,1),IF(H$57,H$57,1)))</f>
        <v>1.3904371654751089</v>
      </c>
      <c r="D149" s="33">
        <f>D$57/IF(B$88="kVA",IF(F$57,F$57,1),IF(B$88="MPAN",IF(E$57,E$57,1),IF(H$57,H$57,1)))</f>
        <v>0</v>
      </c>
      <c r="E149" s="33">
        <f>E$57/IF(B$88="kVA",IF(F$57,F$57,1),IF(B$88="MPAN",IF(E$57,E$57,1),IF(H$57,H$57,1)))</f>
        <v>1</v>
      </c>
      <c r="F149" s="33">
        <f>F$57/IF(B$88="kVA",IF(F$57,F$57,1),IF(B$88="MPAN",IF(E$57,E$57,1),IF(H$57,H$57,1)))</f>
        <v>0</v>
      </c>
      <c r="G149" s="33">
        <f>G$57/IF(B$88="kVA",IF(F$57,F$57,1),IF(B$88="MPAN",IF(E$57,E$57,1),IF(H$57,H$57,1)))</f>
        <v>0</v>
      </c>
      <c r="H149" s="41">
        <f>0.01*Input!F$58*(Adjust!$E$229*E149+Adjust!$F$229*F149)+10*(Adjust!$B$229*B149+Adjust!$C$229*C149+Adjust!$D$229*D149+Adjust!$G$229*G149)</f>
        <v>44.873971092235593</v>
      </c>
      <c r="I149" s="10"/>
    </row>
    <row r="150" spans="1:9" x14ac:dyDescent="0.25">
      <c r="A150" s="24" t="s">
        <v>211</v>
      </c>
      <c r="I150" s="10"/>
    </row>
    <row r="151" spans="1:9" x14ac:dyDescent="0.25">
      <c r="A151" s="3" t="s">
        <v>211</v>
      </c>
      <c r="B151" s="33">
        <f>B$58/IF(B$89="kVA",IF(F$58,F$58,1),IF(B$89="MPAN",IF(E$58,E$58,1),IF(H$58,H$58,1)))</f>
        <v>3.3620810335933768</v>
      </c>
      <c r="C151" s="33">
        <f>C$58/IF(B$89="kVA",IF(F$58,F$58,1),IF(B$89="MPAN",IF(E$58,E$58,1),IF(H$58,H$58,1)))</f>
        <v>0</v>
      </c>
      <c r="D151" s="33">
        <f>D$58/IF(B$89="kVA",IF(F$58,F$58,1),IF(B$89="MPAN",IF(E$58,E$58,1),IF(H$58,H$58,1)))</f>
        <v>0</v>
      </c>
      <c r="E151" s="33">
        <f>E$58/IF(B$89="kVA",IF(F$58,F$58,1),IF(B$89="MPAN",IF(E$58,E$58,1),IF(H$58,H$58,1)))</f>
        <v>1</v>
      </c>
      <c r="F151" s="33">
        <f>F$58/IF(B$89="kVA",IF(F$58,F$58,1),IF(B$89="MPAN",IF(E$58,E$58,1),IF(H$58,H$58,1)))</f>
        <v>0</v>
      </c>
      <c r="G151" s="33">
        <f>G$58/IF(B$89="kVA",IF(F$58,F$58,1),IF(B$89="MPAN",IF(E$58,E$58,1),IF(H$58,H$58,1)))</f>
        <v>0</v>
      </c>
      <c r="H151" s="41">
        <f>0.01*Input!F$58*(Adjust!$E$231*E151+Adjust!$F$231*F151)+10*(Adjust!$B$231*B151+Adjust!$C$231*C151+Adjust!$D$231*D151+Adjust!$G$231*G151)</f>
        <v>21.113868890966408</v>
      </c>
      <c r="I151" s="10"/>
    </row>
    <row r="152" spans="1:9" x14ac:dyDescent="0.25">
      <c r="A152" s="3" t="s">
        <v>235</v>
      </c>
      <c r="B152" s="33">
        <f>B$58/IF(B$89="kVA",IF(F$58,F$58,1),IF(B$89="MPAN",IF(E$58,E$58,1),IF(H$58,H$58,1)))</f>
        <v>3.3620810335933768</v>
      </c>
      <c r="C152" s="33">
        <f>C$58/IF(B$89="kVA",IF(F$58,F$58,1),IF(B$89="MPAN",IF(E$58,E$58,1),IF(H$58,H$58,1)))</f>
        <v>0</v>
      </c>
      <c r="D152" s="33">
        <f>D$58/IF(B$89="kVA",IF(F$58,F$58,1),IF(B$89="MPAN",IF(E$58,E$58,1),IF(H$58,H$58,1)))</f>
        <v>0</v>
      </c>
      <c r="E152" s="33">
        <f>E$58/IF(B$89="kVA",IF(F$58,F$58,1),IF(B$89="MPAN",IF(E$58,E$58,1),IF(H$58,H$58,1)))</f>
        <v>1</v>
      </c>
      <c r="F152" s="33">
        <f>F$58/IF(B$89="kVA",IF(F$58,F$58,1),IF(B$89="MPAN",IF(E$58,E$58,1),IF(H$58,H$58,1)))</f>
        <v>0</v>
      </c>
      <c r="G152" s="33">
        <f>G$58/IF(B$89="kVA",IF(F$58,F$58,1),IF(B$89="MPAN",IF(E$58,E$58,1),IF(H$58,H$58,1)))</f>
        <v>0</v>
      </c>
      <c r="H152" s="41">
        <f>0.01*Input!F$58*(Adjust!$E$232*E152+Adjust!$F$232*F152)+10*(Adjust!$B$232*B152+Adjust!$C$232*C152+Adjust!$D$232*D152+Adjust!$G$232*G152)</f>
        <v>14.759535737474925</v>
      </c>
      <c r="I152" s="10"/>
    </row>
    <row r="153" spans="1:9" x14ac:dyDescent="0.25">
      <c r="A153" s="3" t="s">
        <v>236</v>
      </c>
      <c r="B153" s="33">
        <f>B$58/IF(B$89="kVA",IF(F$58,F$58,1),IF(B$89="MPAN",IF(E$58,E$58,1),IF(H$58,H$58,1)))</f>
        <v>3.3620810335933768</v>
      </c>
      <c r="C153" s="33">
        <f>C$58/IF(B$89="kVA",IF(F$58,F$58,1),IF(B$89="MPAN",IF(E$58,E$58,1),IF(H$58,H$58,1)))</f>
        <v>0</v>
      </c>
      <c r="D153" s="33">
        <f>D$58/IF(B$89="kVA",IF(F$58,F$58,1),IF(B$89="MPAN",IF(E$58,E$58,1),IF(H$58,H$58,1)))</f>
        <v>0</v>
      </c>
      <c r="E153" s="33">
        <f>E$58/IF(B$89="kVA",IF(F$58,F$58,1),IF(B$89="MPAN",IF(E$58,E$58,1),IF(H$58,H$58,1)))</f>
        <v>1</v>
      </c>
      <c r="F153" s="33">
        <f>F$58/IF(B$89="kVA",IF(F$58,F$58,1),IF(B$89="MPAN",IF(E$58,E$58,1),IF(H$58,H$58,1)))</f>
        <v>0</v>
      </c>
      <c r="G153" s="33">
        <f>G$58/IF(B$89="kVA",IF(F$58,F$58,1),IF(B$89="MPAN",IF(E$58,E$58,1),IF(H$58,H$58,1)))</f>
        <v>0</v>
      </c>
      <c r="H153" s="41">
        <f>0.01*Input!F$58*(Adjust!$E$233*E153+Adjust!$F$233*F153)+10*(Adjust!$B$233*B153+Adjust!$C$233*C153+Adjust!$D$233*D153+Adjust!$G$233*G153)</f>
        <v>10.792280117834741</v>
      </c>
      <c r="I153" s="10"/>
    </row>
    <row r="154" spans="1:9" x14ac:dyDescent="0.25">
      <c r="A154" s="24" t="s">
        <v>173</v>
      </c>
      <c r="I154" s="10"/>
    </row>
    <row r="155" spans="1:9" x14ac:dyDescent="0.25">
      <c r="A155" s="3" t="s">
        <v>173</v>
      </c>
      <c r="B155" s="33">
        <f>B$59/IF(B$90="kVA",IF(F$59,F$59,1),IF(B$90="MPAN",IF(E$59,E$59,1),IF(H$59,H$59,1)))</f>
        <v>11.657650269624016</v>
      </c>
      <c r="C155" s="33">
        <f>C$59/IF(B$90="kVA",IF(F$59,F$59,1),IF(B$90="MPAN",IF(E$59,E$59,1),IF(H$59,H$59,1)))</f>
        <v>0</v>
      </c>
      <c r="D155" s="33">
        <f>D$59/IF(B$90="kVA",IF(F$59,F$59,1),IF(B$90="MPAN",IF(E$59,E$59,1),IF(H$59,H$59,1)))</f>
        <v>0</v>
      </c>
      <c r="E155" s="33">
        <f>E$59/IF(B$90="kVA",IF(F$59,F$59,1),IF(B$90="MPAN",IF(E$59,E$59,1),IF(H$59,H$59,1)))</f>
        <v>1</v>
      </c>
      <c r="F155" s="33">
        <f>F$59/IF(B$90="kVA",IF(F$59,F$59,1),IF(B$90="MPAN",IF(E$59,E$59,1),IF(H$59,H$59,1)))</f>
        <v>0</v>
      </c>
      <c r="G155" s="33">
        <f>G$59/IF(B$90="kVA",IF(F$59,F$59,1),IF(B$90="MPAN",IF(E$59,E$59,1),IF(H$59,H$59,1)))</f>
        <v>0</v>
      </c>
      <c r="H155" s="41">
        <f>0.01*Input!F$58*(Adjust!$E$235*E155+Adjust!$F$235*F155)+10*(Adjust!$B$235*B155+Adjust!$C$235*C155+Adjust!$D$235*D155+Adjust!$G$235*G155)</f>
        <v>246.12987424688333</v>
      </c>
      <c r="I155" s="10"/>
    </row>
    <row r="156" spans="1:9" x14ac:dyDescent="0.25">
      <c r="A156" s="3" t="s">
        <v>238</v>
      </c>
      <c r="B156" s="33">
        <f>B$59/IF(B$90="kVA",IF(F$59,F$59,1),IF(B$90="MPAN",IF(E$59,E$59,1),IF(H$59,H$59,1)))</f>
        <v>11.657650269624016</v>
      </c>
      <c r="C156" s="33">
        <f>C$59/IF(B$90="kVA",IF(F$59,F$59,1),IF(B$90="MPAN",IF(E$59,E$59,1),IF(H$59,H$59,1)))</f>
        <v>0</v>
      </c>
      <c r="D156" s="33">
        <f>D$59/IF(B$90="kVA",IF(F$59,F$59,1),IF(B$90="MPAN",IF(E$59,E$59,1),IF(H$59,H$59,1)))</f>
        <v>0</v>
      </c>
      <c r="E156" s="33">
        <f>E$59/IF(B$90="kVA",IF(F$59,F$59,1),IF(B$90="MPAN",IF(E$59,E$59,1),IF(H$59,H$59,1)))</f>
        <v>1</v>
      </c>
      <c r="F156" s="33">
        <f>F$59/IF(B$90="kVA",IF(F$59,F$59,1),IF(B$90="MPAN",IF(E$59,E$59,1),IF(H$59,H$59,1)))</f>
        <v>0</v>
      </c>
      <c r="G156" s="33">
        <f>G$59/IF(B$90="kVA",IF(F$59,F$59,1),IF(B$90="MPAN",IF(E$59,E$59,1),IF(H$59,H$59,1)))</f>
        <v>0</v>
      </c>
      <c r="H156" s="41">
        <f>0.01*Input!F$58*(Adjust!$E$236*E156+Adjust!$F$236*F156)+10*(Adjust!$B$236*B156+Adjust!$C$236*C156+Adjust!$D$236*D156+Adjust!$G$236*G156)</f>
        <v>172.01254366688664</v>
      </c>
      <c r="I156" s="10"/>
    </row>
    <row r="157" spans="1:9" x14ac:dyDescent="0.25">
      <c r="A157" s="3" t="s">
        <v>239</v>
      </c>
      <c r="B157" s="33">
        <f>B$59/IF(B$90="kVA",IF(F$59,F$59,1),IF(B$90="MPAN",IF(E$59,E$59,1),IF(H$59,H$59,1)))</f>
        <v>11.657650269624016</v>
      </c>
      <c r="C157" s="33">
        <f>C$59/IF(B$90="kVA",IF(F$59,F$59,1),IF(B$90="MPAN",IF(E$59,E$59,1),IF(H$59,H$59,1)))</f>
        <v>0</v>
      </c>
      <c r="D157" s="33">
        <f>D$59/IF(B$90="kVA",IF(F$59,F$59,1),IF(B$90="MPAN",IF(E$59,E$59,1),IF(H$59,H$59,1)))</f>
        <v>0</v>
      </c>
      <c r="E157" s="33">
        <f>E$59/IF(B$90="kVA",IF(F$59,F$59,1),IF(B$90="MPAN",IF(E$59,E$59,1),IF(H$59,H$59,1)))</f>
        <v>1</v>
      </c>
      <c r="F157" s="33">
        <f>F$59/IF(B$90="kVA",IF(F$59,F$59,1),IF(B$90="MPAN",IF(E$59,E$59,1),IF(H$59,H$59,1)))</f>
        <v>0</v>
      </c>
      <c r="G157" s="33">
        <f>G$59/IF(B$90="kVA",IF(F$59,F$59,1),IF(B$90="MPAN",IF(E$59,E$59,1),IF(H$59,H$59,1)))</f>
        <v>0</v>
      </c>
      <c r="H157" s="41">
        <f>0.01*Input!F$58*(Adjust!$E$237*E157+Adjust!$F$237*F157)+10*(Adjust!$B$237*B157+Adjust!$C$237*C157+Adjust!$D$237*D157+Adjust!$G$237*G157)</f>
        <v>125.96519668545521</v>
      </c>
      <c r="I157" s="10"/>
    </row>
    <row r="158" spans="1:9" x14ac:dyDescent="0.25">
      <c r="A158" s="24" t="s">
        <v>174</v>
      </c>
      <c r="I158" s="10"/>
    </row>
    <row r="159" spans="1:9" x14ac:dyDescent="0.25">
      <c r="A159" s="3" t="s">
        <v>174</v>
      </c>
      <c r="B159" s="33">
        <f>B$60/IF(B$91="kVA",IF(F$60,F$60,1),IF(B$91="MPAN",IF(E$60,E$60,1),IF(H$60,H$60,1)))</f>
        <v>18.776004781411952</v>
      </c>
      <c r="C159" s="33">
        <f>C$60/IF(B$91="kVA",IF(F$60,F$60,1),IF(B$91="MPAN",IF(E$60,E$60,1),IF(H$60,H$60,1)))</f>
        <v>5.9310422228158473</v>
      </c>
      <c r="D159" s="33">
        <f>D$60/IF(B$91="kVA",IF(F$60,F$60,1),IF(B$91="MPAN",IF(E$60,E$60,1),IF(H$60,H$60,1)))</f>
        <v>0</v>
      </c>
      <c r="E159" s="33">
        <f>E$60/IF(B$91="kVA",IF(F$60,F$60,1),IF(B$91="MPAN",IF(E$60,E$60,1),IF(H$60,H$60,1)))</f>
        <v>1</v>
      </c>
      <c r="F159" s="33">
        <f>F$60/IF(B$91="kVA",IF(F$60,F$60,1),IF(B$91="MPAN",IF(E$60,E$60,1),IF(H$60,H$60,1)))</f>
        <v>0</v>
      </c>
      <c r="G159" s="33">
        <f>G$60/IF(B$91="kVA",IF(F$60,F$60,1),IF(B$91="MPAN",IF(E$60,E$60,1),IF(H$60,H$60,1)))</f>
        <v>0</v>
      </c>
      <c r="H159" s="41">
        <f>0.01*Input!F$58*(Adjust!$E$239*E159+Adjust!$F$239*F159)+10*(Adjust!$B$239*B159+Adjust!$C$239*C159+Adjust!$D$239*D159+Adjust!$G$239*G159)</f>
        <v>421.74175895420609</v>
      </c>
      <c r="I159" s="10"/>
    </row>
    <row r="160" spans="1:9" x14ac:dyDescent="0.25">
      <c r="A160" s="3" t="s">
        <v>241</v>
      </c>
      <c r="B160" s="33">
        <f>B$60/IF(B$91="kVA",IF(F$60,F$60,1),IF(B$91="MPAN",IF(E$60,E$60,1),IF(H$60,H$60,1)))</f>
        <v>18.776004781411952</v>
      </c>
      <c r="C160" s="33">
        <f>C$60/IF(B$91="kVA",IF(F$60,F$60,1),IF(B$91="MPAN",IF(E$60,E$60,1),IF(H$60,H$60,1)))</f>
        <v>5.9310422228158473</v>
      </c>
      <c r="D160" s="33">
        <f>D$60/IF(B$91="kVA",IF(F$60,F$60,1),IF(B$91="MPAN",IF(E$60,E$60,1),IF(H$60,H$60,1)))</f>
        <v>0</v>
      </c>
      <c r="E160" s="33">
        <f>E$60/IF(B$91="kVA",IF(F$60,F$60,1),IF(B$91="MPAN",IF(E$60,E$60,1),IF(H$60,H$60,1)))</f>
        <v>1</v>
      </c>
      <c r="F160" s="33">
        <f>F$60/IF(B$91="kVA",IF(F$60,F$60,1),IF(B$91="MPAN",IF(E$60,E$60,1),IF(H$60,H$60,1)))</f>
        <v>0</v>
      </c>
      <c r="G160" s="33">
        <f>G$60/IF(B$91="kVA",IF(F$60,F$60,1),IF(B$91="MPAN",IF(E$60,E$60,1),IF(H$60,H$60,1)))</f>
        <v>0</v>
      </c>
      <c r="H160" s="41">
        <f>0.01*Input!F$58*(Adjust!$E$240*E160+Adjust!$F$240*F160)+10*(Adjust!$B$240*B160+Adjust!$C$240*C160+Adjust!$D$240*D160+Adjust!$G$240*G160)</f>
        <v>294.77337995642051</v>
      </c>
      <c r="I160" s="10"/>
    </row>
    <row r="161" spans="1:9" x14ac:dyDescent="0.25">
      <c r="A161" s="3" t="s">
        <v>242</v>
      </c>
      <c r="B161" s="33">
        <f>B$60/IF(B$91="kVA",IF(F$60,F$60,1),IF(B$91="MPAN",IF(E$60,E$60,1),IF(H$60,H$60,1)))</f>
        <v>18.776004781411952</v>
      </c>
      <c r="C161" s="33">
        <f>C$60/IF(B$91="kVA",IF(F$60,F$60,1),IF(B$91="MPAN",IF(E$60,E$60,1),IF(H$60,H$60,1)))</f>
        <v>5.9310422228158473</v>
      </c>
      <c r="D161" s="33">
        <f>D$60/IF(B$91="kVA",IF(F$60,F$60,1),IF(B$91="MPAN",IF(E$60,E$60,1),IF(H$60,H$60,1)))</f>
        <v>0</v>
      </c>
      <c r="E161" s="33">
        <f>E$60/IF(B$91="kVA",IF(F$60,F$60,1),IF(B$91="MPAN",IF(E$60,E$60,1),IF(H$60,H$60,1)))</f>
        <v>1</v>
      </c>
      <c r="F161" s="33">
        <f>F$60/IF(B$91="kVA",IF(F$60,F$60,1),IF(B$91="MPAN",IF(E$60,E$60,1),IF(H$60,H$60,1)))</f>
        <v>0</v>
      </c>
      <c r="G161" s="33">
        <f>G$60/IF(B$91="kVA",IF(F$60,F$60,1),IF(B$91="MPAN",IF(E$60,E$60,1),IF(H$60,H$60,1)))</f>
        <v>0</v>
      </c>
      <c r="H161" s="41">
        <f>0.01*Input!F$58*(Adjust!$E$241*E161+Adjust!$F$241*F161)+10*(Adjust!$B$241*B161+Adjust!$C$241*C161+Adjust!$D$241*D161+Adjust!$G$241*G161)</f>
        <v>215.90741590747712</v>
      </c>
      <c r="I161" s="10"/>
    </row>
    <row r="162" spans="1:9" x14ac:dyDescent="0.25">
      <c r="A162" s="24" t="s">
        <v>212</v>
      </c>
      <c r="I162" s="10"/>
    </row>
    <row r="163" spans="1:9" x14ac:dyDescent="0.25">
      <c r="A163" s="3" t="s">
        <v>212</v>
      </c>
      <c r="B163" s="33">
        <f>B$61/IF(B$92="kVA",IF(F$61,F$61,1),IF(B$92="MPAN",IF(E$61,E$61,1),IF(H$61,H$61,1)))</f>
        <v>5.8377982246862112</v>
      </c>
      <c r="C163" s="33">
        <f>C$61/IF(B$92="kVA",IF(F$61,F$61,1),IF(B$92="MPAN",IF(E$61,E$61,1),IF(H$61,H$61,1)))</f>
        <v>0</v>
      </c>
      <c r="D163" s="33">
        <f>D$61/IF(B$92="kVA",IF(F$61,F$61,1),IF(B$92="MPAN",IF(E$61,E$61,1),IF(H$61,H$61,1)))</f>
        <v>0</v>
      </c>
      <c r="E163" s="33">
        <f>E$61/IF(B$92="kVA",IF(F$61,F$61,1),IF(B$92="MPAN",IF(E$61,E$61,1),IF(H$61,H$61,1)))</f>
        <v>1</v>
      </c>
      <c r="F163" s="33">
        <f>F$61/IF(B$92="kVA",IF(F$61,F$61,1),IF(B$92="MPAN",IF(E$61,E$61,1),IF(H$61,H$61,1)))</f>
        <v>0</v>
      </c>
      <c r="G163" s="33">
        <f>G$61/IF(B$92="kVA",IF(F$61,F$61,1),IF(B$92="MPAN",IF(E$61,E$61,1),IF(H$61,H$61,1)))</f>
        <v>0</v>
      </c>
      <c r="H163" s="41">
        <f>0.01*Input!F$58*(Adjust!$E$243*E163+Adjust!$F$243*F163)+10*(Adjust!$B$243*B163+Adjust!$C$243*C163+Adjust!$D$243*D163+Adjust!$G$243*G163)</f>
        <v>17.104748798330597</v>
      </c>
      <c r="I163" s="10"/>
    </row>
    <row r="164" spans="1:9" ht="30" x14ac:dyDescent="0.25">
      <c r="A164" s="3" t="s">
        <v>244</v>
      </c>
      <c r="B164" s="33">
        <f>B$61/IF(B$92="kVA",IF(F$61,F$61,1),IF(B$92="MPAN",IF(E$61,E$61,1),IF(H$61,H$61,1)))</f>
        <v>5.8377982246862112</v>
      </c>
      <c r="C164" s="33">
        <f>C$61/IF(B$92="kVA",IF(F$61,F$61,1),IF(B$92="MPAN",IF(E$61,E$61,1),IF(H$61,H$61,1)))</f>
        <v>0</v>
      </c>
      <c r="D164" s="33">
        <f>D$61/IF(B$92="kVA",IF(F$61,F$61,1),IF(B$92="MPAN",IF(E$61,E$61,1),IF(H$61,H$61,1)))</f>
        <v>0</v>
      </c>
      <c r="E164" s="33">
        <f>E$61/IF(B$92="kVA",IF(F$61,F$61,1),IF(B$92="MPAN",IF(E$61,E$61,1),IF(H$61,H$61,1)))</f>
        <v>1</v>
      </c>
      <c r="F164" s="33">
        <f>F$61/IF(B$92="kVA",IF(F$61,F$61,1),IF(B$92="MPAN",IF(E$61,E$61,1),IF(H$61,H$61,1)))</f>
        <v>0</v>
      </c>
      <c r="G164" s="33">
        <f>G$61/IF(B$92="kVA",IF(F$61,F$61,1),IF(B$92="MPAN",IF(E$61,E$61,1),IF(H$61,H$61,1)))</f>
        <v>0</v>
      </c>
      <c r="H164" s="41">
        <f>0.01*Input!F$58*(Adjust!$E$244*E164+Adjust!$F$244*F164)+10*(Adjust!$B$244*B164+Adjust!$C$244*C164+Adjust!$D$244*D164+Adjust!$G$244*G164)</f>
        <v>11.967486360606731</v>
      </c>
      <c r="I164" s="10"/>
    </row>
    <row r="165" spans="1:9" ht="30" x14ac:dyDescent="0.25">
      <c r="A165" s="3" t="s">
        <v>245</v>
      </c>
      <c r="B165" s="33">
        <f>B$61/IF(B$92="kVA",IF(F$61,F$61,1),IF(B$92="MPAN",IF(E$61,E$61,1),IF(H$61,H$61,1)))</f>
        <v>5.8377982246862112</v>
      </c>
      <c r="C165" s="33">
        <f>C$61/IF(B$92="kVA",IF(F$61,F$61,1),IF(B$92="MPAN",IF(E$61,E$61,1),IF(H$61,H$61,1)))</f>
        <v>0</v>
      </c>
      <c r="D165" s="33">
        <f>D$61/IF(B$92="kVA",IF(F$61,F$61,1),IF(B$92="MPAN",IF(E$61,E$61,1),IF(H$61,H$61,1)))</f>
        <v>0</v>
      </c>
      <c r="E165" s="33">
        <f>E$61/IF(B$92="kVA",IF(F$61,F$61,1),IF(B$92="MPAN",IF(E$61,E$61,1),IF(H$61,H$61,1)))</f>
        <v>1</v>
      </c>
      <c r="F165" s="33">
        <f>F$61/IF(B$92="kVA",IF(F$61,F$61,1),IF(B$92="MPAN",IF(E$61,E$61,1),IF(H$61,H$61,1)))</f>
        <v>0</v>
      </c>
      <c r="G165" s="33">
        <f>G$61/IF(B$92="kVA",IF(F$61,F$61,1),IF(B$92="MPAN",IF(E$61,E$61,1),IF(H$61,H$61,1)))</f>
        <v>0</v>
      </c>
      <c r="H165" s="41">
        <f>0.01*Input!F$58*(Adjust!$E$245*E165+Adjust!$F$245*F165)+10*(Adjust!$B$245*B165+Adjust!$C$245*C165+Adjust!$D$245*D165+Adjust!$G$245*G165)</f>
        <v>8.7566973370293173</v>
      </c>
      <c r="I165" s="10"/>
    </row>
    <row r="166" spans="1:9" x14ac:dyDescent="0.25">
      <c r="A166" s="24" t="s">
        <v>175</v>
      </c>
      <c r="I166" s="10"/>
    </row>
    <row r="167" spans="1:9" x14ac:dyDescent="0.25">
      <c r="A167" s="3" t="s">
        <v>175</v>
      </c>
      <c r="B167" s="33">
        <f>B$62/IF(B$93="kVA",IF(F$62,F$62,1),IF(B$93="MPAN",IF(E$62,E$62,1),IF(H$62,H$62,1)))</f>
        <v>0</v>
      </c>
      <c r="C167" s="33">
        <f>C$62/IF(B$93="kVA",IF(F$62,F$62,1),IF(B$93="MPAN",IF(E$62,E$62,1),IF(H$62,H$62,1)))</f>
        <v>0</v>
      </c>
      <c r="D167" s="33">
        <f>D$62/IF(B$93="kVA",IF(F$62,F$62,1),IF(B$93="MPAN",IF(E$62,E$62,1),IF(H$62,H$62,1)))</f>
        <v>0</v>
      </c>
      <c r="E167" s="33">
        <f>E$62/IF(B$93="kVA",IF(F$62,F$62,1),IF(B$93="MPAN",IF(E$62,E$62,1),IF(H$62,H$62,1)))</f>
        <v>0</v>
      </c>
      <c r="F167" s="33">
        <f>F$62/IF(B$93="kVA",IF(F$62,F$62,1),IF(B$93="MPAN",IF(E$62,E$62,1),IF(H$62,H$62,1)))</f>
        <v>0</v>
      </c>
      <c r="G167" s="33">
        <f>G$62/IF(B$93="kVA",IF(F$62,F$62,1),IF(B$93="MPAN",IF(E$62,E$62,1),IF(H$62,H$62,1)))</f>
        <v>0</v>
      </c>
      <c r="H167" s="41">
        <f>0.01*Input!F$58*(Adjust!$E$247*E167+Adjust!$F$247*F167)+10*(Adjust!$B$247*B167+Adjust!$C$247*C167+Adjust!$D$247*D167+Adjust!$G$247*G167)</f>
        <v>0</v>
      </c>
      <c r="I167" s="10"/>
    </row>
    <row r="168" spans="1:9" x14ac:dyDescent="0.25">
      <c r="A168" s="3" t="s">
        <v>247</v>
      </c>
      <c r="B168" s="33">
        <f>B$62/IF(B$93="kVA",IF(F$62,F$62,1),IF(B$93="MPAN",IF(E$62,E$62,1),IF(H$62,H$62,1)))</f>
        <v>0</v>
      </c>
      <c r="C168" s="33">
        <f>C$62/IF(B$93="kVA",IF(F$62,F$62,1),IF(B$93="MPAN",IF(E$62,E$62,1),IF(H$62,H$62,1)))</f>
        <v>0</v>
      </c>
      <c r="D168" s="33">
        <f>D$62/IF(B$93="kVA",IF(F$62,F$62,1),IF(B$93="MPAN",IF(E$62,E$62,1),IF(H$62,H$62,1)))</f>
        <v>0</v>
      </c>
      <c r="E168" s="33">
        <f>E$62/IF(B$93="kVA",IF(F$62,F$62,1),IF(B$93="MPAN",IF(E$62,E$62,1),IF(H$62,H$62,1)))</f>
        <v>0</v>
      </c>
      <c r="F168" s="33">
        <f>F$62/IF(B$93="kVA",IF(F$62,F$62,1),IF(B$93="MPAN",IF(E$62,E$62,1),IF(H$62,H$62,1)))</f>
        <v>0</v>
      </c>
      <c r="G168" s="33">
        <f>G$62/IF(B$93="kVA",IF(F$62,F$62,1),IF(B$93="MPAN",IF(E$62,E$62,1),IF(H$62,H$62,1)))</f>
        <v>0</v>
      </c>
      <c r="H168" s="41">
        <f>0.01*Input!F$58*(Adjust!$E$248*E168+Adjust!$F$248*F168)+10*(Adjust!$B$248*B168+Adjust!$C$248*C168+Adjust!$D$248*D168+Adjust!$G$248*G168)</f>
        <v>0</v>
      </c>
      <c r="I168" s="10"/>
    </row>
    <row r="169" spans="1:9" x14ac:dyDescent="0.25">
      <c r="A169" s="3" t="s">
        <v>248</v>
      </c>
      <c r="B169" s="33">
        <f>B$62/IF(B$93="kVA",IF(F$62,F$62,1),IF(B$93="MPAN",IF(E$62,E$62,1),IF(H$62,H$62,1)))</f>
        <v>0</v>
      </c>
      <c r="C169" s="33">
        <f>C$62/IF(B$93="kVA",IF(F$62,F$62,1),IF(B$93="MPAN",IF(E$62,E$62,1),IF(H$62,H$62,1)))</f>
        <v>0</v>
      </c>
      <c r="D169" s="33">
        <f>D$62/IF(B$93="kVA",IF(F$62,F$62,1),IF(B$93="MPAN",IF(E$62,E$62,1),IF(H$62,H$62,1)))</f>
        <v>0</v>
      </c>
      <c r="E169" s="33">
        <f>E$62/IF(B$93="kVA",IF(F$62,F$62,1),IF(B$93="MPAN",IF(E$62,E$62,1),IF(H$62,H$62,1)))</f>
        <v>0</v>
      </c>
      <c r="F169" s="33">
        <f>F$62/IF(B$93="kVA",IF(F$62,F$62,1),IF(B$93="MPAN",IF(E$62,E$62,1),IF(H$62,H$62,1)))</f>
        <v>0</v>
      </c>
      <c r="G169" s="33">
        <f>G$62/IF(B$93="kVA",IF(F$62,F$62,1),IF(B$93="MPAN",IF(E$62,E$62,1),IF(H$62,H$62,1)))</f>
        <v>0</v>
      </c>
      <c r="H169" s="41">
        <f>0.01*Input!F$58*(Adjust!$E$249*E169+Adjust!$F$249*F169)+10*(Adjust!$B$249*B169+Adjust!$C$249*C169+Adjust!$D$249*D169+Adjust!$G$249*G169)</f>
        <v>0</v>
      </c>
      <c r="I169" s="10"/>
    </row>
    <row r="170" spans="1:9" x14ac:dyDescent="0.25">
      <c r="A170" s="24" t="s">
        <v>176</v>
      </c>
      <c r="I170" s="10"/>
    </row>
    <row r="171" spans="1:9" x14ac:dyDescent="0.25">
      <c r="A171" s="3" t="s">
        <v>176</v>
      </c>
      <c r="B171" s="33">
        <f>B$63/IF(B$94="kVA",IF(F$63,F$63,1),IF(B$94="MPAN",IF(E$63,E$63,1),IF(H$63,H$63,1)))</f>
        <v>0</v>
      </c>
      <c r="C171" s="33">
        <f>C$63/IF(B$94="kVA",IF(F$63,F$63,1),IF(B$94="MPAN",IF(E$63,E$63,1),IF(H$63,H$63,1)))</f>
        <v>0</v>
      </c>
      <c r="D171" s="33">
        <f>D$63/IF(B$94="kVA",IF(F$63,F$63,1),IF(B$94="MPAN",IF(E$63,E$63,1),IF(H$63,H$63,1)))</f>
        <v>0</v>
      </c>
      <c r="E171" s="33">
        <f>E$63/IF(B$94="kVA",IF(F$63,F$63,1),IF(B$94="MPAN",IF(E$63,E$63,1),IF(H$63,H$63,1)))</f>
        <v>0</v>
      </c>
      <c r="F171" s="33">
        <f>F$63/IF(B$94="kVA",IF(F$63,F$63,1),IF(B$94="MPAN",IF(E$63,E$63,1),IF(H$63,H$63,1)))</f>
        <v>0</v>
      </c>
      <c r="G171" s="33">
        <f>G$63/IF(B$94="kVA",IF(F$63,F$63,1),IF(B$94="MPAN",IF(E$63,E$63,1),IF(H$63,H$63,1)))</f>
        <v>0</v>
      </c>
      <c r="H171" s="41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4" t="s">
        <v>192</v>
      </c>
      <c r="I172" s="10"/>
    </row>
    <row r="173" spans="1:9" x14ac:dyDescent="0.25">
      <c r="A173" s="3" t="s">
        <v>192</v>
      </c>
      <c r="B173" s="33">
        <f>B$64/IF(B$95="kVA",IF(F$64,F$64,1),IF(B$95="MPAN",IF(E$64,E$64,1),IF(H$64,H$64,1)))</f>
        <v>0</v>
      </c>
      <c r="C173" s="33">
        <f>C$64/IF(B$95="kVA",IF(F$64,F$64,1),IF(B$95="MPAN",IF(E$64,E$64,1),IF(H$64,H$64,1)))</f>
        <v>0</v>
      </c>
      <c r="D173" s="33">
        <f>D$64/IF(B$95="kVA",IF(F$64,F$64,1),IF(B$95="MPAN",IF(E$64,E$64,1),IF(H$64,H$64,1)))</f>
        <v>0</v>
      </c>
      <c r="E173" s="33">
        <f>E$64/IF(B$95="kVA",IF(F$64,F$64,1),IF(B$95="MPAN",IF(E$64,E$64,1),IF(H$64,H$64,1)))</f>
        <v>0</v>
      </c>
      <c r="F173" s="33">
        <f>F$64/IF(B$95="kVA",IF(F$64,F$64,1),IF(B$95="MPAN",IF(E$64,E$64,1),IF(H$64,H$64,1)))</f>
        <v>0</v>
      </c>
      <c r="G173" s="33">
        <f>G$64/IF(B$95="kVA",IF(F$64,F$64,1),IF(B$95="MPAN",IF(E$64,E$64,1),IF(H$64,H$64,1)))</f>
        <v>0</v>
      </c>
      <c r="H173" s="41">
        <f>0.01*Input!F$58*(Adjust!$E$253*E173+Adjust!$F$253*F173)+10*(Adjust!$B$253*B173+Adjust!$C$253*C173+Adjust!$D$253*D173+Adjust!$G$253*G173)</f>
        <v>0</v>
      </c>
      <c r="I173" s="10"/>
    </row>
    <row r="174" spans="1:9" x14ac:dyDescent="0.25">
      <c r="A174" s="24" t="s">
        <v>177</v>
      </c>
      <c r="I174" s="10"/>
    </row>
    <row r="175" spans="1:9" x14ac:dyDescent="0.25">
      <c r="A175" s="3" t="s">
        <v>177</v>
      </c>
      <c r="B175" s="33">
        <f>B$65/IF(B$96="kVA",IF(F$65,F$65,1),IF(B$96="MPAN",IF(E$65,E$65,1),IF(H$65,H$65,1)))</f>
        <v>0</v>
      </c>
      <c r="C175" s="33">
        <f>C$65/IF(B$96="kVA",IF(F$65,F$65,1),IF(B$96="MPAN",IF(E$65,E$65,1),IF(H$65,H$65,1)))</f>
        <v>0</v>
      </c>
      <c r="D175" s="33">
        <f>D$65/IF(B$96="kVA",IF(F$65,F$65,1),IF(B$96="MPAN",IF(E$65,E$65,1),IF(H$65,H$65,1)))</f>
        <v>0</v>
      </c>
      <c r="E175" s="33">
        <f>E$65/IF(B$96="kVA",IF(F$65,F$65,1),IF(B$96="MPAN",IF(E$65,E$65,1),IF(H$65,H$65,1)))</f>
        <v>0</v>
      </c>
      <c r="F175" s="33">
        <f>F$65/IF(B$96="kVA",IF(F$65,F$65,1),IF(B$96="MPAN",IF(E$65,E$65,1),IF(H$65,H$65,1)))</f>
        <v>0</v>
      </c>
      <c r="G175" s="33">
        <f>G$65/IF(B$96="kVA",IF(F$65,F$65,1),IF(B$96="MPAN",IF(E$65,E$65,1),IF(H$65,H$65,1)))</f>
        <v>0</v>
      </c>
      <c r="H175" s="41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3" t="s">
        <v>252</v>
      </c>
      <c r="B176" s="33">
        <f>B$65/IF(B$96="kVA",IF(F$65,F$65,1),IF(B$96="MPAN",IF(E$65,E$65,1),IF(H$65,H$65,1)))</f>
        <v>0</v>
      </c>
      <c r="C176" s="33">
        <f>C$65/IF(B$96="kVA",IF(F$65,F$65,1),IF(B$96="MPAN",IF(E$65,E$65,1),IF(H$65,H$65,1)))</f>
        <v>0</v>
      </c>
      <c r="D176" s="33">
        <f>D$65/IF(B$96="kVA",IF(F$65,F$65,1),IF(B$96="MPAN",IF(E$65,E$65,1),IF(H$65,H$65,1)))</f>
        <v>0</v>
      </c>
      <c r="E176" s="33">
        <f>E$65/IF(B$96="kVA",IF(F$65,F$65,1),IF(B$96="MPAN",IF(E$65,E$65,1),IF(H$65,H$65,1)))</f>
        <v>0</v>
      </c>
      <c r="F176" s="33">
        <f>F$65/IF(B$96="kVA",IF(F$65,F$65,1),IF(B$96="MPAN",IF(E$65,E$65,1),IF(H$65,H$65,1)))</f>
        <v>0</v>
      </c>
      <c r="G176" s="33">
        <f>G$65/IF(B$96="kVA",IF(F$65,F$65,1),IF(B$96="MPAN",IF(E$65,E$65,1),IF(H$65,H$65,1)))</f>
        <v>0</v>
      </c>
      <c r="H176" s="41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3" t="s">
        <v>253</v>
      </c>
      <c r="B177" s="33">
        <f>B$65/IF(B$96="kVA",IF(F$65,F$65,1),IF(B$96="MPAN",IF(E$65,E$65,1),IF(H$65,H$65,1)))</f>
        <v>0</v>
      </c>
      <c r="C177" s="33">
        <f>C$65/IF(B$96="kVA",IF(F$65,F$65,1),IF(B$96="MPAN",IF(E$65,E$65,1),IF(H$65,H$65,1)))</f>
        <v>0</v>
      </c>
      <c r="D177" s="33">
        <f>D$65/IF(B$96="kVA",IF(F$65,F$65,1),IF(B$96="MPAN",IF(E$65,E$65,1),IF(H$65,H$65,1)))</f>
        <v>0</v>
      </c>
      <c r="E177" s="33">
        <f>E$65/IF(B$96="kVA",IF(F$65,F$65,1),IF(B$96="MPAN",IF(E$65,E$65,1),IF(H$65,H$65,1)))</f>
        <v>0</v>
      </c>
      <c r="F177" s="33">
        <f>F$65/IF(B$96="kVA",IF(F$65,F$65,1),IF(B$96="MPAN",IF(E$65,E$65,1),IF(H$65,H$65,1)))</f>
        <v>0</v>
      </c>
      <c r="G177" s="33">
        <f>G$65/IF(B$96="kVA",IF(F$65,F$65,1),IF(B$96="MPAN",IF(E$65,E$65,1),IF(H$65,H$65,1)))</f>
        <v>0</v>
      </c>
      <c r="H177" s="41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4" t="s">
        <v>178</v>
      </c>
      <c r="I178" s="10"/>
    </row>
    <row r="179" spans="1:9" x14ac:dyDescent="0.25">
      <c r="A179" s="3" t="s">
        <v>178</v>
      </c>
      <c r="B179" s="33">
        <f>B$66/IF(B$97="kVA",IF(F$66,F$66,1),IF(B$97="MPAN",IF(E$66,E$66,1),IF(H$66,H$66,1)))</f>
        <v>6.5349528895470419</v>
      </c>
      <c r="C179" s="33">
        <f>C$66/IF(B$97="kVA",IF(F$66,F$66,1),IF(B$97="MPAN",IF(E$66,E$66,1),IF(H$66,H$66,1)))</f>
        <v>25.432590141344399</v>
      </c>
      <c r="D179" s="33">
        <f>D$66/IF(B$97="kVA",IF(F$66,F$66,1),IF(B$97="MPAN",IF(E$66,E$66,1),IF(H$66,H$66,1)))</f>
        <v>28.653443861431139</v>
      </c>
      <c r="E179" s="33">
        <f>E$66/IF(B$97="kVA",IF(F$66,F$66,1),IF(B$97="MPAN",IF(E$66,E$66,1),IF(H$66,H$66,1)))</f>
        <v>1</v>
      </c>
      <c r="F179" s="33">
        <f>F$66/IF(B$97="kVA",IF(F$66,F$66,1),IF(B$97="MPAN",IF(E$66,E$66,1),IF(H$66,H$66,1)))</f>
        <v>0</v>
      </c>
      <c r="G179" s="33">
        <f>G$66/IF(B$97="kVA",IF(F$66,F$66,1),IF(B$97="MPAN",IF(E$66,E$66,1),IF(H$66,H$66,1)))</f>
        <v>0</v>
      </c>
      <c r="H179" s="41">
        <f>0.01*Input!F$58*(Adjust!$E$259*E179+Adjust!$F$259*F179)+10*(Adjust!$B$259*B179+Adjust!$C$259*C179+Adjust!$D$259*D179+Adjust!$G$259*G179)</f>
        <v>1057.0076807784164</v>
      </c>
      <c r="I179" s="10"/>
    </row>
    <row r="180" spans="1:9" x14ac:dyDescent="0.25">
      <c r="A180" s="3" t="s">
        <v>255</v>
      </c>
      <c r="B180" s="33">
        <f>B$66/IF(B$97="kVA",IF(F$66,F$66,1),IF(B$97="MPAN",IF(E$66,E$66,1),IF(H$66,H$66,1)))</f>
        <v>6.5349528895470419</v>
      </c>
      <c r="C180" s="33">
        <f>C$66/IF(B$97="kVA",IF(F$66,F$66,1),IF(B$97="MPAN",IF(E$66,E$66,1),IF(H$66,H$66,1)))</f>
        <v>25.432590141344399</v>
      </c>
      <c r="D180" s="33">
        <f>D$66/IF(B$97="kVA",IF(F$66,F$66,1),IF(B$97="MPAN",IF(E$66,E$66,1),IF(H$66,H$66,1)))</f>
        <v>28.653443861431139</v>
      </c>
      <c r="E180" s="33">
        <f>E$66/IF(B$97="kVA",IF(F$66,F$66,1),IF(B$97="MPAN",IF(E$66,E$66,1),IF(H$66,H$66,1)))</f>
        <v>1</v>
      </c>
      <c r="F180" s="33">
        <f>F$66/IF(B$97="kVA",IF(F$66,F$66,1),IF(B$97="MPAN",IF(E$66,E$66,1),IF(H$66,H$66,1)))</f>
        <v>0</v>
      </c>
      <c r="G180" s="33">
        <f>G$66/IF(B$97="kVA",IF(F$66,F$66,1),IF(B$97="MPAN",IF(E$66,E$66,1),IF(H$66,H$66,1)))</f>
        <v>0</v>
      </c>
      <c r="H180" s="41">
        <f>0.01*Input!F$58*(Adjust!$E$260*E180+Adjust!$F$260*F180)+10*(Adjust!$B$260*B180+Adjust!$C$260*C180+Adjust!$D$260*D180+Adjust!$G$260*G180)</f>
        <v>738.69495110287608</v>
      </c>
      <c r="I180" s="10"/>
    </row>
    <row r="181" spans="1:9" x14ac:dyDescent="0.25">
      <c r="A181" s="3" t="s">
        <v>256</v>
      </c>
      <c r="B181" s="33">
        <f>B$66/IF(B$97="kVA",IF(F$66,F$66,1),IF(B$97="MPAN",IF(E$66,E$66,1),IF(H$66,H$66,1)))</f>
        <v>6.5349528895470419</v>
      </c>
      <c r="C181" s="33">
        <f>C$66/IF(B$97="kVA",IF(F$66,F$66,1),IF(B$97="MPAN",IF(E$66,E$66,1),IF(H$66,H$66,1)))</f>
        <v>25.432590141344399</v>
      </c>
      <c r="D181" s="33">
        <f>D$66/IF(B$97="kVA",IF(F$66,F$66,1),IF(B$97="MPAN",IF(E$66,E$66,1),IF(H$66,H$66,1)))</f>
        <v>28.653443861431139</v>
      </c>
      <c r="E181" s="33">
        <f>E$66/IF(B$97="kVA",IF(F$66,F$66,1),IF(B$97="MPAN",IF(E$66,E$66,1),IF(H$66,H$66,1)))</f>
        <v>1</v>
      </c>
      <c r="F181" s="33">
        <f>F$66/IF(B$97="kVA",IF(F$66,F$66,1),IF(B$97="MPAN",IF(E$66,E$66,1),IF(H$66,H$66,1)))</f>
        <v>0</v>
      </c>
      <c r="G181" s="33">
        <f>G$66/IF(B$97="kVA",IF(F$66,F$66,1),IF(B$97="MPAN",IF(E$66,E$66,1),IF(H$66,H$66,1)))</f>
        <v>0</v>
      </c>
      <c r="H181" s="41">
        <f>0.01*Input!F$58*(Adjust!$E$261*E181+Adjust!$F$261*F181)+10*(Adjust!$B$261*B181+Adjust!$C$261*C181+Adjust!$D$261*D181+Adjust!$G$261*G181)</f>
        <v>540.96807837680956</v>
      </c>
      <c r="I181" s="10"/>
    </row>
    <row r="182" spans="1:9" x14ac:dyDescent="0.25">
      <c r="A182" s="24" t="s">
        <v>179</v>
      </c>
      <c r="I182" s="10"/>
    </row>
    <row r="183" spans="1:9" x14ac:dyDescent="0.25">
      <c r="A183" s="3" t="s">
        <v>179</v>
      </c>
      <c r="B183" s="33">
        <f>B$67/IF(B$98="kVA",IF(F$67,F$67,1),IF(B$98="MPAN",IF(E$67,E$67,1),IF(H$67,H$67,1)))</f>
        <v>0.19461995122385534</v>
      </c>
      <c r="C183" s="33">
        <f>C$67/IF(B$98="kVA",IF(F$67,F$67,1),IF(B$98="MPAN",IF(E$67,E$67,1),IF(H$67,H$67,1)))</f>
        <v>0.77058158716147407</v>
      </c>
      <c r="D183" s="33">
        <f>D$67/IF(B$98="kVA",IF(F$67,F$67,1),IF(B$98="MPAN",IF(E$67,E$67,1),IF(H$67,H$67,1)))</f>
        <v>0.841869665431772</v>
      </c>
      <c r="E183" s="33">
        <f>E$67/IF(B$98="kVA",IF(F$67,F$67,1),IF(B$98="MPAN",IF(E$67,E$67,1),IF(H$67,H$67,1)))</f>
        <v>7.2171172188450787E-3</v>
      </c>
      <c r="F183" s="33">
        <f>F$67/IF(B$98="kVA",IF(F$67,F$67,1),IF(B$98="MPAN",IF(E$67,E$67,1),IF(H$67,H$67,1)))</f>
        <v>1</v>
      </c>
      <c r="G183" s="33">
        <f>G$67/IF(B$98="kVA",IF(F$67,F$67,1),IF(B$98="MPAN",IF(E$67,E$67,1),IF(H$67,H$67,1)))</f>
        <v>0.16511707463752873</v>
      </c>
      <c r="H183" s="41">
        <f>0.01*Input!F$58*(Adjust!$E$263*E183+Adjust!$F$263*F183)+10*(Adjust!$B$263*B183+Adjust!$C$263*C183+Adjust!$D$263*D183+Adjust!$G$263*G183)</f>
        <v>36.206326891082462</v>
      </c>
      <c r="I183" s="10"/>
    </row>
    <row r="184" spans="1:9" x14ac:dyDescent="0.25">
      <c r="A184" s="3" t="s">
        <v>258</v>
      </c>
      <c r="B184" s="33">
        <f>B$67/IF(B$98="kVA",IF(F$67,F$67,1),IF(B$98="MPAN",IF(E$67,E$67,1),IF(H$67,H$67,1)))</f>
        <v>0.19461995122385534</v>
      </c>
      <c r="C184" s="33">
        <f>C$67/IF(B$98="kVA",IF(F$67,F$67,1),IF(B$98="MPAN",IF(E$67,E$67,1),IF(H$67,H$67,1)))</f>
        <v>0.77058158716147407</v>
      </c>
      <c r="D184" s="33">
        <f>D$67/IF(B$98="kVA",IF(F$67,F$67,1),IF(B$98="MPAN",IF(E$67,E$67,1),IF(H$67,H$67,1)))</f>
        <v>0.841869665431772</v>
      </c>
      <c r="E184" s="33">
        <f>E$67/IF(B$98="kVA",IF(F$67,F$67,1),IF(B$98="MPAN",IF(E$67,E$67,1),IF(H$67,H$67,1)))</f>
        <v>7.2171172188450787E-3</v>
      </c>
      <c r="F184" s="33">
        <f>F$67/IF(B$98="kVA",IF(F$67,F$67,1),IF(B$98="MPAN",IF(E$67,E$67,1),IF(H$67,H$67,1)))</f>
        <v>1</v>
      </c>
      <c r="G184" s="33">
        <f>G$67/IF(B$98="kVA",IF(F$67,F$67,1),IF(B$98="MPAN",IF(E$67,E$67,1),IF(H$67,H$67,1)))</f>
        <v>0.16511707463752873</v>
      </c>
      <c r="H184" s="41">
        <f>0.01*Input!F$58*(Adjust!$E$264*E184+Adjust!$F$264*F184)+10*(Adjust!$B$264*B184+Adjust!$C$264*C184+Adjust!$D$264*D184+Adjust!$G$264*G184)</f>
        <v>25.294877568925767</v>
      </c>
      <c r="I184" s="10"/>
    </row>
    <row r="185" spans="1:9" x14ac:dyDescent="0.25">
      <c r="A185" s="3" t="s">
        <v>259</v>
      </c>
      <c r="B185" s="33">
        <f>B$67/IF(B$98="kVA",IF(F$67,F$67,1),IF(B$98="MPAN",IF(E$67,E$67,1),IF(H$67,H$67,1)))</f>
        <v>0.19461995122385534</v>
      </c>
      <c r="C185" s="33">
        <f>C$67/IF(B$98="kVA",IF(F$67,F$67,1),IF(B$98="MPAN",IF(E$67,E$67,1),IF(H$67,H$67,1)))</f>
        <v>0.77058158716147407</v>
      </c>
      <c r="D185" s="33">
        <f>D$67/IF(B$98="kVA",IF(F$67,F$67,1),IF(B$98="MPAN",IF(E$67,E$67,1),IF(H$67,H$67,1)))</f>
        <v>0.841869665431772</v>
      </c>
      <c r="E185" s="33">
        <f>E$67/IF(B$98="kVA",IF(F$67,F$67,1),IF(B$98="MPAN",IF(E$67,E$67,1),IF(H$67,H$67,1)))</f>
        <v>7.2171172188450787E-3</v>
      </c>
      <c r="F185" s="33">
        <f>F$67/IF(B$98="kVA",IF(F$67,F$67,1),IF(B$98="MPAN",IF(E$67,E$67,1),IF(H$67,H$67,1)))</f>
        <v>1</v>
      </c>
      <c r="G185" s="33">
        <f>G$67/IF(B$98="kVA",IF(F$67,F$67,1),IF(B$98="MPAN",IF(E$67,E$67,1),IF(H$67,H$67,1)))</f>
        <v>0.16511707463752873</v>
      </c>
      <c r="H185" s="41">
        <f>0.01*Input!F$58*(Adjust!$E$265*E185+Adjust!$F$265*F185)+10*(Adjust!$B$265*B185+Adjust!$C$265*C185+Adjust!$D$265*D185+Adjust!$G$265*G185)</f>
        <v>18.549557859704027</v>
      </c>
      <c r="I185" s="10"/>
    </row>
    <row r="186" spans="1:9" x14ac:dyDescent="0.25">
      <c r="A186" s="24" t="s">
        <v>180</v>
      </c>
      <c r="I186" s="10"/>
    </row>
    <row r="187" spans="1:9" x14ac:dyDescent="0.25">
      <c r="A187" s="3" t="s">
        <v>180</v>
      </c>
      <c r="B187" s="33">
        <f>B$68/IF(B$99="kVA",IF(F$68,F$68,1),IF(B$99="MPAN",IF(E$68,E$68,1),IF(H$68,H$68,1)))</f>
        <v>0.16033751802331794</v>
      </c>
      <c r="C187" s="33">
        <f>C$68/IF(B$99="kVA",IF(F$68,F$68,1),IF(B$99="MPAN",IF(E$68,E$68,1),IF(H$68,H$68,1)))</f>
        <v>0.61800966006161373</v>
      </c>
      <c r="D187" s="33">
        <f>D$68/IF(B$99="kVA",IF(F$68,F$68,1),IF(B$99="MPAN",IF(E$68,E$68,1),IF(H$68,H$68,1)))</f>
        <v>0.74498185057127619</v>
      </c>
      <c r="E187" s="33">
        <f>E$68/IF(B$99="kVA",IF(F$68,F$68,1),IF(B$99="MPAN",IF(E$68,E$68,1),IF(H$68,H$68,1)))</f>
        <v>2.2472642008328865E-3</v>
      </c>
      <c r="F187" s="33">
        <f>F$68/IF(B$99="kVA",IF(F$68,F$68,1),IF(B$99="MPAN",IF(E$68,E$68,1),IF(H$68,H$68,1)))</f>
        <v>1</v>
      </c>
      <c r="G187" s="33">
        <f>G$68/IF(B$99="kVA",IF(F$68,F$68,1),IF(B$99="MPAN",IF(E$68,E$68,1),IF(H$68,H$68,1)))</f>
        <v>0.17706488059701495</v>
      </c>
      <c r="H187" s="41">
        <f>0.01*Input!F$58*(Adjust!$E$267*E187+Adjust!$F$267*F187)+10*(Adjust!$B$267*B187+Adjust!$C$267*C187+Adjust!$D$267*D187+Adjust!$G$267*G187)</f>
        <v>30.753424081943507</v>
      </c>
      <c r="I187" s="10"/>
    </row>
    <row r="188" spans="1:9" x14ac:dyDescent="0.25">
      <c r="A188" s="3" t="s">
        <v>261</v>
      </c>
      <c r="B188" s="33">
        <f>B$68/IF(B$99="kVA",IF(F$68,F$68,1),IF(B$99="MPAN",IF(E$68,E$68,1),IF(H$68,H$68,1)))</f>
        <v>0.16033751802331794</v>
      </c>
      <c r="C188" s="33">
        <f>C$68/IF(B$99="kVA",IF(F$68,F$68,1),IF(B$99="MPAN",IF(E$68,E$68,1),IF(H$68,H$68,1)))</f>
        <v>0.61800966006161373</v>
      </c>
      <c r="D188" s="33">
        <f>D$68/IF(B$99="kVA",IF(F$68,F$68,1),IF(B$99="MPAN",IF(E$68,E$68,1),IF(H$68,H$68,1)))</f>
        <v>0.74498185057127619</v>
      </c>
      <c r="E188" s="33">
        <f>E$68/IF(B$99="kVA",IF(F$68,F$68,1),IF(B$99="MPAN",IF(E$68,E$68,1),IF(H$68,H$68,1)))</f>
        <v>2.2472642008328865E-3</v>
      </c>
      <c r="F188" s="33">
        <f>F$68/IF(B$99="kVA",IF(F$68,F$68,1),IF(B$99="MPAN",IF(E$68,E$68,1),IF(H$68,H$68,1)))</f>
        <v>1</v>
      </c>
      <c r="G188" s="33">
        <f>G$68/IF(B$99="kVA",IF(F$68,F$68,1),IF(B$99="MPAN",IF(E$68,E$68,1),IF(H$68,H$68,1)))</f>
        <v>0.17706488059701495</v>
      </c>
      <c r="H188" s="41">
        <f>0.01*Input!F$58*(Adjust!$E$268*E188+Adjust!$F$268*F188)+10*(Adjust!$B$268*B188+Adjust!$C$268*C188+Adjust!$D$268*D188+Adjust!$G$268*G188)</f>
        <v>22.805391732342663</v>
      </c>
      <c r="I188" s="10"/>
    </row>
    <row r="189" spans="1:9" x14ac:dyDescent="0.25">
      <c r="A189" s="24" t="s">
        <v>193</v>
      </c>
      <c r="I189" s="10"/>
    </row>
    <row r="190" spans="1:9" x14ac:dyDescent="0.25">
      <c r="A190" s="3" t="s">
        <v>193</v>
      </c>
      <c r="B190" s="33">
        <f>B$69/IF(B$100="kVA",IF(F$69,F$69,1),IF(B$100="MPAN",IF(E$69,E$69,1),IF(H$69,H$69,1)))</f>
        <v>0.27268696177379081</v>
      </c>
      <c r="C190" s="33">
        <f>C$69/IF(B$100="kVA",IF(F$69,F$69,1),IF(B$100="MPAN",IF(E$69,E$69,1),IF(H$69,H$69,1)))</f>
        <v>1.0538943403872671</v>
      </c>
      <c r="D190" s="33">
        <f>D$69/IF(B$100="kVA",IF(F$69,F$69,1),IF(B$100="MPAN",IF(E$69,E$69,1),IF(H$69,H$69,1)))</f>
        <v>1.4515110183840423</v>
      </c>
      <c r="E190" s="33">
        <f>E$69/IF(B$100="kVA",IF(F$69,F$69,1),IF(B$100="MPAN",IF(E$69,E$69,1),IF(H$69,H$69,1)))</f>
        <v>1.1599220413828625E-3</v>
      </c>
      <c r="F190" s="33">
        <f>F$69/IF(B$100="kVA",IF(F$69,F$69,1),IF(B$100="MPAN",IF(E$69,E$69,1),IF(H$69,H$69,1)))</f>
        <v>1</v>
      </c>
      <c r="G190" s="33">
        <f>G$69/IF(B$100="kVA",IF(F$69,F$69,1),IF(B$100="MPAN",IF(E$69,E$69,1),IF(H$69,H$69,1)))</f>
        <v>0.25003006961434271</v>
      </c>
      <c r="H190" s="41">
        <f>0.01*Input!F$58*(Adjust!$E$270*E190+Adjust!$F$270*F190)+10*(Adjust!$B$270*B190+Adjust!$C$270*C190+Adjust!$D$270*D190+Adjust!$G$270*G190)</f>
        <v>37.460594020302359</v>
      </c>
      <c r="I190" s="10"/>
    </row>
    <row r="191" spans="1:9" x14ac:dyDescent="0.25">
      <c r="A191" s="3" t="s">
        <v>263</v>
      </c>
      <c r="B191" s="33">
        <f>B$69/IF(B$100="kVA",IF(F$69,F$69,1),IF(B$100="MPAN",IF(E$69,E$69,1),IF(H$69,H$69,1)))</f>
        <v>0.27268696177379081</v>
      </c>
      <c r="C191" s="33">
        <f>C$69/IF(B$100="kVA",IF(F$69,F$69,1),IF(B$100="MPAN",IF(E$69,E$69,1),IF(H$69,H$69,1)))</f>
        <v>1.0538943403872671</v>
      </c>
      <c r="D191" s="33">
        <f>D$69/IF(B$100="kVA",IF(F$69,F$69,1),IF(B$100="MPAN",IF(E$69,E$69,1),IF(H$69,H$69,1)))</f>
        <v>1.4515110183840423</v>
      </c>
      <c r="E191" s="33">
        <f>E$69/IF(B$100="kVA",IF(F$69,F$69,1),IF(B$100="MPAN",IF(E$69,E$69,1),IF(H$69,H$69,1)))</f>
        <v>1.1599220413828625E-3</v>
      </c>
      <c r="F191" s="33">
        <f>F$69/IF(B$100="kVA",IF(F$69,F$69,1),IF(B$100="MPAN",IF(E$69,E$69,1),IF(H$69,H$69,1)))</f>
        <v>1</v>
      </c>
      <c r="G191" s="33">
        <f>G$69/IF(B$100="kVA",IF(F$69,F$69,1),IF(B$100="MPAN",IF(E$69,E$69,1),IF(H$69,H$69,1)))</f>
        <v>0.25003006961434271</v>
      </c>
      <c r="H191" s="41">
        <f>0.01*Input!F$58*(Adjust!$E$271*E191+Adjust!$F$271*F191)+10*(Adjust!$B$271*B191+Adjust!$C$271*C191+Adjust!$D$271*D191+Adjust!$G$271*G191)</f>
        <v>31.503209885065715</v>
      </c>
      <c r="I191" s="10"/>
    </row>
    <row r="192" spans="1:9" x14ac:dyDescent="0.25">
      <c r="A192" s="24" t="s">
        <v>213</v>
      </c>
      <c r="I192" s="10"/>
    </row>
    <row r="193" spans="1:9" x14ac:dyDescent="0.25">
      <c r="A193" s="3" t="s">
        <v>213</v>
      </c>
      <c r="B193" s="33">
        <f>B$70/IF(B$101="kVA",IF(F$70,F$70,1),IF(B$101="MPAN",IF(E$70,E$70,1),IF(H$70,H$70,1)))</f>
        <v>1</v>
      </c>
      <c r="C193" s="33">
        <f>C$70/IF(B$101="kVA",IF(F$70,F$70,1),IF(B$101="MPAN",IF(E$70,E$70,1),IF(H$70,H$70,1)))</f>
        <v>0</v>
      </c>
      <c r="D193" s="33">
        <f>D$70/IF(B$101="kVA",IF(F$70,F$70,1),IF(B$101="MPAN",IF(E$70,E$70,1),IF(H$70,H$70,1)))</f>
        <v>0</v>
      </c>
      <c r="E193" s="33">
        <f>E$70/IF(B$101="kVA",IF(F$70,F$70,1),IF(B$101="MPAN",IF(E$70,E$70,1),IF(H$70,H$70,1)))</f>
        <v>2.8650722863508032E-2</v>
      </c>
      <c r="F193" s="33">
        <f>F$70/IF(B$101="kVA",IF(F$70,F$70,1),IF(B$101="MPAN",IF(E$70,E$70,1),IF(H$70,H$70,1)))</f>
        <v>0</v>
      </c>
      <c r="G193" s="33">
        <f>G$70/IF(B$101="kVA",IF(F$70,F$70,1),IF(B$101="MPAN",IF(E$70,E$70,1),IF(H$70,H$70,1)))</f>
        <v>0</v>
      </c>
      <c r="H193" s="41">
        <f>0.01*Input!F$58*(Adjust!$E$273*E193+Adjust!$F$273*F193)+10*(Adjust!$B$273*B193+Adjust!$C$273*C193+Adjust!$D$273*D193+Adjust!$G$273*G193)</f>
        <v>18.939999999999998</v>
      </c>
      <c r="I193" s="10"/>
    </row>
    <row r="194" spans="1:9" x14ac:dyDescent="0.25">
      <c r="A194" s="3" t="s">
        <v>265</v>
      </c>
      <c r="B194" s="33">
        <f>B$70/IF(B$101="kVA",IF(F$70,F$70,1),IF(B$101="MPAN",IF(E$70,E$70,1),IF(H$70,H$70,1)))</f>
        <v>1</v>
      </c>
      <c r="C194" s="33">
        <f>C$70/IF(B$101="kVA",IF(F$70,F$70,1),IF(B$101="MPAN",IF(E$70,E$70,1),IF(H$70,H$70,1)))</f>
        <v>0</v>
      </c>
      <c r="D194" s="33">
        <f>D$70/IF(B$101="kVA",IF(F$70,F$70,1),IF(B$101="MPAN",IF(E$70,E$70,1),IF(H$70,H$70,1)))</f>
        <v>0</v>
      </c>
      <c r="E194" s="33">
        <f>E$70/IF(B$101="kVA",IF(F$70,F$70,1),IF(B$101="MPAN",IF(E$70,E$70,1),IF(H$70,H$70,1)))</f>
        <v>2.8650722863508032E-2</v>
      </c>
      <c r="F194" s="33">
        <f>F$70/IF(B$101="kVA",IF(F$70,F$70,1),IF(B$101="MPAN",IF(E$70,E$70,1),IF(H$70,H$70,1)))</f>
        <v>0</v>
      </c>
      <c r="G194" s="33">
        <f>G$70/IF(B$101="kVA",IF(F$70,F$70,1),IF(B$101="MPAN",IF(E$70,E$70,1),IF(H$70,H$70,1)))</f>
        <v>0</v>
      </c>
      <c r="H194" s="41">
        <f>0.01*Input!F$58*(Adjust!$E$274*E194+Adjust!$F$274*F194)+10*(Adjust!$B$274*B194+Adjust!$C$274*C194+Adjust!$D$274*D194+Adjust!$G$274*G194)</f>
        <v>13.23</v>
      </c>
      <c r="I194" s="10"/>
    </row>
    <row r="195" spans="1:9" x14ac:dyDescent="0.25">
      <c r="A195" s="3" t="s">
        <v>266</v>
      </c>
      <c r="B195" s="33">
        <f>B$70/IF(B$101="kVA",IF(F$70,F$70,1),IF(B$101="MPAN",IF(E$70,E$70,1),IF(H$70,H$70,1)))</f>
        <v>1</v>
      </c>
      <c r="C195" s="33">
        <f>C$70/IF(B$101="kVA",IF(F$70,F$70,1),IF(B$101="MPAN",IF(E$70,E$70,1),IF(H$70,H$70,1)))</f>
        <v>0</v>
      </c>
      <c r="D195" s="33">
        <f>D$70/IF(B$101="kVA",IF(F$70,F$70,1),IF(B$101="MPAN",IF(E$70,E$70,1),IF(H$70,H$70,1)))</f>
        <v>0</v>
      </c>
      <c r="E195" s="33">
        <f>E$70/IF(B$101="kVA",IF(F$70,F$70,1),IF(B$101="MPAN",IF(E$70,E$70,1),IF(H$70,H$70,1)))</f>
        <v>2.8650722863508032E-2</v>
      </c>
      <c r="F195" s="33">
        <f>F$70/IF(B$101="kVA",IF(F$70,F$70,1),IF(B$101="MPAN",IF(E$70,E$70,1),IF(H$70,H$70,1)))</f>
        <v>0</v>
      </c>
      <c r="G195" s="33">
        <f>G$70/IF(B$101="kVA",IF(F$70,F$70,1),IF(B$101="MPAN",IF(E$70,E$70,1),IF(H$70,H$70,1)))</f>
        <v>0</v>
      </c>
      <c r="H195" s="41">
        <f>0.01*Input!F$58*(Adjust!$E$275*E195+Adjust!$F$275*F195)+10*(Adjust!$B$275*B195+Adjust!$C$275*C195+Adjust!$D$275*D195+Adjust!$G$275*G195)</f>
        <v>9.69</v>
      </c>
      <c r="I195" s="10"/>
    </row>
    <row r="196" spans="1:9" x14ac:dyDescent="0.25">
      <c r="A196" s="24" t="s">
        <v>214</v>
      </c>
      <c r="I196" s="10"/>
    </row>
    <row r="197" spans="1:9" x14ac:dyDescent="0.25">
      <c r="A197" s="3" t="s">
        <v>214</v>
      </c>
      <c r="B197" s="33">
        <f>B$71/IF(B$102="kVA",IF(F$71,F$71,1),IF(B$102="MPAN",IF(E$71,E$71,1),IF(H$71,H$71,1)))</f>
        <v>1</v>
      </c>
      <c r="C197" s="33">
        <f>C$71/IF(B$102="kVA",IF(F$71,F$71,1),IF(B$102="MPAN",IF(E$71,E$71,1),IF(H$71,H$71,1)))</f>
        <v>0</v>
      </c>
      <c r="D197" s="33">
        <f>D$71/IF(B$102="kVA",IF(F$71,F$71,1),IF(B$102="MPAN",IF(E$71,E$71,1),IF(H$71,H$71,1)))</f>
        <v>0</v>
      </c>
      <c r="E197" s="33">
        <f>E$71/IF(B$102="kVA",IF(F$71,F$71,1),IF(B$102="MPAN",IF(E$71,E$71,1),IF(H$71,H$71,1)))</f>
        <v>5.1848173590082543E-2</v>
      </c>
      <c r="F197" s="33">
        <f>F$71/IF(B$102="kVA",IF(F$71,F$71,1),IF(B$102="MPAN",IF(E$71,E$71,1),IF(H$71,H$71,1)))</f>
        <v>0</v>
      </c>
      <c r="G197" s="33">
        <f>G$71/IF(B$102="kVA",IF(F$71,F$71,1),IF(B$102="MPAN",IF(E$71,E$71,1),IF(H$71,H$71,1)))</f>
        <v>0</v>
      </c>
      <c r="H197" s="41">
        <f>0.01*Input!F$58*(Adjust!$E$277*E197+Adjust!$F$277*F197)+10*(Adjust!$B$277*B197+Adjust!$C$277*C197+Adjust!$D$277*D197+Adjust!$G$277*G197)</f>
        <v>25.08</v>
      </c>
      <c r="I197" s="10"/>
    </row>
    <row r="198" spans="1:9" x14ac:dyDescent="0.25">
      <c r="A198" s="3" t="s">
        <v>268</v>
      </c>
      <c r="B198" s="33">
        <f>B$71/IF(B$102="kVA",IF(F$71,F$71,1),IF(B$102="MPAN",IF(E$71,E$71,1),IF(H$71,H$71,1)))</f>
        <v>1</v>
      </c>
      <c r="C198" s="33">
        <f>C$71/IF(B$102="kVA",IF(F$71,F$71,1),IF(B$102="MPAN",IF(E$71,E$71,1),IF(H$71,H$71,1)))</f>
        <v>0</v>
      </c>
      <c r="D198" s="33">
        <f>D$71/IF(B$102="kVA",IF(F$71,F$71,1),IF(B$102="MPAN",IF(E$71,E$71,1),IF(H$71,H$71,1)))</f>
        <v>0</v>
      </c>
      <c r="E198" s="33">
        <f>E$71/IF(B$102="kVA",IF(F$71,F$71,1),IF(B$102="MPAN",IF(E$71,E$71,1),IF(H$71,H$71,1)))</f>
        <v>5.1848173590082543E-2</v>
      </c>
      <c r="F198" s="33">
        <f>F$71/IF(B$102="kVA",IF(F$71,F$71,1),IF(B$102="MPAN",IF(E$71,E$71,1),IF(H$71,H$71,1)))</f>
        <v>0</v>
      </c>
      <c r="G198" s="33">
        <f>G$71/IF(B$102="kVA",IF(F$71,F$71,1),IF(B$102="MPAN",IF(E$71,E$71,1),IF(H$71,H$71,1)))</f>
        <v>0</v>
      </c>
      <c r="H198" s="41">
        <f>0.01*Input!F$58*(Adjust!$E$278*E198+Adjust!$F$278*F198)+10*(Adjust!$B$278*B198+Adjust!$C$278*C198+Adjust!$D$278*D198+Adjust!$G$278*G198)</f>
        <v>17.529999999999998</v>
      </c>
      <c r="I198" s="10"/>
    </row>
    <row r="199" spans="1:9" x14ac:dyDescent="0.25">
      <c r="A199" s="3" t="s">
        <v>269</v>
      </c>
      <c r="B199" s="33">
        <f>B$71/IF(B$102="kVA",IF(F$71,F$71,1),IF(B$102="MPAN",IF(E$71,E$71,1),IF(H$71,H$71,1)))</f>
        <v>1</v>
      </c>
      <c r="C199" s="33">
        <f>C$71/IF(B$102="kVA",IF(F$71,F$71,1),IF(B$102="MPAN",IF(E$71,E$71,1),IF(H$71,H$71,1)))</f>
        <v>0</v>
      </c>
      <c r="D199" s="33">
        <f>D$71/IF(B$102="kVA",IF(F$71,F$71,1),IF(B$102="MPAN",IF(E$71,E$71,1),IF(H$71,H$71,1)))</f>
        <v>0</v>
      </c>
      <c r="E199" s="33">
        <f>E$71/IF(B$102="kVA",IF(F$71,F$71,1),IF(B$102="MPAN",IF(E$71,E$71,1),IF(H$71,H$71,1)))</f>
        <v>5.1848173590082543E-2</v>
      </c>
      <c r="F199" s="33">
        <f>F$71/IF(B$102="kVA",IF(F$71,F$71,1),IF(B$102="MPAN",IF(E$71,E$71,1),IF(H$71,H$71,1)))</f>
        <v>0</v>
      </c>
      <c r="G199" s="33">
        <f>G$71/IF(B$102="kVA",IF(F$71,F$71,1),IF(B$102="MPAN",IF(E$71,E$71,1),IF(H$71,H$71,1)))</f>
        <v>0</v>
      </c>
      <c r="H199" s="41">
        <f>0.01*Input!F$58*(Adjust!$E$279*E199+Adjust!$F$279*F199)+10*(Adjust!$B$279*B199+Adjust!$C$279*C199+Adjust!$D$279*D199+Adjust!$G$279*G199)</f>
        <v>12.84</v>
      </c>
      <c r="I199" s="10"/>
    </row>
    <row r="200" spans="1:9" x14ac:dyDescent="0.25">
      <c r="A200" s="24" t="s">
        <v>215</v>
      </c>
      <c r="I200" s="10"/>
    </row>
    <row r="201" spans="1:9" x14ac:dyDescent="0.25">
      <c r="A201" s="3" t="s">
        <v>215</v>
      </c>
      <c r="B201" s="33">
        <f>B$72/IF(B$103="kVA",IF(F$72,F$72,1),IF(B$103="MPAN",IF(E$72,E$72,1),IF(H$72,H$72,1)))</f>
        <v>1</v>
      </c>
      <c r="C201" s="33">
        <f>C$72/IF(B$103="kVA",IF(F$72,F$72,1),IF(B$103="MPAN",IF(E$72,E$72,1),IF(H$72,H$72,1)))</f>
        <v>0</v>
      </c>
      <c r="D201" s="33">
        <f>D$72/IF(B$103="kVA",IF(F$72,F$72,1),IF(B$103="MPAN",IF(E$72,E$72,1),IF(H$72,H$72,1)))</f>
        <v>0</v>
      </c>
      <c r="E201" s="33">
        <f>E$72/IF(B$103="kVA",IF(F$72,F$72,1),IF(B$103="MPAN",IF(E$72,E$72,1),IF(H$72,H$72,1)))</f>
        <v>0.45417848083493328</v>
      </c>
      <c r="F201" s="33">
        <f>F$72/IF(B$103="kVA",IF(F$72,F$72,1),IF(B$103="MPAN",IF(E$72,E$72,1),IF(H$72,H$72,1)))</f>
        <v>0</v>
      </c>
      <c r="G201" s="33">
        <f>G$72/IF(B$103="kVA",IF(F$72,F$72,1),IF(B$103="MPAN",IF(E$72,E$72,1),IF(H$72,H$72,1)))</f>
        <v>0</v>
      </c>
      <c r="H201" s="41">
        <f>0.01*Input!F$58*(Adjust!$E$281*E201+Adjust!$F$281*F201)+10*(Adjust!$B$281*B201+Adjust!$C$281*C201+Adjust!$D$281*D201+Adjust!$G$281*G201)</f>
        <v>40.4</v>
      </c>
      <c r="I201" s="10"/>
    </row>
    <row r="202" spans="1:9" x14ac:dyDescent="0.25">
      <c r="A202" s="3" t="s">
        <v>271</v>
      </c>
      <c r="B202" s="33">
        <f>B$72/IF(B$103="kVA",IF(F$72,F$72,1),IF(B$103="MPAN",IF(E$72,E$72,1),IF(H$72,H$72,1)))</f>
        <v>1</v>
      </c>
      <c r="C202" s="33">
        <f>C$72/IF(B$103="kVA",IF(F$72,F$72,1),IF(B$103="MPAN",IF(E$72,E$72,1),IF(H$72,H$72,1)))</f>
        <v>0</v>
      </c>
      <c r="D202" s="33">
        <f>D$72/IF(B$103="kVA",IF(F$72,F$72,1),IF(B$103="MPAN",IF(E$72,E$72,1),IF(H$72,H$72,1)))</f>
        <v>0</v>
      </c>
      <c r="E202" s="33">
        <f>E$72/IF(B$103="kVA",IF(F$72,F$72,1),IF(B$103="MPAN",IF(E$72,E$72,1),IF(H$72,H$72,1)))</f>
        <v>0.45417848083493328</v>
      </c>
      <c r="F202" s="33">
        <f>F$72/IF(B$103="kVA",IF(F$72,F$72,1),IF(B$103="MPAN",IF(E$72,E$72,1),IF(H$72,H$72,1)))</f>
        <v>0</v>
      </c>
      <c r="G202" s="33">
        <f>G$72/IF(B$103="kVA",IF(F$72,F$72,1),IF(B$103="MPAN",IF(E$72,E$72,1),IF(H$72,H$72,1)))</f>
        <v>0</v>
      </c>
      <c r="H202" s="41">
        <f>0.01*Input!F$58*(Adjust!$E$282*E202+Adjust!$F$282*F202)+10*(Adjust!$B$282*B202+Adjust!$C$282*C202+Adjust!$D$282*D202+Adjust!$G$282*G202)</f>
        <v>28.23</v>
      </c>
      <c r="I202" s="10"/>
    </row>
    <row r="203" spans="1:9" x14ac:dyDescent="0.25">
      <c r="A203" s="3" t="s">
        <v>272</v>
      </c>
      <c r="B203" s="33">
        <f>B$72/IF(B$103="kVA",IF(F$72,F$72,1),IF(B$103="MPAN",IF(E$72,E$72,1),IF(H$72,H$72,1)))</f>
        <v>1</v>
      </c>
      <c r="C203" s="33">
        <f>C$72/IF(B$103="kVA",IF(F$72,F$72,1),IF(B$103="MPAN",IF(E$72,E$72,1),IF(H$72,H$72,1)))</f>
        <v>0</v>
      </c>
      <c r="D203" s="33">
        <f>D$72/IF(B$103="kVA",IF(F$72,F$72,1),IF(B$103="MPAN",IF(E$72,E$72,1),IF(H$72,H$72,1)))</f>
        <v>0</v>
      </c>
      <c r="E203" s="33">
        <f>E$72/IF(B$103="kVA",IF(F$72,F$72,1),IF(B$103="MPAN",IF(E$72,E$72,1),IF(H$72,H$72,1)))</f>
        <v>0.45417848083493328</v>
      </c>
      <c r="F203" s="33">
        <f>F$72/IF(B$103="kVA",IF(F$72,F$72,1),IF(B$103="MPAN",IF(E$72,E$72,1),IF(H$72,H$72,1)))</f>
        <v>0</v>
      </c>
      <c r="G203" s="33">
        <f>G$72/IF(B$103="kVA",IF(F$72,F$72,1),IF(B$103="MPAN",IF(E$72,E$72,1),IF(H$72,H$72,1)))</f>
        <v>0</v>
      </c>
      <c r="H203" s="41">
        <f>0.01*Input!F$58*(Adjust!$E$283*E203+Adjust!$F$283*F203)+10*(Adjust!$B$283*B203+Adjust!$C$283*C203+Adjust!$D$283*D203+Adjust!$G$283*G203)</f>
        <v>20.68</v>
      </c>
      <c r="I203" s="10"/>
    </row>
    <row r="204" spans="1:9" x14ac:dyDescent="0.25">
      <c r="A204" s="24" t="s">
        <v>216</v>
      </c>
      <c r="I204" s="10"/>
    </row>
    <row r="205" spans="1:9" x14ac:dyDescent="0.25">
      <c r="A205" s="3" t="s">
        <v>216</v>
      </c>
      <c r="B205" s="33">
        <f>B$73/IF(B$104="kVA",IF(F$73,F$73,1),IF(B$104="MPAN",IF(E$73,E$73,1),IF(H$73,H$73,1)))</f>
        <v>1</v>
      </c>
      <c r="C205" s="33">
        <f>C$73/IF(B$104="kVA",IF(F$73,F$73,1),IF(B$104="MPAN",IF(E$73,E$73,1),IF(H$73,H$73,1)))</f>
        <v>0</v>
      </c>
      <c r="D205" s="33">
        <f>D$73/IF(B$104="kVA",IF(F$73,F$73,1),IF(B$104="MPAN",IF(E$73,E$73,1),IF(H$73,H$73,1)))</f>
        <v>0</v>
      </c>
      <c r="E205" s="33">
        <f>E$73/IF(B$104="kVA",IF(F$73,F$73,1),IF(B$104="MPAN",IF(E$73,E$73,1),IF(H$73,H$73,1)))</f>
        <v>3.1441694565894261E-2</v>
      </c>
      <c r="F205" s="33">
        <f>F$73/IF(B$104="kVA",IF(F$73,F$73,1),IF(B$104="MPAN",IF(E$73,E$73,1),IF(H$73,H$73,1)))</f>
        <v>0</v>
      </c>
      <c r="G205" s="33">
        <f>G$73/IF(B$104="kVA",IF(F$73,F$73,1),IF(B$104="MPAN",IF(E$73,E$73,1),IF(H$73,H$73,1)))</f>
        <v>0</v>
      </c>
      <c r="H205" s="41">
        <f>0.01*Input!F$58*(Adjust!$E$285*E205+Adjust!$F$285*F205)+10*(Adjust!$B$285*B205+Adjust!$C$285*C205+Adjust!$D$285*D205+Adjust!$G$285*G205)</f>
        <v>12.85</v>
      </c>
      <c r="I205" s="10"/>
    </row>
    <row r="206" spans="1:9" x14ac:dyDescent="0.25">
      <c r="A206" s="3" t="s">
        <v>274</v>
      </c>
      <c r="B206" s="33">
        <f>B$73/IF(B$104="kVA",IF(F$73,F$73,1),IF(B$104="MPAN",IF(E$73,E$73,1),IF(H$73,H$73,1)))</f>
        <v>1</v>
      </c>
      <c r="C206" s="33">
        <f>C$73/IF(B$104="kVA",IF(F$73,F$73,1),IF(B$104="MPAN",IF(E$73,E$73,1),IF(H$73,H$73,1)))</f>
        <v>0</v>
      </c>
      <c r="D206" s="33">
        <f>D$73/IF(B$104="kVA",IF(F$73,F$73,1),IF(B$104="MPAN",IF(E$73,E$73,1),IF(H$73,H$73,1)))</f>
        <v>0</v>
      </c>
      <c r="E206" s="33">
        <f>E$73/IF(B$104="kVA",IF(F$73,F$73,1),IF(B$104="MPAN",IF(E$73,E$73,1),IF(H$73,H$73,1)))</f>
        <v>3.1441694565894261E-2</v>
      </c>
      <c r="F206" s="33">
        <f>F$73/IF(B$104="kVA",IF(F$73,F$73,1),IF(B$104="MPAN",IF(E$73,E$73,1),IF(H$73,H$73,1)))</f>
        <v>0</v>
      </c>
      <c r="G206" s="33">
        <f>G$73/IF(B$104="kVA",IF(F$73,F$73,1),IF(B$104="MPAN",IF(E$73,E$73,1),IF(H$73,H$73,1)))</f>
        <v>0</v>
      </c>
      <c r="H206" s="41">
        <f>0.01*Input!F$58*(Adjust!$E$286*E206+Adjust!$F$286*F206)+10*(Adjust!$B$286*B206+Adjust!$C$286*C206+Adjust!$D$286*D206+Adjust!$G$286*G206)</f>
        <v>8.98</v>
      </c>
      <c r="I206" s="10"/>
    </row>
    <row r="207" spans="1:9" x14ac:dyDescent="0.25">
      <c r="A207" s="3" t="s">
        <v>275</v>
      </c>
      <c r="B207" s="33">
        <f>B$73/IF(B$104="kVA",IF(F$73,F$73,1),IF(B$104="MPAN",IF(E$73,E$73,1),IF(H$73,H$73,1)))</f>
        <v>1</v>
      </c>
      <c r="C207" s="33">
        <f>C$73/IF(B$104="kVA",IF(F$73,F$73,1),IF(B$104="MPAN",IF(E$73,E$73,1),IF(H$73,H$73,1)))</f>
        <v>0</v>
      </c>
      <c r="D207" s="33">
        <f>D$73/IF(B$104="kVA",IF(F$73,F$73,1),IF(B$104="MPAN",IF(E$73,E$73,1),IF(H$73,H$73,1)))</f>
        <v>0</v>
      </c>
      <c r="E207" s="33">
        <f>E$73/IF(B$104="kVA",IF(F$73,F$73,1),IF(B$104="MPAN",IF(E$73,E$73,1),IF(H$73,H$73,1)))</f>
        <v>3.1441694565894261E-2</v>
      </c>
      <c r="F207" s="33">
        <f>F$73/IF(B$104="kVA",IF(F$73,F$73,1),IF(B$104="MPAN",IF(E$73,E$73,1),IF(H$73,H$73,1)))</f>
        <v>0</v>
      </c>
      <c r="G207" s="33">
        <f>G$73/IF(B$104="kVA",IF(F$73,F$73,1),IF(B$104="MPAN",IF(E$73,E$73,1),IF(H$73,H$73,1)))</f>
        <v>0</v>
      </c>
      <c r="H207" s="41">
        <f>0.01*Input!F$58*(Adjust!$E$287*E207+Adjust!$F$287*F207)+10*(Adjust!$B$287*B207+Adjust!$C$287*C207+Adjust!$D$287*D207+Adjust!$G$287*G207)</f>
        <v>6.58</v>
      </c>
      <c r="I207" s="10"/>
    </row>
    <row r="208" spans="1:9" x14ac:dyDescent="0.25">
      <c r="A208" s="24" t="s">
        <v>217</v>
      </c>
      <c r="I208" s="10"/>
    </row>
    <row r="209" spans="1:9" x14ac:dyDescent="0.25">
      <c r="A209" s="3" t="s">
        <v>217</v>
      </c>
      <c r="B209" s="33">
        <f>B$74/IF(B$105="kVA",IF(F$74,F$74,1),IF(B$105="MPAN",IF(E$74,E$74,1),IF(H$74,H$74,1)))</f>
        <v>5.3428535016359441E-2</v>
      </c>
      <c r="C209" s="33">
        <f>C$74/IF(B$105="kVA",IF(F$74,F$74,1),IF(B$105="MPAN",IF(E$74,E$74,1),IF(H$74,H$74,1)))</f>
        <v>0.12265788122074195</v>
      </c>
      <c r="D209" s="33">
        <f>D$74/IF(B$105="kVA",IF(F$74,F$74,1),IF(B$105="MPAN",IF(E$74,E$74,1),IF(H$74,H$74,1)))</f>
        <v>0.82391358376289869</v>
      </c>
      <c r="E209" s="33">
        <f>E$74/IF(B$105="kVA",IF(F$74,F$74,1),IF(B$105="MPAN",IF(E$74,E$74,1),IF(H$74,H$74,1)))</f>
        <v>4.8479574238425899E-4</v>
      </c>
      <c r="F209" s="33">
        <f>F$74/IF(B$105="kVA",IF(F$74,F$74,1),IF(B$105="MPAN",IF(E$74,E$74,1),IF(H$74,H$74,1)))</f>
        <v>0</v>
      </c>
      <c r="G209" s="33">
        <f>G$74/IF(B$105="kVA",IF(F$74,F$74,1),IF(B$105="MPAN",IF(E$74,E$74,1),IF(H$74,H$74,1)))</f>
        <v>0</v>
      </c>
      <c r="H209" s="41">
        <f>0.01*Input!F$58*(Adjust!$E$289*E209+Adjust!$F$289*F209)+10*(Adjust!$B$289*B209+Adjust!$C$289*C209+Adjust!$D$289*D209+Adjust!$G$289*G209)</f>
        <v>26.702291964190053</v>
      </c>
      <c r="I209" s="10"/>
    </row>
    <row r="210" spans="1:9" x14ac:dyDescent="0.25">
      <c r="A210" s="3" t="s">
        <v>277</v>
      </c>
      <c r="B210" s="33">
        <f>B$74/IF(B$105="kVA",IF(F$74,F$74,1),IF(B$105="MPAN",IF(E$74,E$74,1),IF(H$74,H$74,1)))</f>
        <v>5.3428535016359441E-2</v>
      </c>
      <c r="C210" s="33">
        <f>C$74/IF(B$105="kVA",IF(F$74,F$74,1),IF(B$105="MPAN",IF(E$74,E$74,1),IF(H$74,H$74,1)))</f>
        <v>0.12265788122074195</v>
      </c>
      <c r="D210" s="33">
        <f>D$74/IF(B$105="kVA",IF(F$74,F$74,1),IF(B$105="MPAN",IF(E$74,E$74,1),IF(H$74,H$74,1)))</f>
        <v>0.82391358376289869</v>
      </c>
      <c r="E210" s="33">
        <f>E$74/IF(B$105="kVA",IF(F$74,F$74,1),IF(B$105="MPAN",IF(E$74,E$74,1),IF(H$74,H$74,1)))</f>
        <v>4.8479574238425899E-4</v>
      </c>
      <c r="F210" s="33">
        <f>F$74/IF(B$105="kVA",IF(F$74,F$74,1),IF(B$105="MPAN",IF(E$74,E$74,1),IF(H$74,H$74,1)))</f>
        <v>0</v>
      </c>
      <c r="G210" s="33">
        <f>G$74/IF(B$105="kVA",IF(F$74,F$74,1),IF(B$105="MPAN",IF(E$74,E$74,1),IF(H$74,H$74,1)))</f>
        <v>0</v>
      </c>
      <c r="H210" s="41">
        <f>0.01*Input!F$58*(Adjust!$E$290*E210+Adjust!$F$290*F210)+10*(Adjust!$B$290*B210+Adjust!$C$290*C210+Adjust!$D$290*D210+Adjust!$G$290*G210)</f>
        <v>18.661753267579741</v>
      </c>
      <c r="I210" s="10"/>
    </row>
    <row r="211" spans="1:9" x14ac:dyDescent="0.25">
      <c r="A211" s="3" t="s">
        <v>278</v>
      </c>
      <c r="B211" s="33">
        <f>B$74/IF(B$105="kVA",IF(F$74,F$74,1),IF(B$105="MPAN",IF(E$74,E$74,1),IF(H$74,H$74,1)))</f>
        <v>5.3428535016359441E-2</v>
      </c>
      <c r="C211" s="33">
        <f>C$74/IF(B$105="kVA",IF(F$74,F$74,1),IF(B$105="MPAN",IF(E$74,E$74,1),IF(H$74,H$74,1)))</f>
        <v>0.12265788122074195</v>
      </c>
      <c r="D211" s="33">
        <f>D$74/IF(B$105="kVA",IF(F$74,F$74,1),IF(B$105="MPAN",IF(E$74,E$74,1),IF(H$74,H$74,1)))</f>
        <v>0.82391358376289869</v>
      </c>
      <c r="E211" s="33">
        <f>E$74/IF(B$105="kVA",IF(F$74,F$74,1),IF(B$105="MPAN",IF(E$74,E$74,1),IF(H$74,H$74,1)))</f>
        <v>4.8479574238425899E-4</v>
      </c>
      <c r="F211" s="33">
        <f>F$74/IF(B$105="kVA",IF(F$74,F$74,1),IF(B$105="MPAN",IF(E$74,E$74,1),IF(H$74,H$74,1)))</f>
        <v>0</v>
      </c>
      <c r="G211" s="33">
        <f>G$74/IF(B$105="kVA",IF(F$74,F$74,1),IF(B$105="MPAN",IF(E$74,E$74,1),IF(H$74,H$74,1)))</f>
        <v>0</v>
      </c>
      <c r="H211" s="41">
        <f>0.01*Input!F$58*(Adjust!$E$291*E211+Adjust!$F$291*F211)+10*(Adjust!$B$291*B211+Adjust!$C$291*C211+Adjust!$D$291*D211+Adjust!$G$291*G211)</f>
        <v>13.661909148933821</v>
      </c>
      <c r="I211" s="10"/>
    </row>
    <row r="212" spans="1:9" x14ac:dyDescent="0.25">
      <c r="A212" s="24" t="s">
        <v>181</v>
      </c>
      <c r="I212" s="10"/>
    </row>
    <row r="213" spans="1:9" x14ac:dyDescent="0.25">
      <c r="A213" s="3" t="s">
        <v>181</v>
      </c>
      <c r="B213" s="33">
        <f>B$75/IF(B$106="kVA",IF(F$75,F$75,1),IF(B$106="MPAN",IF(E$75,E$75,1),IF(H$75,H$75,1)))</f>
        <v>1</v>
      </c>
      <c r="C213" s="33">
        <f>C$75/IF(B$106="kVA",IF(F$75,F$75,1),IF(B$106="MPAN",IF(E$75,E$75,1),IF(H$75,H$75,1)))</f>
        <v>0</v>
      </c>
      <c r="D213" s="33">
        <f>D$75/IF(B$106="kVA",IF(F$75,F$75,1),IF(B$106="MPAN",IF(E$75,E$75,1),IF(H$75,H$75,1)))</f>
        <v>0</v>
      </c>
      <c r="E213" s="33">
        <f>E$75/IF(B$106="kVA",IF(F$75,F$75,1),IF(B$106="MPAN",IF(E$75,E$75,1),IF(H$75,H$75,1)))</f>
        <v>1.3924442002139565E-2</v>
      </c>
      <c r="F213" s="33">
        <f>F$75/IF(B$106="kVA",IF(F$75,F$75,1),IF(B$106="MPAN",IF(E$75,E$75,1),IF(H$75,H$75,1)))</f>
        <v>0</v>
      </c>
      <c r="G213" s="33">
        <f>G$75/IF(B$106="kVA",IF(F$75,F$75,1),IF(B$106="MPAN",IF(E$75,E$75,1),IF(H$75,H$75,1)))</f>
        <v>0</v>
      </c>
      <c r="H213" s="41">
        <f>0.01*Input!F$58*(Adjust!$E$293*E213+Adjust!$F$293*F213)+10*(Adjust!$B$293*B213+Adjust!$C$293*C213+Adjust!$D$293*D213+Adjust!$G$293*G213)</f>
        <v>-6.26</v>
      </c>
      <c r="I213" s="10"/>
    </row>
    <row r="214" spans="1:9" x14ac:dyDescent="0.25">
      <c r="A214" s="3" t="s">
        <v>280</v>
      </c>
      <c r="B214" s="33">
        <f>B$75/IF(B$106="kVA",IF(F$75,F$75,1),IF(B$106="MPAN",IF(E$75,E$75,1),IF(H$75,H$75,1)))</f>
        <v>1</v>
      </c>
      <c r="C214" s="33">
        <f>C$75/IF(B$106="kVA",IF(F$75,F$75,1),IF(B$106="MPAN",IF(E$75,E$75,1),IF(H$75,H$75,1)))</f>
        <v>0</v>
      </c>
      <c r="D214" s="33">
        <f>D$75/IF(B$106="kVA",IF(F$75,F$75,1),IF(B$106="MPAN",IF(E$75,E$75,1),IF(H$75,H$75,1)))</f>
        <v>0</v>
      </c>
      <c r="E214" s="33">
        <f>E$75/IF(B$106="kVA",IF(F$75,F$75,1),IF(B$106="MPAN",IF(E$75,E$75,1),IF(H$75,H$75,1)))</f>
        <v>1.3924442002139565E-2</v>
      </c>
      <c r="F214" s="33">
        <f>F$75/IF(B$106="kVA",IF(F$75,F$75,1),IF(B$106="MPAN",IF(E$75,E$75,1),IF(H$75,H$75,1)))</f>
        <v>0</v>
      </c>
      <c r="G214" s="33">
        <f>G$75/IF(B$106="kVA",IF(F$75,F$75,1),IF(B$106="MPAN",IF(E$75,E$75,1),IF(H$75,H$75,1)))</f>
        <v>0</v>
      </c>
      <c r="H214" s="41">
        <f>0.01*Input!F$58*(Adjust!$E$294*E214+Adjust!$F$294*F214)+10*(Adjust!$B$294*B214+Adjust!$C$294*C214+Adjust!$D$294*D214+Adjust!$G$294*G214)</f>
        <v>-6.26</v>
      </c>
      <c r="I214" s="10"/>
    </row>
    <row r="215" spans="1:9" x14ac:dyDescent="0.25">
      <c r="A215" s="3" t="s">
        <v>281</v>
      </c>
      <c r="B215" s="33">
        <f>B$75/IF(B$106="kVA",IF(F$75,F$75,1),IF(B$106="MPAN",IF(E$75,E$75,1),IF(H$75,H$75,1)))</f>
        <v>1</v>
      </c>
      <c r="C215" s="33">
        <f>C$75/IF(B$106="kVA",IF(F$75,F$75,1),IF(B$106="MPAN",IF(E$75,E$75,1),IF(H$75,H$75,1)))</f>
        <v>0</v>
      </c>
      <c r="D215" s="33">
        <f>D$75/IF(B$106="kVA",IF(F$75,F$75,1),IF(B$106="MPAN",IF(E$75,E$75,1),IF(H$75,H$75,1)))</f>
        <v>0</v>
      </c>
      <c r="E215" s="33">
        <f>E$75/IF(B$106="kVA",IF(F$75,F$75,1),IF(B$106="MPAN",IF(E$75,E$75,1),IF(H$75,H$75,1)))</f>
        <v>1.3924442002139565E-2</v>
      </c>
      <c r="F215" s="33">
        <f>F$75/IF(B$106="kVA",IF(F$75,F$75,1),IF(B$106="MPAN",IF(E$75,E$75,1),IF(H$75,H$75,1)))</f>
        <v>0</v>
      </c>
      <c r="G215" s="33">
        <f>G$75/IF(B$106="kVA",IF(F$75,F$75,1),IF(B$106="MPAN",IF(E$75,E$75,1),IF(H$75,H$75,1)))</f>
        <v>0</v>
      </c>
      <c r="H215" s="41">
        <f>0.01*Input!F$58*(Adjust!$E$295*E215+Adjust!$F$295*F215)+10*(Adjust!$B$295*B215+Adjust!$C$295*C215+Adjust!$D$295*D215+Adjust!$G$295*G215)</f>
        <v>-6.26</v>
      </c>
      <c r="I215" s="10"/>
    </row>
    <row r="216" spans="1:9" x14ac:dyDescent="0.25">
      <c r="A216" s="24" t="s">
        <v>182</v>
      </c>
      <c r="I216" s="10"/>
    </row>
    <row r="217" spans="1:9" x14ac:dyDescent="0.25">
      <c r="A217" s="3" t="s">
        <v>182</v>
      </c>
      <c r="B217" s="33">
        <f>B$76/IF(B$107="kVA",IF(F$76,F$76,1),IF(B$107="MPAN",IF(E$76,E$76,1),IF(H$76,H$76,1)))</f>
        <v>0</v>
      </c>
      <c r="C217" s="33">
        <f>C$76/IF(B$107="kVA",IF(F$76,F$76,1),IF(B$107="MPAN",IF(E$76,E$76,1),IF(H$76,H$76,1)))</f>
        <v>0</v>
      </c>
      <c r="D217" s="33">
        <f>D$76/IF(B$107="kVA",IF(F$76,F$76,1),IF(B$107="MPAN",IF(E$76,E$76,1),IF(H$76,H$76,1)))</f>
        <v>0</v>
      </c>
      <c r="E217" s="33">
        <f>E$76/IF(B$107="kVA",IF(F$76,F$76,1),IF(B$107="MPAN",IF(E$76,E$76,1),IF(H$76,H$76,1)))</f>
        <v>0</v>
      </c>
      <c r="F217" s="33">
        <f>F$76/IF(B$107="kVA",IF(F$76,F$76,1),IF(B$107="MPAN",IF(E$76,E$76,1),IF(H$76,H$76,1)))</f>
        <v>0</v>
      </c>
      <c r="G217" s="33">
        <f>G$76/IF(B$107="kVA",IF(F$76,F$76,1),IF(B$107="MPAN",IF(E$76,E$76,1),IF(H$76,H$76,1)))</f>
        <v>0</v>
      </c>
      <c r="H217" s="41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3" t="s">
        <v>283</v>
      </c>
      <c r="B218" s="33">
        <f>B$76/IF(B$107="kVA",IF(F$76,F$76,1),IF(B$107="MPAN",IF(E$76,E$76,1),IF(H$76,H$76,1)))</f>
        <v>0</v>
      </c>
      <c r="C218" s="33">
        <f>C$76/IF(B$107="kVA",IF(F$76,F$76,1),IF(B$107="MPAN",IF(E$76,E$76,1),IF(H$76,H$76,1)))</f>
        <v>0</v>
      </c>
      <c r="D218" s="33">
        <f>D$76/IF(B$107="kVA",IF(F$76,F$76,1),IF(B$107="MPAN",IF(E$76,E$76,1),IF(H$76,H$76,1)))</f>
        <v>0</v>
      </c>
      <c r="E218" s="33">
        <f>E$76/IF(B$107="kVA",IF(F$76,F$76,1),IF(B$107="MPAN",IF(E$76,E$76,1),IF(H$76,H$76,1)))</f>
        <v>0</v>
      </c>
      <c r="F218" s="33">
        <f>F$76/IF(B$107="kVA",IF(F$76,F$76,1),IF(B$107="MPAN",IF(E$76,E$76,1),IF(H$76,H$76,1)))</f>
        <v>0</v>
      </c>
      <c r="G218" s="33">
        <f>G$76/IF(B$107="kVA",IF(F$76,F$76,1),IF(B$107="MPAN",IF(E$76,E$76,1),IF(H$76,H$76,1)))</f>
        <v>0</v>
      </c>
      <c r="H218" s="41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4" t="s">
        <v>183</v>
      </c>
      <c r="I219" s="10"/>
    </row>
    <row r="220" spans="1:9" x14ac:dyDescent="0.25">
      <c r="A220" s="3" t="s">
        <v>183</v>
      </c>
      <c r="B220" s="33">
        <f>B$77/IF(B$108="kVA",IF(F$77,F$77,1),IF(B$108="MPAN",IF(E$77,E$77,1),IF(H$77,H$77,1)))</f>
        <v>1</v>
      </c>
      <c r="C220" s="33">
        <f>C$77/IF(B$108="kVA",IF(F$77,F$77,1),IF(B$108="MPAN",IF(E$77,E$77,1),IF(H$77,H$77,1)))</f>
        <v>0</v>
      </c>
      <c r="D220" s="33">
        <f>D$77/IF(B$108="kVA",IF(F$77,F$77,1),IF(B$108="MPAN",IF(E$77,E$77,1),IF(H$77,H$77,1)))</f>
        <v>0</v>
      </c>
      <c r="E220" s="33">
        <f>E$77/IF(B$108="kVA",IF(F$77,F$77,1),IF(B$108="MPAN",IF(E$77,E$77,1),IF(H$77,H$77,1)))</f>
        <v>5.0927418853455291E-3</v>
      </c>
      <c r="F220" s="33">
        <f>F$77/IF(B$108="kVA",IF(F$77,F$77,1),IF(B$108="MPAN",IF(E$77,E$77,1),IF(H$77,H$77,1)))</f>
        <v>0</v>
      </c>
      <c r="G220" s="33">
        <f>G$77/IF(B$108="kVA",IF(F$77,F$77,1),IF(B$108="MPAN",IF(E$77,E$77,1),IF(H$77,H$77,1)))</f>
        <v>6.1514202679760717E-2</v>
      </c>
      <c r="H220" s="41">
        <f>0.01*Input!F$58*(Adjust!$E$300*E220+Adjust!$F$300*F220)+10*(Adjust!$B$300*B220+Adjust!$C$300*C220+Adjust!$D$300*D220+Adjust!$G$300*G220)</f>
        <v>-6.1172870497829557</v>
      </c>
      <c r="I220" s="10"/>
    </row>
    <row r="221" spans="1:9" x14ac:dyDescent="0.25">
      <c r="A221" s="3" t="s">
        <v>285</v>
      </c>
      <c r="B221" s="33">
        <f>B$77/IF(B$108="kVA",IF(F$77,F$77,1),IF(B$108="MPAN",IF(E$77,E$77,1),IF(H$77,H$77,1)))</f>
        <v>1</v>
      </c>
      <c r="C221" s="33">
        <f>C$77/IF(B$108="kVA",IF(F$77,F$77,1),IF(B$108="MPAN",IF(E$77,E$77,1),IF(H$77,H$77,1)))</f>
        <v>0</v>
      </c>
      <c r="D221" s="33">
        <f>D$77/IF(B$108="kVA",IF(F$77,F$77,1),IF(B$108="MPAN",IF(E$77,E$77,1),IF(H$77,H$77,1)))</f>
        <v>0</v>
      </c>
      <c r="E221" s="33">
        <f>E$77/IF(B$108="kVA",IF(F$77,F$77,1),IF(B$108="MPAN",IF(E$77,E$77,1),IF(H$77,H$77,1)))</f>
        <v>5.0927418853455291E-3</v>
      </c>
      <c r="F221" s="33">
        <f>F$77/IF(B$108="kVA",IF(F$77,F$77,1),IF(B$108="MPAN",IF(E$77,E$77,1),IF(H$77,H$77,1)))</f>
        <v>0</v>
      </c>
      <c r="G221" s="33">
        <f>G$77/IF(B$108="kVA",IF(F$77,F$77,1),IF(B$108="MPAN",IF(E$77,E$77,1),IF(H$77,H$77,1)))</f>
        <v>6.1514202679760717E-2</v>
      </c>
      <c r="H221" s="41">
        <f>0.01*Input!F$58*(Adjust!$E$301*E221+Adjust!$F$301*F221)+10*(Adjust!$B$301*B221+Adjust!$C$301*C221+Adjust!$D$301*D221+Adjust!$G$301*G221)</f>
        <v>-6.1172870497829557</v>
      </c>
      <c r="I221" s="10"/>
    </row>
    <row r="222" spans="1:9" x14ac:dyDescent="0.25">
      <c r="A222" s="3" t="s">
        <v>286</v>
      </c>
      <c r="B222" s="33">
        <f>B$77/IF(B$108="kVA",IF(F$77,F$77,1),IF(B$108="MPAN",IF(E$77,E$77,1),IF(H$77,H$77,1)))</f>
        <v>1</v>
      </c>
      <c r="C222" s="33">
        <f>C$77/IF(B$108="kVA",IF(F$77,F$77,1),IF(B$108="MPAN",IF(E$77,E$77,1),IF(H$77,H$77,1)))</f>
        <v>0</v>
      </c>
      <c r="D222" s="33">
        <f>D$77/IF(B$108="kVA",IF(F$77,F$77,1),IF(B$108="MPAN",IF(E$77,E$77,1),IF(H$77,H$77,1)))</f>
        <v>0</v>
      </c>
      <c r="E222" s="33">
        <f>E$77/IF(B$108="kVA",IF(F$77,F$77,1),IF(B$108="MPAN",IF(E$77,E$77,1),IF(H$77,H$77,1)))</f>
        <v>5.0927418853455291E-3</v>
      </c>
      <c r="F222" s="33">
        <f>F$77/IF(B$108="kVA",IF(F$77,F$77,1),IF(B$108="MPAN",IF(E$77,E$77,1),IF(H$77,H$77,1)))</f>
        <v>0</v>
      </c>
      <c r="G222" s="33">
        <f>G$77/IF(B$108="kVA",IF(F$77,F$77,1),IF(B$108="MPAN",IF(E$77,E$77,1),IF(H$77,H$77,1)))</f>
        <v>6.1514202679760717E-2</v>
      </c>
      <c r="H222" s="41">
        <f>0.01*Input!F$58*(Adjust!$E$302*E222+Adjust!$F$302*F222)+10*(Adjust!$B$302*B222+Adjust!$C$302*C222+Adjust!$D$302*D222+Adjust!$G$302*G222)</f>
        <v>-6.1172870497829557</v>
      </c>
      <c r="I222" s="10"/>
    </row>
    <row r="223" spans="1:9" x14ac:dyDescent="0.25">
      <c r="A223" s="24" t="s">
        <v>184</v>
      </c>
      <c r="I223" s="10"/>
    </row>
    <row r="224" spans="1:9" x14ac:dyDescent="0.25">
      <c r="A224" s="3" t="s">
        <v>184</v>
      </c>
      <c r="B224" s="33">
        <f>B$78/IF(B$109="kVA",IF(F$78,F$78,1),IF(B$109="MPAN",IF(E$78,E$78,1),IF(H$78,H$78,1)))</f>
        <v>9.5612329062472079E-2</v>
      </c>
      <c r="C224" s="33">
        <f>C$78/IF(B$109="kVA",IF(F$78,F$78,1),IF(B$109="MPAN",IF(E$78,E$78,1),IF(H$78,H$78,1)))</f>
        <v>0.42665364876226491</v>
      </c>
      <c r="D224" s="33">
        <f>D$78/IF(B$109="kVA",IF(F$78,F$78,1),IF(B$109="MPAN",IF(E$78,E$78,1),IF(H$78,H$78,1)))</f>
        <v>0.47773402217526301</v>
      </c>
      <c r="E224" s="33">
        <f>E$78/IF(B$109="kVA",IF(F$78,F$78,1),IF(B$109="MPAN",IF(E$78,E$78,1),IF(H$78,H$78,1)))</f>
        <v>9.3426862519443762E-3</v>
      </c>
      <c r="F224" s="33">
        <f>F$78/IF(B$109="kVA",IF(F$78,F$78,1),IF(B$109="MPAN",IF(E$78,E$78,1),IF(H$78,H$78,1)))</f>
        <v>0</v>
      </c>
      <c r="G224" s="33">
        <f>G$78/IF(B$109="kVA",IF(F$78,F$78,1),IF(B$109="MPAN",IF(E$78,E$78,1),IF(H$78,H$78,1)))</f>
        <v>8.98868313231663E-2</v>
      </c>
      <c r="H224" s="41">
        <f>0.01*Input!F$58*(Adjust!$E$304*E224+Adjust!$F$304*F224)+10*(Adjust!$B$304*B224+Adjust!$C$304*C224+Adjust!$D$304*D224+Adjust!$G$304*G224)</f>
        <v>-6.8816471513904363</v>
      </c>
      <c r="I224" s="10"/>
    </row>
    <row r="225" spans="1:9" x14ac:dyDescent="0.25">
      <c r="A225" s="3" t="s">
        <v>288</v>
      </c>
      <c r="B225" s="33">
        <f>B$78/IF(B$109="kVA",IF(F$78,F$78,1),IF(B$109="MPAN",IF(E$78,E$78,1),IF(H$78,H$78,1)))</f>
        <v>9.5612329062472079E-2</v>
      </c>
      <c r="C225" s="33">
        <f>C$78/IF(B$109="kVA",IF(F$78,F$78,1),IF(B$109="MPAN",IF(E$78,E$78,1),IF(H$78,H$78,1)))</f>
        <v>0.42665364876226491</v>
      </c>
      <c r="D225" s="33">
        <f>D$78/IF(B$109="kVA",IF(F$78,F$78,1),IF(B$109="MPAN",IF(E$78,E$78,1),IF(H$78,H$78,1)))</f>
        <v>0.47773402217526301</v>
      </c>
      <c r="E225" s="33">
        <f>E$78/IF(B$109="kVA",IF(F$78,F$78,1),IF(B$109="MPAN",IF(E$78,E$78,1),IF(H$78,H$78,1)))</f>
        <v>9.3426862519443762E-3</v>
      </c>
      <c r="F225" s="33">
        <f>F$78/IF(B$109="kVA",IF(F$78,F$78,1),IF(B$109="MPAN",IF(E$78,E$78,1),IF(H$78,H$78,1)))</f>
        <v>0</v>
      </c>
      <c r="G225" s="33">
        <f>G$78/IF(B$109="kVA",IF(F$78,F$78,1),IF(B$109="MPAN",IF(E$78,E$78,1),IF(H$78,H$78,1)))</f>
        <v>8.98868313231663E-2</v>
      </c>
      <c r="H225" s="41">
        <f>0.01*Input!F$58*(Adjust!$E$305*E225+Adjust!$F$305*F225)+10*(Adjust!$B$305*B225+Adjust!$C$305*C225+Adjust!$D$305*D225+Adjust!$G$305*G225)</f>
        <v>-6.8816471513904363</v>
      </c>
      <c r="I225" s="10"/>
    </row>
    <row r="226" spans="1:9" x14ac:dyDescent="0.25">
      <c r="A226" s="3" t="s">
        <v>289</v>
      </c>
      <c r="B226" s="33">
        <f>B$78/IF(B$109="kVA",IF(F$78,F$78,1),IF(B$109="MPAN",IF(E$78,E$78,1),IF(H$78,H$78,1)))</f>
        <v>9.5612329062472079E-2</v>
      </c>
      <c r="C226" s="33">
        <f>C$78/IF(B$109="kVA",IF(F$78,F$78,1),IF(B$109="MPAN",IF(E$78,E$78,1),IF(H$78,H$78,1)))</f>
        <v>0.42665364876226491</v>
      </c>
      <c r="D226" s="33">
        <f>D$78/IF(B$109="kVA",IF(F$78,F$78,1),IF(B$109="MPAN",IF(E$78,E$78,1),IF(H$78,H$78,1)))</f>
        <v>0.47773402217526301</v>
      </c>
      <c r="E226" s="33">
        <f>E$78/IF(B$109="kVA",IF(F$78,F$78,1),IF(B$109="MPAN",IF(E$78,E$78,1),IF(H$78,H$78,1)))</f>
        <v>9.3426862519443762E-3</v>
      </c>
      <c r="F226" s="33">
        <f>F$78/IF(B$109="kVA",IF(F$78,F$78,1),IF(B$109="MPAN",IF(E$78,E$78,1),IF(H$78,H$78,1)))</f>
        <v>0</v>
      </c>
      <c r="G226" s="33">
        <f>G$78/IF(B$109="kVA",IF(F$78,F$78,1),IF(B$109="MPAN",IF(E$78,E$78,1),IF(H$78,H$78,1)))</f>
        <v>8.98868313231663E-2</v>
      </c>
      <c r="H226" s="41">
        <f>0.01*Input!F$58*(Adjust!$E$306*E226+Adjust!$F$306*F226)+10*(Adjust!$B$306*B226+Adjust!$C$306*C226+Adjust!$D$306*D226+Adjust!$G$306*G226)</f>
        <v>-6.8816471513904363</v>
      </c>
      <c r="I226" s="10"/>
    </row>
    <row r="227" spans="1:9" x14ac:dyDescent="0.25">
      <c r="A227" s="24" t="s">
        <v>185</v>
      </c>
      <c r="I227" s="10"/>
    </row>
    <row r="228" spans="1:9" x14ac:dyDescent="0.25">
      <c r="A228" s="3" t="s">
        <v>185</v>
      </c>
      <c r="B228" s="33">
        <f>B$79/IF(B$110="kVA",IF(F$79,F$79,1),IF(B$110="MPAN",IF(E$79,E$79,1),IF(H$79,H$79,1)))</f>
        <v>1</v>
      </c>
      <c r="C228" s="33">
        <f>C$79/IF(B$110="kVA",IF(F$79,F$79,1),IF(B$110="MPAN",IF(E$79,E$79,1),IF(H$79,H$79,1)))</f>
        <v>0</v>
      </c>
      <c r="D228" s="33">
        <f>D$79/IF(B$110="kVA",IF(F$79,F$79,1),IF(B$110="MPAN",IF(E$79,E$79,1),IF(H$79,H$79,1)))</f>
        <v>0</v>
      </c>
      <c r="E228" s="33">
        <f>E$79/IF(B$110="kVA",IF(F$79,F$79,1),IF(B$110="MPAN",IF(E$79,E$79,1),IF(H$79,H$79,1)))</f>
        <v>3.7642515254664999E-3</v>
      </c>
      <c r="F228" s="33">
        <f>F$79/IF(B$110="kVA",IF(F$79,F$79,1),IF(B$110="MPAN",IF(E$79,E$79,1),IF(H$79,H$79,1)))</f>
        <v>0</v>
      </c>
      <c r="G228" s="33">
        <f>G$79/IF(B$110="kVA",IF(F$79,F$79,1),IF(B$110="MPAN",IF(E$79,E$79,1),IF(H$79,H$79,1)))</f>
        <v>0.11961971971315412</v>
      </c>
      <c r="H228" s="41">
        <f>0.01*Input!F$58*(Adjust!$E$308*E228+Adjust!$F$308*F228)+10*(Adjust!$B$308*B228+Adjust!$C$308*C228+Adjust!$D$308*D228+Adjust!$G$308*G228)</f>
        <v>-5.2183681661794292</v>
      </c>
      <c r="I228" s="10"/>
    </row>
    <row r="229" spans="1:9" x14ac:dyDescent="0.25">
      <c r="A229" s="3" t="s">
        <v>291</v>
      </c>
      <c r="B229" s="33">
        <f>B$79/IF(B$110="kVA",IF(F$79,F$79,1),IF(B$110="MPAN",IF(E$79,E$79,1),IF(H$79,H$79,1)))</f>
        <v>1</v>
      </c>
      <c r="C229" s="33">
        <f>C$79/IF(B$110="kVA",IF(F$79,F$79,1),IF(B$110="MPAN",IF(E$79,E$79,1),IF(H$79,H$79,1)))</f>
        <v>0</v>
      </c>
      <c r="D229" s="33">
        <f>D$79/IF(B$110="kVA",IF(F$79,F$79,1),IF(B$110="MPAN",IF(E$79,E$79,1),IF(H$79,H$79,1)))</f>
        <v>0</v>
      </c>
      <c r="E229" s="33">
        <f>E$79/IF(B$110="kVA",IF(F$79,F$79,1),IF(B$110="MPAN",IF(E$79,E$79,1),IF(H$79,H$79,1)))</f>
        <v>3.7642515254664999E-3</v>
      </c>
      <c r="F229" s="33">
        <f>F$79/IF(B$110="kVA",IF(F$79,F$79,1),IF(B$110="MPAN",IF(E$79,E$79,1),IF(H$79,H$79,1)))</f>
        <v>0</v>
      </c>
      <c r="G229" s="33">
        <f>G$79/IF(B$110="kVA",IF(F$79,F$79,1),IF(B$110="MPAN",IF(E$79,E$79,1),IF(H$79,H$79,1)))</f>
        <v>0.11961971971315412</v>
      </c>
      <c r="H229" s="41">
        <f>0.01*Input!F$58*(Adjust!$E$309*E229+Adjust!$F$309*F229)+10*(Adjust!$B$309*B229+Adjust!$C$309*C229+Adjust!$D$309*D229+Adjust!$G$309*G229)</f>
        <v>-5.2183681661794292</v>
      </c>
      <c r="I229" s="10"/>
    </row>
    <row r="230" spans="1:9" x14ac:dyDescent="0.25">
      <c r="A230" s="24" t="s">
        <v>186</v>
      </c>
      <c r="I230" s="10"/>
    </row>
    <row r="231" spans="1:9" x14ac:dyDescent="0.25">
      <c r="A231" s="3" t="s">
        <v>186</v>
      </c>
      <c r="B231" s="33">
        <f>B$80/IF(B$111="kVA",IF(F$80,F$80,1),IF(B$111="MPAN",IF(E$80,E$80,1),IF(H$80,H$80,1)))</f>
        <v>8.3874804790897817E-2</v>
      </c>
      <c r="C231" s="33">
        <f>C$80/IF(B$111="kVA",IF(F$80,F$80,1),IF(B$111="MPAN",IF(E$80,E$80,1),IF(H$80,H$80,1)))</f>
        <v>0.29266638823621893</v>
      </c>
      <c r="D231" s="33">
        <f>D$80/IF(B$111="kVA",IF(F$80,F$80,1),IF(B$111="MPAN",IF(E$80,E$80,1),IF(H$80,H$80,1)))</f>
        <v>0.62345880697288336</v>
      </c>
      <c r="E231" s="33">
        <f>E$80/IF(B$111="kVA",IF(F$80,F$80,1),IF(B$111="MPAN",IF(E$80,E$80,1),IF(H$80,H$80,1)))</f>
        <v>2.2274153865146527E-4</v>
      </c>
      <c r="F231" s="33">
        <f>F$80/IF(B$111="kVA",IF(F$80,F$80,1),IF(B$111="MPAN",IF(E$80,E$80,1),IF(H$80,H$80,1)))</f>
        <v>0</v>
      </c>
      <c r="G231" s="33">
        <f>G$80/IF(B$111="kVA",IF(F$80,F$80,1),IF(B$111="MPAN",IF(E$80,E$80,1),IF(H$80,H$80,1)))</f>
        <v>7.4593358615235202E-3</v>
      </c>
      <c r="H231" s="41">
        <f>0.01*Input!F$58*(Adjust!$E$311*E231+Adjust!$F$311*F231)+10*(Adjust!$B$311*B231+Adjust!$C$311*C231+Adjust!$D$311*D231+Adjust!$G$311*G231)</f>
        <v>-5.1418901847429606</v>
      </c>
      <c r="I231" s="10"/>
    </row>
    <row r="232" spans="1:9" x14ac:dyDescent="0.25">
      <c r="A232" s="3" t="s">
        <v>293</v>
      </c>
      <c r="B232" s="33">
        <f>B$80/IF(B$111="kVA",IF(F$80,F$80,1),IF(B$111="MPAN",IF(E$80,E$80,1),IF(H$80,H$80,1)))</f>
        <v>8.3874804790897817E-2</v>
      </c>
      <c r="C232" s="33">
        <f>C$80/IF(B$111="kVA",IF(F$80,F$80,1),IF(B$111="MPAN",IF(E$80,E$80,1),IF(H$80,H$80,1)))</f>
        <v>0.29266638823621893</v>
      </c>
      <c r="D232" s="33">
        <f>D$80/IF(B$111="kVA",IF(F$80,F$80,1),IF(B$111="MPAN",IF(E$80,E$80,1),IF(H$80,H$80,1)))</f>
        <v>0.62345880697288336</v>
      </c>
      <c r="E232" s="33">
        <f>E$80/IF(B$111="kVA",IF(F$80,F$80,1),IF(B$111="MPAN",IF(E$80,E$80,1),IF(H$80,H$80,1)))</f>
        <v>2.2274153865146527E-4</v>
      </c>
      <c r="F232" s="33">
        <f>F$80/IF(B$111="kVA",IF(F$80,F$80,1),IF(B$111="MPAN",IF(E$80,E$80,1),IF(H$80,H$80,1)))</f>
        <v>0</v>
      </c>
      <c r="G232" s="33">
        <f>G$80/IF(B$111="kVA",IF(F$80,F$80,1),IF(B$111="MPAN",IF(E$80,E$80,1),IF(H$80,H$80,1)))</f>
        <v>7.4593358615235202E-3</v>
      </c>
      <c r="H232" s="41">
        <f>0.01*Input!F$58*(Adjust!$E$312*E232+Adjust!$F$312*F232)+10*(Adjust!$B$312*B232+Adjust!$C$312*C232+Adjust!$D$312*D232+Adjust!$G$312*G232)</f>
        <v>-5.1418901847429606</v>
      </c>
      <c r="I232" s="10"/>
    </row>
    <row r="233" spans="1:9" x14ac:dyDescent="0.25">
      <c r="A233" s="24" t="s">
        <v>194</v>
      </c>
      <c r="I233" s="10"/>
    </row>
    <row r="234" spans="1:9" x14ac:dyDescent="0.25">
      <c r="A234" s="3" t="s">
        <v>194</v>
      </c>
      <c r="B234" s="33">
        <f>B$81/IF(B$112="kVA",IF(F$81,F$81,1),IF(B$112="MPAN",IF(E$81,E$81,1),IF(H$81,H$81,1)))</f>
        <v>1</v>
      </c>
      <c r="C234" s="33">
        <f>C$81/IF(B$112="kVA",IF(F$81,F$81,1),IF(B$112="MPAN",IF(E$81,E$81,1),IF(H$81,H$81,1)))</f>
        <v>0</v>
      </c>
      <c r="D234" s="33">
        <f>D$81/IF(B$112="kVA",IF(F$81,F$81,1),IF(B$112="MPAN",IF(E$81,E$81,1),IF(H$81,H$81,1)))</f>
        <v>0</v>
      </c>
      <c r="E234" s="33">
        <f>E$81/IF(B$112="kVA",IF(F$81,F$81,1),IF(B$112="MPAN",IF(E$81,E$81,1),IF(H$81,H$81,1)))</f>
        <v>4.6303764047112554E-4</v>
      </c>
      <c r="F234" s="33">
        <f>F$81/IF(B$112="kVA",IF(F$81,F$81,1),IF(B$112="MPAN",IF(E$81,E$81,1),IF(H$81,H$81,1)))</f>
        <v>0</v>
      </c>
      <c r="G234" s="33">
        <f>G$81/IF(B$112="kVA",IF(F$81,F$81,1),IF(B$112="MPAN",IF(E$81,E$81,1),IF(H$81,H$81,1)))</f>
        <v>2.1907739851696063E-2</v>
      </c>
      <c r="H234" s="41">
        <f>0.01*Input!F$58*(Adjust!$E$314*E234+Adjust!$F$314*F234)+10*(Adjust!$B$314*B234+Adjust!$C$314*C234+Adjust!$D$314*D234+Adjust!$G$314*G234)</f>
        <v>-3.2455626288062325</v>
      </c>
      <c r="I234" s="10"/>
    </row>
    <row r="235" spans="1:9" x14ac:dyDescent="0.25">
      <c r="A235" s="3" t="s">
        <v>295</v>
      </c>
      <c r="B235" s="33">
        <f>B$81/IF(B$112="kVA",IF(F$81,F$81,1),IF(B$112="MPAN",IF(E$81,E$81,1),IF(H$81,H$81,1)))</f>
        <v>1</v>
      </c>
      <c r="C235" s="33">
        <f>C$81/IF(B$112="kVA",IF(F$81,F$81,1),IF(B$112="MPAN",IF(E$81,E$81,1),IF(H$81,H$81,1)))</f>
        <v>0</v>
      </c>
      <c r="D235" s="33">
        <f>D$81/IF(B$112="kVA",IF(F$81,F$81,1),IF(B$112="MPAN",IF(E$81,E$81,1),IF(H$81,H$81,1)))</f>
        <v>0</v>
      </c>
      <c r="E235" s="33">
        <f>E$81/IF(B$112="kVA",IF(F$81,F$81,1),IF(B$112="MPAN",IF(E$81,E$81,1),IF(H$81,H$81,1)))</f>
        <v>4.6303764047112554E-4</v>
      </c>
      <c r="F235" s="33">
        <f>F$81/IF(B$112="kVA",IF(F$81,F$81,1),IF(B$112="MPAN",IF(E$81,E$81,1),IF(H$81,H$81,1)))</f>
        <v>0</v>
      </c>
      <c r="G235" s="33">
        <f>G$81/IF(B$112="kVA",IF(F$81,F$81,1),IF(B$112="MPAN",IF(E$81,E$81,1),IF(H$81,H$81,1)))</f>
        <v>2.1907739851696063E-2</v>
      </c>
      <c r="H235" s="41">
        <f>0.01*Input!F$58*(Adjust!$E$315*E235+Adjust!$F$315*F235)+10*(Adjust!$B$315*B235+Adjust!$C$315*C235+Adjust!$D$315*D235+Adjust!$G$315*G235)</f>
        <v>-3.2951666936358031</v>
      </c>
      <c r="I235" s="10"/>
    </row>
    <row r="236" spans="1:9" x14ac:dyDescent="0.25">
      <c r="A236" s="24" t="s">
        <v>195</v>
      </c>
      <c r="I236" s="10"/>
    </row>
    <row r="237" spans="1:9" x14ac:dyDescent="0.25">
      <c r="A237" s="3" t="s">
        <v>195</v>
      </c>
      <c r="B237" s="33">
        <f>B$82/IF(B$113="kVA",IF(F$82,F$82,1),IF(B$113="MPAN",IF(E$82,E$82,1),IF(H$82,H$82,1)))</f>
        <v>9.8034682715970933E-2</v>
      </c>
      <c r="C237" s="33">
        <f>C$82/IF(B$113="kVA",IF(F$82,F$82,1),IF(B$113="MPAN",IF(E$82,E$82,1),IF(H$82,H$82,1)))</f>
        <v>0.31228697811613365</v>
      </c>
      <c r="D237" s="33">
        <f>D$82/IF(B$113="kVA",IF(F$82,F$82,1),IF(B$113="MPAN",IF(E$82,E$82,1),IF(H$82,H$82,1)))</f>
        <v>0.58967833916789536</v>
      </c>
      <c r="E237" s="33">
        <f>E$82/IF(B$113="kVA",IF(F$82,F$82,1),IF(B$113="MPAN",IF(E$82,E$82,1),IF(H$82,H$82,1)))</f>
        <v>2.4040868054061551E-4</v>
      </c>
      <c r="F237" s="33">
        <f>F$82/IF(B$113="kVA",IF(F$82,F$82,1),IF(B$113="MPAN",IF(E$82,E$82,1),IF(H$82,H$82,1)))</f>
        <v>0</v>
      </c>
      <c r="G237" s="33">
        <f>G$82/IF(B$113="kVA",IF(F$82,F$82,1),IF(B$113="MPAN",IF(E$82,E$82,1),IF(H$82,H$82,1)))</f>
        <v>1.3075068636082217E-2</v>
      </c>
      <c r="H237" s="41">
        <f>0.01*Input!F$58*(Adjust!$E$317*E237+Adjust!$F$317*F237)+10*(Adjust!$B$317*B237+Adjust!$C$317*C237+Adjust!$D$317*D237+Adjust!$G$317*G237)</f>
        <v>-3.5481414485732437</v>
      </c>
      <c r="I237" s="10"/>
    </row>
    <row r="238" spans="1:9" x14ac:dyDescent="0.25">
      <c r="A238" s="3" t="s">
        <v>297</v>
      </c>
      <c r="B238" s="33">
        <f>B$82/IF(B$113="kVA",IF(F$82,F$82,1),IF(B$113="MPAN",IF(E$82,E$82,1),IF(H$82,H$82,1)))</f>
        <v>9.8034682715970933E-2</v>
      </c>
      <c r="C238" s="33">
        <f>C$82/IF(B$113="kVA",IF(F$82,F$82,1),IF(B$113="MPAN",IF(E$82,E$82,1),IF(H$82,H$82,1)))</f>
        <v>0.31228697811613365</v>
      </c>
      <c r="D238" s="33">
        <f>D$82/IF(B$113="kVA",IF(F$82,F$82,1),IF(B$113="MPAN",IF(E$82,E$82,1),IF(H$82,H$82,1)))</f>
        <v>0.58967833916789536</v>
      </c>
      <c r="E238" s="33">
        <f>E$82/IF(B$113="kVA",IF(F$82,F$82,1),IF(B$113="MPAN",IF(E$82,E$82,1),IF(H$82,H$82,1)))</f>
        <v>2.4040868054061551E-4</v>
      </c>
      <c r="F238" s="33">
        <f>F$82/IF(B$113="kVA",IF(F$82,F$82,1),IF(B$113="MPAN",IF(E$82,E$82,1),IF(H$82,H$82,1)))</f>
        <v>0</v>
      </c>
      <c r="G238" s="33">
        <f>G$82/IF(B$113="kVA",IF(F$82,F$82,1),IF(B$113="MPAN",IF(E$82,E$82,1),IF(H$82,H$82,1)))</f>
        <v>1.3075068636082217E-2</v>
      </c>
      <c r="H238" s="41">
        <f>0.01*Input!F$58*(Adjust!$E$318*E238+Adjust!$F$318*F238)+10*(Adjust!$B$318*B238+Adjust!$C$318*C238+Adjust!$D$318*D238+Adjust!$G$318*G238)</f>
        <v>-3.5738958294978582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1" t="s">
        <v>1749</v>
      </c>
    </row>
    <row r="243" spans="1:3" x14ac:dyDescent="0.25">
      <c r="A243" s="2" t="s">
        <v>638</v>
      </c>
    </row>
    <row r="245" spans="1:3" ht="30" x14ac:dyDescent="0.25">
      <c r="B245" s="12" t="s">
        <v>1750</v>
      </c>
    </row>
    <row r="246" spans="1:3" x14ac:dyDescent="0.25">
      <c r="A246" s="3" t="s">
        <v>229</v>
      </c>
      <c r="B246" s="42">
        <f>H$144</f>
        <v>56.003377420434155</v>
      </c>
      <c r="C246" s="10"/>
    </row>
    <row r="247" spans="1:3" x14ac:dyDescent="0.25">
      <c r="A247" s="3" t="s">
        <v>232</v>
      </c>
      <c r="B247" s="42">
        <f>H$148</f>
        <v>61.262680520431495</v>
      </c>
      <c r="C247" s="10"/>
    </row>
    <row r="248" spans="1:3" x14ac:dyDescent="0.25">
      <c r="A248" s="3" t="s">
        <v>235</v>
      </c>
      <c r="B248" s="42">
        <f>H$152</f>
        <v>14.759535737474925</v>
      </c>
      <c r="C248" s="10"/>
    </row>
    <row r="249" spans="1:3" x14ac:dyDescent="0.25">
      <c r="A249" s="3" t="s">
        <v>238</v>
      </c>
      <c r="B249" s="42">
        <f>H$156</f>
        <v>172.01254366688664</v>
      </c>
      <c r="C249" s="10"/>
    </row>
    <row r="250" spans="1:3" x14ac:dyDescent="0.25">
      <c r="A250" s="3" t="s">
        <v>241</v>
      </c>
      <c r="B250" s="42">
        <f>H$160</f>
        <v>294.77337995642051</v>
      </c>
      <c r="C250" s="10"/>
    </row>
    <row r="251" spans="1:3" ht="30" x14ac:dyDescent="0.25">
      <c r="A251" s="3" t="s">
        <v>244</v>
      </c>
      <c r="B251" s="42">
        <f>H$164</f>
        <v>11.967486360606731</v>
      </c>
      <c r="C251" s="10"/>
    </row>
    <row r="252" spans="1:3" x14ac:dyDescent="0.25">
      <c r="A252" s="3" t="s">
        <v>247</v>
      </c>
      <c r="B252" s="42">
        <f>H$168</f>
        <v>0</v>
      </c>
      <c r="C252" s="10"/>
    </row>
    <row r="253" spans="1:3" x14ac:dyDescent="0.25">
      <c r="A253" s="3" t="s">
        <v>252</v>
      </c>
      <c r="B253" s="42">
        <f>H$176</f>
        <v>0</v>
      </c>
      <c r="C253" s="10"/>
    </row>
    <row r="254" spans="1:3" x14ac:dyDescent="0.25">
      <c r="A254" s="3" t="s">
        <v>255</v>
      </c>
      <c r="B254" s="42">
        <f>H$180</f>
        <v>738.69495110287608</v>
      </c>
      <c r="C254" s="10"/>
    </row>
    <row r="255" spans="1:3" x14ac:dyDescent="0.25">
      <c r="A255" s="3" t="s">
        <v>258</v>
      </c>
      <c r="B255" s="42">
        <f>H$184</f>
        <v>25.294877568925767</v>
      </c>
      <c r="C255" s="10"/>
    </row>
    <row r="256" spans="1:3" x14ac:dyDescent="0.25">
      <c r="A256" s="3" t="s">
        <v>1751</v>
      </c>
      <c r="B256" s="9"/>
      <c r="C256" s="10"/>
    </row>
    <row r="257" spans="1:3" x14ac:dyDescent="0.25">
      <c r="A257" s="3" t="s">
        <v>1751</v>
      </c>
      <c r="B257" s="9"/>
      <c r="C257" s="10"/>
    </row>
    <row r="258" spans="1:3" x14ac:dyDescent="0.25">
      <c r="A258" s="3" t="s">
        <v>265</v>
      </c>
      <c r="B258" s="42">
        <f>H$194</f>
        <v>13.23</v>
      </c>
      <c r="C258" s="10"/>
    </row>
    <row r="259" spans="1:3" x14ac:dyDescent="0.25">
      <c r="A259" s="3" t="s">
        <v>268</v>
      </c>
      <c r="B259" s="42">
        <f>H$198</f>
        <v>17.529999999999998</v>
      </c>
      <c r="C259" s="10"/>
    </row>
    <row r="260" spans="1:3" x14ac:dyDescent="0.25">
      <c r="A260" s="3" t="s">
        <v>271</v>
      </c>
      <c r="B260" s="42">
        <f>H$202</f>
        <v>28.23</v>
      </c>
      <c r="C260" s="10"/>
    </row>
    <row r="261" spans="1:3" x14ac:dyDescent="0.25">
      <c r="A261" s="3" t="s">
        <v>274</v>
      </c>
      <c r="B261" s="42">
        <f>H$206</f>
        <v>8.98</v>
      </c>
      <c r="C261" s="10"/>
    </row>
    <row r="262" spans="1:3" x14ac:dyDescent="0.25">
      <c r="A262" s="3" t="s">
        <v>277</v>
      </c>
      <c r="B262" s="42">
        <f>H$210</f>
        <v>18.661753267579741</v>
      </c>
      <c r="C262" s="10"/>
    </row>
    <row r="263" spans="1:3" x14ac:dyDescent="0.25">
      <c r="A263" s="3" t="s">
        <v>280</v>
      </c>
      <c r="B263" s="42">
        <f>H$214</f>
        <v>-6.26</v>
      </c>
      <c r="C263" s="10"/>
    </row>
    <row r="264" spans="1:3" x14ac:dyDescent="0.25">
      <c r="A264" s="3" t="s">
        <v>1751</v>
      </c>
      <c r="B264" s="9"/>
      <c r="C264" s="10"/>
    </row>
    <row r="265" spans="1:3" x14ac:dyDescent="0.25">
      <c r="A265" s="3" t="s">
        <v>285</v>
      </c>
      <c r="B265" s="42">
        <f>H$221</f>
        <v>-6.1172870497829557</v>
      </c>
      <c r="C265" s="10"/>
    </row>
    <row r="266" spans="1:3" x14ac:dyDescent="0.25">
      <c r="A266" s="3" t="s">
        <v>288</v>
      </c>
      <c r="B266" s="42">
        <f>H$225</f>
        <v>-6.8816471513904363</v>
      </c>
      <c r="C266" s="10"/>
    </row>
    <row r="267" spans="1:3" x14ac:dyDescent="0.25">
      <c r="A267" s="3" t="s">
        <v>1751</v>
      </c>
      <c r="B267" s="9"/>
      <c r="C267" s="10"/>
    </row>
    <row r="268" spans="1:3" x14ac:dyDescent="0.25">
      <c r="A268" s="3" t="s">
        <v>1751</v>
      </c>
      <c r="B268" s="9"/>
      <c r="C268" s="10"/>
    </row>
    <row r="269" spans="1:3" x14ac:dyDescent="0.25">
      <c r="A269" s="3" t="s">
        <v>1751</v>
      </c>
      <c r="B269" s="9"/>
      <c r="C269" s="10"/>
    </row>
    <row r="270" spans="1:3" x14ac:dyDescent="0.25">
      <c r="A270" s="3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1" t="s">
        <v>1749</v>
      </c>
    </row>
    <row r="275" spans="1:3" x14ac:dyDescent="0.25">
      <c r="A275" s="2" t="s">
        <v>638</v>
      </c>
    </row>
    <row r="277" spans="1:3" ht="30" x14ac:dyDescent="0.25">
      <c r="B277" s="12" t="s">
        <v>1753</v>
      </c>
    </row>
    <row r="278" spans="1:3" x14ac:dyDescent="0.25">
      <c r="A278" s="3" t="s">
        <v>230</v>
      </c>
      <c r="B278" s="42">
        <f>H$145</f>
        <v>41.027492177205929</v>
      </c>
      <c r="C278" s="10"/>
    </row>
    <row r="279" spans="1:3" x14ac:dyDescent="0.25">
      <c r="A279" s="3" t="s">
        <v>233</v>
      </c>
      <c r="B279" s="42">
        <f>H$149</f>
        <v>44.873971092235593</v>
      </c>
      <c r="C279" s="10"/>
    </row>
    <row r="280" spans="1:3" x14ac:dyDescent="0.25">
      <c r="A280" s="3" t="s">
        <v>236</v>
      </c>
      <c r="B280" s="42">
        <f>H$153</f>
        <v>10.792280117834741</v>
      </c>
      <c r="C280" s="10"/>
    </row>
    <row r="281" spans="1:3" x14ac:dyDescent="0.25">
      <c r="A281" s="3" t="s">
        <v>239</v>
      </c>
      <c r="B281" s="42">
        <f>H$157</f>
        <v>125.96519668545521</v>
      </c>
      <c r="C281" s="10"/>
    </row>
    <row r="282" spans="1:3" x14ac:dyDescent="0.25">
      <c r="A282" s="3" t="s">
        <v>242</v>
      </c>
      <c r="B282" s="42">
        <f>H$161</f>
        <v>215.90741590747712</v>
      </c>
      <c r="C282" s="10"/>
    </row>
    <row r="283" spans="1:3" ht="30" x14ac:dyDescent="0.25">
      <c r="A283" s="3" t="s">
        <v>245</v>
      </c>
      <c r="B283" s="42">
        <f>H$165</f>
        <v>8.7566973370293173</v>
      </c>
      <c r="C283" s="10"/>
    </row>
    <row r="284" spans="1:3" x14ac:dyDescent="0.25">
      <c r="A284" s="3" t="s">
        <v>248</v>
      </c>
      <c r="B284" s="42">
        <f>H$169</f>
        <v>0</v>
      </c>
      <c r="C284" s="10"/>
    </row>
    <row r="285" spans="1:3" x14ac:dyDescent="0.25">
      <c r="A285" s="3" t="s">
        <v>253</v>
      </c>
      <c r="B285" s="42">
        <f>H$177</f>
        <v>0</v>
      </c>
      <c r="C285" s="10"/>
    </row>
    <row r="286" spans="1:3" x14ac:dyDescent="0.25">
      <c r="A286" s="3" t="s">
        <v>256</v>
      </c>
      <c r="B286" s="42">
        <f>H$181</f>
        <v>540.96807837680956</v>
      </c>
      <c r="C286" s="10"/>
    </row>
    <row r="287" spans="1:3" x14ac:dyDescent="0.25">
      <c r="A287" s="3" t="s">
        <v>259</v>
      </c>
      <c r="B287" s="42">
        <f>H$185</f>
        <v>18.549557859704027</v>
      </c>
      <c r="C287" s="10"/>
    </row>
    <row r="288" spans="1:3" x14ac:dyDescent="0.25">
      <c r="A288" s="3" t="s">
        <v>261</v>
      </c>
      <c r="B288" s="42">
        <f>H$188</f>
        <v>22.805391732342663</v>
      </c>
      <c r="C288" s="10"/>
    </row>
    <row r="289" spans="1:3" x14ac:dyDescent="0.25">
      <c r="A289" s="3" t="s">
        <v>263</v>
      </c>
      <c r="B289" s="42">
        <f>H$191</f>
        <v>31.503209885065715</v>
      </c>
      <c r="C289" s="10"/>
    </row>
    <row r="290" spans="1:3" x14ac:dyDescent="0.25">
      <c r="A290" s="3" t="s">
        <v>266</v>
      </c>
      <c r="B290" s="42">
        <f>H$195</f>
        <v>9.69</v>
      </c>
      <c r="C290" s="10"/>
    </row>
    <row r="291" spans="1:3" x14ac:dyDescent="0.25">
      <c r="A291" s="3" t="s">
        <v>269</v>
      </c>
      <c r="B291" s="42">
        <f>H$199</f>
        <v>12.84</v>
      </c>
      <c r="C291" s="10"/>
    </row>
    <row r="292" spans="1:3" x14ac:dyDescent="0.25">
      <c r="A292" s="3" t="s">
        <v>272</v>
      </c>
      <c r="B292" s="42">
        <f>H$203</f>
        <v>20.68</v>
      </c>
      <c r="C292" s="10"/>
    </row>
    <row r="293" spans="1:3" x14ac:dyDescent="0.25">
      <c r="A293" s="3" t="s">
        <v>275</v>
      </c>
      <c r="B293" s="42">
        <f>H$207</f>
        <v>6.58</v>
      </c>
      <c r="C293" s="10"/>
    </row>
    <row r="294" spans="1:3" x14ac:dyDescent="0.25">
      <c r="A294" s="3" t="s">
        <v>278</v>
      </c>
      <c r="B294" s="42">
        <f>H$211</f>
        <v>13.661909148933821</v>
      </c>
      <c r="C294" s="10"/>
    </row>
    <row r="295" spans="1:3" x14ac:dyDescent="0.25">
      <c r="A295" s="3" t="s">
        <v>281</v>
      </c>
      <c r="B295" s="42">
        <f>H$215</f>
        <v>-6.26</v>
      </c>
      <c r="C295" s="10"/>
    </row>
    <row r="296" spans="1:3" x14ac:dyDescent="0.25">
      <c r="A296" s="3" t="s">
        <v>283</v>
      </c>
      <c r="B296" s="42">
        <f>H$218</f>
        <v>0</v>
      </c>
      <c r="C296" s="10"/>
    </row>
    <row r="297" spans="1:3" x14ac:dyDescent="0.25">
      <c r="A297" s="3" t="s">
        <v>286</v>
      </c>
      <c r="B297" s="42">
        <f>H$222</f>
        <v>-6.1172870497829557</v>
      </c>
      <c r="C297" s="10"/>
    </row>
    <row r="298" spans="1:3" x14ac:dyDescent="0.25">
      <c r="A298" s="3" t="s">
        <v>289</v>
      </c>
      <c r="B298" s="42">
        <f>H$226</f>
        <v>-6.8816471513904363</v>
      </c>
      <c r="C298" s="10"/>
    </row>
    <row r="299" spans="1:3" x14ac:dyDescent="0.25">
      <c r="A299" s="3" t="s">
        <v>291</v>
      </c>
      <c r="B299" s="42">
        <f>H$229</f>
        <v>-5.2183681661794292</v>
      </c>
      <c r="C299" s="10"/>
    </row>
    <row r="300" spans="1:3" x14ac:dyDescent="0.25">
      <c r="A300" s="3" t="s">
        <v>293</v>
      </c>
      <c r="B300" s="42">
        <f>H$232</f>
        <v>-5.1418901847429606</v>
      </c>
      <c r="C300" s="10"/>
    </row>
    <row r="301" spans="1:3" x14ac:dyDescent="0.25">
      <c r="A301" s="3" t="s">
        <v>295</v>
      </c>
      <c r="B301" s="42">
        <f>H$235</f>
        <v>-3.2951666936358031</v>
      </c>
      <c r="C301" s="10"/>
    </row>
    <row r="302" spans="1:3" x14ac:dyDescent="0.25">
      <c r="A302" s="3" t="s">
        <v>297</v>
      </c>
      <c r="B302" s="42">
        <f>H$238</f>
        <v>-3.5738958294978582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East Midlands in April 17 (Final)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1" t="s">
        <v>1755</v>
      </c>
    </row>
    <row r="7" spans="1:5" x14ac:dyDescent="0.25">
      <c r="A7" s="11" t="s">
        <v>1756</v>
      </c>
    </row>
    <row r="8" spans="1:5" x14ac:dyDescent="0.25">
      <c r="A8" s="11" t="s">
        <v>1757</v>
      </c>
    </row>
    <row r="9" spans="1:5" x14ac:dyDescent="0.25">
      <c r="A9" s="11" t="s">
        <v>1588</v>
      </c>
    </row>
    <row r="10" spans="1:5" x14ac:dyDescent="0.25">
      <c r="A10" s="29" t="s">
        <v>359</v>
      </c>
      <c r="B10" s="29" t="s">
        <v>489</v>
      </c>
      <c r="C10" s="29" t="s">
        <v>489</v>
      </c>
      <c r="D10" s="29" t="s">
        <v>418</v>
      </c>
    </row>
    <row r="11" spans="1:5" ht="30" x14ac:dyDescent="0.25">
      <c r="A11" s="29" t="s">
        <v>362</v>
      </c>
      <c r="B11" s="29" t="s">
        <v>1758</v>
      </c>
      <c r="C11" s="29" t="s">
        <v>1759</v>
      </c>
      <c r="D11" s="29" t="s">
        <v>1019</v>
      </c>
    </row>
    <row r="13" spans="1:5" ht="30" x14ac:dyDescent="0.25">
      <c r="B13" s="12" t="s">
        <v>1760</v>
      </c>
      <c r="C13" s="12" t="s">
        <v>1761</v>
      </c>
      <c r="D13" s="12" t="s">
        <v>225</v>
      </c>
    </row>
    <row r="14" spans="1:5" x14ac:dyDescent="0.25">
      <c r="A14" s="3" t="s">
        <v>171</v>
      </c>
      <c r="B14" s="44">
        <f>IF(CData!B23,Summary!D$46/CData!B23-1,"")</f>
        <v>-2.7936031900263725E-2</v>
      </c>
      <c r="C14" s="45">
        <f>(Summary!D$46-CData!B23)/IF(Summary!B$46,Summary!B$46,1)/10</f>
        <v>-6.9310492073791877E-2</v>
      </c>
      <c r="D14" s="39">
        <f>Input!E$187</f>
        <v>1545669.8679699886</v>
      </c>
      <c r="E14" s="10"/>
    </row>
    <row r="15" spans="1:5" x14ac:dyDescent="0.25">
      <c r="A15" s="3" t="s">
        <v>172</v>
      </c>
      <c r="B15" s="44">
        <f>IF(CData!B24,Summary!D$50/CData!B24-1,"")</f>
        <v>9.3293318609199982E-3</v>
      </c>
      <c r="C15" s="45">
        <f>(Summary!D$50-CData!B24)/IF(Summary!B$50,Summary!B$50,1)/10</f>
        <v>1.8435178537531557E-2</v>
      </c>
      <c r="D15" s="39">
        <f>Input!E$191</f>
        <v>890301.56713661191</v>
      </c>
      <c r="E15" s="10"/>
    </row>
    <row r="16" spans="1:5" x14ac:dyDescent="0.25">
      <c r="A16" s="3" t="s">
        <v>211</v>
      </c>
      <c r="B16" s="44">
        <f>IF(CData!B25,Summary!D$54/CData!B25-1,"")</f>
        <v>1.6181229773462924E-2</v>
      </c>
      <c r="C16" s="45">
        <f>(Summary!D$54-CData!B25)/IF(Summary!B$54,Summary!B$54,1)/10</f>
        <v>1.0000000000000038E-2</v>
      </c>
      <c r="D16" s="39">
        <f>Input!E$195</f>
        <v>37550</v>
      </c>
      <c r="E16" s="10"/>
    </row>
    <row r="17" spans="1:5" x14ac:dyDescent="0.25">
      <c r="A17" s="3" t="s">
        <v>173</v>
      </c>
      <c r="B17" s="44">
        <f>IF(CData!B26,Summary!D$58/CData!B26-1,"")</f>
        <v>2.8535053498644825E-2</v>
      </c>
      <c r="C17" s="45">
        <f>(Summary!D$58-CData!B26)/IF(Summary!B$58,Summary!B$58,1)/10</f>
        <v>5.8575081446706603E-2</v>
      </c>
      <c r="D17" s="39">
        <f>Input!E$199</f>
        <v>95231.738896922456</v>
      </c>
      <c r="E17" s="10"/>
    </row>
    <row r="18" spans="1:5" x14ac:dyDescent="0.25">
      <c r="A18" s="3" t="s">
        <v>174</v>
      </c>
      <c r="B18" s="44">
        <f>IF(CData!B27,Summary!D$62/CData!B27-1,"")</f>
        <v>1.0981405621532714E-2</v>
      </c>
      <c r="C18" s="45">
        <f>(Summary!D$62-CData!B27)/IF(Summary!B$62,Summary!B$62,1)/10</f>
        <v>1.8541314863433998E-2</v>
      </c>
      <c r="D18" s="39">
        <f>Input!E$203</f>
        <v>83250.607318122653</v>
      </c>
      <c r="E18" s="10"/>
    </row>
    <row r="19" spans="1:5" x14ac:dyDescent="0.25">
      <c r="A19" s="3" t="s">
        <v>212</v>
      </c>
      <c r="B19" s="44">
        <f>IF(CData!B28,Summary!D$66/CData!B28-1,"")</f>
        <v>2.0905923344947785E-2</v>
      </c>
      <c r="C19" s="45">
        <f>(Summary!D$66-CData!B28)/IF(Summary!B$66,Summary!B$66,1)/10</f>
        <v>6.0000000000000175E-3</v>
      </c>
      <c r="D19" s="39">
        <f>Input!E$207</f>
        <v>725</v>
      </c>
      <c r="E19" s="10"/>
    </row>
    <row r="20" spans="1:5" x14ac:dyDescent="0.25">
      <c r="A20" s="3" t="s">
        <v>175</v>
      </c>
      <c r="B20" s="44" t="str">
        <f>IF(CData!B29,Summary!D$70/CData!B29-1,"")</f>
        <v/>
      </c>
      <c r="C20" s="45">
        <f>(Summary!D$70-CData!B29)/IF(Summary!B$70,Summary!B$70,1)/10</f>
        <v>0</v>
      </c>
      <c r="D20" s="39">
        <f>Input!E$211</f>
        <v>0</v>
      </c>
      <c r="E20" s="10"/>
    </row>
    <row r="21" spans="1:5" x14ac:dyDescent="0.25">
      <c r="A21" s="3" t="s">
        <v>176</v>
      </c>
      <c r="B21" s="44" t="str">
        <f>IF(CData!B30,Summary!D$74/CData!B30-1,"")</f>
        <v/>
      </c>
      <c r="C21" s="45">
        <f>(Summary!D$74-CData!B30)/IF(Summary!B$74,Summary!B$74,1)/10</f>
        <v>0</v>
      </c>
      <c r="D21" s="39">
        <f>Input!E$215</f>
        <v>0</v>
      </c>
      <c r="E21" s="10"/>
    </row>
    <row r="22" spans="1:5" x14ac:dyDescent="0.25">
      <c r="A22" s="3" t="s">
        <v>192</v>
      </c>
      <c r="B22" s="44" t="str">
        <f>IF(CData!B31,Summary!D$76/CData!B31-1,"")</f>
        <v/>
      </c>
      <c r="C22" s="45">
        <f>(Summary!D$76-CData!B31)/IF(Summary!B$76,Summary!B$76,1)/10</f>
        <v>0</v>
      </c>
      <c r="D22" s="39">
        <f>Input!E$217</f>
        <v>0</v>
      </c>
      <c r="E22" s="10"/>
    </row>
    <row r="23" spans="1:5" x14ac:dyDescent="0.25">
      <c r="A23" s="3" t="s">
        <v>177</v>
      </c>
      <c r="B23" s="44" t="str">
        <f>IF(CData!B32,Summary!D$78/CData!B32-1,"")</f>
        <v/>
      </c>
      <c r="C23" s="45">
        <f>(Summary!D$78-CData!B32)/IF(Summary!B$78,Summary!B$78,1)/10</f>
        <v>0</v>
      </c>
      <c r="D23" s="39">
        <f>Input!E$219</f>
        <v>0</v>
      </c>
      <c r="E23" s="10"/>
    </row>
    <row r="24" spans="1:5" x14ac:dyDescent="0.25">
      <c r="A24" s="3" t="s">
        <v>178</v>
      </c>
      <c r="B24" s="44">
        <f>IF(CData!B33,Summary!D$82/CData!B33-1,"")</f>
        <v>1.623714340098914E-2</v>
      </c>
      <c r="C24" s="45">
        <f>(Summary!D$82-CData!B33)/IF(Summary!B$82,Summary!B$82,1)/10</f>
        <v>2.7859268103257607E-2</v>
      </c>
      <c r="D24" s="39">
        <f>Input!E$223</f>
        <v>2537.8966696577436</v>
      </c>
      <c r="E24" s="10"/>
    </row>
    <row r="25" spans="1:5" x14ac:dyDescent="0.25">
      <c r="A25" s="3" t="s">
        <v>179</v>
      </c>
      <c r="B25" s="44">
        <f>IF(CData!B34,Summary!D$86/CData!B34-1,"")</f>
        <v>1.4029306801953467E-2</v>
      </c>
      <c r="C25" s="45">
        <f>(Summary!D$86-CData!B34)/IF(Summary!B$86,Summary!B$86,1)/10</f>
        <v>2.7720107406068312E-2</v>
      </c>
      <c r="D25" s="39">
        <f>Input!E$227</f>
        <v>14377.710046664228</v>
      </c>
      <c r="E25" s="10"/>
    </row>
    <row r="26" spans="1:5" x14ac:dyDescent="0.25">
      <c r="A26" s="3" t="s">
        <v>180</v>
      </c>
      <c r="B26" s="44">
        <f>IF(CData!B35,Summary!D$90/CData!B35-1,"")</f>
        <v>2.1856885684455429E-2</v>
      </c>
      <c r="C26" s="45">
        <f>(Summary!D$90-CData!B35)/IF(Summary!B$90,Summary!B$90,1)/10</f>
        <v>4.3181523832789628E-2</v>
      </c>
      <c r="D26" s="39">
        <f>Input!E$231</f>
        <v>151.30238565583156</v>
      </c>
      <c r="E26" s="10"/>
    </row>
    <row r="27" spans="1:5" x14ac:dyDescent="0.25">
      <c r="A27" s="3" t="s">
        <v>193</v>
      </c>
      <c r="B27" s="44">
        <f>IF(CData!B36,Summary!D$93/CData!B36-1,"")</f>
        <v>1.6334490118274037E-2</v>
      </c>
      <c r="C27" s="45">
        <f>(Summary!D$93-CData!B36)/IF(Summary!B$93,Summary!B$93,1)/10</f>
        <v>2.1671895823433214E-2</v>
      </c>
      <c r="D27" s="39">
        <f>Input!E$234</f>
        <v>3193.4890199090846</v>
      </c>
      <c r="E27" s="10"/>
    </row>
    <row r="28" spans="1:5" x14ac:dyDescent="0.25">
      <c r="A28" s="3" t="s">
        <v>213</v>
      </c>
      <c r="B28" s="44">
        <f>IF(CData!B37,Summary!D$96/CData!B37-1,"")</f>
        <v>2.8230184581976125E-2</v>
      </c>
      <c r="C28" s="45">
        <f>(Summary!D$96-CData!B37)/IF(Summary!B$96,Summary!B$96,1)/10</f>
        <v>5.1999999999999956E-2</v>
      </c>
      <c r="D28" s="39">
        <f>Input!E$237</f>
        <v>1442.8949741099771</v>
      </c>
      <c r="E28" s="10"/>
    </row>
    <row r="29" spans="1:5" x14ac:dyDescent="0.25">
      <c r="A29" s="3" t="s">
        <v>214</v>
      </c>
      <c r="B29" s="44">
        <f>IF(CData!B38,Summary!D$100/CData!B38-1,"")</f>
        <v>2.0341741253051104E-2</v>
      </c>
      <c r="C29" s="45">
        <f>(Summary!D$100-CData!B38)/IF(Summary!B$100,Summary!B$100,1)/10</f>
        <v>4.9999999999999725E-2</v>
      </c>
      <c r="D29" s="39">
        <f>Input!E$241</f>
        <v>1187.4883179029223</v>
      </c>
      <c r="E29" s="10"/>
    </row>
    <row r="30" spans="1:5" x14ac:dyDescent="0.25">
      <c r="A30" s="3" t="s">
        <v>215</v>
      </c>
      <c r="B30" s="44">
        <f>IF(CData!B39,Summary!D$104/CData!B39-1,"")</f>
        <v>1.5075376884422065E-2</v>
      </c>
      <c r="C30" s="45">
        <f>(Summary!D$104-CData!B39)/IF(Summary!B$104,Summary!B$104,1)/10</f>
        <v>6.0000000000000074E-2</v>
      </c>
      <c r="D30" s="39">
        <f>Input!E$245</f>
        <v>161.79146747777602</v>
      </c>
      <c r="E30" s="10"/>
    </row>
    <row r="31" spans="1:5" x14ac:dyDescent="0.25">
      <c r="A31" s="3" t="s">
        <v>216</v>
      </c>
      <c r="B31" s="44">
        <f>IF(CData!B40,Summary!D$108/CData!B40-1,"")</f>
        <v>4.3019480519480569E-2</v>
      </c>
      <c r="C31" s="45">
        <f>(Summary!D$108-CData!B40)/IF(Summary!B$108,Summary!B$108,1)/10</f>
        <v>5.3000000000000061E-2</v>
      </c>
      <c r="D31" s="39">
        <f>Input!E$249</f>
        <v>261.51199460244294</v>
      </c>
      <c r="E31" s="10"/>
    </row>
    <row r="32" spans="1:5" x14ac:dyDescent="0.25">
      <c r="A32" s="3" t="s">
        <v>217</v>
      </c>
      <c r="B32" s="44">
        <f>IF(CData!B41,Summary!D$112/CData!B41-1,"")</f>
        <v>1.9695390516648592E-2</v>
      </c>
      <c r="C32" s="45">
        <f>(Summary!D$112-CData!B41)/IF(Summary!B$112,Summary!B$112,1)/10</f>
        <v>5.1575408971676097E-2</v>
      </c>
      <c r="D32" s="39">
        <f>Input!E$253</f>
        <v>117.01898591159899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1" t="s">
        <v>1763</v>
      </c>
    </row>
    <row r="37" spans="1:6" x14ac:dyDescent="0.25">
      <c r="A37" s="11" t="s">
        <v>1764</v>
      </c>
    </row>
    <row r="38" spans="1:6" x14ac:dyDescent="0.25">
      <c r="A38" s="11" t="s">
        <v>1765</v>
      </c>
    </row>
    <row r="39" spans="1:6" x14ac:dyDescent="0.25">
      <c r="A39" s="11" t="s">
        <v>1766</v>
      </c>
    </row>
    <row r="40" spans="1:6" x14ac:dyDescent="0.25">
      <c r="A40" s="11" t="s">
        <v>1767</v>
      </c>
    </row>
    <row r="41" spans="1:6" x14ac:dyDescent="0.25">
      <c r="A41" s="29" t="s">
        <v>359</v>
      </c>
      <c r="B41" s="29" t="s">
        <v>418</v>
      </c>
      <c r="C41" s="29" t="s">
        <v>418</v>
      </c>
      <c r="D41" s="29" t="s">
        <v>489</v>
      </c>
      <c r="E41" s="29" t="s">
        <v>489</v>
      </c>
    </row>
    <row r="42" spans="1:6" x14ac:dyDescent="0.25">
      <c r="A42" s="29" t="s">
        <v>362</v>
      </c>
      <c r="B42" s="29" t="s">
        <v>1568</v>
      </c>
      <c r="C42" s="29" t="s">
        <v>421</v>
      </c>
      <c r="D42" s="29" t="s">
        <v>1768</v>
      </c>
      <c r="E42" s="29" t="s">
        <v>1769</v>
      </c>
    </row>
    <row r="44" spans="1:6" ht="45" x14ac:dyDescent="0.25">
      <c r="B44" s="12" t="s">
        <v>1709</v>
      </c>
      <c r="C44" s="12" t="s">
        <v>1770</v>
      </c>
      <c r="D44" s="12" t="s">
        <v>1771</v>
      </c>
      <c r="E44" s="12" t="s">
        <v>1772</v>
      </c>
    </row>
    <row r="45" spans="1:6" x14ac:dyDescent="0.25">
      <c r="A45" s="3" t="s">
        <v>171</v>
      </c>
      <c r="B45" s="23" t="str">
        <f>CData!B$87</f>
        <v>MPAN</v>
      </c>
      <c r="C45" s="41">
        <f>CData!H$143</f>
        <v>80.134856765475988</v>
      </c>
      <c r="D45" s="41">
        <f>IF(CData!B246,C45-CData!B246,"")</f>
        <v>24.131479345041832</v>
      </c>
      <c r="E45" s="41">
        <f>IF(CData!B278,C45-CData!B278,"")</f>
        <v>39.107364588270059</v>
      </c>
      <c r="F45" s="10"/>
    </row>
    <row r="46" spans="1:6" x14ac:dyDescent="0.25">
      <c r="A46" s="3" t="s">
        <v>172</v>
      </c>
      <c r="B46" s="23" t="str">
        <f>CData!B$88</f>
        <v>MPAN</v>
      </c>
      <c r="C46" s="41">
        <f>CData!H$147</f>
        <v>87.655497613433852</v>
      </c>
      <c r="D46" s="41">
        <f>IF(CData!B247,C46-CData!B247,"")</f>
        <v>26.392817093002357</v>
      </c>
      <c r="E46" s="41">
        <f>IF(CData!B279,C46-CData!B279,"")</f>
        <v>42.781526521198259</v>
      </c>
      <c r="F46" s="10"/>
    </row>
    <row r="47" spans="1:6" x14ac:dyDescent="0.25">
      <c r="A47" s="3" t="s">
        <v>211</v>
      </c>
      <c r="B47" s="23" t="str">
        <f>CData!B$89</f>
        <v>MPAN</v>
      </c>
      <c r="C47" s="41">
        <f>CData!H$151</f>
        <v>21.113868890966408</v>
      </c>
      <c r="D47" s="41">
        <f>IF(CData!B248,C47-CData!B248,"")</f>
        <v>6.3543331534914831</v>
      </c>
      <c r="E47" s="41">
        <f>IF(CData!B280,C47-CData!B280,"")</f>
        <v>10.321588773131667</v>
      </c>
      <c r="F47" s="10"/>
    </row>
    <row r="48" spans="1:6" x14ac:dyDescent="0.25">
      <c r="A48" s="3" t="s">
        <v>173</v>
      </c>
      <c r="B48" s="23" t="str">
        <f>CData!B$90</f>
        <v>MPAN</v>
      </c>
      <c r="C48" s="41">
        <f>CData!H$155</f>
        <v>246.12987424688333</v>
      </c>
      <c r="D48" s="41">
        <f>IF(CData!B249,C48-CData!B249,"")</f>
        <v>74.11733057999669</v>
      </c>
      <c r="E48" s="41">
        <f>IF(CData!B281,C48-CData!B281,"")</f>
        <v>120.16467756142812</v>
      </c>
      <c r="F48" s="10"/>
    </row>
    <row r="49" spans="1:6" x14ac:dyDescent="0.25">
      <c r="A49" s="3" t="s">
        <v>174</v>
      </c>
      <c r="B49" s="23" t="str">
        <f>CData!B$91</f>
        <v>MPAN</v>
      </c>
      <c r="C49" s="41">
        <f>CData!H$159</f>
        <v>421.74175895420609</v>
      </c>
      <c r="D49" s="41">
        <f>IF(CData!B250,C49-CData!B250,"")</f>
        <v>126.96837899778558</v>
      </c>
      <c r="E49" s="41">
        <f>IF(CData!B282,C49-CData!B282,"")</f>
        <v>205.83434304672897</v>
      </c>
      <c r="F49" s="10"/>
    </row>
    <row r="50" spans="1:6" x14ac:dyDescent="0.25">
      <c r="A50" s="3" t="s">
        <v>212</v>
      </c>
      <c r="B50" s="23" t="str">
        <f>CData!B$92</f>
        <v>MPAN</v>
      </c>
      <c r="C50" s="41">
        <f>CData!H$163</f>
        <v>17.104748798330597</v>
      </c>
      <c r="D50" s="41">
        <f>IF(CData!B251,C50-CData!B251,"")</f>
        <v>5.1372624377238658</v>
      </c>
      <c r="E50" s="41">
        <f>IF(CData!B283,C50-CData!B283,"")</f>
        <v>8.3480514613012797</v>
      </c>
      <c r="F50" s="10"/>
    </row>
    <row r="51" spans="1:6" x14ac:dyDescent="0.25">
      <c r="A51" s="3" t="s">
        <v>175</v>
      </c>
      <c r="B51" s="23" t="str">
        <f>CData!B$93</f>
        <v>MPAN</v>
      </c>
      <c r="C51" s="41">
        <f>CData!H$167</f>
        <v>0</v>
      </c>
      <c r="D51" s="41" t="str">
        <f>IF(CData!B252,C51-CData!B252,"")</f>
        <v/>
      </c>
      <c r="E51" s="41" t="str">
        <f>IF(CData!B284,C51-CData!B284,"")</f>
        <v/>
      </c>
      <c r="F51" s="10"/>
    </row>
    <row r="52" spans="1:6" x14ac:dyDescent="0.25">
      <c r="A52" s="3" t="s">
        <v>177</v>
      </c>
      <c r="B52" s="23" t="str">
        <f>CData!B$96</f>
        <v>MPAN</v>
      </c>
      <c r="C52" s="41">
        <f>CData!H$175</f>
        <v>0</v>
      </c>
      <c r="D52" s="41" t="str">
        <f>IF(CData!B253,C52-CData!B253,"")</f>
        <v/>
      </c>
      <c r="E52" s="41" t="str">
        <f>IF(CData!B285,C52-CData!B285,"")</f>
        <v/>
      </c>
      <c r="F52" s="10"/>
    </row>
    <row r="53" spans="1:6" x14ac:dyDescent="0.25">
      <c r="A53" s="3" t="s">
        <v>178</v>
      </c>
      <c r="B53" s="23" t="str">
        <f>CData!B$97</f>
        <v>MPAN</v>
      </c>
      <c r="C53" s="41">
        <f>CData!H$179</f>
        <v>1057.0076807784164</v>
      </c>
      <c r="D53" s="41">
        <f>IF(CData!B254,C53-CData!B254,"")</f>
        <v>318.31272967554037</v>
      </c>
      <c r="E53" s="41">
        <f>IF(CData!B286,C53-CData!B286,"")</f>
        <v>516.03960240160688</v>
      </c>
      <c r="F53" s="10"/>
    </row>
    <row r="54" spans="1:6" x14ac:dyDescent="0.25">
      <c r="A54" s="3" t="s">
        <v>179</v>
      </c>
      <c r="B54" s="23" t="str">
        <f>CData!B$98</f>
        <v>kVA</v>
      </c>
      <c r="C54" s="41">
        <f>CData!H$183</f>
        <v>36.206326891082462</v>
      </c>
      <c r="D54" s="41">
        <f>IF(CData!B255,C54-CData!B255,"")</f>
        <v>10.911449322156695</v>
      </c>
      <c r="E54" s="41">
        <f>IF(CData!B287,C54-CData!B287,"")</f>
        <v>17.656769031378435</v>
      </c>
      <c r="F54" s="10"/>
    </row>
    <row r="55" spans="1:6" x14ac:dyDescent="0.25">
      <c r="A55" s="3" t="s">
        <v>180</v>
      </c>
      <c r="B55" s="23" t="str">
        <f>CData!B$99</f>
        <v>kVA</v>
      </c>
      <c r="C55" s="41">
        <f>CData!H$187</f>
        <v>30.753424081943507</v>
      </c>
      <c r="D55" s="9"/>
      <c r="E55" s="41">
        <f>IF(CData!B288,C55-CData!B288,"")</f>
        <v>7.9480323496008438</v>
      </c>
      <c r="F55" s="10"/>
    </row>
    <row r="56" spans="1:6" x14ac:dyDescent="0.25">
      <c r="A56" s="3" t="s">
        <v>193</v>
      </c>
      <c r="B56" s="23" t="str">
        <f>CData!B$100</f>
        <v>kVA</v>
      </c>
      <c r="C56" s="41">
        <f>CData!H$190</f>
        <v>37.460594020302359</v>
      </c>
      <c r="D56" s="9"/>
      <c r="E56" s="41">
        <f>IF(CData!B289,C56-CData!B289,"")</f>
        <v>5.9573841352366443</v>
      </c>
      <c r="F56" s="10"/>
    </row>
    <row r="57" spans="1:6" x14ac:dyDescent="0.25">
      <c r="A57" s="3" t="s">
        <v>213</v>
      </c>
      <c r="B57" s="23" t="str">
        <f>CData!B$101</f>
        <v>MWh</v>
      </c>
      <c r="C57" s="41">
        <f>CData!H$193</f>
        <v>18.939999999999998</v>
      </c>
      <c r="D57" s="41">
        <f>IF(CData!B258,C57-CData!B258,"")</f>
        <v>5.7099999999999973</v>
      </c>
      <c r="E57" s="41">
        <f>IF(CData!B290,C57-CData!B290,"")</f>
        <v>9.2499999999999982</v>
      </c>
      <c r="F57" s="10"/>
    </row>
    <row r="58" spans="1:6" x14ac:dyDescent="0.25">
      <c r="A58" s="3" t="s">
        <v>214</v>
      </c>
      <c r="B58" s="23" t="str">
        <f>CData!B$102</f>
        <v>MWh</v>
      </c>
      <c r="C58" s="41">
        <f>CData!H$197</f>
        <v>25.08</v>
      </c>
      <c r="D58" s="41">
        <f>IF(CData!B259,C58-CData!B259,"")</f>
        <v>7.5500000000000007</v>
      </c>
      <c r="E58" s="41">
        <f>IF(CData!B291,C58-CData!B291,"")</f>
        <v>12.239999999999998</v>
      </c>
      <c r="F58" s="10"/>
    </row>
    <row r="59" spans="1:6" x14ac:dyDescent="0.25">
      <c r="A59" s="3" t="s">
        <v>215</v>
      </c>
      <c r="B59" s="23" t="str">
        <f>CData!B$103</f>
        <v>MWh</v>
      </c>
      <c r="C59" s="41">
        <f>CData!H$201</f>
        <v>40.4</v>
      </c>
      <c r="D59" s="41">
        <f>IF(CData!B260,C59-CData!B260,"")</f>
        <v>12.169999999999998</v>
      </c>
      <c r="E59" s="41">
        <f>IF(CData!B292,C59-CData!B292,"")</f>
        <v>19.72</v>
      </c>
      <c r="F59" s="10"/>
    </row>
    <row r="60" spans="1:6" x14ac:dyDescent="0.25">
      <c r="A60" s="3" t="s">
        <v>216</v>
      </c>
      <c r="B60" s="23" t="str">
        <f>CData!B$104</f>
        <v>MWh</v>
      </c>
      <c r="C60" s="41">
        <f>CData!H$205</f>
        <v>12.85</v>
      </c>
      <c r="D60" s="41">
        <f>IF(CData!B261,C60-CData!B261,"")</f>
        <v>3.8699999999999992</v>
      </c>
      <c r="E60" s="41">
        <f>IF(CData!B293,C60-CData!B293,"")</f>
        <v>6.27</v>
      </c>
      <c r="F60" s="10"/>
    </row>
    <row r="61" spans="1:6" x14ac:dyDescent="0.25">
      <c r="A61" s="3" t="s">
        <v>217</v>
      </c>
      <c r="B61" s="23" t="str">
        <f>CData!B$105</f>
        <v>MWh</v>
      </c>
      <c r="C61" s="41">
        <f>CData!H$209</f>
        <v>26.702291964190053</v>
      </c>
      <c r="D61" s="41">
        <f>IF(CData!B262,C61-CData!B262,"")</f>
        <v>8.0405386966103123</v>
      </c>
      <c r="E61" s="41">
        <f>IF(CData!B294,C61-CData!B294,"")</f>
        <v>13.040382815256232</v>
      </c>
      <c r="F61" s="10"/>
    </row>
    <row r="62" spans="1:6" x14ac:dyDescent="0.25">
      <c r="A62" s="3" t="s">
        <v>181</v>
      </c>
      <c r="B62" s="23" t="str">
        <f>CData!B$106</f>
        <v>MWh</v>
      </c>
      <c r="C62" s="41">
        <f>CData!H$213</f>
        <v>-6.26</v>
      </c>
      <c r="D62" s="41">
        <f>IF(CData!B263,C62-CData!B263,"")</f>
        <v>0</v>
      </c>
      <c r="E62" s="41">
        <f>IF(CData!B295,C62-CData!B295,"")</f>
        <v>0</v>
      </c>
      <c r="F62" s="10"/>
    </row>
    <row r="63" spans="1:6" x14ac:dyDescent="0.25">
      <c r="A63" s="3" t="s">
        <v>182</v>
      </c>
      <c r="B63" s="23" t="str">
        <f>CData!B$107</f>
        <v>MWh</v>
      </c>
      <c r="C63" s="41">
        <f>CData!H$217</f>
        <v>0</v>
      </c>
      <c r="D63" s="9"/>
      <c r="E63" s="41" t="str">
        <f>IF(CData!B296,C63-CData!B296,"")</f>
        <v/>
      </c>
      <c r="F63" s="10"/>
    </row>
    <row r="64" spans="1:6" x14ac:dyDescent="0.25">
      <c r="A64" s="3" t="s">
        <v>183</v>
      </c>
      <c r="B64" s="23" t="str">
        <f>CData!B$108</f>
        <v>MWh</v>
      </c>
      <c r="C64" s="41">
        <f>CData!H$220</f>
        <v>-6.1172870497829557</v>
      </c>
      <c r="D64" s="41">
        <f>IF(CData!B265,C64-CData!B265,"")</f>
        <v>0</v>
      </c>
      <c r="E64" s="41">
        <f>IF(CData!B297,C64-CData!B297,"")</f>
        <v>0</v>
      </c>
      <c r="F64" s="10"/>
    </row>
    <row r="65" spans="1:6" x14ac:dyDescent="0.25">
      <c r="A65" s="3" t="s">
        <v>184</v>
      </c>
      <c r="B65" s="23" t="str">
        <f>CData!B$109</f>
        <v>MWh</v>
      </c>
      <c r="C65" s="41">
        <f>CData!H$224</f>
        <v>-6.8816471513904363</v>
      </c>
      <c r="D65" s="41">
        <f>IF(CData!B266,C65-CData!B266,"")</f>
        <v>0</v>
      </c>
      <c r="E65" s="41">
        <f>IF(CData!B298,C65-CData!B298,"")</f>
        <v>0</v>
      </c>
      <c r="F65" s="10"/>
    </row>
    <row r="66" spans="1:6" x14ac:dyDescent="0.25">
      <c r="A66" s="3" t="s">
        <v>185</v>
      </c>
      <c r="B66" s="23" t="str">
        <f>CData!B$110</f>
        <v>MWh</v>
      </c>
      <c r="C66" s="41">
        <f>CData!H$228</f>
        <v>-5.2183681661794292</v>
      </c>
      <c r="D66" s="9"/>
      <c r="E66" s="41">
        <f>IF(CData!B299,C66-CData!B299,"")</f>
        <v>0</v>
      </c>
      <c r="F66" s="10"/>
    </row>
    <row r="67" spans="1:6" x14ac:dyDescent="0.25">
      <c r="A67" s="3" t="s">
        <v>186</v>
      </c>
      <c r="B67" s="23" t="str">
        <f>CData!B$111</f>
        <v>MWh</v>
      </c>
      <c r="C67" s="41">
        <f>CData!H$231</f>
        <v>-5.1418901847429606</v>
      </c>
      <c r="D67" s="9"/>
      <c r="E67" s="41">
        <f>IF(CData!B300,C67-CData!B300,"")</f>
        <v>0</v>
      </c>
      <c r="F67" s="10"/>
    </row>
    <row r="68" spans="1:6" x14ac:dyDescent="0.25">
      <c r="A68" s="3" t="s">
        <v>194</v>
      </c>
      <c r="B68" s="23" t="str">
        <f>CData!B$112</f>
        <v>MWh</v>
      </c>
      <c r="C68" s="41">
        <f>CData!H$234</f>
        <v>-3.2455626288062325</v>
      </c>
      <c r="D68" s="9"/>
      <c r="E68" s="41">
        <f>IF(CData!B301,C68-CData!B301,"")</f>
        <v>4.9604064829570582E-2</v>
      </c>
      <c r="F68" s="10"/>
    </row>
    <row r="69" spans="1:6" x14ac:dyDescent="0.25">
      <c r="A69" s="3" t="s">
        <v>195</v>
      </c>
      <c r="B69" s="23" t="str">
        <f>CData!B$113</f>
        <v>MWh</v>
      </c>
      <c r="C69" s="41">
        <f>CData!H$237</f>
        <v>-3.5481414485732437</v>
      </c>
      <c r="D69" s="9"/>
      <c r="E69" s="41">
        <f>IF(CData!B302,C69-CData!B302,"")</f>
        <v>2.5754380924614573E-2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70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East Midlands in April 17 (Final)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1" t="s">
        <v>357</v>
      </c>
    </row>
    <row r="8" spans="1:10" x14ac:dyDescent="0.25">
      <c r="A8" s="11" t="s">
        <v>358</v>
      </c>
    </row>
    <row r="9" spans="1:10" ht="30" x14ac:dyDescent="0.25">
      <c r="A9" s="29" t="s">
        <v>359</v>
      </c>
      <c r="B9" s="30" t="s">
        <v>360</v>
      </c>
      <c r="C9" s="30"/>
      <c r="D9" s="30"/>
      <c r="E9" s="30"/>
      <c r="F9" s="30"/>
      <c r="G9" s="30"/>
      <c r="H9" s="30"/>
      <c r="I9" s="29" t="s">
        <v>361</v>
      </c>
    </row>
    <row r="10" spans="1:10" ht="30" x14ac:dyDescent="0.25">
      <c r="A10" s="29" t="s">
        <v>362</v>
      </c>
      <c r="B10" s="30" t="s">
        <v>363</v>
      </c>
      <c r="C10" s="30"/>
      <c r="D10" s="30"/>
      <c r="E10" s="30"/>
      <c r="F10" s="30"/>
      <c r="G10" s="30"/>
      <c r="H10" s="30"/>
      <c r="I10" s="29" t="s">
        <v>364</v>
      </c>
    </row>
    <row r="12" spans="1:10" x14ac:dyDescent="0.25">
      <c r="B12" s="31" t="s">
        <v>365</v>
      </c>
      <c r="C12" s="31"/>
      <c r="D12" s="31"/>
      <c r="E12" s="31"/>
      <c r="F12" s="31"/>
      <c r="G12" s="31"/>
      <c r="H12" s="31"/>
    </row>
    <row r="13" spans="1:10" ht="30" x14ac:dyDescent="0.25">
      <c r="B13" s="12" t="s">
        <v>140</v>
      </c>
      <c r="C13" s="12" t="s">
        <v>141</v>
      </c>
      <c r="D13" s="12" t="s">
        <v>142</v>
      </c>
      <c r="E13" s="12" t="s">
        <v>143</v>
      </c>
      <c r="F13" s="12" t="s">
        <v>144</v>
      </c>
      <c r="G13" s="12" t="s">
        <v>145</v>
      </c>
      <c r="H13" s="12" t="s">
        <v>146</v>
      </c>
      <c r="I13" s="12" t="s">
        <v>198</v>
      </c>
    </row>
    <row r="14" spans="1:10" x14ac:dyDescent="0.25">
      <c r="A14" s="3" t="s">
        <v>171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1</v>
      </c>
      <c r="I14" s="33">
        <f>SUMPRODUCT($B14:$H14,Input!$B$148:$H$148)</f>
        <v>1.093</v>
      </c>
      <c r="J14" s="10"/>
    </row>
    <row r="15" spans="1:10" x14ac:dyDescent="0.25">
      <c r="A15" s="3" t="s">
        <v>172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1</v>
      </c>
      <c r="I15" s="33">
        <f>SUMPRODUCT($B15:$H15,Input!$B$148:$H$148)</f>
        <v>1.093</v>
      </c>
      <c r="J15" s="10"/>
    </row>
    <row r="16" spans="1:10" x14ac:dyDescent="0.25">
      <c r="A16" s="3" t="s">
        <v>211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3">
        <f>SUMPRODUCT($B16:$H16,Input!$B$148:$H$148)</f>
        <v>1.093</v>
      </c>
      <c r="J16" s="10"/>
    </row>
    <row r="17" spans="1:10" x14ac:dyDescent="0.25">
      <c r="A17" s="3" t="s">
        <v>173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1</v>
      </c>
      <c r="I17" s="33">
        <f>SUMPRODUCT($B17:$H17,Input!$B$148:$H$148)</f>
        <v>1.093</v>
      </c>
      <c r="J17" s="10"/>
    </row>
    <row r="18" spans="1:10" x14ac:dyDescent="0.25">
      <c r="A18" s="3" t="s">
        <v>174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3">
        <f>SUMPRODUCT($B18:$H18,Input!$B$148:$H$148)</f>
        <v>1.093</v>
      </c>
      <c r="J18" s="10"/>
    </row>
    <row r="19" spans="1:10" x14ac:dyDescent="0.25">
      <c r="A19" s="3" t="s">
        <v>212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1</v>
      </c>
      <c r="I19" s="33">
        <f>SUMPRODUCT($B19:$H19,Input!$B$148:$H$148)</f>
        <v>1.093</v>
      </c>
      <c r="J19" s="10"/>
    </row>
    <row r="20" spans="1:10" x14ac:dyDescent="0.25">
      <c r="A20" s="3" t="s">
        <v>175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</v>
      </c>
      <c r="I20" s="33">
        <f>SUMPRODUCT($B20:$H20,Input!$B$148:$H$148)</f>
        <v>1.093</v>
      </c>
      <c r="J20" s="10"/>
    </row>
    <row r="21" spans="1:10" x14ac:dyDescent="0.25">
      <c r="A21" s="3" t="s">
        <v>176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</v>
      </c>
      <c r="H21" s="32">
        <v>0</v>
      </c>
      <c r="I21" s="33">
        <f>SUMPRODUCT($B21:$H21,Input!$B$148:$H$148)</f>
        <v>1.0529999999999999</v>
      </c>
      <c r="J21" s="10"/>
    </row>
    <row r="22" spans="1:10" x14ac:dyDescent="0.25">
      <c r="A22" s="3" t="s">
        <v>192</v>
      </c>
      <c r="B22" s="32">
        <v>0</v>
      </c>
      <c r="C22" s="32">
        <v>0</v>
      </c>
      <c r="D22" s="32">
        <v>0</v>
      </c>
      <c r="E22" s="32">
        <v>0</v>
      </c>
      <c r="F22" s="32">
        <v>1</v>
      </c>
      <c r="G22" s="32">
        <v>0</v>
      </c>
      <c r="H22" s="32">
        <v>0</v>
      </c>
      <c r="I22" s="33">
        <f>SUMPRODUCT($B22:$H22,Input!$B$148:$H$148)</f>
        <v>1.034</v>
      </c>
      <c r="J22" s="10"/>
    </row>
    <row r="23" spans="1:10" x14ac:dyDescent="0.25">
      <c r="A23" s="3" t="s">
        <v>177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1</v>
      </c>
      <c r="I23" s="33">
        <f>SUMPRODUCT($B23:$H23,Input!$B$148:$H$148)</f>
        <v>1.093</v>
      </c>
      <c r="J23" s="10"/>
    </row>
    <row r="24" spans="1:10" x14ac:dyDescent="0.25">
      <c r="A24" s="3" t="s">
        <v>178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</v>
      </c>
      <c r="I24" s="33">
        <f>SUMPRODUCT($B24:$H24,Input!$B$148:$H$148)</f>
        <v>1.093</v>
      </c>
      <c r="J24" s="10"/>
    </row>
    <row r="25" spans="1:10" x14ac:dyDescent="0.25">
      <c r="A25" s="3" t="s">
        <v>179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1</v>
      </c>
      <c r="I25" s="33">
        <f>SUMPRODUCT($B25:$H25,Input!$B$148:$H$148)</f>
        <v>1.093</v>
      </c>
      <c r="J25" s="10"/>
    </row>
    <row r="26" spans="1:10" x14ac:dyDescent="0.25">
      <c r="A26" s="3" t="s">
        <v>180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1</v>
      </c>
      <c r="H26" s="32">
        <v>0</v>
      </c>
      <c r="I26" s="33">
        <f>SUMPRODUCT($B26:$H26,Input!$B$148:$H$148)</f>
        <v>1.0529999999999999</v>
      </c>
      <c r="J26" s="10"/>
    </row>
    <row r="27" spans="1:10" x14ac:dyDescent="0.25">
      <c r="A27" s="3" t="s">
        <v>193</v>
      </c>
      <c r="B27" s="32">
        <v>0</v>
      </c>
      <c r="C27" s="32">
        <v>0</v>
      </c>
      <c r="D27" s="32">
        <v>0</v>
      </c>
      <c r="E27" s="32">
        <v>0</v>
      </c>
      <c r="F27" s="32">
        <v>1</v>
      </c>
      <c r="G27" s="32">
        <v>0</v>
      </c>
      <c r="H27" s="32">
        <v>0</v>
      </c>
      <c r="I27" s="33">
        <f>SUMPRODUCT($B27:$H27,Input!$B$148:$H$148)</f>
        <v>1.034</v>
      </c>
      <c r="J27" s="10"/>
    </row>
    <row r="28" spans="1:10" x14ac:dyDescent="0.25">
      <c r="A28" s="3" t="s">
        <v>213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1</v>
      </c>
      <c r="I28" s="33">
        <f>SUMPRODUCT($B28:$H28,Input!$B$148:$H$148)</f>
        <v>1.093</v>
      </c>
      <c r="J28" s="10"/>
    </row>
    <row r="29" spans="1:10" x14ac:dyDescent="0.25">
      <c r="A29" s="3" t="s">
        <v>214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1</v>
      </c>
      <c r="I29" s="33">
        <f>SUMPRODUCT($B29:$H29,Input!$B$148:$H$148)</f>
        <v>1.093</v>
      </c>
      <c r="J29" s="10"/>
    </row>
    <row r="30" spans="1:10" x14ac:dyDescent="0.25">
      <c r="A30" s="3" t="s">
        <v>215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</v>
      </c>
      <c r="I30" s="33">
        <f>SUMPRODUCT($B30:$H30,Input!$B$148:$H$148)</f>
        <v>1.093</v>
      </c>
      <c r="J30" s="10"/>
    </row>
    <row r="31" spans="1:10" x14ac:dyDescent="0.25">
      <c r="A31" s="3" t="s">
        <v>216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1</v>
      </c>
      <c r="I31" s="33">
        <f>SUMPRODUCT($B31:$H31,Input!$B$148:$H$148)</f>
        <v>1.093</v>
      </c>
      <c r="J31" s="10"/>
    </row>
    <row r="32" spans="1:10" x14ac:dyDescent="0.25">
      <c r="A32" s="3" t="s">
        <v>217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1</v>
      </c>
      <c r="I32" s="33">
        <f>SUMPRODUCT($B32:$H32,Input!$B$148:$H$148)</f>
        <v>1.093</v>
      </c>
      <c r="J32" s="10"/>
    </row>
    <row r="33" spans="1:10" x14ac:dyDescent="0.25">
      <c r="A33" s="3" t="s">
        <v>181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1</v>
      </c>
      <c r="I33" s="33">
        <f>SUMPRODUCT($B33:$H33,Input!$B$148:$H$148)</f>
        <v>1.093</v>
      </c>
      <c r="J33" s="10"/>
    </row>
    <row r="34" spans="1:10" x14ac:dyDescent="0.25">
      <c r="A34" s="3" t="s">
        <v>182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1</v>
      </c>
      <c r="H34" s="32">
        <v>0</v>
      </c>
      <c r="I34" s="33">
        <f>SUMPRODUCT($B34:$H34,Input!$B$148:$H$148)</f>
        <v>1.0529999999999999</v>
      </c>
      <c r="J34" s="10"/>
    </row>
    <row r="35" spans="1:10" x14ac:dyDescent="0.25">
      <c r="A35" s="3" t="s">
        <v>183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3">
        <f>SUMPRODUCT($B35:$H35,Input!$B$148:$H$148)</f>
        <v>1.093</v>
      </c>
      <c r="J35" s="10"/>
    </row>
    <row r="36" spans="1:10" x14ac:dyDescent="0.25">
      <c r="A36" s="3" t="s">
        <v>184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</v>
      </c>
      <c r="I36" s="33">
        <f>SUMPRODUCT($B36:$H36,Input!$B$148:$H$148)</f>
        <v>1.093</v>
      </c>
      <c r="J36" s="10"/>
    </row>
    <row r="37" spans="1:10" x14ac:dyDescent="0.25">
      <c r="A37" s="3" t="s">
        <v>185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1</v>
      </c>
      <c r="H37" s="32">
        <v>0</v>
      </c>
      <c r="I37" s="33">
        <f>SUMPRODUCT($B37:$H37,Input!$B$148:$H$148)</f>
        <v>1.0529999999999999</v>
      </c>
      <c r="J37" s="10"/>
    </row>
    <row r="38" spans="1:10" x14ac:dyDescent="0.25">
      <c r="A38" s="3" t="s">
        <v>186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1</v>
      </c>
      <c r="H38" s="32">
        <v>0</v>
      </c>
      <c r="I38" s="33">
        <f>SUMPRODUCT($B38:$H38,Input!$B$148:$H$148)</f>
        <v>1.0529999999999999</v>
      </c>
      <c r="J38" s="10"/>
    </row>
    <row r="39" spans="1:10" x14ac:dyDescent="0.25">
      <c r="A39" s="3" t="s">
        <v>194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0</v>
      </c>
      <c r="I39" s="33">
        <f>SUMPRODUCT($B39:$H39,Input!$B$148:$H$148)</f>
        <v>1.034</v>
      </c>
      <c r="J39" s="10"/>
    </row>
    <row r="40" spans="1:10" x14ac:dyDescent="0.25">
      <c r="A40" s="3" t="s">
        <v>195</v>
      </c>
      <c r="B40" s="32">
        <v>0</v>
      </c>
      <c r="C40" s="32">
        <v>0</v>
      </c>
      <c r="D40" s="32">
        <v>0</v>
      </c>
      <c r="E40" s="32">
        <v>0</v>
      </c>
      <c r="F40" s="32">
        <v>1</v>
      </c>
      <c r="G40" s="32">
        <v>0</v>
      </c>
      <c r="H40" s="32">
        <v>0</v>
      </c>
      <c r="I40" s="33">
        <f>SUMPRODUCT($B40:$H40,Input!$B$148:$H$148)</f>
        <v>1.034</v>
      </c>
      <c r="J40" s="10"/>
    </row>
    <row r="42" spans="1:10" ht="21" customHeight="1" x14ac:dyDescent="0.3">
      <c r="A42" s="1" t="s">
        <v>366</v>
      </c>
    </row>
    <row r="44" spans="1:10" x14ac:dyDescent="0.25">
      <c r="B44" s="12" t="s">
        <v>140</v>
      </c>
      <c r="C44" s="12" t="s">
        <v>141</v>
      </c>
      <c r="D44" s="12" t="s">
        <v>142</v>
      </c>
      <c r="E44" s="12" t="s">
        <v>143</v>
      </c>
      <c r="F44" s="12" t="s">
        <v>144</v>
      </c>
      <c r="G44" s="12" t="s">
        <v>145</v>
      </c>
      <c r="H44" s="12" t="s">
        <v>146</v>
      </c>
    </row>
    <row r="45" spans="1:10" x14ac:dyDescent="0.25">
      <c r="A45" s="3" t="s">
        <v>140</v>
      </c>
      <c r="B45" s="32">
        <v>1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0"/>
    </row>
    <row r="46" spans="1:10" x14ac:dyDescent="0.25">
      <c r="A46" s="3" t="s">
        <v>141</v>
      </c>
      <c r="B46" s="32">
        <v>0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0"/>
    </row>
    <row r="47" spans="1:10" x14ac:dyDescent="0.25">
      <c r="A47" s="3" t="s">
        <v>142</v>
      </c>
      <c r="B47" s="32">
        <v>0</v>
      </c>
      <c r="C47" s="32">
        <v>0</v>
      </c>
      <c r="D47" s="32">
        <v>1</v>
      </c>
      <c r="E47" s="32">
        <v>0</v>
      </c>
      <c r="F47" s="32">
        <v>0</v>
      </c>
      <c r="G47" s="32">
        <v>0</v>
      </c>
      <c r="H47" s="32">
        <v>0</v>
      </c>
      <c r="I47" s="10"/>
    </row>
    <row r="48" spans="1:10" x14ac:dyDescent="0.25">
      <c r="A48" s="3" t="s">
        <v>143</v>
      </c>
      <c r="B48" s="32">
        <v>0</v>
      </c>
      <c r="C48" s="32">
        <v>0</v>
      </c>
      <c r="D48" s="32">
        <v>0</v>
      </c>
      <c r="E48" s="32">
        <v>1</v>
      </c>
      <c r="F48" s="32">
        <v>0</v>
      </c>
      <c r="G48" s="32">
        <v>0</v>
      </c>
      <c r="H48" s="32">
        <v>0</v>
      </c>
      <c r="I48" s="10"/>
    </row>
    <row r="49" spans="1:9" x14ac:dyDescent="0.25">
      <c r="A49" s="3" t="s">
        <v>148</v>
      </c>
      <c r="B49" s="32">
        <v>0</v>
      </c>
      <c r="C49" s="32">
        <v>0</v>
      </c>
      <c r="D49" s="32">
        <v>0</v>
      </c>
      <c r="E49" s="32">
        <v>1</v>
      </c>
      <c r="F49" s="32">
        <v>0</v>
      </c>
      <c r="G49" s="32">
        <v>0</v>
      </c>
      <c r="H49" s="32">
        <v>0</v>
      </c>
      <c r="I49" s="10"/>
    </row>
    <row r="50" spans="1:9" x14ac:dyDescent="0.25">
      <c r="A50" s="3" t="s">
        <v>144</v>
      </c>
      <c r="B50" s="32">
        <v>0</v>
      </c>
      <c r="C50" s="32">
        <v>0</v>
      </c>
      <c r="D50" s="32">
        <v>0</v>
      </c>
      <c r="E50" s="32">
        <v>0</v>
      </c>
      <c r="F50" s="32">
        <v>1</v>
      </c>
      <c r="G50" s="32">
        <v>0</v>
      </c>
      <c r="H50" s="32">
        <v>0</v>
      </c>
      <c r="I50" s="10"/>
    </row>
    <row r="51" spans="1:9" x14ac:dyDescent="0.25">
      <c r="A51" s="3" t="s">
        <v>145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1</v>
      </c>
      <c r="H51" s="32">
        <v>0</v>
      </c>
      <c r="I51" s="10"/>
    </row>
    <row r="52" spans="1:9" x14ac:dyDescent="0.25">
      <c r="A52" s="3" t="s">
        <v>146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1" t="s">
        <v>368</v>
      </c>
    </row>
    <row r="57" spans="1:9" x14ac:dyDescent="0.25">
      <c r="A57" s="11" t="s">
        <v>358</v>
      </c>
    </row>
    <row r="58" spans="1:9" x14ac:dyDescent="0.25">
      <c r="A58" s="2" t="s">
        <v>369</v>
      </c>
    </row>
    <row r="60" spans="1:9" ht="60" x14ac:dyDescent="0.25">
      <c r="B60" s="12" t="s">
        <v>370</v>
      </c>
    </row>
    <row r="61" spans="1:9" x14ac:dyDescent="0.25">
      <c r="A61" s="3" t="s">
        <v>140</v>
      </c>
      <c r="B61" s="33">
        <f>SUMPRODUCT($B45:$H45,Input!$B$148:$H$148)</f>
        <v>1.002</v>
      </c>
      <c r="C61" s="10"/>
    </row>
    <row r="62" spans="1:9" x14ac:dyDescent="0.25">
      <c r="A62" s="3" t="s">
        <v>141</v>
      </c>
      <c r="B62" s="33">
        <f>SUMPRODUCT($B46:$H46,Input!$B$148:$H$148)</f>
        <v>1.0069999999999999</v>
      </c>
      <c r="C62" s="10"/>
    </row>
    <row r="63" spans="1:9" x14ac:dyDescent="0.25">
      <c r="A63" s="3" t="s">
        <v>142</v>
      </c>
      <c r="B63" s="33">
        <f>SUMPRODUCT($B47:$H47,Input!$B$148:$H$148)</f>
        <v>1.01</v>
      </c>
      <c r="C63" s="10"/>
    </row>
    <row r="64" spans="1:9" x14ac:dyDescent="0.25">
      <c r="A64" s="3" t="s">
        <v>143</v>
      </c>
      <c r="B64" s="33">
        <f>SUMPRODUCT($B48:$H48,Input!$B$148:$H$148)</f>
        <v>1.018</v>
      </c>
      <c r="C64" s="10"/>
    </row>
    <row r="65" spans="1:11" x14ac:dyDescent="0.25">
      <c r="A65" s="3" t="s">
        <v>148</v>
      </c>
      <c r="B65" s="33">
        <f>SUMPRODUCT($B49:$H49,Input!$B$148:$H$148)</f>
        <v>1.018</v>
      </c>
      <c r="C65" s="10"/>
    </row>
    <row r="66" spans="1:11" x14ac:dyDescent="0.25">
      <c r="A66" s="3" t="s">
        <v>144</v>
      </c>
      <c r="B66" s="33">
        <f>SUMPRODUCT($B50:$H50,Input!$B$148:$H$148)</f>
        <v>1.034</v>
      </c>
      <c r="C66" s="10"/>
    </row>
    <row r="67" spans="1:11" x14ac:dyDescent="0.25">
      <c r="A67" s="3" t="s">
        <v>145</v>
      </c>
      <c r="B67" s="33">
        <f>SUMPRODUCT($B51:$H51,Input!$B$148:$H$148)</f>
        <v>1.0529999999999999</v>
      </c>
      <c r="C67" s="10"/>
    </row>
    <row r="68" spans="1:11" x14ac:dyDescent="0.25">
      <c r="A68" s="3" t="s">
        <v>146</v>
      </c>
      <c r="B68" s="33">
        <f>SUMPRODUCT($B52:$H52,Input!$B$148:$H$148)</f>
        <v>1.093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1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12" t="s">
        <v>139</v>
      </c>
      <c r="C76" s="12" t="s">
        <v>140</v>
      </c>
      <c r="D76" s="12" t="s">
        <v>141</v>
      </c>
      <c r="E76" s="12" t="s">
        <v>142</v>
      </c>
      <c r="F76" s="12" t="s">
        <v>143</v>
      </c>
      <c r="G76" s="12" t="s">
        <v>148</v>
      </c>
      <c r="H76" s="12" t="s">
        <v>144</v>
      </c>
      <c r="I76" s="12" t="s">
        <v>145</v>
      </c>
      <c r="J76" s="12" t="s">
        <v>146</v>
      </c>
    </row>
    <row r="77" spans="1:11" ht="30" x14ac:dyDescent="0.25">
      <c r="A77" s="3" t="s">
        <v>375</v>
      </c>
      <c r="B77" s="23">
        <v>1</v>
      </c>
      <c r="C77" s="34">
        <f>$B$61</f>
        <v>1.002</v>
      </c>
      <c r="D77" s="34">
        <f>$B$62</f>
        <v>1.0069999999999999</v>
      </c>
      <c r="E77" s="34">
        <f>$B$63</f>
        <v>1.01</v>
      </c>
      <c r="F77" s="34">
        <f>$B$64</f>
        <v>1.018</v>
      </c>
      <c r="G77" s="34">
        <f>$B$65</f>
        <v>1.018</v>
      </c>
      <c r="H77" s="34">
        <f>$B$66</f>
        <v>1.034</v>
      </c>
      <c r="I77" s="34">
        <f>$B$67</f>
        <v>1.0529999999999999</v>
      </c>
      <c r="J77" s="34">
        <f>$B$68</f>
        <v>1.093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12" t="s">
        <v>139</v>
      </c>
      <c r="C84" s="12" t="s">
        <v>140</v>
      </c>
      <c r="D84" s="12" t="s">
        <v>141</v>
      </c>
      <c r="E84" s="12" t="s">
        <v>142</v>
      </c>
      <c r="F84" s="12" t="s">
        <v>143</v>
      </c>
      <c r="G84" s="12" t="s">
        <v>144</v>
      </c>
      <c r="H84" s="12" t="s">
        <v>145</v>
      </c>
      <c r="I84" s="12" t="s">
        <v>146</v>
      </c>
    </row>
    <row r="85" spans="1:10" x14ac:dyDescent="0.25">
      <c r="A85" s="3" t="s">
        <v>171</v>
      </c>
      <c r="B85" s="23">
        <v>1</v>
      </c>
      <c r="C85" s="23">
        <v>1</v>
      </c>
      <c r="D85" s="23">
        <v>1</v>
      </c>
      <c r="E85" s="23">
        <v>1</v>
      </c>
      <c r="F85" s="23">
        <v>1</v>
      </c>
      <c r="G85" s="23">
        <v>1</v>
      </c>
      <c r="H85" s="23">
        <v>1</v>
      </c>
      <c r="I85" s="23">
        <v>1</v>
      </c>
      <c r="J85" s="10"/>
    </row>
    <row r="86" spans="1:10" x14ac:dyDescent="0.25">
      <c r="A86" s="3" t="s">
        <v>172</v>
      </c>
      <c r="B86" s="23">
        <v>1</v>
      </c>
      <c r="C86" s="23">
        <v>1</v>
      </c>
      <c r="D86" s="23">
        <v>1</v>
      </c>
      <c r="E86" s="23">
        <v>1</v>
      </c>
      <c r="F86" s="23">
        <v>1</v>
      </c>
      <c r="G86" s="23">
        <v>1</v>
      </c>
      <c r="H86" s="23">
        <v>1</v>
      </c>
      <c r="I86" s="23">
        <v>1</v>
      </c>
      <c r="J86" s="10"/>
    </row>
    <row r="87" spans="1:10" x14ac:dyDescent="0.25">
      <c r="A87" s="3" t="s">
        <v>211</v>
      </c>
      <c r="B87" s="23">
        <v>1</v>
      </c>
      <c r="C87" s="23">
        <v>1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10"/>
    </row>
    <row r="88" spans="1:10" x14ac:dyDescent="0.25">
      <c r="A88" s="3" t="s">
        <v>173</v>
      </c>
      <c r="B88" s="23">
        <v>1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10"/>
    </row>
    <row r="89" spans="1:10" x14ac:dyDescent="0.25">
      <c r="A89" s="3" t="s">
        <v>174</v>
      </c>
      <c r="B89" s="23">
        <v>1</v>
      </c>
      <c r="C89" s="23">
        <v>1</v>
      </c>
      <c r="D89" s="23">
        <v>1</v>
      </c>
      <c r="E89" s="23">
        <v>1</v>
      </c>
      <c r="F89" s="23">
        <v>1</v>
      </c>
      <c r="G89" s="23">
        <v>1</v>
      </c>
      <c r="H89" s="23">
        <v>1</v>
      </c>
      <c r="I89" s="23">
        <v>1</v>
      </c>
      <c r="J89" s="10"/>
    </row>
    <row r="90" spans="1:10" x14ac:dyDescent="0.25">
      <c r="A90" s="3" t="s">
        <v>212</v>
      </c>
      <c r="B90" s="23">
        <v>1</v>
      </c>
      <c r="C90" s="23">
        <v>1</v>
      </c>
      <c r="D90" s="23">
        <v>1</v>
      </c>
      <c r="E90" s="23">
        <v>1</v>
      </c>
      <c r="F90" s="23">
        <v>1</v>
      </c>
      <c r="G90" s="23">
        <v>1</v>
      </c>
      <c r="H90" s="23">
        <v>1</v>
      </c>
      <c r="I90" s="23">
        <v>1</v>
      </c>
      <c r="J90" s="10"/>
    </row>
    <row r="91" spans="1:10" x14ac:dyDescent="0.25">
      <c r="A91" s="3" t="s">
        <v>175</v>
      </c>
      <c r="B91" s="23">
        <v>1</v>
      </c>
      <c r="C91" s="23">
        <v>1</v>
      </c>
      <c r="D91" s="23">
        <v>1</v>
      </c>
      <c r="E91" s="23">
        <v>1</v>
      </c>
      <c r="F91" s="23">
        <v>1</v>
      </c>
      <c r="G91" s="23">
        <v>1</v>
      </c>
      <c r="H91" s="23">
        <v>1</v>
      </c>
      <c r="I91" s="23">
        <v>1</v>
      </c>
      <c r="J91" s="10"/>
    </row>
    <row r="92" spans="1:10" x14ac:dyDescent="0.25">
      <c r="A92" s="3" t="s">
        <v>176</v>
      </c>
      <c r="B92" s="23">
        <v>1</v>
      </c>
      <c r="C92" s="23">
        <v>1</v>
      </c>
      <c r="D92" s="23">
        <v>1</v>
      </c>
      <c r="E92" s="23">
        <v>1</v>
      </c>
      <c r="F92" s="23">
        <v>1</v>
      </c>
      <c r="G92" s="23">
        <v>1</v>
      </c>
      <c r="H92" s="23">
        <v>1</v>
      </c>
      <c r="I92" s="23">
        <v>0</v>
      </c>
      <c r="J92" s="10"/>
    </row>
    <row r="93" spans="1:10" x14ac:dyDescent="0.25">
      <c r="A93" s="3" t="s">
        <v>192</v>
      </c>
      <c r="B93" s="23">
        <v>1</v>
      </c>
      <c r="C93" s="23">
        <v>1</v>
      </c>
      <c r="D93" s="23">
        <v>1</v>
      </c>
      <c r="E93" s="23">
        <v>1</v>
      </c>
      <c r="F93" s="23">
        <v>1</v>
      </c>
      <c r="G93" s="23">
        <v>1</v>
      </c>
      <c r="H93" s="23">
        <v>0</v>
      </c>
      <c r="I93" s="23">
        <v>0</v>
      </c>
      <c r="J93" s="10"/>
    </row>
    <row r="94" spans="1:10" x14ac:dyDescent="0.25">
      <c r="A94" s="3" t="s">
        <v>177</v>
      </c>
      <c r="B94" s="23">
        <v>1</v>
      </c>
      <c r="C94" s="23">
        <v>1</v>
      </c>
      <c r="D94" s="23">
        <v>1</v>
      </c>
      <c r="E94" s="23">
        <v>1</v>
      </c>
      <c r="F94" s="23">
        <v>1</v>
      </c>
      <c r="G94" s="23">
        <v>1</v>
      </c>
      <c r="H94" s="23">
        <v>1</v>
      </c>
      <c r="I94" s="23">
        <v>1</v>
      </c>
      <c r="J94" s="10"/>
    </row>
    <row r="95" spans="1:10" x14ac:dyDescent="0.25">
      <c r="A95" s="3" t="s">
        <v>178</v>
      </c>
      <c r="B95" s="23">
        <v>1</v>
      </c>
      <c r="C95" s="23">
        <v>1</v>
      </c>
      <c r="D95" s="23">
        <v>1</v>
      </c>
      <c r="E95" s="23">
        <v>1</v>
      </c>
      <c r="F95" s="23">
        <v>1</v>
      </c>
      <c r="G95" s="23">
        <v>1</v>
      </c>
      <c r="H95" s="23">
        <v>1</v>
      </c>
      <c r="I95" s="23">
        <v>1</v>
      </c>
      <c r="J95" s="10"/>
    </row>
    <row r="96" spans="1:10" x14ac:dyDescent="0.25">
      <c r="A96" s="3" t="s">
        <v>179</v>
      </c>
      <c r="B96" s="23">
        <v>1</v>
      </c>
      <c r="C96" s="23">
        <v>1</v>
      </c>
      <c r="D96" s="23">
        <v>1</v>
      </c>
      <c r="E96" s="23">
        <v>1</v>
      </c>
      <c r="F96" s="23">
        <v>1</v>
      </c>
      <c r="G96" s="23">
        <v>1</v>
      </c>
      <c r="H96" s="23">
        <v>1</v>
      </c>
      <c r="I96" s="23">
        <v>1</v>
      </c>
      <c r="J96" s="10"/>
    </row>
    <row r="97" spans="1:10" x14ac:dyDescent="0.25">
      <c r="A97" s="3" t="s">
        <v>180</v>
      </c>
      <c r="B97" s="23">
        <v>1</v>
      </c>
      <c r="C97" s="23">
        <v>1</v>
      </c>
      <c r="D97" s="23">
        <v>1</v>
      </c>
      <c r="E97" s="23">
        <v>1</v>
      </c>
      <c r="F97" s="23">
        <v>1</v>
      </c>
      <c r="G97" s="23">
        <v>1</v>
      </c>
      <c r="H97" s="23">
        <v>1</v>
      </c>
      <c r="I97" s="23">
        <v>0</v>
      </c>
      <c r="J97" s="10"/>
    </row>
    <row r="98" spans="1:10" x14ac:dyDescent="0.25">
      <c r="A98" s="3" t="s">
        <v>193</v>
      </c>
      <c r="B98" s="23">
        <v>1</v>
      </c>
      <c r="C98" s="23">
        <v>1</v>
      </c>
      <c r="D98" s="23">
        <v>1</v>
      </c>
      <c r="E98" s="23">
        <v>1</v>
      </c>
      <c r="F98" s="23">
        <v>1</v>
      </c>
      <c r="G98" s="23">
        <v>1</v>
      </c>
      <c r="H98" s="23">
        <v>0</v>
      </c>
      <c r="I98" s="23">
        <v>0</v>
      </c>
      <c r="J98" s="10"/>
    </row>
    <row r="99" spans="1:10" x14ac:dyDescent="0.25">
      <c r="A99" s="3" t="s">
        <v>213</v>
      </c>
      <c r="B99" s="23">
        <v>1</v>
      </c>
      <c r="C99" s="23">
        <v>1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10"/>
    </row>
    <row r="100" spans="1:10" x14ac:dyDescent="0.25">
      <c r="A100" s="3" t="s">
        <v>214</v>
      </c>
      <c r="B100" s="23">
        <v>1</v>
      </c>
      <c r="C100" s="23">
        <v>1</v>
      </c>
      <c r="D100" s="23">
        <v>1</v>
      </c>
      <c r="E100" s="23">
        <v>1</v>
      </c>
      <c r="F100" s="23">
        <v>1</v>
      </c>
      <c r="G100" s="23">
        <v>1</v>
      </c>
      <c r="H100" s="23">
        <v>1</v>
      </c>
      <c r="I100" s="23">
        <v>1</v>
      </c>
      <c r="J100" s="10"/>
    </row>
    <row r="101" spans="1:10" x14ac:dyDescent="0.25">
      <c r="A101" s="3" t="s">
        <v>215</v>
      </c>
      <c r="B101" s="23">
        <v>1</v>
      </c>
      <c r="C101" s="23">
        <v>1</v>
      </c>
      <c r="D101" s="23">
        <v>1</v>
      </c>
      <c r="E101" s="23">
        <v>1</v>
      </c>
      <c r="F101" s="23">
        <v>1</v>
      </c>
      <c r="G101" s="23">
        <v>1</v>
      </c>
      <c r="H101" s="23">
        <v>1</v>
      </c>
      <c r="I101" s="23">
        <v>1</v>
      </c>
      <c r="J101" s="10"/>
    </row>
    <row r="102" spans="1:10" x14ac:dyDescent="0.25">
      <c r="A102" s="3" t="s">
        <v>216</v>
      </c>
      <c r="B102" s="23">
        <v>1</v>
      </c>
      <c r="C102" s="23">
        <v>1</v>
      </c>
      <c r="D102" s="23">
        <v>1</v>
      </c>
      <c r="E102" s="23">
        <v>1</v>
      </c>
      <c r="F102" s="23">
        <v>1</v>
      </c>
      <c r="G102" s="23">
        <v>1</v>
      </c>
      <c r="H102" s="23">
        <v>1</v>
      </c>
      <c r="I102" s="23">
        <v>1</v>
      </c>
      <c r="J102" s="10"/>
    </row>
    <row r="103" spans="1:10" x14ac:dyDescent="0.25">
      <c r="A103" s="3" t="s">
        <v>217</v>
      </c>
      <c r="B103" s="23">
        <v>1</v>
      </c>
      <c r="C103" s="23">
        <v>1</v>
      </c>
      <c r="D103" s="23">
        <v>1</v>
      </c>
      <c r="E103" s="23">
        <v>1</v>
      </c>
      <c r="F103" s="23">
        <v>1</v>
      </c>
      <c r="G103" s="23">
        <v>1</v>
      </c>
      <c r="H103" s="23">
        <v>1</v>
      </c>
      <c r="I103" s="23">
        <v>1</v>
      </c>
      <c r="J103" s="10"/>
    </row>
    <row r="104" spans="1:10" x14ac:dyDescent="0.25">
      <c r="A104" s="3" t="s">
        <v>181</v>
      </c>
      <c r="B104" s="23">
        <v>1</v>
      </c>
      <c r="C104" s="23">
        <v>1</v>
      </c>
      <c r="D104" s="23">
        <v>1</v>
      </c>
      <c r="E104" s="23">
        <v>1</v>
      </c>
      <c r="F104" s="23">
        <v>1</v>
      </c>
      <c r="G104" s="23">
        <v>1</v>
      </c>
      <c r="H104" s="23">
        <v>1</v>
      </c>
      <c r="I104" s="23">
        <v>0</v>
      </c>
      <c r="J104" s="10"/>
    </row>
    <row r="105" spans="1:10" x14ac:dyDescent="0.25">
      <c r="A105" s="3" t="s">
        <v>182</v>
      </c>
      <c r="B105" s="23">
        <v>1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0</v>
      </c>
      <c r="I105" s="23">
        <v>0</v>
      </c>
      <c r="J105" s="10"/>
    </row>
    <row r="106" spans="1:10" x14ac:dyDescent="0.25">
      <c r="A106" s="3" t="s">
        <v>183</v>
      </c>
      <c r="B106" s="23">
        <v>1</v>
      </c>
      <c r="C106" s="23">
        <v>1</v>
      </c>
      <c r="D106" s="23">
        <v>1</v>
      </c>
      <c r="E106" s="23">
        <v>1</v>
      </c>
      <c r="F106" s="23">
        <v>1</v>
      </c>
      <c r="G106" s="23">
        <v>1</v>
      </c>
      <c r="H106" s="23">
        <v>1</v>
      </c>
      <c r="I106" s="23">
        <v>0</v>
      </c>
      <c r="J106" s="10"/>
    </row>
    <row r="107" spans="1:10" x14ac:dyDescent="0.25">
      <c r="A107" s="3" t="s">
        <v>184</v>
      </c>
      <c r="B107" s="23">
        <v>1</v>
      </c>
      <c r="C107" s="23">
        <v>1</v>
      </c>
      <c r="D107" s="23">
        <v>1</v>
      </c>
      <c r="E107" s="23">
        <v>1</v>
      </c>
      <c r="F107" s="23">
        <v>1</v>
      </c>
      <c r="G107" s="23">
        <v>1</v>
      </c>
      <c r="H107" s="23">
        <v>1</v>
      </c>
      <c r="I107" s="23">
        <v>0</v>
      </c>
      <c r="J107" s="10"/>
    </row>
    <row r="108" spans="1:10" x14ac:dyDescent="0.25">
      <c r="A108" s="3" t="s">
        <v>185</v>
      </c>
      <c r="B108" s="23">
        <v>1</v>
      </c>
      <c r="C108" s="23">
        <v>1</v>
      </c>
      <c r="D108" s="23">
        <v>1</v>
      </c>
      <c r="E108" s="23">
        <v>1</v>
      </c>
      <c r="F108" s="23">
        <v>1</v>
      </c>
      <c r="G108" s="23">
        <v>1</v>
      </c>
      <c r="H108" s="23">
        <v>0</v>
      </c>
      <c r="I108" s="23">
        <v>0</v>
      </c>
      <c r="J108" s="10"/>
    </row>
    <row r="109" spans="1:10" x14ac:dyDescent="0.25">
      <c r="A109" s="3" t="s">
        <v>186</v>
      </c>
      <c r="B109" s="23">
        <v>1</v>
      </c>
      <c r="C109" s="23">
        <v>1</v>
      </c>
      <c r="D109" s="23">
        <v>1</v>
      </c>
      <c r="E109" s="23">
        <v>1</v>
      </c>
      <c r="F109" s="23">
        <v>1</v>
      </c>
      <c r="G109" s="23">
        <v>1</v>
      </c>
      <c r="H109" s="23">
        <v>0</v>
      </c>
      <c r="I109" s="23">
        <v>0</v>
      </c>
      <c r="J109" s="10"/>
    </row>
    <row r="110" spans="1:10" x14ac:dyDescent="0.25">
      <c r="A110" s="3" t="s">
        <v>194</v>
      </c>
      <c r="B110" s="23">
        <v>1</v>
      </c>
      <c r="C110" s="23">
        <v>1</v>
      </c>
      <c r="D110" s="23">
        <v>1</v>
      </c>
      <c r="E110" s="23">
        <v>1</v>
      </c>
      <c r="F110" s="23">
        <v>1</v>
      </c>
      <c r="G110" s="23">
        <v>0</v>
      </c>
      <c r="H110" s="23">
        <v>0</v>
      </c>
      <c r="I110" s="23">
        <v>0</v>
      </c>
      <c r="J110" s="10"/>
    </row>
    <row r="111" spans="1:10" x14ac:dyDescent="0.25">
      <c r="A111" s="3" t="s">
        <v>195</v>
      </c>
      <c r="B111" s="23">
        <v>1</v>
      </c>
      <c r="C111" s="23">
        <v>1</v>
      </c>
      <c r="D111" s="23">
        <v>1</v>
      </c>
      <c r="E111" s="23">
        <v>1</v>
      </c>
      <c r="F111" s="23">
        <v>1</v>
      </c>
      <c r="G111" s="23">
        <v>0</v>
      </c>
      <c r="H111" s="23">
        <v>0</v>
      </c>
      <c r="I111" s="23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1" t="s">
        <v>381</v>
      </c>
    </row>
    <row r="116" spans="1:3" x14ac:dyDescent="0.25">
      <c r="A116" s="2" t="s">
        <v>382</v>
      </c>
    </row>
    <row r="118" spans="1:3" x14ac:dyDescent="0.25">
      <c r="B118" s="12" t="s">
        <v>141</v>
      </c>
    </row>
    <row r="119" spans="1:3" x14ac:dyDescent="0.25">
      <c r="A119" s="3" t="s">
        <v>141</v>
      </c>
      <c r="B119" s="35">
        <f>1-Input!$B$80</f>
        <v>0.92495565728868046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1" t="s">
        <v>381</v>
      </c>
    </row>
    <row r="124" spans="1:3" x14ac:dyDescent="0.25">
      <c r="A124" s="2" t="s">
        <v>382</v>
      </c>
    </row>
    <row r="126" spans="1:3" x14ac:dyDescent="0.25">
      <c r="B126" s="12" t="s">
        <v>142</v>
      </c>
    </row>
    <row r="127" spans="1:3" x14ac:dyDescent="0.25">
      <c r="A127" s="3" t="s">
        <v>142</v>
      </c>
      <c r="B127" s="35">
        <f>1-Input!$B$80</f>
        <v>0.92495565728868046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1" t="s">
        <v>381</v>
      </c>
    </row>
    <row r="132" spans="1:3" x14ac:dyDescent="0.25">
      <c r="A132" s="2" t="s">
        <v>382</v>
      </c>
    </row>
    <row r="134" spans="1:3" x14ac:dyDescent="0.25">
      <c r="B134" s="12" t="s">
        <v>143</v>
      </c>
    </row>
    <row r="135" spans="1:3" x14ac:dyDescent="0.25">
      <c r="A135" s="3" t="s">
        <v>143</v>
      </c>
      <c r="B135" s="35">
        <f>1-Input!$B$80</f>
        <v>0.92495565728868046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1" t="s">
        <v>381</v>
      </c>
    </row>
    <row r="140" spans="1:3" x14ac:dyDescent="0.25">
      <c r="A140" s="11" t="s">
        <v>386</v>
      </c>
    </row>
    <row r="141" spans="1:3" x14ac:dyDescent="0.25">
      <c r="A141" s="11" t="s">
        <v>387</v>
      </c>
    </row>
    <row r="142" spans="1:3" x14ac:dyDescent="0.25">
      <c r="A142" s="11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12" t="s">
        <v>139</v>
      </c>
      <c r="C147" s="12" t="s">
        <v>140</v>
      </c>
      <c r="D147" s="12" t="s">
        <v>141</v>
      </c>
      <c r="E147" s="12" t="s">
        <v>142</v>
      </c>
      <c r="F147" s="12" t="s">
        <v>143</v>
      </c>
      <c r="G147" s="12" t="s">
        <v>144</v>
      </c>
      <c r="H147" s="12" t="s">
        <v>145</v>
      </c>
      <c r="I147" s="12" t="s">
        <v>146</v>
      </c>
    </row>
    <row r="148" spans="1:10" x14ac:dyDescent="0.25">
      <c r="A148" s="3" t="s">
        <v>139</v>
      </c>
      <c r="B148" s="23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3" t="s">
        <v>140</v>
      </c>
      <c r="B149" s="9"/>
      <c r="C149" s="36">
        <v>1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10"/>
    </row>
    <row r="150" spans="1:10" x14ac:dyDescent="0.25">
      <c r="A150" s="3" t="s">
        <v>141</v>
      </c>
      <c r="B150" s="9"/>
      <c r="C150" s="36">
        <v>0</v>
      </c>
      <c r="D150" s="37">
        <f>$B$119</f>
        <v>0.92495565728868046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10"/>
    </row>
    <row r="151" spans="1:10" x14ac:dyDescent="0.25">
      <c r="A151" s="3" t="s">
        <v>142</v>
      </c>
      <c r="B151" s="9"/>
      <c r="C151" s="36">
        <v>0</v>
      </c>
      <c r="D151" s="36">
        <v>0</v>
      </c>
      <c r="E151" s="37">
        <f>$B$127</f>
        <v>0.92495565728868046</v>
      </c>
      <c r="F151" s="36">
        <v>0</v>
      </c>
      <c r="G151" s="36">
        <v>0</v>
      </c>
      <c r="H151" s="36">
        <v>0</v>
      </c>
      <c r="I151" s="36">
        <v>0</v>
      </c>
      <c r="J151" s="10"/>
    </row>
    <row r="152" spans="1:10" x14ac:dyDescent="0.25">
      <c r="A152" s="3" t="s">
        <v>143</v>
      </c>
      <c r="B152" s="9"/>
      <c r="C152" s="36">
        <v>0</v>
      </c>
      <c r="D152" s="36">
        <v>0</v>
      </c>
      <c r="E152" s="36">
        <v>0</v>
      </c>
      <c r="F152" s="37">
        <f>$B$135</f>
        <v>0.92495565728868046</v>
      </c>
      <c r="G152" s="36">
        <v>0</v>
      </c>
      <c r="H152" s="36">
        <v>0</v>
      </c>
      <c r="I152" s="36">
        <v>0</v>
      </c>
      <c r="J152" s="10"/>
    </row>
    <row r="153" spans="1:10" x14ac:dyDescent="0.25">
      <c r="A153" s="3" t="s">
        <v>148</v>
      </c>
      <c r="B153" s="9"/>
      <c r="C153" s="36">
        <v>0</v>
      </c>
      <c r="D153" s="36">
        <v>0</v>
      </c>
      <c r="E153" s="36">
        <v>0</v>
      </c>
      <c r="F153" s="37">
        <f>Input!$B$80</f>
        <v>7.5044342711319545E-2</v>
      </c>
      <c r="G153" s="36">
        <v>0</v>
      </c>
      <c r="H153" s="36">
        <v>0</v>
      </c>
      <c r="I153" s="36">
        <v>0</v>
      </c>
      <c r="J153" s="10"/>
    </row>
    <row r="154" spans="1:10" x14ac:dyDescent="0.25">
      <c r="A154" s="3" t="s">
        <v>144</v>
      </c>
      <c r="B154" s="9"/>
      <c r="C154" s="36">
        <v>0</v>
      </c>
      <c r="D154" s="36">
        <v>0</v>
      </c>
      <c r="E154" s="36">
        <v>0</v>
      </c>
      <c r="F154" s="36">
        <v>0</v>
      </c>
      <c r="G154" s="36">
        <v>1</v>
      </c>
      <c r="H154" s="36">
        <v>0</v>
      </c>
      <c r="I154" s="36">
        <v>0</v>
      </c>
      <c r="J154" s="10"/>
    </row>
    <row r="155" spans="1:10" x14ac:dyDescent="0.25">
      <c r="A155" s="3" t="s">
        <v>145</v>
      </c>
      <c r="B155" s="9"/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10"/>
    </row>
    <row r="156" spans="1:10" x14ac:dyDescent="0.25">
      <c r="A156" s="3" t="s">
        <v>146</v>
      </c>
      <c r="B156" s="9"/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1" t="s">
        <v>393</v>
      </c>
    </row>
    <row r="161" spans="1:11" x14ac:dyDescent="0.25">
      <c r="A161" s="11" t="s">
        <v>394</v>
      </c>
    </row>
    <row r="162" spans="1:11" x14ac:dyDescent="0.25">
      <c r="A162" s="2" t="s">
        <v>369</v>
      </c>
    </row>
    <row r="164" spans="1:11" x14ac:dyDescent="0.25">
      <c r="B164" s="12" t="s">
        <v>139</v>
      </c>
      <c r="C164" s="12" t="s">
        <v>140</v>
      </c>
      <c r="D164" s="12" t="s">
        <v>141</v>
      </c>
      <c r="E164" s="12" t="s">
        <v>142</v>
      </c>
      <c r="F164" s="12" t="s">
        <v>143</v>
      </c>
      <c r="G164" s="12" t="s">
        <v>148</v>
      </c>
      <c r="H164" s="12" t="s">
        <v>144</v>
      </c>
      <c r="I164" s="12" t="s">
        <v>145</v>
      </c>
      <c r="J164" s="12" t="s">
        <v>146</v>
      </c>
    </row>
    <row r="165" spans="1:11" x14ac:dyDescent="0.25">
      <c r="A165" s="3" t="s">
        <v>171</v>
      </c>
      <c r="B165" s="33">
        <f t="shared" ref="B165:B191" si="0">SUMPRODUCT($B85:$I85,$B$148:$I$148)</f>
        <v>1</v>
      </c>
      <c r="C165" s="33">
        <f t="shared" ref="C165:C191" si="1">SUMPRODUCT($B85:$I85,$B$149:$I$149)</f>
        <v>1</v>
      </c>
      <c r="D165" s="33">
        <f t="shared" ref="D165:D191" si="2">SUMPRODUCT($B85:$I85,$B$150:$I$150)</f>
        <v>0.92495565728868046</v>
      </c>
      <c r="E165" s="33">
        <f t="shared" ref="E165:E191" si="3">SUMPRODUCT($B85:$I85,$B$151:$I$151)</f>
        <v>0.92495565728868046</v>
      </c>
      <c r="F165" s="33">
        <f t="shared" ref="F165:F191" si="4">SUMPRODUCT($B85:$I85,$B$152:$I$152)</f>
        <v>0.92495565728868046</v>
      </c>
      <c r="G165" s="33">
        <f t="shared" ref="G165:G191" si="5">SUMPRODUCT($B85:$I85,$B$153:$I$153)</f>
        <v>7.5044342711319545E-2</v>
      </c>
      <c r="H165" s="33">
        <f t="shared" ref="H165:H191" si="6">SUMPRODUCT($B85:$I85,$B$154:$I$154)</f>
        <v>1</v>
      </c>
      <c r="I165" s="33">
        <f t="shared" ref="I165:I191" si="7">SUMPRODUCT($B85:$I85,$B$155:$I$155)</f>
        <v>1</v>
      </c>
      <c r="J165" s="33">
        <f t="shared" ref="J165:J191" si="8">SUMPRODUCT($B85:$I85,$B$156:$I$156)</f>
        <v>1</v>
      </c>
      <c r="K165" s="10"/>
    </row>
    <row r="166" spans="1:11" x14ac:dyDescent="0.25">
      <c r="A166" s="3" t="s">
        <v>172</v>
      </c>
      <c r="B166" s="33">
        <f t="shared" si="0"/>
        <v>1</v>
      </c>
      <c r="C166" s="33">
        <f t="shared" si="1"/>
        <v>1</v>
      </c>
      <c r="D166" s="33">
        <f t="shared" si="2"/>
        <v>0.92495565728868046</v>
      </c>
      <c r="E166" s="33">
        <f t="shared" si="3"/>
        <v>0.92495565728868046</v>
      </c>
      <c r="F166" s="33">
        <f t="shared" si="4"/>
        <v>0.92495565728868046</v>
      </c>
      <c r="G166" s="33">
        <f t="shared" si="5"/>
        <v>7.5044342711319545E-2</v>
      </c>
      <c r="H166" s="33">
        <f t="shared" si="6"/>
        <v>1</v>
      </c>
      <c r="I166" s="33">
        <f t="shared" si="7"/>
        <v>1</v>
      </c>
      <c r="J166" s="33">
        <f t="shared" si="8"/>
        <v>1</v>
      </c>
      <c r="K166" s="10"/>
    </row>
    <row r="167" spans="1:11" x14ac:dyDescent="0.25">
      <c r="A167" s="3" t="s">
        <v>211</v>
      </c>
      <c r="B167" s="33">
        <f t="shared" si="0"/>
        <v>1</v>
      </c>
      <c r="C167" s="33">
        <f t="shared" si="1"/>
        <v>1</v>
      </c>
      <c r="D167" s="33">
        <f t="shared" si="2"/>
        <v>0.92495565728868046</v>
      </c>
      <c r="E167" s="33">
        <f t="shared" si="3"/>
        <v>0.92495565728868046</v>
      </c>
      <c r="F167" s="33">
        <f t="shared" si="4"/>
        <v>0.92495565728868046</v>
      </c>
      <c r="G167" s="33">
        <f t="shared" si="5"/>
        <v>7.5044342711319545E-2</v>
      </c>
      <c r="H167" s="33">
        <f t="shared" si="6"/>
        <v>1</v>
      </c>
      <c r="I167" s="33">
        <f t="shared" si="7"/>
        <v>1</v>
      </c>
      <c r="J167" s="33">
        <f t="shared" si="8"/>
        <v>1</v>
      </c>
      <c r="K167" s="10"/>
    </row>
    <row r="168" spans="1:11" x14ac:dyDescent="0.25">
      <c r="A168" s="3" t="s">
        <v>173</v>
      </c>
      <c r="B168" s="33">
        <f t="shared" si="0"/>
        <v>1</v>
      </c>
      <c r="C168" s="33">
        <f t="shared" si="1"/>
        <v>1</v>
      </c>
      <c r="D168" s="33">
        <f t="shared" si="2"/>
        <v>0.92495565728868046</v>
      </c>
      <c r="E168" s="33">
        <f t="shared" si="3"/>
        <v>0.92495565728868046</v>
      </c>
      <c r="F168" s="33">
        <f t="shared" si="4"/>
        <v>0.92495565728868046</v>
      </c>
      <c r="G168" s="33">
        <f t="shared" si="5"/>
        <v>7.5044342711319545E-2</v>
      </c>
      <c r="H168" s="33">
        <f t="shared" si="6"/>
        <v>1</v>
      </c>
      <c r="I168" s="33">
        <f t="shared" si="7"/>
        <v>1</v>
      </c>
      <c r="J168" s="33">
        <f t="shared" si="8"/>
        <v>1</v>
      </c>
      <c r="K168" s="10"/>
    </row>
    <row r="169" spans="1:11" x14ac:dyDescent="0.25">
      <c r="A169" s="3" t="s">
        <v>174</v>
      </c>
      <c r="B169" s="33">
        <f t="shared" si="0"/>
        <v>1</v>
      </c>
      <c r="C169" s="33">
        <f t="shared" si="1"/>
        <v>1</v>
      </c>
      <c r="D169" s="33">
        <f t="shared" si="2"/>
        <v>0.92495565728868046</v>
      </c>
      <c r="E169" s="33">
        <f t="shared" si="3"/>
        <v>0.92495565728868046</v>
      </c>
      <c r="F169" s="33">
        <f t="shared" si="4"/>
        <v>0.92495565728868046</v>
      </c>
      <c r="G169" s="33">
        <f t="shared" si="5"/>
        <v>7.5044342711319545E-2</v>
      </c>
      <c r="H169" s="33">
        <f t="shared" si="6"/>
        <v>1</v>
      </c>
      <c r="I169" s="33">
        <f t="shared" si="7"/>
        <v>1</v>
      </c>
      <c r="J169" s="33">
        <f t="shared" si="8"/>
        <v>1</v>
      </c>
      <c r="K169" s="10"/>
    </row>
    <row r="170" spans="1:11" x14ac:dyDescent="0.25">
      <c r="A170" s="3" t="s">
        <v>212</v>
      </c>
      <c r="B170" s="33">
        <f t="shared" si="0"/>
        <v>1</v>
      </c>
      <c r="C170" s="33">
        <f t="shared" si="1"/>
        <v>1</v>
      </c>
      <c r="D170" s="33">
        <f t="shared" si="2"/>
        <v>0.92495565728868046</v>
      </c>
      <c r="E170" s="33">
        <f t="shared" si="3"/>
        <v>0.92495565728868046</v>
      </c>
      <c r="F170" s="33">
        <f t="shared" si="4"/>
        <v>0.92495565728868046</v>
      </c>
      <c r="G170" s="33">
        <f t="shared" si="5"/>
        <v>7.5044342711319545E-2</v>
      </c>
      <c r="H170" s="33">
        <f t="shared" si="6"/>
        <v>1</v>
      </c>
      <c r="I170" s="33">
        <f t="shared" si="7"/>
        <v>1</v>
      </c>
      <c r="J170" s="33">
        <f t="shared" si="8"/>
        <v>1</v>
      </c>
      <c r="K170" s="10"/>
    </row>
    <row r="171" spans="1:11" x14ac:dyDescent="0.25">
      <c r="A171" s="3" t="s">
        <v>175</v>
      </c>
      <c r="B171" s="33">
        <f t="shared" si="0"/>
        <v>1</v>
      </c>
      <c r="C171" s="33">
        <f t="shared" si="1"/>
        <v>1</v>
      </c>
      <c r="D171" s="33">
        <f t="shared" si="2"/>
        <v>0.92495565728868046</v>
      </c>
      <c r="E171" s="33">
        <f t="shared" si="3"/>
        <v>0.92495565728868046</v>
      </c>
      <c r="F171" s="33">
        <f t="shared" si="4"/>
        <v>0.92495565728868046</v>
      </c>
      <c r="G171" s="33">
        <f t="shared" si="5"/>
        <v>7.5044342711319545E-2</v>
      </c>
      <c r="H171" s="33">
        <f t="shared" si="6"/>
        <v>1</v>
      </c>
      <c r="I171" s="33">
        <f t="shared" si="7"/>
        <v>1</v>
      </c>
      <c r="J171" s="33">
        <f t="shared" si="8"/>
        <v>1</v>
      </c>
      <c r="K171" s="10"/>
    </row>
    <row r="172" spans="1:11" x14ac:dyDescent="0.25">
      <c r="A172" s="3" t="s">
        <v>176</v>
      </c>
      <c r="B172" s="33">
        <f t="shared" si="0"/>
        <v>1</v>
      </c>
      <c r="C172" s="33">
        <f t="shared" si="1"/>
        <v>1</v>
      </c>
      <c r="D172" s="33">
        <f t="shared" si="2"/>
        <v>0.92495565728868046</v>
      </c>
      <c r="E172" s="33">
        <f t="shared" si="3"/>
        <v>0.92495565728868046</v>
      </c>
      <c r="F172" s="33">
        <f t="shared" si="4"/>
        <v>0.92495565728868046</v>
      </c>
      <c r="G172" s="33">
        <f t="shared" si="5"/>
        <v>7.5044342711319545E-2</v>
      </c>
      <c r="H172" s="33">
        <f t="shared" si="6"/>
        <v>1</v>
      </c>
      <c r="I172" s="33">
        <f t="shared" si="7"/>
        <v>1</v>
      </c>
      <c r="J172" s="33">
        <f t="shared" si="8"/>
        <v>0</v>
      </c>
      <c r="K172" s="10"/>
    </row>
    <row r="173" spans="1:11" x14ac:dyDescent="0.25">
      <c r="A173" s="3" t="s">
        <v>192</v>
      </c>
      <c r="B173" s="33">
        <f t="shared" si="0"/>
        <v>1</v>
      </c>
      <c r="C173" s="33">
        <f t="shared" si="1"/>
        <v>1</v>
      </c>
      <c r="D173" s="33">
        <f t="shared" si="2"/>
        <v>0.92495565728868046</v>
      </c>
      <c r="E173" s="33">
        <f t="shared" si="3"/>
        <v>0.92495565728868046</v>
      </c>
      <c r="F173" s="33">
        <f t="shared" si="4"/>
        <v>0.92495565728868046</v>
      </c>
      <c r="G173" s="33">
        <f t="shared" si="5"/>
        <v>7.5044342711319545E-2</v>
      </c>
      <c r="H173" s="33">
        <f t="shared" si="6"/>
        <v>1</v>
      </c>
      <c r="I173" s="33">
        <f t="shared" si="7"/>
        <v>0</v>
      </c>
      <c r="J173" s="33">
        <f t="shared" si="8"/>
        <v>0</v>
      </c>
      <c r="K173" s="10"/>
    </row>
    <row r="174" spans="1:11" x14ac:dyDescent="0.25">
      <c r="A174" s="3" t="s">
        <v>177</v>
      </c>
      <c r="B174" s="33">
        <f t="shared" si="0"/>
        <v>1</v>
      </c>
      <c r="C174" s="33">
        <f t="shared" si="1"/>
        <v>1</v>
      </c>
      <c r="D174" s="33">
        <f t="shared" si="2"/>
        <v>0.92495565728868046</v>
      </c>
      <c r="E174" s="33">
        <f t="shared" si="3"/>
        <v>0.92495565728868046</v>
      </c>
      <c r="F174" s="33">
        <f t="shared" si="4"/>
        <v>0.92495565728868046</v>
      </c>
      <c r="G174" s="33">
        <f t="shared" si="5"/>
        <v>7.5044342711319545E-2</v>
      </c>
      <c r="H174" s="33">
        <f t="shared" si="6"/>
        <v>1</v>
      </c>
      <c r="I174" s="33">
        <f t="shared" si="7"/>
        <v>1</v>
      </c>
      <c r="J174" s="33">
        <f t="shared" si="8"/>
        <v>1</v>
      </c>
      <c r="K174" s="10"/>
    </row>
    <row r="175" spans="1:11" x14ac:dyDescent="0.25">
      <c r="A175" s="3" t="s">
        <v>178</v>
      </c>
      <c r="B175" s="33">
        <f t="shared" si="0"/>
        <v>1</v>
      </c>
      <c r="C175" s="33">
        <f t="shared" si="1"/>
        <v>1</v>
      </c>
      <c r="D175" s="33">
        <f t="shared" si="2"/>
        <v>0.92495565728868046</v>
      </c>
      <c r="E175" s="33">
        <f t="shared" si="3"/>
        <v>0.92495565728868046</v>
      </c>
      <c r="F175" s="33">
        <f t="shared" si="4"/>
        <v>0.92495565728868046</v>
      </c>
      <c r="G175" s="33">
        <f t="shared" si="5"/>
        <v>7.5044342711319545E-2</v>
      </c>
      <c r="H175" s="33">
        <f t="shared" si="6"/>
        <v>1</v>
      </c>
      <c r="I175" s="33">
        <f t="shared" si="7"/>
        <v>1</v>
      </c>
      <c r="J175" s="33">
        <f t="shared" si="8"/>
        <v>1</v>
      </c>
      <c r="K175" s="10"/>
    </row>
    <row r="176" spans="1:11" x14ac:dyDescent="0.25">
      <c r="A176" s="3" t="s">
        <v>179</v>
      </c>
      <c r="B176" s="33">
        <f t="shared" si="0"/>
        <v>1</v>
      </c>
      <c r="C176" s="33">
        <f t="shared" si="1"/>
        <v>1</v>
      </c>
      <c r="D176" s="33">
        <f t="shared" si="2"/>
        <v>0.92495565728868046</v>
      </c>
      <c r="E176" s="33">
        <f t="shared" si="3"/>
        <v>0.92495565728868046</v>
      </c>
      <c r="F176" s="33">
        <f t="shared" si="4"/>
        <v>0.92495565728868046</v>
      </c>
      <c r="G176" s="33">
        <f t="shared" si="5"/>
        <v>7.5044342711319545E-2</v>
      </c>
      <c r="H176" s="33">
        <f t="shared" si="6"/>
        <v>1</v>
      </c>
      <c r="I176" s="33">
        <f t="shared" si="7"/>
        <v>1</v>
      </c>
      <c r="J176" s="33">
        <f t="shared" si="8"/>
        <v>1</v>
      </c>
      <c r="K176" s="10"/>
    </row>
    <row r="177" spans="1:11" x14ac:dyDescent="0.25">
      <c r="A177" s="3" t="s">
        <v>180</v>
      </c>
      <c r="B177" s="33">
        <f t="shared" si="0"/>
        <v>1</v>
      </c>
      <c r="C177" s="33">
        <f t="shared" si="1"/>
        <v>1</v>
      </c>
      <c r="D177" s="33">
        <f t="shared" si="2"/>
        <v>0.92495565728868046</v>
      </c>
      <c r="E177" s="33">
        <f t="shared" si="3"/>
        <v>0.92495565728868046</v>
      </c>
      <c r="F177" s="33">
        <f t="shared" si="4"/>
        <v>0.92495565728868046</v>
      </c>
      <c r="G177" s="33">
        <f t="shared" si="5"/>
        <v>7.5044342711319545E-2</v>
      </c>
      <c r="H177" s="33">
        <f t="shared" si="6"/>
        <v>1</v>
      </c>
      <c r="I177" s="33">
        <f t="shared" si="7"/>
        <v>1</v>
      </c>
      <c r="J177" s="33">
        <f t="shared" si="8"/>
        <v>0</v>
      </c>
      <c r="K177" s="10"/>
    </row>
    <row r="178" spans="1:11" x14ac:dyDescent="0.25">
      <c r="A178" s="3" t="s">
        <v>193</v>
      </c>
      <c r="B178" s="33">
        <f t="shared" si="0"/>
        <v>1</v>
      </c>
      <c r="C178" s="33">
        <f t="shared" si="1"/>
        <v>1</v>
      </c>
      <c r="D178" s="33">
        <f t="shared" si="2"/>
        <v>0.92495565728868046</v>
      </c>
      <c r="E178" s="33">
        <f t="shared" si="3"/>
        <v>0.92495565728868046</v>
      </c>
      <c r="F178" s="33">
        <f t="shared" si="4"/>
        <v>0.92495565728868046</v>
      </c>
      <c r="G178" s="33">
        <f t="shared" si="5"/>
        <v>7.5044342711319545E-2</v>
      </c>
      <c r="H178" s="33">
        <f t="shared" si="6"/>
        <v>1</v>
      </c>
      <c r="I178" s="33">
        <f t="shared" si="7"/>
        <v>0</v>
      </c>
      <c r="J178" s="33">
        <f t="shared" si="8"/>
        <v>0</v>
      </c>
      <c r="K178" s="10"/>
    </row>
    <row r="179" spans="1:11" x14ac:dyDescent="0.25">
      <c r="A179" s="3" t="s">
        <v>213</v>
      </c>
      <c r="B179" s="33">
        <f t="shared" si="0"/>
        <v>1</v>
      </c>
      <c r="C179" s="33">
        <f t="shared" si="1"/>
        <v>1</v>
      </c>
      <c r="D179" s="33">
        <f t="shared" si="2"/>
        <v>0.92495565728868046</v>
      </c>
      <c r="E179" s="33">
        <f t="shared" si="3"/>
        <v>0.92495565728868046</v>
      </c>
      <c r="F179" s="33">
        <f t="shared" si="4"/>
        <v>0.92495565728868046</v>
      </c>
      <c r="G179" s="33">
        <f t="shared" si="5"/>
        <v>7.5044342711319545E-2</v>
      </c>
      <c r="H179" s="33">
        <f t="shared" si="6"/>
        <v>1</v>
      </c>
      <c r="I179" s="33">
        <f t="shared" si="7"/>
        <v>1</v>
      </c>
      <c r="J179" s="33">
        <f t="shared" si="8"/>
        <v>1</v>
      </c>
      <c r="K179" s="10"/>
    </row>
    <row r="180" spans="1:11" x14ac:dyDescent="0.25">
      <c r="A180" s="3" t="s">
        <v>214</v>
      </c>
      <c r="B180" s="33">
        <f t="shared" si="0"/>
        <v>1</v>
      </c>
      <c r="C180" s="33">
        <f t="shared" si="1"/>
        <v>1</v>
      </c>
      <c r="D180" s="33">
        <f t="shared" si="2"/>
        <v>0.92495565728868046</v>
      </c>
      <c r="E180" s="33">
        <f t="shared" si="3"/>
        <v>0.92495565728868046</v>
      </c>
      <c r="F180" s="33">
        <f t="shared" si="4"/>
        <v>0.92495565728868046</v>
      </c>
      <c r="G180" s="33">
        <f t="shared" si="5"/>
        <v>7.5044342711319545E-2</v>
      </c>
      <c r="H180" s="33">
        <f t="shared" si="6"/>
        <v>1</v>
      </c>
      <c r="I180" s="33">
        <f t="shared" si="7"/>
        <v>1</v>
      </c>
      <c r="J180" s="33">
        <f t="shared" si="8"/>
        <v>1</v>
      </c>
      <c r="K180" s="10"/>
    </row>
    <row r="181" spans="1:11" x14ac:dyDescent="0.25">
      <c r="A181" s="3" t="s">
        <v>215</v>
      </c>
      <c r="B181" s="33">
        <f t="shared" si="0"/>
        <v>1</v>
      </c>
      <c r="C181" s="33">
        <f t="shared" si="1"/>
        <v>1</v>
      </c>
      <c r="D181" s="33">
        <f t="shared" si="2"/>
        <v>0.92495565728868046</v>
      </c>
      <c r="E181" s="33">
        <f t="shared" si="3"/>
        <v>0.92495565728868046</v>
      </c>
      <c r="F181" s="33">
        <f t="shared" si="4"/>
        <v>0.92495565728868046</v>
      </c>
      <c r="G181" s="33">
        <f t="shared" si="5"/>
        <v>7.5044342711319545E-2</v>
      </c>
      <c r="H181" s="33">
        <f t="shared" si="6"/>
        <v>1</v>
      </c>
      <c r="I181" s="33">
        <f t="shared" si="7"/>
        <v>1</v>
      </c>
      <c r="J181" s="33">
        <f t="shared" si="8"/>
        <v>1</v>
      </c>
      <c r="K181" s="10"/>
    </row>
    <row r="182" spans="1:11" x14ac:dyDescent="0.25">
      <c r="A182" s="3" t="s">
        <v>216</v>
      </c>
      <c r="B182" s="33">
        <f t="shared" si="0"/>
        <v>1</v>
      </c>
      <c r="C182" s="33">
        <f t="shared" si="1"/>
        <v>1</v>
      </c>
      <c r="D182" s="33">
        <f t="shared" si="2"/>
        <v>0.92495565728868046</v>
      </c>
      <c r="E182" s="33">
        <f t="shared" si="3"/>
        <v>0.92495565728868046</v>
      </c>
      <c r="F182" s="33">
        <f t="shared" si="4"/>
        <v>0.92495565728868046</v>
      </c>
      <c r="G182" s="33">
        <f t="shared" si="5"/>
        <v>7.5044342711319545E-2</v>
      </c>
      <c r="H182" s="33">
        <f t="shared" si="6"/>
        <v>1</v>
      </c>
      <c r="I182" s="33">
        <f t="shared" si="7"/>
        <v>1</v>
      </c>
      <c r="J182" s="33">
        <f t="shared" si="8"/>
        <v>1</v>
      </c>
      <c r="K182" s="10"/>
    </row>
    <row r="183" spans="1:11" x14ac:dyDescent="0.25">
      <c r="A183" s="3" t="s">
        <v>217</v>
      </c>
      <c r="B183" s="33">
        <f t="shared" si="0"/>
        <v>1</v>
      </c>
      <c r="C183" s="33">
        <f t="shared" si="1"/>
        <v>1</v>
      </c>
      <c r="D183" s="33">
        <f t="shared" si="2"/>
        <v>0.92495565728868046</v>
      </c>
      <c r="E183" s="33">
        <f t="shared" si="3"/>
        <v>0.92495565728868046</v>
      </c>
      <c r="F183" s="33">
        <f t="shared" si="4"/>
        <v>0.92495565728868046</v>
      </c>
      <c r="G183" s="33">
        <f t="shared" si="5"/>
        <v>7.5044342711319545E-2</v>
      </c>
      <c r="H183" s="33">
        <f t="shared" si="6"/>
        <v>1</v>
      </c>
      <c r="I183" s="33">
        <f t="shared" si="7"/>
        <v>1</v>
      </c>
      <c r="J183" s="33">
        <f t="shared" si="8"/>
        <v>1</v>
      </c>
      <c r="K183" s="10"/>
    </row>
    <row r="184" spans="1:11" x14ac:dyDescent="0.25">
      <c r="A184" s="3" t="s">
        <v>181</v>
      </c>
      <c r="B184" s="33">
        <f t="shared" si="0"/>
        <v>1</v>
      </c>
      <c r="C184" s="33">
        <f t="shared" si="1"/>
        <v>1</v>
      </c>
      <c r="D184" s="33">
        <f t="shared" si="2"/>
        <v>0.92495565728868046</v>
      </c>
      <c r="E184" s="33">
        <f t="shared" si="3"/>
        <v>0.92495565728868046</v>
      </c>
      <c r="F184" s="33">
        <f t="shared" si="4"/>
        <v>0.92495565728868046</v>
      </c>
      <c r="G184" s="33">
        <f t="shared" si="5"/>
        <v>7.5044342711319545E-2</v>
      </c>
      <c r="H184" s="33">
        <f t="shared" si="6"/>
        <v>1</v>
      </c>
      <c r="I184" s="33">
        <f t="shared" si="7"/>
        <v>1</v>
      </c>
      <c r="J184" s="33">
        <f t="shared" si="8"/>
        <v>0</v>
      </c>
      <c r="K184" s="10"/>
    </row>
    <row r="185" spans="1:11" x14ac:dyDescent="0.25">
      <c r="A185" s="3" t="s">
        <v>182</v>
      </c>
      <c r="B185" s="33">
        <f t="shared" si="0"/>
        <v>1</v>
      </c>
      <c r="C185" s="33">
        <f t="shared" si="1"/>
        <v>1</v>
      </c>
      <c r="D185" s="33">
        <f t="shared" si="2"/>
        <v>0.92495565728868046</v>
      </c>
      <c r="E185" s="33">
        <f t="shared" si="3"/>
        <v>0.92495565728868046</v>
      </c>
      <c r="F185" s="33">
        <f t="shared" si="4"/>
        <v>0.92495565728868046</v>
      </c>
      <c r="G185" s="33">
        <f t="shared" si="5"/>
        <v>7.5044342711319545E-2</v>
      </c>
      <c r="H185" s="33">
        <f t="shared" si="6"/>
        <v>1</v>
      </c>
      <c r="I185" s="33">
        <f t="shared" si="7"/>
        <v>0</v>
      </c>
      <c r="J185" s="33">
        <f t="shared" si="8"/>
        <v>0</v>
      </c>
      <c r="K185" s="10"/>
    </row>
    <row r="186" spans="1:11" x14ac:dyDescent="0.25">
      <c r="A186" s="3" t="s">
        <v>183</v>
      </c>
      <c r="B186" s="33">
        <f t="shared" si="0"/>
        <v>1</v>
      </c>
      <c r="C186" s="33">
        <f t="shared" si="1"/>
        <v>1</v>
      </c>
      <c r="D186" s="33">
        <f t="shared" si="2"/>
        <v>0.92495565728868046</v>
      </c>
      <c r="E186" s="33">
        <f t="shared" si="3"/>
        <v>0.92495565728868046</v>
      </c>
      <c r="F186" s="33">
        <f t="shared" si="4"/>
        <v>0.92495565728868046</v>
      </c>
      <c r="G186" s="33">
        <f t="shared" si="5"/>
        <v>7.5044342711319545E-2</v>
      </c>
      <c r="H186" s="33">
        <f t="shared" si="6"/>
        <v>1</v>
      </c>
      <c r="I186" s="33">
        <f t="shared" si="7"/>
        <v>1</v>
      </c>
      <c r="J186" s="33">
        <f t="shared" si="8"/>
        <v>0</v>
      </c>
      <c r="K186" s="10"/>
    </row>
    <row r="187" spans="1:11" x14ac:dyDescent="0.25">
      <c r="A187" s="3" t="s">
        <v>184</v>
      </c>
      <c r="B187" s="33">
        <f t="shared" si="0"/>
        <v>1</v>
      </c>
      <c r="C187" s="33">
        <f t="shared" si="1"/>
        <v>1</v>
      </c>
      <c r="D187" s="33">
        <f t="shared" si="2"/>
        <v>0.92495565728868046</v>
      </c>
      <c r="E187" s="33">
        <f t="shared" si="3"/>
        <v>0.92495565728868046</v>
      </c>
      <c r="F187" s="33">
        <f t="shared" si="4"/>
        <v>0.92495565728868046</v>
      </c>
      <c r="G187" s="33">
        <f t="shared" si="5"/>
        <v>7.5044342711319545E-2</v>
      </c>
      <c r="H187" s="33">
        <f t="shared" si="6"/>
        <v>1</v>
      </c>
      <c r="I187" s="33">
        <f t="shared" si="7"/>
        <v>1</v>
      </c>
      <c r="J187" s="33">
        <f t="shared" si="8"/>
        <v>0</v>
      </c>
      <c r="K187" s="10"/>
    </row>
    <row r="188" spans="1:11" x14ac:dyDescent="0.25">
      <c r="A188" s="3" t="s">
        <v>185</v>
      </c>
      <c r="B188" s="33">
        <f t="shared" si="0"/>
        <v>1</v>
      </c>
      <c r="C188" s="33">
        <f t="shared" si="1"/>
        <v>1</v>
      </c>
      <c r="D188" s="33">
        <f t="shared" si="2"/>
        <v>0.92495565728868046</v>
      </c>
      <c r="E188" s="33">
        <f t="shared" si="3"/>
        <v>0.92495565728868046</v>
      </c>
      <c r="F188" s="33">
        <f t="shared" si="4"/>
        <v>0.92495565728868046</v>
      </c>
      <c r="G188" s="33">
        <f t="shared" si="5"/>
        <v>7.5044342711319545E-2</v>
      </c>
      <c r="H188" s="33">
        <f t="shared" si="6"/>
        <v>1</v>
      </c>
      <c r="I188" s="33">
        <f t="shared" si="7"/>
        <v>0</v>
      </c>
      <c r="J188" s="33">
        <f t="shared" si="8"/>
        <v>0</v>
      </c>
      <c r="K188" s="10"/>
    </row>
    <row r="189" spans="1:11" x14ac:dyDescent="0.25">
      <c r="A189" s="3" t="s">
        <v>186</v>
      </c>
      <c r="B189" s="33">
        <f t="shared" si="0"/>
        <v>1</v>
      </c>
      <c r="C189" s="33">
        <f t="shared" si="1"/>
        <v>1</v>
      </c>
      <c r="D189" s="33">
        <f t="shared" si="2"/>
        <v>0.92495565728868046</v>
      </c>
      <c r="E189" s="33">
        <f t="shared" si="3"/>
        <v>0.92495565728868046</v>
      </c>
      <c r="F189" s="33">
        <f t="shared" si="4"/>
        <v>0.92495565728868046</v>
      </c>
      <c r="G189" s="33">
        <f t="shared" si="5"/>
        <v>7.5044342711319545E-2</v>
      </c>
      <c r="H189" s="33">
        <f t="shared" si="6"/>
        <v>1</v>
      </c>
      <c r="I189" s="33">
        <f t="shared" si="7"/>
        <v>0</v>
      </c>
      <c r="J189" s="33">
        <f t="shared" si="8"/>
        <v>0</v>
      </c>
      <c r="K189" s="10"/>
    </row>
    <row r="190" spans="1:11" x14ac:dyDescent="0.25">
      <c r="A190" s="3" t="s">
        <v>194</v>
      </c>
      <c r="B190" s="33">
        <f t="shared" si="0"/>
        <v>1</v>
      </c>
      <c r="C190" s="33">
        <f t="shared" si="1"/>
        <v>1</v>
      </c>
      <c r="D190" s="33">
        <f t="shared" si="2"/>
        <v>0.92495565728868046</v>
      </c>
      <c r="E190" s="33">
        <f t="shared" si="3"/>
        <v>0.92495565728868046</v>
      </c>
      <c r="F190" s="33">
        <f t="shared" si="4"/>
        <v>0.92495565728868046</v>
      </c>
      <c r="G190" s="33">
        <f t="shared" si="5"/>
        <v>7.5044342711319545E-2</v>
      </c>
      <c r="H190" s="33">
        <f t="shared" si="6"/>
        <v>0</v>
      </c>
      <c r="I190" s="33">
        <f t="shared" si="7"/>
        <v>0</v>
      </c>
      <c r="J190" s="33">
        <f t="shared" si="8"/>
        <v>0</v>
      </c>
      <c r="K190" s="10"/>
    </row>
    <row r="191" spans="1:11" x14ac:dyDescent="0.25">
      <c r="A191" s="3" t="s">
        <v>195</v>
      </c>
      <c r="B191" s="33">
        <f t="shared" si="0"/>
        <v>1</v>
      </c>
      <c r="C191" s="33">
        <f t="shared" si="1"/>
        <v>1</v>
      </c>
      <c r="D191" s="33">
        <f t="shared" si="2"/>
        <v>0.92495565728868046</v>
      </c>
      <c r="E191" s="33">
        <f t="shared" si="3"/>
        <v>0.92495565728868046</v>
      </c>
      <c r="F191" s="33">
        <f t="shared" si="4"/>
        <v>0.92495565728868046</v>
      </c>
      <c r="G191" s="33">
        <f t="shared" si="5"/>
        <v>7.5044342711319545E-2</v>
      </c>
      <c r="H191" s="33">
        <f t="shared" si="6"/>
        <v>0</v>
      </c>
      <c r="I191" s="33">
        <f t="shared" si="7"/>
        <v>0</v>
      </c>
      <c r="J191" s="33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1" t="s">
        <v>398</v>
      </c>
    </row>
    <row r="198" spans="1:11" x14ac:dyDescent="0.25">
      <c r="A198" s="2" t="s">
        <v>399</v>
      </c>
    </row>
    <row r="200" spans="1:11" x14ac:dyDescent="0.25">
      <c r="B200" s="12" t="s">
        <v>139</v>
      </c>
      <c r="C200" s="12" t="s">
        <v>140</v>
      </c>
      <c r="D200" s="12" t="s">
        <v>141</v>
      </c>
      <c r="E200" s="12" t="s">
        <v>142</v>
      </c>
      <c r="F200" s="12" t="s">
        <v>143</v>
      </c>
      <c r="G200" s="12" t="s">
        <v>148</v>
      </c>
      <c r="H200" s="12" t="s">
        <v>144</v>
      </c>
      <c r="I200" s="12" t="s">
        <v>145</v>
      </c>
      <c r="J200" s="12" t="s">
        <v>146</v>
      </c>
    </row>
    <row r="201" spans="1:11" x14ac:dyDescent="0.25">
      <c r="A201" s="3" t="s">
        <v>171</v>
      </c>
      <c r="B201" s="34">
        <f t="shared" ref="B201:J201" si="9">B165</f>
        <v>1</v>
      </c>
      <c r="C201" s="34">
        <f t="shared" si="9"/>
        <v>1</v>
      </c>
      <c r="D201" s="34">
        <f t="shared" si="9"/>
        <v>0.92495565728868046</v>
      </c>
      <c r="E201" s="34">
        <f t="shared" si="9"/>
        <v>0.92495565728868046</v>
      </c>
      <c r="F201" s="34">
        <f t="shared" si="9"/>
        <v>0.92495565728868046</v>
      </c>
      <c r="G201" s="34">
        <f t="shared" si="9"/>
        <v>7.5044342711319545E-2</v>
      </c>
      <c r="H201" s="34">
        <f t="shared" si="9"/>
        <v>1</v>
      </c>
      <c r="I201" s="34">
        <f t="shared" si="9"/>
        <v>1</v>
      </c>
      <c r="J201" s="34">
        <f t="shared" si="9"/>
        <v>1</v>
      </c>
      <c r="K201" s="10"/>
    </row>
    <row r="202" spans="1:11" x14ac:dyDescent="0.25">
      <c r="A202" s="3" t="s">
        <v>172</v>
      </c>
      <c r="B202" s="34">
        <f t="shared" ref="B202:J202" si="10">B166</f>
        <v>1</v>
      </c>
      <c r="C202" s="34">
        <f t="shared" si="10"/>
        <v>1</v>
      </c>
      <c r="D202" s="34">
        <f t="shared" si="10"/>
        <v>0.92495565728868046</v>
      </c>
      <c r="E202" s="34">
        <f t="shared" si="10"/>
        <v>0.92495565728868046</v>
      </c>
      <c r="F202" s="34">
        <f t="shared" si="10"/>
        <v>0.92495565728868046</v>
      </c>
      <c r="G202" s="34">
        <f t="shared" si="10"/>
        <v>7.5044342711319545E-2</v>
      </c>
      <c r="H202" s="34">
        <f t="shared" si="10"/>
        <v>1</v>
      </c>
      <c r="I202" s="34">
        <f t="shared" si="10"/>
        <v>1</v>
      </c>
      <c r="J202" s="34">
        <f t="shared" si="10"/>
        <v>1</v>
      </c>
      <c r="K202" s="10"/>
    </row>
    <row r="203" spans="1:11" x14ac:dyDescent="0.25">
      <c r="A203" s="3" t="s">
        <v>211</v>
      </c>
      <c r="B203" s="34">
        <f t="shared" ref="B203:J203" si="11">B167</f>
        <v>1</v>
      </c>
      <c r="C203" s="34">
        <f t="shared" si="11"/>
        <v>1</v>
      </c>
      <c r="D203" s="34">
        <f t="shared" si="11"/>
        <v>0.92495565728868046</v>
      </c>
      <c r="E203" s="34">
        <f t="shared" si="11"/>
        <v>0.92495565728868046</v>
      </c>
      <c r="F203" s="34">
        <f t="shared" si="11"/>
        <v>0.92495565728868046</v>
      </c>
      <c r="G203" s="34">
        <f t="shared" si="11"/>
        <v>7.5044342711319545E-2</v>
      </c>
      <c r="H203" s="34">
        <f t="shared" si="11"/>
        <v>1</v>
      </c>
      <c r="I203" s="34">
        <f t="shared" si="11"/>
        <v>1</v>
      </c>
      <c r="J203" s="34">
        <f t="shared" si="11"/>
        <v>1</v>
      </c>
      <c r="K203" s="10"/>
    </row>
    <row r="204" spans="1:11" x14ac:dyDescent="0.25">
      <c r="A204" s="3" t="s">
        <v>173</v>
      </c>
      <c r="B204" s="34">
        <f t="shared" ref="B204:J204" si="12">B168</f>
        <v>1</v>
      </c>
      <c r="C204" s="34">
        <f t="shared" si="12"/>
        <v>1</v>
      </c>
      <c r="D204" s="34">
        <f t="shared" si="12"/>
        <v>0.92495565728868046</v>
      </c>
      <c r="E204" s="34">
        <f t="shared" si="12"/>
        <v>0.92495565728868046</v>
      </c>
      <c r="F204" s="34">
        <f t="shared" si="12"/>
        <v>0.92495565728868046</v>
      </c>
      <c r="G204" s="34">
        <f t="shared" si="12"/>
        <v>7.5044342711319545E-2</v>
      </c>
      <c r="H204" s="34">
        <f t="shared" si="12"/>
        <v>1</v>
      </c>
      <c r="I204" s="34">
        <f t="shared" si="12"/>
        <v>1</v>
      </c>
      <c r="J204" s="34">
        <f t="shared" si="12"/>
        <v>1</v>
      </c>
      <c r="K204" s="10"/>
    </row>
    <row r="205" spans="1:11" x14ac:dyDescent="0.25">
      <c r="A205" s="3" t="s">
        <v>174</v>
      </c>
      <c r="B205" s="34">
        <f t="shared" ref="B205:J205" si="13">B169</f>
        <v>1</v>
      </c>
      <c r="C205" s="34">
        <f t="shared" si="13"/>
        <v>1</v>
      </c>
      <c r="D205" s="34">
        <f t="shared" si="13"/>
        <v>0.92495565728868046</v>
      </c>
      <c r="E205" s="34">
        <f t="shared" si="13"/>
        <v>0.92495565728868046</v>
      </c>
      <c r="F205" s="34">
        <f t="shared" si="13"/>
        <v>0.92495565728868046</v>
      </c>
      <c r="G205" s="34">
        <f t="shared" si="13"/>
        <v>7.5044342711319545E-2</v>
      </c>
      <c r="H205" s="34">
        <f t="shared" si="13"/>
        <v>1</v>
      </c>
      <c r="I205" s="34">
        <f t="shared" si="13"/>
        <v>1</v>
      </c>
      <c r="J205" s="34">
        <f t="shared" si="13"/>
        <v>1</v>
      </c>
      <c r="K205" s="10"/>
    </row>
    <row r="206" spans="1:11" x14ac:dyDescent="0.25">
      <c r="A206" s="3" t="s">
        <v>212</v>
      </c>
      <c r="B206" s="34">
        <f t="shared" ref="B206:J206" si="14">B170</f>
        <v>1</v>
      </c>
      <c r="C206" s="34">
        <f t="shared" si="14"/>
        <v>1</v>
      </c>
      <c r="D206" s="34">
        <f t="shared" si="14"/>
        <v>0.92495565728868046</v>
      </c>
      <c r="E206" s="34">
        <f t="shared" si="14"/>
        <v>0.92495565728868046</v>
      </c>
      <c r="F206" s="34">
        <f t="shared" si="14"/>
        <v>0.92495565728868046</v>
      </c>
      <c r="G206" s="34">
        <f t="shared" si="14"/>
        <v>7.5044342711319545E-2</v>
      </c>
      <c r="H206" s="34">
        <f t="shared" si="14"/>
        <v>1</v>
      </c>
      <c r="I206" s="34">
        <f t="shared" si="14"/>
        <v>1</v>
      </c>
      <c r="J206" s="34">
        <f t="shared" si="14"/>
        <v>1</v>
      </c>
      <c r="K206" s="10"/>
    </row>
    <row r="207" spans="1:11" x14ac:dyDescent="0.25">
      <c r="A207" s="3" t="s">
        <v>175</v>
      </c>
      <c r="B207" s="34">
        <f t="shared" ref="B207:J207" si="15">B171</f>
        <v>1</v>
      </c>
      <c r="C207" s="34">
        <f t="shared" si="15"/>
        <v>1</v>
      </c>
      <c r="D207" s="34">
        <f t="shared" si="15"/>
        <v>0.92495565728868046</v>
      </c>
      <c r="E207" s="34">
        <f t="shared" si="15"/>
        <v>0.92495565728868046</v>
      </c>
      <c r="F207" s="34">
        <f t="shared" si="15"/>
        <v>0.92495565728868046</v>
      </c>
      <c r="G207" s="34">
        <f t="shared" si="15"/>
        <v>7.5044342711319545E-2</v>
      </c>
      <c r="H207" s="34">
        <f t="shared" si="15"/>
        <v>1</v>
      </c>
      <c r="I207" s="34">
        <f t="shared" si="15"/>
        <v>1</v>
      </c>
      <c r="J207" s="34">
        <f t="shared" si="15"/>
        <v>1</v>
      </c>
      <c r="K207" s="10"/>
    </row>
    <row r="208" spans="1:11" x14ac:dyDescent="0.25">
      <c r="A208" s="3" t="s">
        <v>176</v>
      </c>
      <c r="B208" s="34">
        <f t="shared" ref="B208:J208" si="16">B172</f>
        <v>1</v>
      </c>
      <c r="C208" s="34">
        <f t="shared" si="16"/>
        <v>1</v>
      </c>
      <c r="D208" s="34">
        <f t="shared" si="16"/>
        <v>0.92495565728868046</v>
      </c>
      <c r="E208" s="34">
        <f t="shared" si="16"/>
        <v>0.92495565728868046</v>
      </c>
      <c r="F208" s="34">
        <f t="shared" si="16"/>
        <v>0.92495565728868046</v>
      </c>
      <c r="G208" s="34">
        <f t="shared" si="16"/>
        <v>7.5044342711319545E-2</v>
      </c>
      <c r="H208" s="34">
        <f t="shared" si="16"/>
        <v>1</v>
      </c>
      <c r="I208" s="34">
        <f t="shared" si="16"/>
        <v>1</v>
      </c>
      <c r="J208" s="34">
        <f t="shared" si="16"/>
        <v>0</v>
      </c>
      <c r="K208" s="10"/>
    </row>
    <row r="209" spans="1:11" x14ac:dyDescent="0.25">
      <c r="A209" s="3" t="s">
        <v>192</v>
      </c>
      <c r="B209" s="34">
        <f t="shared" ref="B209:J209" si="17">B173</f>
        <v>1</v>
      </c>
      <c r="C209" s="34">
        <f t="shared" si="17"/>
        <v>1</v>
      </c>
      <c r="D209" s="34">
        <f t="shared" si="17"/>
        <v>0.92495565728868046</v>
      </c>
      <c r="E209" s="34">
        <f t="shared" si="17"/>
        <v>0.92495565728868046</v>
      </c>
      <c r="F209" s="34">
        <f t="shared" si="17"/>
        <v>0.92495565728868046</v>
      </c>
      <c r="G209" s="34">
        <f t="shared" si="17"/>
        <v>7.5044342711319545E-2</v>
      </c>
      <c r="H209" s="34">
        <f t="shared" si="17"/>
        <v>1</v>
      </c>
      <c r="I209" s="34">
        <f t="shared" si="17"/>
        <v>0</v>
      </c>
      <c r="J209" s="34">
        <f t="shared" si="17"/>
        <v>0</v>
      </c>
      <c r="K209" s="10"/>
    </row>
    <row r="210" spans="1:11" x14ac:dyDescent="0.25">
      <c r="A210" s="3" t="s">
        <v>177</v>
      </c>
      <c r="B210" s="34">
        <f t="shared" ref="B210:J210" si="18">B174</f>
        <v>1</v>
      </c>
      <c r="C210" s="34">
        <f t="shared" si="18"/>
        <v>1</v>
      </c>
      <c r="D210" s="34">
        <f t="shared" si="18"/>
        <v>0.92495565728868046</v>
      </c>
      <c r="E210" s="34">
        <f t="shared" si="18"/>
        <v>0.92495565728868046</v>
      </c>
      <c r="F210" s="34">
        <f t="shared" si="18"/>
        <v>0.92495565728868046</v>
      </c>
      <c r="G210" s="34">
        <f t="shared" si="18"/>
        <v>7.5044342711319545E-2</v>
      </c>
      <c r="H210" s="34">
        <f t="shared" si="18"/>
        <v>1</v>
      </c>
      <c r="I210" s="34">
        <f t="shared" si="18"/>
        <v>1</v>
      </c>
      <c r="J210" s="34">
        <f t="shared" si="18"/>
        <v>1</v>
      </c>
      <c r="K210" s="10"/>
    </row>
    <row r="211" spans="1:11" x14ac:dyDescent="0.25">
      <c r="A211" s="3" t="s">
        <v>178</v>
      </c>
      <c r="B211" s="34">
        <f t="shared" ref="B211:J211" si="19">B175</f>
        <v>1</v>
      </c>
      <c r="C211" s="34">
        <f t="shared" si="19"/>
        <v>1</v>
      </c>
      <c r="D211" s="34">
        <f t="shared" si="19"/>
        <v>0.92495565728868046</v>
      </c>
      <c r="E211" s="34">
        <f t="shared" si="19"/>
        <v>0.92495565728868046</v>
      </c>
      <c r="F211" s="34">
        <f t="shared" si="19"/>
        <v>0.92495565728868046</v>
      </c>
      <c r="G211" s="34">
        <f t="shared" si="19"/>
        <v>7.5044342711319545E-2</v>
      </c>
      <c r="H211" s="34">
        <f t="shared" si="19"/>
        <v>1</v>
      </c>
      <c r="I211" s="34">
        <f t="shared" si="19"/>
        <v>1</v>
      </c>
      <c r="J211" s="34">
        <f t="shared" si="19"/>
        <v>1</v>
      </c>
      <c r="K211" s="10"/>
    </row>
    <row r="212" spans="1:11" x14ac:dyDescent="0.25">
      <c r="A212" s="3" t="s">
        <v>179</v>
      </c>
      <c r="B212" s="34">
        <f t="shared" ref="B212:J212" si="20">B176</f>
        <v>1</v>
      </c>
      <c r="C212" s="34">
        <f t="shared" si="20"/>
        <v>1</v>
      </c>
      <c r="D212" s="34">
        <f t="shared" si="20"/>
        <v>0.92495565728868046</v>
      </c>
      <c r="E212" s="34">
        <f t="shared" si="20"/>
        <v>0.92495565728868046</v>
      </c>
      <c r="F212" s="34">
        <f t="shared" si="20"/>
        <v>0.92495565728868046</v>
      </c>
      <c r="G212" s="34">
        <f t="shared" si="20"/>
        <v>7.5044342711319545E-2</v>
      </c>
      <c r="H212" s="34">
        <f t="shared" si="20"/>
        <v>1</v>
      </c>
      <c r="I212" s="34">
        <f t="shared" si="20"/>
        <v>1</v>
      </c>
      <c r="J212" s="34">
        <f t="shared" si="20"/>
        <v>1</v>
      </c>
      <c r="K212" s="10"/>
    </row>
    <row r="213" spans="1:11" x14ac:dyDescent="0.25">
      <c r="A213" s="3" t="s">
        <v>180</v>
      </c>
      <c r="B213" s="34">
        <f t="shared" ref="B213:J213" si="21">B177</f>
        <v>1</v>
      </c>
      <c r="C213" s="34">
        <f t="shared" si="21"/>
        <v>1</v>
      </c>
      <c r="D213" s="34">
        <f t="shared" si="21"/>
        <v>0.92495565728868046</v>
      </c>
      <c r="E213" s="34">
        <f t="shared" si="21"/>
        <v>0.92495565728868046</v>
      </c>
      <c r="F213" s="34">
        <f t="shared" si="21"/>
        <v>0.92495565728868046</v>
      </c>
      <c r="G213" s="34">
        <f t="shared" si="21"/>
        <v>7.5044342711319545E-2</v>
      </c>
      <c r="H213" s="34">
        <f t="shared" si="21"/>
        <v>1</v>
      </c>
      <c r="I213" s="34">
        <f t="shared" si="21"/>
        <v>1</v>
      </c>
      <c r="J213" s="34">
        <f t="shared" si="21"/>
        <v>0</v>
      </c>
      <c r="K213" s="10"/>
    </row>
    <row r="214" spans="1:11" x14ac:dyDescent="0.25">
      <c r="A214" s="3" t="s">
        <v>193</v>
      </c>
      <c r="B214" s="34">
        <f t="shared" ref="B214:J214" si="22">B178</f>
        <v>1</v>
      </c>
      <c r="C214" s="34">
        <f t="shared" si="22"/>
        <v>1</v>
      </c>
      <c r="D214" s="34">
        <f t="shared" si="22"/>
        <v>0.92495565728868046</v>
      </c>
      <c r="E214" s="34">
        <f t="shared" si="22"/>
        <v>0.92495565728868046</v>
      </c>
      <c r="F214" s="34">
        <f t="shared" si="22"/>
        <v>0.92495565728868046</v>
      </c>
      <c r="G214" s="34">
        <f t="shared" si="22"/>
        <v>7.5044342711319545E-2</v>
      </c>
      <c r="H214" s="34">
        <f t="shared" si="22"/>
        <v>1</v>
      </c>
      <c r="I214" s="34">
        <f t="shared" si="22"/>
        <v>0</v>
      </c>
      <c r="J214" s="34">
        <f t="shared" si="22"/>
        <v>0</v>
      </c>
      <c r="K214" s="10"/>
    </row>
    <row r="215" spans="1:11" x14ac:dyDescent="0.25">
      <c r="A215" s="3" t="s">
        <v>213</v>
      </c>
      <c r="B215" s="34">
        <f t="shared" ref="B215:J215" si="23">B179</f>
        <v>1</v>
      </c>
      <c r="C215" s="34">
        <f t="shared" si="23"/>
        <v>1</v>
      </c>
      <c r="D215" s="34">
        <f t="shared" si="23"/>
        <v>0.92495565728868046</v>
      </c>
      <c r="E215" s="34">
        <f t="shared" si="23"/>
        <v>0.92495565728868046</v>
      </c>
      <c r="F215" s="34">
        <f t="shared" si="23"/>
        <v>0.92495565728868046</v>
      </c>
      <c r="G215" s="34">
        <f t="shared" si="23"/>
        <v>7.5044342711319545E-2</v>
      </c>
      <c r="H215" s="34">
        <f t="shared" si="23"/>
        <v>1</v>
      </c>
      <c r="I215" s="34">
        <f t="shared" si="23"/>
        <v>1</v>
      </c>
      <c r="J215" s="34">
        <f t="shared" si="23"/>
        <v>1</v>
      </c>
      <c r="K215" s="10"/>
    </row>
    <row r="216" spans="1:11" x14ac:dyDescent="0.25">
      <c r="A216" s="3" t="s">
        <v>214</v>
      </c>
      <c r="B216" s="34">
        <f t="shared" ref="B216:J216" si="24">B180</f>
        <v>1</v>
      </c>
      <c r="C216" s="34">
        <f t="shared" si="24"/>
        <v>1</v>
      </c>
      <c r="D216" s="34">
        <f t="shared" si="24"/>
        <v>0.92495565728868046</v>
      </c>
      <c r="E216" s="34">
        <f t="shared" si="24"/>
        <v>0.92495565728868046</v>
      </c>
      <c r="F216" s="34">
        <f t="shared" si="24"/>
        <v>0.92495565728868046</v>
      </c>
      <c r="G216" s="34">
        <f t="shared" si="24"/>
        <v>7.5044342711319545E-2</v>
      </c>
      <c r="H216" s="34">
        <f t="shared" si="24"/>
        <v>1</v>
      </c>
      <c r="I216" s="34">
        <f t="shared" si="24"/>
        <v>1</v>
      </c>
      <c r="J216" s="34">
        <f t="shared" si="24"/>
        <v>1</v>
      </c>
      <c r="K216" s="10"/>
    </row>
    <row r="217" spans="1:11" x14ac:dyDescent="0.25">
      <c r="A217" s="3" t="s">
        <v>215</v>
      </c>
      <c r="B217" s="34">
        <f t="shared" ref="B217:J217" si="25">B181</f>
        <v>1</v>
      </c>
      <c r="C217" s="34">
        <f t="shared" si="25"/>
        <v>1</v>
      </c>
      <c r="D217" s="34">
        <f t="shared" si="25"/>
        <v>0.92495565728868046</v>
      </c>
      <c r="E217" s="34">
        <f t="shared" si="25"/>
        <v>0.92495565728868046</v>
      </c>
      <c r="F217" s="34">
        <f t="shared" si="25"/>
        <v>0.92495565728868046</v>
      </c>
      <c r="G217" s="34">
        <f t="shared" si="25"/>
        <v>7.5044342711319545E-2</v>
      </c>
      <c r="H217" s="34">
        <f t="shared" si="25"/>
        <v>1</v>
      </c>
      <c r="I217" s="34">
        <f t="shared" si="25"/>
        <v>1</v>
      </c>
      <c r="J217" s="34">
        <f t="shared" si="25"/>
        <v>1</v>
      </c>
      <c r="K217" s="10"/>
    </row>
    <row r="218" spans="1:11" x14ac:dyDescent="0.25">
      <c r="A218" s="3" t="s">
        <v>216</v>
      </c>
      <c r="B218" s="34">
        <f t="shared" ref="B218:J218" si="26">B182</f>
        <v>1</v>
      </c>
      <c r="C218" s="34">
        <f t="shared" si="26"/>
        <v>1</v>
      </c>
      <c r="D218" s="34">
        <f t="shared" si="26"/>
        <v>0.92495565728868046</v>
      </c>
      <c r="E218" s="34">
        <f t="shared" si="26"/>
        <v>0.92495565728868046</v>
      </c>
      <c r="F218" s="34">
        <f t="shared" si="26"/>
        <v>0.92495565728868046</v>
      </c>
      <c r="G218" s="34">
        <f t="shared" si="26"/>
        <v>7.5044342711319545E-2</v>
      </c>
      <c r="H218" s="34">
        <f t="shared" si="26"/>
        <v>1</v>
      </c>
      <c r="I218" s="34">
        <f t="shared" si="26"/>
        <v>1</v>
      </c>
      <c r="J218" s="34">
        <f t="shared" si="26"/>
        <v>1</v>
      </c>
      <c r="K218" s="10"/>
    </row>
    <row r="219" spans="1:11" x14ac:dyDescent="0.25">
      <c r="A219" s="3" t="s">
        <v>217</v>
      </c>
      <c r="B219" s="34">
        <f t="shared" ref="B219:J219" si="27">B183</f>
        <v>1</v>
      </c>
      <c r="C219" s="34">
        <f t="shared" si="27"/>
        <v>1</v>
      </c>
      <c r="D219" s="34">
        <f t="shared" si="27"/>
        <v>0.92495565728868046</v>
      </c>
      <c r="E219" s="34">
        <f t="shared" si="27"/>
        <v>0.92495565728868046</v>
      </c>
      <c r="F219" s="34">
        <f t="shared" si="27"/>
        <v>0.92495565728868046</v>
      </c>
      <c r="G219" s="34">
        <f t="shared" si="27"/>
        <v>7.5044342711319545E-2</v>
      </c>
      <c r="H219" s="34">
        <f t="shared" si="27"/>
        <v>1</v>
      </c>
      <c r="I219" s="34">
        <f t="shared" si="27"/>
        <v>1</v>
      </c>
      <c r="J219" s="34">
        <f t="shared" si="27"/>
        <v>1</v>
      </c>
      <c r="K219" s="10"/>
    </row>
    <row r="220" spans="1:11" x14ac:dyDescent="0.25">
      <c r="A220" s="3" t="s">
        <v>181</v>
      </c>
      <c r="B220" s="34">
        <f t="shared" ref="B220:J220" si="28">B184</f>
        <v>1</v>
      </c>
      <c r="C220" s="34">
        <f t="shared" si="28"/>
        <v>1</v>
      </c>
      <c r="D220" s="34">
        <f t="shared" si="28"/>
        <v>0.92495565728868046</v>
      </c>
      <c r="E220" s="34">
        <f t="shared" si="28"/>
        <v>0.92495565728868046</v>
      </c>
      <c r="F220" s="34">
        <f t="shared" si="28"/>
        <v>0.92495565728868046</v>
      </c>
      <c r="G220" s="34">
        <f t="shared" si="28"/>
        <v>7.5044342711319545E-2</v>
      </c>
      <c r="H220" s="34">
        <f t="shared" si="28"/>
        <v>1</v>
      </c>
      <c r="I220" s="34">
        <f t="shared" si="28"/>
        <v>1</v>
      </c>
      <c r="J220" s="34">
        <f t="shared" si="28"/>
        <v>0</v>
      </c>
      <c r="K220" s="10"/>
    </row>
    <row r="221" spans="1:11" x14ac:dyDescent="0.25">
      <c r="A221" s="3" t="s">
        <v>182</v>
      </c>
      <c r="B221" s="34">
        <f t="shared" ref="B221:J221" si="29">B185</f>
        <v>1</v>
      </c>
      <c r="C221" s="34">
        <f t="shared" si="29"/>
        <v>1</v>
      </c>
      <c r="D221" s="34">
        <f t="shared" si="29"/>
        <v>0.92495565728868046</v>
      </c>
      <c r="E221" s="34">
        <f t="shared" si="29"/>
        <v>0.92495565728868046</v>
      </c>
      <c r="F221" s="34">
        <f t="shared" si="29"/>
        <v>0.92495565728868046</v>
      </c>
      <c r="G221" s="34">
        <f t="shared" si="29"/>
        <v>7.5044342711319545E-2</v>
      </c>
      <c r="H221" s="34">
        <f t="shared" si="29"/>
        <v>1</v>
      </c>
      <c r="I221" s="34">
        <f t="shared" si="29"/>
        <v>0</v>
      </c>
      <c r="J221" s="34">
        <f t="shared" si="29"/>
        <v>0</v>
      </c>
      <c r="K221" s="10"/>
    </row>
    <row r="222" spans="1:11" x14ac:dyDescent="0.25">
      <c r="A222" s="3" t="s">
        <v>183</v>
      </c>
      <c r="B222" s="34">
        <f t="shared" ref="B222:J222" si="30">B186</f>
        <v>1</v>
      </c>
      <c r="C222" s="34">
        <f t="shared" si="30"/>
        <v>1</v>
      </c>
      <c r="D222" s="34">
        <f t="shared" si="30"/>
        <v>0.92495565728868046</v>
      </c>
      <c r="E222" s="34">
        <f t="shared" si="30"/>
        <v>0.92495565728868046</v>
      </c>
      <c r="F222" s="34">
        <f t="shared" si="30"/>
        <v>0.92495565728868046</v>
      </c>
      <c r="G222" s="34">
        <f t="shared" si="30"/>
        <v>7.5044342711319545E-2</v>
      </c>
      <c r="H222" s="34">
        <f t="shared" si="30"/>
        <v>1</v>
      </c>
      <c r="I222" s="34">
        <f t="shared" si="30"/>
        <v>1</v>
      </c>
      <c r="J222" s="34">
        <f t="shared" si="30"/>
        <v>0</v>
      </c>
      <c r="K222" s="10"/>
    </row>
    <row r="223" spans="1:11" x14ac:dyDescent="0.25">
      <c r="A223" s="3" t="s">
        <v>184</v>
      </c>
      <c r="B223" s="34">
        <f t="shared" ref="B223:J223" si="31">B187</f>
        <v>1</v>
      </c>
      <c r="C223" s="34">
        <f t="shared" si="31"/>
        <v>1</v>
      </c>
      <c r="D223" s="34">
        <f t="shared" si="31"/>
        <v>0.92495565728868046</v>
      </c>
      <c r="E223" s="34">
        <f t="shared" si="31"/>
        <v>0.92495565728868046</v>
      </c>
      <c r="F223" s="34">
        <f t="shared" si="31"/>
        <v>0.92495565728868046</v>
      </c>
      <c r="G223" s="34">
        <f t="shared" si="31"/>
        <v>7.5044342711319545E-2</v>
      </c>
      <c r="H223" s="34">
        <f t="shared" si="31"/>
        <v>1</v>
      </c>
      <c r="I223" s="34">
        <f t="shared" si="31"/>
        <v>1</v>
      </c>
      <c r="J223" s="34">
        <f t="shared" si="31"/>
        <v>0</v>
      </c>
      <c r="K223" s="10"/>
    </row>
    <row r="224" spans="1:11" x14ac:dyDescent="0.25">
      <c r="A224" s="3" t="s">
        <v>185</v>
      </c>
      <c r="B224" s="34">
        <f t="shared" ref="B224:J224" si="32">B188</f>
        <v>1</v>
      </c>
      <c r="C224" s="34">
        <f t="shared" si="32"/>
        <v>1</v>
      </c>
      <c r="D224" s="34">
        <f t="shared" si="32"/>
        <v>0.92495565728868046</v>
      </c>
      <c r="E224" s="34">
        <f t="shared" si="32"/>
        <v>0.92495565728868046</v>
      </c>
      <c r="F224" s="34">
        <f t="shared" si="32"/>
        <v>0.92495565728868046</v>
      </c>
      <c r="G224" s="34">
        <f t="shared" si="32"/>
        <v>7.5044342711319545E-2</v>
      </c>
      <c r="H224" s="34">
        <f t="shared" si="32"/>
        <v>1</v>
      </c>
      <c r="I224" s="34">
        <f t="shared" si="32"/>
        <v>0</v>
      </c>
      <c r="J224" s="34">
        <f t="shared" si="32"/>
        <v>0</v>
      </c>
      <c r="K224" s="10"/>
    </row>
    <row r="225" spans="1:11" x14ac:dyDescent="0.25">
      <c r="A225" s="3" t="s">
        <v>186</v>
      </c>
      <c r="B225" s="34">
        <f t="shared" ref="B225:J225" si="33">B189</f>
        <v>1</v>
      </c>
      <c r="C225" s="34">
        <f t="shared" si="33"/>
        <v>1</v>
      </c>
      <c r="D225" s="34">
        <f t="shared" si="33"/>
        <v>0.92495565728868046</v>
      </c>
      <c r="E225" s="34">
        <f t="shared" si="33"/>
        <v>0.92495565728868046</v>
      </c>
      <c r="F225" s="34">
        <f t="shared" si="33"/>
        <v>0.92495565728868046</v>
      </c>
      <c r="G225" s="34">
        <f t="shared" si="33"/>
        <v>7.5044342711319545E-2</v>
      </c>
      <c r="H225" s="34">
        <f t="shared" si="33"/>
        <v>1</v>
      </c>
      <c r="I225" s="34">
        <f t="shared" si="33"/>
        <v>0</v>
      </c>
      <c r="J225" s="34">
        <f t="shared" si="33"/>
        <v>0</v>
      </c>
      <c r="K225" s="10"/>
    </row>
    <row r="226" spans="1:11" x14ac:dyDescent="0.25">
      <c r="A226" s="3" t="s">
        <v>194</v>
      </c>
      <c r="B226" s="34">
        <f t="shared" ref="B226:J226" si="34">B190</f>
        <v>1</v>
      </c>
      <c r="C226" s="34">
        <f t="shared" si="34"/>
        <v>1</v>
      </c>
      <c r="D226" s="34">
        <f t="shared" si="34"/>
        <v>0.92495565728868046</v>
      </c>
      <c r="E226" s="34">
        <f t="shared" si="34"/>
        <v>0.92495565728868046</v>
      </c>
      <c r="F226" s="34">
        <f t="shared" si="34"/>
        <v>0.92495565728868046</v>
      </c>
      <c r="G226" s="34">
        <f t="shared" si="34"/>
        <v>7.5044342711319545E-2</v>
      </c>
      <c r="H226" s="34">
        <f t="shared" si="34"/>
        <v>0</v>
      </c>
      <c r="I226" s="34">
        <f t="shared" si="34"/>
        <v>0</v>
      </c>
      <c r="J226" s="34">
        <f t="shared" si="34"/>
        <v>0</v>
      </c>
      <c r="K226" s="10"/>
    </row>
    <row r="227" spans="1:11" x14ac:dyDescent="0.25">
      <c r="A227" s="3" t="s">
        <v>195</v>
      </c>
      <c r="B227" s="34">
        <f t="shared" ref="B227:J227" si="35">B191</f>
        <v>1</v>
      </c>
      <c r="C227" s="34">
        <f t="shared" si="35"/>
        <v>1</v>
      </c>
      <c r="D227" s="34">
        <f t="shared" si="35"/>
        <v>0.92495565728868046</v>
      </c>
      <c r="E227" s="34">
        <f t="shared" si="35"/>
        <v>0.92495565728868046</v>
      </c>
      <c r="F227" s="34">
        <f t="shared" si="35"/>
        <v>0.92495565728868046</v>
      </c>
      <c r="G227" s="34">
        <f t="shared" si="35"/>
        <v>7.5044342711319545E-2</v>
      </c>
      <c r="H227" s="34">
        <f t="shared" si="35"/>
        <v>0</v>
      </c>
      <c r="I227" s="34">
        <f t="shared" si="35"/>
        <v>0</v>
      </c>
      <c r="J227" s="34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1" t="s">
        <v>401</v>
      </c>
    </row>
    <row r="232" spans="1:11" x14ac:dyDescent="0.25">
      <c r="A232" s="11" t="s">
        <v>402</v>
      </c>
    </row>
    <row r="233" spans="1:11" x14ac:dyDescent="0.25">
      <c r="A233" s="11" t="s">
        <v>403</v>
      </c>
    </row>
    <row r="234" spans="1:11" x14ac:dyDescent="0.25">
      <c r="A234" s="2" t="s">
        <v>404</v>
      </c>
    </row>
    <row r="236" spans="1:11" x14ac:dyDescent="0.25">
      <c r="B236" s="12" t="s">
        <v>139</v>
      </c>
      <c r="C236" s="12" t="s">
        <v>140</v>
      </c>
      <c r="D236" s="12" t="s">
        <v>141</v>
      </c>
      <c r="E236" s="12" t="s">
        <v>142</v>
      </c>
      <c r="F236" s="12" t="s">
        <v>143</v>
      </c>
      <c r="G236" s="12" t="s">
        <v>148</v>
      </c>
      <c r="H236" s="12" t="s">
        <v>144</v>
      </c>
      <c r="I236" s="12" t="s">
        <v>145</v>
      </c>
      <c r="J236" s="12" t="s">
        <v>146</v>
      </c>
    </row>
    <row r="237" spans="1:11" x14ac:dyDescent="0.25">
      <c r="A237" s="3" t="s">
        <v>171</v>
      </c>
      <c r="B237" s="33">
        <f t="shared" ref="B237:J237" si="36">IF(B$77="",B201,B201*$I14/B$77)</f>
        <v>1.093</v>
      </c>
      <c r="C237" s="33">
        <f t="shared" si="36"/>
        <v>1.0908183632734532</v>
      </c>
      <c r="D237" s="33">
        <f t="shared" si="36"/>
        <v>1.0039488911782799</v>
      </c>
      <c r="E237" s="33">
        <f t="shared" si="36"/>
        <v>1.0009668647688392</v>
      </c>
      <c r="F237" s="33">
        <f t="shared" si="36"/>
        <v>0.99310072044845554</v>
      </c>
      <c r="G237" s="33">
        <f t="shared" si="36"/>
        <v>8.0573149885532672E-2</v>
      </c>
      <c r="H237" s="33">
        <f t="shared" si="36"/>
        <v>1.0570599613152805</v>
      </c>
      <c r="I237" s="33">
        <f t="shared" si="36"/>
        <v>1.0379867046533713</v>
      </c>
      <c r="J237" s="33">
        <f t="shared" si="36"/>
        <v>1</v>
      </c>
      <c r="K237" s="10"/>
    </row>
    <row r="238" spans="1:11" x14ac:dyDescent="0.25">
      <c r="A238" s="3" t="s">
        <v>172</v>
      </c>
      <c r="B238" s="33">
        <f t="shared" ref="B238:J238" si="37">IF(B$77="",B202,B202*$I15/B$77)</f>
        <v>1.093</v>
      </c>
      <c r="C238" s="33">
        <f t="shared" si="37"/>
        <v>1.0908183632734532</v>
      </c>
      <c r="D238" s="33">
        <f t="shared" si="37"/>
        <v>1.0039488911782799</v>
      </c>
      <c r="E238" s="33">
        <f t="shared" si="37"/>
        <v>1.0009668647688392</v>
      </c>
      <c r="F238" s="33">
        <f t="shared" si="37"/>
        <v>0.99310072044845554</v>
      </c>
      <c r="G238" s="33">
        <f t="shared" si="37"/>
        <v>8.0573149885532672E-2</v>
      </c>
      <c r="H238" s="33">
        <f t="shared" si="37"/>
        <v>1.0570599613152805</v>
      </c>
      <c r="I238" s="33">
        <f t="shared" si="37"/>
        <v>1.0379867046533713</v>
      </c>
      <c r="J238" s="33">
        <f t="shared" si="37"/>
        <v>1</v>
      </c>
      <c r="K238" s="10"/>
    </row>
    <row r="239" spans="1:11" x14ac:dyDescent="0.25">
      <c r="A239" s="3" t="s">
        <v>211</v>
      </c>
      <c r="B239" s="33">
        <f t="shared" ref="B239:J239" si="38">IF(B$77="",B203,B203*$I16/B$77)</f>
        <v>1.093</v>
      </c>
      <c r="C239" s="33">
        <f t="shared" si="38"/>
        <v>1.0908183632734532</v>
      </c>
      <c r="D239" s="33">
        <f t="shared" si="38"/>
        <v>1.0039488911782799</v>
      </c>
      <c r="E239" s="33">
        <f t="shared" si="38"/>
        <v>1.0009668647688392</v>
      </c>
      <c r="F239" s="33">
        <f t="shared" si="38"/>
        <v>0.99310072044845554</v>
      </c>
      <c r="G239" s="33">
        <f t="shared" si="38"/>
        <v>8.0573149885532672E-2</v>
      </c>
      <c r="H239" s="33">
        <f t="shared" si="38"/>
        <v>1.0570599613152805</v>
      </c>
      <c r="I239" s="33">
        <f t="shared" si="38"/>
        <v>1.0379867046533713</v>
      </c>
      <c r="J239" s="33">
        <f t="shared" si="38"/>
        <v>1</v>
      </c>
      <c r="K239" s="10"/>
    </row>
    <row r="240" spans="1:11" x14ac:dyDescent="0.25">
      <c r="A240" s="3" t="s">
        <v>173</v>
      </c>
      <c r="B240" s="33">
        <f t="shared" ref="B240:J240" si="39">IF(B$77="",B204,B204*$I17/B$77)</f>
        <v>1.093</v>
      </c>
      <c r="C240" s="33">
        <f t="shared" si="39"/>
        <v>1.0908183632734532</v>
      </c>
      <c r="D240" s="33">
        <f t="shared" si="39"/>
        <v>1.0039488911782799</v>
      </c>
      <c r="E240" s="33">
        <f t="shared" si="39"/>
        <v>1.0009668647688392</v>
      </c>
      <c r="F240" s="33">
        <f t="shared" si="39"/>
        <v>0.99310072044845554</v>
      </c>
      <c r="G240" s="33">
        <f t="shared" si="39"/>
        <v>8.0573149885532672E-2</v>
      </c>
      <c r="H240" s="33">
        <f t="shared" si="39"/>
        <v>1.0570599613152805</v>
      </c>
      <c r="I240" s="33">
        <f t="shared" si="39"/>
        <v>1.0379867046533713</v>
      </c>
      <c r="J240" s="33">
        <f t="shared" si="39"/>
        <v>1</v>
      </c>
      <c r="K240" s="10"/>
    </row>
    <row r="241" spans="1:11" x14ac:dyDescent="0.25">
      <c r="A241" s="3" t="s">
        <v>174</v>
      </c>
      <c r="B241" s="33">
        <f t="shared" ref="B241:J241" si="40">IF(B$77="",B205,B205*$I18/B$77)</f>
        <v>1.093</v>
      </c>
      <c r="C241" s="33">
        <f t="shared" si="40"/>
        <v>1.0908183632734532</v>
      </c>
      <c r="D241" s="33">
        <f t="shared" si="40"/>
        <v>1.0039488911782799</v>
      </c>
      <c r="E241" s="33">
        <f t="shared" si="40"/>
        <v>1.0009668647688392</v>
      </c>
      <c r="F241" s="33">
        <f t="shared" si="40"/>
        <v>0.99310072044845554</v>
      </c>
      <c r="G241" s="33">
        <f t="shared" si="40"/>
        <v>8.0573149885532672E-2</v>
      </c>
      <c r="H241" s="33">
        <f t="shared" si="40"/>
        <v>1.0570599613152805</v>
      </c>
      <c r="I241" s="33">
        <f t="shared" si="40"/>
        <v>1.0379867046533713</v>
      </c>
      <c r="J241" s="33">
        <f t="shared" si="40"/>
        <v>1</v>
      </c>
      <c r="K241" s="10"/>
    </row>
    <row r="242" spans="1:11" x14ac:dyDescent="0.25">
      <c r="A242" s="3" t="s">
        <v>212</v>
      </c>
      <c r="B242" s="33">
        <f t="shared" ref="B242:J242" si="41">IF(B$77="",B206,B206*$I19/B$77)</f>
        <v>1.093</v>
      </c>
      <c r="C242" s="33">
        <f t="shared" si="41"/>
        <v>1.0908183632734532</v>
      </c>
      <c r="D242" s="33">
        <f t="shared" si="41"/>
        <v>1.0039488911782799</v>
      </c>
      <c r="E242" s="33">
        <f t="shared" si="41"/>
        <v>1.0009668647688392</v>
      </c>
      <c r="F242" s="33">
        <f t="shared" si="41"/>
        <v>0.99310072044845554</v>
      </c>
      <c r="G242" s="33">
        <f t="shared" si="41"/>
        <v>8.0573149885532672E-2</v>
      </c>
      <c r="H242" s="33">
        <f t="shared" si="41"/>
        <v>1.0570599613152805</v>
      </c>
      <c r="I242" s="33">
        <f t="shared" si="41"/>
        <v>1.0379867046533713</v>
      </c>
      <c r="J242" s="33">
        <f t="shared" si="41"/>
        <v>1</v>
      </c>
      <c r="K242" s="10"/>
    </row>
    <row r="243" spans="1:11" x14ac:dyDescent="0.25">
      <c r="A243" s="3" t="s">
        <v>175</v>
      </c>
      <c r="B243" s="33">
        <f t="shared" ref="B243:J243" si="42">IF(B$77="",B207,B207*$I20/B$77)</f>
        <v>1.093</v>
      </c>
      <c r="C243" s="33">
        <f t="shared" si="42"/>
        <v>1.0908183632734532</v>
      </c>
      <c r="D243" s="33">
        <f t="shared" si="42"/>
        <v>1.0039488911782799</v>
      </c>
      <c r="E243" s="33">
        <f t="shared" si="42"/>
        <v>1.0009668647688392</v>
      </c>
      <c r="F243" s="33">
        <f t="shared" si="42"/>
        <v>0.99310072044845554</v>
      </c>
      <c r="G243" s="33">
        <f t="shared" si="42"/>
        <v>8.0573149885532672E-2</v>
      </c>
      <c r="H243" s="33">
        <f t="shared" si="42"/>
        <v>1.0570599613152805</v>
      </c>
      <c r="I243" s="33">
        <f t="shared" si="42"/>
        <v>1.0379867046533713</v>
      </c>
      <c r="J243" s="33">
        <f t="shared" si="42"/>
        <v>1</v>
      </c>
      <c r="K243" s="10"/>
    </row>
    <row r="244" spans="1:11" x14ac:dyDescent="0.25">
      <c r="A244" s="3" t="s">
        <v>176</v>
      </c>
      <c r="B244" s="33">
        <f t="shared" ref="B244:J244" si="43">IF(B$77="",B208,B208*$I21/B$77)</f>
        <v>1.0529999999999999</v>
      </c>
      <c r="C244" s="33">
        <f t="shared" si="43"/>
        <v>1.0508982035928143</v>
      </c>
      <c r="D244" s="33">
        <f t="shared" si="43"/>
        <v>0.96720785215986149</v>
      </c>
      <c r="E244" s="33">
        <f t="shared" si="43"/>
        <v>0.96433495754948562</v>
      </c>
      <c r="F244" s="33">
        <f t="shared" si="43"/>
        <v>0.9567566867632421</v>
      </c>
      <c r="G244" s="33">
        <f t="shared" si="43"/>
        <v>7.7624452725952336E-2</v>
      </c>
      <c r="H244" s="33">
        <f t="shared" si="43"/>
        <v>1.0183752417794969</v>
      </c>
      <c r="I244" s="33">
        <f t="shared" si="43"/>
        <v>1</v>
      </c>
      <c r="J244" s="33">
        <f t="shared" si="43"/>
        <v>0</v>
      </c>
      <c r="K244" s="10"/>
    </row>
    <row r="245" spans="1:11" x14ac:dyDescent="0.25">
      <c r="A245" s="3" t="s">
        <v>192</v>
      </c>
      <c r="B245" s="33">
        <f t="shared" ref="B245:J245" si="44">IF(B$77="",B209,B209*$I22/B$77)</f>
        <v>1.034</v>
      </c>
      <c r="C245" s="33">
        <f t="shared" si="44"/>
        <v>1.0319361277445109</v>
      </c>
      <c r="D245" s="33">
        <f t="shared" si="44"/>
        <v>0.949755858626113</v>
      </c>
      <c r="E245" s="33">
        <f t="shared" si="44"/>
        <v>0.94693480162029275</v>
      </c>
      <c r="F245" s="33">
        <f t="shared" si="44"/>
        <v>0.9394932707627659</v>
      </c>
      <c r="G245" s="33">
        <f t="shared" si="44"/>
        <v>7.6223821575151687E-2</v>
      </c>
      <c r="H245" s="33">
        <f t="shared" si="44"/>
        <v>1</v>
      </c>
      <c r="I245" s="33">
        <f t="shared" si="44"/>
        <v>0</v>
      </c>
      <c r="J245" s="33">
        <f t="shared" si="44"/>
        <v>0</v>
      </c>
      <c r="K245" s="10"/>
    </row>
    <row r="246" spans="1:11" x14ac:dyDescent="0.25">
      <c r="A246" s="3" t="s">
        <v>177</v>
      </c>
      <c r="B246" s="33">
        <f t="shared" ref="B246:J246" si="45">IF(B$77="",B210,B210*$I23/B$77)</f>
        <v>1.093</v>
      </c>
      <c r="C246" s="33">
        <f t="shared" si="45"/>
        <v>1.0908183632734532</v>
      </c>
      <c r="D246" s="33">
        <f t="shared" si="45"/>
        <v>1.0039488911782799</v>
      </c>
      <c r="E246" s="33">
        <f t="shared" si="45"/>
        <v>1.0009668647688392</v>
      </c>
      <c r="F246" s="33">
        <f t="shared" si="45"/>
        <v>0.99310072044845554</v>
      </c>
      <c r="G246" s="33">
        <f t="shared" si="45"/>
        <v>8.0573149885532672E-2</v>
      </c>
      <c r="H246" s="33">
        <f t="shared" si="45"/>
        <v>1.0570599613152805</v>
      </c>
      <c r="I246" s="33">
        <f t="shared" si="45"/>
        <v>1.0379867046533713</v>
      </c>
      <c r="J246" s="33">
        <f t="shared" si="45"/>
        <v>1</v>
      </c>
      <c r="K246" s="10"/>
    </row>
    <row r="247" spans="1:11" x14ac:dyDescent="0.25">
      <c r="A247" s="3" t="s">
        <v>178</v>
      </c>
      <c r="B247" s="33">
        <f t="shared" ref="B247:J247" si="46">IF(B$77="",B211,B211*$I24/B$77)</f>
        <v>1.093</v>
      </c>
      <c r="C247" s="33">
        <f t="shared" si="46"/>
        <v>1.0908183632734532</v>
      </c>
      <c r="D247" s="33">
        <f t="shared" si="46"/>
        <v>1.0039488911782799</v>
      </c>
      <c r="E247" s="33">
        <f t="shared" si="46"/>
        <v>1.0009668647688392</v>
      </c>
      <c r="F247" s="33">
        <f t="shared" si="46"/>
        <v>0.99310072044845554</v>
      </c>
      <c r="G247" s="33">
        <f t="shared" si="46"/>
        <v>8.0573149885532672E-2</v>
      </c>
      <c r="H247" s="33">
        <f t="shared" si="46"/>
        <v>1.0570599613152805</v>
      </c>
      <c r="I247" s="33">
        <f t="shared" si="46"/>
        <v>1.0379867046533713</v>
      </c>
      <c r="J247" s="33">
        <f t="shared" si="46"/>
        <v>1</v>
      </c>
      <c r="K247" s="10"/>
    </row>
    <row r="248" spans="1:11" x14ac:dyDescent="0.25">
      <c r="A248" s="3" t="s">
        <v>179</v>
      </c>
      <c r="B248" s="33">
        <f t="shared" ref="B248:J248" si="47">IF(B$77="",B212,B212*$I25/B$77)</f>
        <v>1.093</v>
      </c>
      <c r="C248" s="33">
        <f t="shared" si="47"/>
        <v>1.0908183632734532</v>
      </c>
      <c r="D248" s="33">
        <f t="shared" si="47"/>
        <v>1.0039488911782799</v>
      </c>
      <c r="E248" s="33">
        <f t="shared" si="47"/>
        <v>1.0009668647688392</v>
      </c>
      <c r="F248" s="33">
        <f t="shared" si="47"/>
        <v>0.99310072044845554</v>
      </c>
      <c r="G248" s="33">
        <f t="shared" si="47"/>
        <v>8.0573149885532672E-2</v>
      </c>
      <c r="H248" s="33">
        <f t="shared" si="47"/>
        <v>1.0570599613152805</v>
      </c>
      <c r="I248" s="33">
        <f t="shared" si="47"/>
        <v>1.0379867046533713</v>
      </c>
      <c r="J248" s="33">
        <f t="shared" si="47"/>
        <v>1</v>
      </c>
      <c r="K248" s="10"/>
    </row>
    <row r="249" spans="1:11" x14ac:dyDescent="0.25">
      <c r="A249" s="3" t="s">
        <v>180</v>
      </c>
      <c r="B249" s="33">
        <f t="shared" ref="B249:J249" si="48">IF(B$77="",B213,B213*$I26/B$77)</f>
        <v>1.0529999999999999</v>
      </c>
      <c r="C249" s="33">
        <f t="shared" si="48"/>
        <v>1.0508982035928143</v>
      </c>
      <c r="D249" s="33">
        <f t="shared" si="48"/>
        <v>0.96720785215986149</v>
      </c>
      <c r="E249" s="33">
        <f t="shared" si="48"/>
        <v>0.96433495754948562</v>
      </c>
      <c r="F249" s="33">
        <f t="shared" si="48"/>
        <v>0.9567566867632421</v>
      </c>
      <c r="G249" s="33">
        <f t="shared" si="48"/>
        <v>7.7624452725952336E-2</v>
      </c>
      <c r="H249" s="33">
        <f t="shared" si="48"/>
        <v>1.0183752417794969</v>
      </c>
      <c r="I249" s="33">
        <f t="shared" si="48"/>
        <v>1</v>
      </c>
      <c r="J249" s="33">
        <f t="shared" si="48"/>
        <v>0</v>
      </c>
      <c r="K249" s="10"/>
    </row>
    <row r="250" spans="1:11" x14ac:dyDescent="0.25">
      <c r="A250" s="3" t="s">
        <v>193</v>
      </c>
      <c r="B250" s="33">
        <f t="shared" ref="B250:J250" si="49">IF(B$77="",B214,B214*$I27/B$77)</f>
        <v>1.034</v>
      </c>
      <c r="C250" s="33">
        <f t="shared" si="49"/>
        <v>1.0319361277445109</v>
      </c>
      <c r="D250" s="33">
        <f t="shared" si="49"/>
        <v>0.949755858626113</v>
      </c>
      <c r="E250" s="33">
        <f t="shared" si="49"/>
        <v>0.94693480162029275</v>
      </c>
      <c r="F250" s="33">
        <f t="shared" si="49"/>
        <v>0.9394932707627659</v>
      </c>
      <c r="G250" s="33">
        <f t="shared" si="49"/>
        <v>7.6223821575151687E-2</v>
      </c>
      <c r="H250" s="33">
        <f t="shared" si="49"/>
        <v>1</v>
      </c>
      <c r="I250" s="33">
        <f t="shared" si="49"/>
        <v>0</v>
      </c>
      <c r="J250" s="33">
        <f t="shared" si="49"/>
        <v>0</v>
      </c>
      <c r="K250" s="10"/>
    </row>
    <row r="251" spans="1:11" x14ac:dyDescent="0.25">
      <c r="A251" s="3" t="s">
        <v>213</v>
      </c>
      <c r="B251" s="33">
        <f t="shared" ref="B251:J251" si="50">IF(B$77="",B215,B215*$I28/B$77)</f>
        <v>1.093</v>
      </c>
      <c r="C251" s="33">
        <f t="shared" si="50"/>
        <v>1.0908183632734532</v>
      </c>
      <c r="D251" s="33">
        <f t="shared" si="50"/>
        <v>1.0039488911782799</v>
      </c>
      <c r="E251" s="33">
        <f t="shared" si="50"/>
        <v>1.0009668647688392</v>
      </c>
      <c r="F251" s="33">
        <f t="shared" si="50"/>
        <v>0.99310072044845554</v>
      </c>
      <c r="G251" s="33">
        <f t="shared" si="50"/>
        <v>8.0573149885532672E-2</v>
      </c>
      <c r="H251" s="33">
        <f t="shared" si="50"/>
        <v>1.0570599613152805</v>
      </c>
      <c r="I251" s="33">
        <f t="shared" si="50"/>
        <v>1.0379867046533713</v>
      </c>
      <c r="J251" s="33">
        <f t="shared" si="50"/>
        <v>1</v>
      </c>
      <c r="K251" s="10"/>
    </row>
    <row r="252" spans="1:11" x14ac:dyDescent="0.25">
      <c r="A252" s="3" t="s">
        <v>214</v>
      </c>
      <c r="B252" s="33">
        <f t="shared" ref="B252:J252" si="51">IF(B$77="",B216,B216*$I29/B$77)</f>
        <v>1.093</v>
      </c>
      <c r="C252" s="33">
        <f t="shared" si="51"/>
        <v>1.0908183632734532</v>
      </c>
      <c r="D252" s="33">
        <f t="shared" si="51"/>
        <v>1.0039488911782799</v>
      </c>
      <c r="E252" s="33">
        <f t="shared" si="51"/>
        <v>1.0009668647688392</v>
      </c>
      <c r="F252" s="33">
        <f t="shared" si="51"/>
        <v>0.99310072044845554</v>
      </c>
      <c r="G252" s="33">
        <f t="shared" si="51"/>
        <v>8.0573149885532672E-2</v>
      </c>
      <c r="H252" s="33">
        <f t="shared" si="51"/>
        <v>1.0570599613152805</v>
      </c>
      <c r="I252" s="33">
        <f t="shared" si="51"/>
        <v>1.0379867046533713</v>
      </c>
      <c r="J252" s="33">
        <f t="shared" si="51"/>
        <v>1</v>
      </c>
      <c r="K252" s="10"/>
    </row>
    <row r="253" spans="1:11" x14ac:dyDescent="0.25">
      <c r="A253" s="3" t="s">
        <v>215</v>
      </c>
      <c r="B253" s="33">
        <f t="shared" ref="B253:J253" si="52">IF(B$77="",B217,B217*$I30/B$77)</f>
        <v>1.093</v>
      </c>
      <c r="C253" s="33">
        <f t="shared" si="52"/>
        <v>1.0908183632734532</v>
      </c>
      <c r="D253" s="33">
        <f t="shared" si="52"/>
        <v>1.0039488911782799</v>
      </c>
      <c r="E253" s="33">
        <f t="shared" si="52"/>
        <v>1.0009668647688392</v>
      </c>
      <c r="F253" s="33">
        <f t="shared" si="52"/>
        <v>0.99310072044845554</v>
      </c>
      <c r="G253" s="33">
        <f t="shared" si="52"/>
        <v>8.0573149885532672E-2</v>
      </c>
      <c r="H253" s="33">
        <f t="shared" si="52"/>
        <v>1.0570599613152805</v>
      </c>
      <c r="I253" s="33">
        <f t="shared" si="52"/>
        <v>1.0379867046533713</v>
      </c>
      <c r="J253" s="33">
        <f t="shared" si="52"/>
        <v>1</v>
      </c>
      <c r="K253" s="10"/>
    </row>
    <row r="254" spans="1:11" x14ac:dyDescent="0.25">
      <c r="A254" s="3" t="s">
        <v>216</v>
      </c>
      <c r="B254" s="33">
        <f t="shared" ref="B254:J254" si="53">IF(B$77="",B218,B218*$I31/B$77)</f>
        <v>1.093</v>
      </c>
      <c r="C254" s="33">
        <f t="shared" si="53"/>
        <v>1.0908183632734532</v>
      </c>
      <c r="D254" s="33">
        <f t="shared" si="53"/>
        <v>1.0039488911782799</v>
      </c>
      <c r="E254" s="33">
        <f t="shared" si="53"/>
        <v>1.0009668647688392</v>
      </c>
      <c r="F254" s="33">
        <f t="shared" si="53"/>
        <v>0.99310072044845554</v>
      </c>
      <c r="G254" s="33">
        <f t="shared" si="53"/>
        <v>8.0573149885532672E-2</v>
      </c>
      <c r="H254" s="33">
        <f t="shared" si="53"/>
        <v>1.0570599613152805</v>
      </c>
      <c r="I254" s="33">
        <f t="shared" si="53"/>
        <v>1.0379867046533713</v>
      </c>
      <c r="J254" s="33">
        <f t="shared" si="53"/>
        <v>1</v>
      </c>
      <c r="K254" s="10"/>
    </row>
    <row r="255" spans="1:11" x14ac:dyDescent="0.25">
      <c r="A255" s="3" t="s">
        <v>217</v>
      </c>
      <c r="B255" s="33">
        <f t="shared" ref="B255:J255" si="54">IF(B$77="",B219,B219*$I32/B$77)</f>
        <v>1.093</v>
      </c>
      <c r="C255" s="33">
        <f t="shared" si="54"/>
        <v>1.0908183632734532</v>
      </c>
      <c r="D255" s="33">
        <f t="shared" si="54"/>
        <v>1.0039488911782799</v>
      </c>
      <c r="E255" s="33">
        <f t="shared" si="54"/>
        <v>1.0009668647688392</v>
      </c>
      <c r="F255" s="33">
        <f t="shared" si="54"/>
        <v>0.99310072044845554</v>
      </c>
      <c r="G255" s="33">
        <f t="shared" si="54"/>
        <v>8.0573149885532672E-2</v>
      </c>
      <c r="H255" s="33">
        <f t="shared" si="54"/>
        <v>1.0570599613152805</v>
      </c>
      <c r="I255" s="33">
        <f t="shared" si="54"/>
        <v>1.0379867046533713</v>
      </c>
      <c r="J255" s="33">
        <f t="shared" si="54"/>
        <v>1</v>
      </c>
      <c r="K255" s="10"/>
    </row>
    <row r="256" spans="1:11" x14ac:dyDescent="0.25">
      <c r="A256" s="3" t="s">
        <v>181</v>
      </c>
      <c r="B256" s="33">
        <f t="shared" ref="B256:J256" si="55">IF(B$77="",B220,B220*$I33/B$77)</f>
        <v>1.093</v>
      </c>
      <c r="C256" s="33">
        <f t="shared" si="55"/>
        <v>1.0908183632734532</v>
      </c>
      <c r="D256" s="33">
        <f t="shared" si="55"/>
        <v>1.0039488911782799</v>
      </c>
      <c r="E256" s="33">
        <f t="shared" si="55"/>
        <v>1.0009668647688392</v>
      </c>
      <c r="F256" s="33">
        <f t="shared" si="55"/>
        <v>0.99310072044845554</v>
      </c>
      <c r="G256" s="33">
        <f t="shared" si="55"/>
        <v>8.0573149885532672E-2</v>
      </c>
      <c r="H256" s="33">
        <f t="shared" si="55"/>
        <v>1.0570599613152805</v>
      </c>
      <c r="I256" s="33">
        <f t="shared" si="55"/>
        <v>1.0379867046533713</v>
      </c>
      <c r="J256" s="33">
        <f t="shared" si="55"/>
        <v>0</v>
      </c>
      <c r="K256" s="10"/>
    </row>
    <row r="257" spans="1:11" x14ac:dyDescent="0.25">
      <c r="A257" s="3" t="s">
        <v>182</v>
      </c>
      <c r="B257" s="33">
        <f t="shared" ref="B257:J257" si="56">IF(B$77="",B221,B221*$I34/B$77)</f>
        <v>1.0529999999999999</v>
      </c>
      <c r="C257" s="33">
        <f t="shared" si="56"/>
        <v>1.0508982035928143</v>
      </c>
      <c r="D257" s="33">
        <f t="shared" si="56"/>
        <v>0.96720785215986149</v>
      </c>
      <c r="E257" s="33">
        <f t="shared" si="56"/>
        <v>0.96433495754948562</v>
      </c>
      <c r="F257" s="33">
        <f t="shared" si="56"/>
        <v>0.9567566867632421</v>
      </c>
      <c r="G257" s="33">
        <f t="shared" si="56"/>
        <v>7.7624452725952336E-2</v>
      </c>
      <c r="H257" s="33">
        <f t="shared" si="56"/>
        <v>1.0183752417794969</v>
      </c>
      <c r="I257" s="33">
        <f t="shared" si="56"/>
        <v>0</v>
      </c>
      <c r="J257" s="33">
        <f t="shared" si="56"/>
        <v>0</v>
      </c>
      <c r="K257" s="10"/>
    </row>
    <row r="258" spans="1:11" x14ac:dyDescent="0.25">
      <c r="A258" s="3" t="s">
        <v>183</v>
      </c>
      <c r="B258" s="33">
        <f t="shared" ref="B258:J258" si="57">IF(B$77="",B222,B222*$I35/B$77)</f>
        <v>1.093</v>
      </c>
      <c r="C258" s="33">
        <f t="shared" si="57"/>
        <v>1.0908183632734532</v>
      </c>
      <c r="D258" s="33">
        <f t="shared" si="57"/>
        <v>1.0039488911782799</v>
      </c>
      <c r="E258" s="33">
        <f t="shared" si="57"/>
        <v>1.0009668647688392</v>
      </c>
      <c r="F258" s="33">
        <f t="shared" si="57"/>
        <v>0.99310072044845554</v>
      </c>
      <c r="G258" s="33">
        <f t="shared" si="57"/>
        <v>8.0573149885532672E-2</v>
      </c>
      <c r="H258" s="33">
        <f t="shared" si="57"/>
        <v>1.0570599613152805</v>
      </c>
      <c r="I258" s="33">
        <f t="shared" si="57"/>
        <v>1.0379867046533713</v>
      </c>
      <c r="J258" s="33">
        <f t="shared" si="57"/>
        <v>0</v>
      </c>
      <c r="K258" s="10"/>
    </row>
    <row r="259" spans="1:11" x14ac:dyDescent="0.25">
      <c r="A259" s="3" t="s">
        <v>184</v>
      </c>
      <c r="B259" s="33">
        <f t="shared" ref="B259:J259" si="58">IF(B$77="",B223,B223*$I36/B$77)</f>
        <v>1.093</v>
      </c>
      <c r="C259" s="33">
        <f t="shared" si="58"/>
        <v>1.0908183632734532</v>
      </c>
      <c r="D259" s="33">
        <f t="shared" si="58"/>
        <v>1.0039488911782799</v>
      </c>
      <c r="E259" s="33">
        <f t="shared" si="58"/>
        <v>1.0009668647688392</v>
      </c>
      <c r="F259" s="33">
        <f t="shared" si="58"/>
        <v>0.99310072044845554</v>
      </c>
      <c r="G259" s="33">
        <f t="shared" si="58"/>
        <v>8.0573149885532672E-2</v>
      </c>
      <c r="H259" s="33">
        <f t="shared" si="58"/>
        <v>1.0570599613152805</v>
      </c>
      <c r="I259" s="33">
        <f t="shared" si="58"/>
        <v>1.0379867046533713</v>
      </c>
      <c r="J259" s="33">
        <f t="shared" si="58"/>
        <v>0</v>
      </c>
      <c r="K259" s="10"/>
    </row>
    <row r="260" spans="1:11" x14ac:dyDescent="0.25">
      <c r="A260" s="3" t="s">
        <v>185</v>
      </c>
      <c r="B260" s="33">
        <f t="shared" ref="B260:J260" si="59">IF(B$77="",B224,B224*$I37/B$77)</f>
        <v>1.0529999999999999</v>
      </c>
      <c r="C260" s="33">
        <f t="shared" si="59"/>
        <v>1.0508982035928143</v>
      </c>
      <c r="D260" s="33">
        <f t="shared" si="59"/>
        <v>0.96720785215986149</v>
      </c>
      <c r="E260" s="33">
        <f t="shared" si="59"/>
        <v>0.96433495754948562</v>
      </c>
      <c r="F260" s="33">
        <f t="shared" si="59"/>
        <v>0.9567566867632421</v>
      </c>
      <c r="G260" s="33">
        <f t="shared" si="59"/>
        <v>7.7624452725952336E-2</v>
      </c>
      <c r="H260" s="33">
        <f t="shared" si="59"/>
        <v>1.0183752417794969</v>
      </c>
      <c r="I260" s="33">
        <f t="shared" si="59"/>
        <v>0</v>
      </c>
      <c r="J260" s="33">
        <f t="shared" si="59"/>
        <v>0</v>
      </c>
      <c r="K260" s="10"/>
    </row>
    <row r="261" spans="1:11" x14ac:dyDescent="0.25">
      <c r="A261" s="3" t="s">
        <v>186</v>
      </c>
      <c r="B261" s="33">
        <f t="shared" ref="B261:J261" si="60">IF(B$77="",B225,B225*$I38/B$77)</f>
        <v>1.0529999999999999</v>
      </c>
      <c r="C261" s="33">
        <f t="shared" si="60"/>
        <v>1.0508982035928143</v>
      </c>
      <c r="D261" s="33">
        <f t="shared" si="60"/>
        <v>0.96720785215986149</v>
      </c>
      <c r="E261" s="33">
        <f t="shared" si="60"/>
        <v>0.96433495754948562</v>
      </c>
      <c r="F261" s="33">
        <f t="shared" si="60"/>
        <v>0.9567566867632421</v>
      </c>
      <c r="G261" s="33">
        <f t="shared" si="60"/>
        <v>7.7624452725952336E-2</v>
      </c>
      <c r="H261" s="33">
        <f t="shared" si="60"/>
        <v>1.0183752417794969</v>
      </c>
      <c r="I261" s="33">
        <f t="shared" si="60"/>
        <v>0</v>
      </c>
      <c r="J261" s="33">
        <f t="shared" si="60"/>
        <v>0</v>
      </c>
      <c r="K261" s="10"/>
    </row>
    <row r="262" spans="1:11" x14ac:dyDescent="0.25">
      <c r="A262" s="3" t="s">
        <v>194</v>
      </c>
      <c r="B262" s="33">
        <f t="shared" ref="B262:J262" si="61">IF(B$77="",B226,B226*$I39/B$77)</f>
        <v>1.034</v>
      </c>
      <c r="C262" s="33">
        <f t="shared" si="61"/>
        <v>1.0319361277445109</v>
      </c>
      <c r="D262" s="33">
        <f t="shared" si="61"/>
        <v>0.949755858626113</v>
      </c>
      <c r="E262" s="33">
        <f t="shared" si="61"/>
        <v>0.94693480162029275</v>
      </c>
      <c r="F262" s="33">
        <f t="shared" si="61"/>
        <v>0.9394932707627659</v>
      </c>
      <c r="G262" s="33">
        <f t="shared" si="61"/>
        <v>7.6223821575151687E-2</v>
      </c>
      <c r="H262" s="33">
        <f t="shared" si="61"/>
        <v>0</v>
      </c>
      <c r="I262" s="33">
        <f t="shared" si="61"/>
        <v>0</v>
      </c>
      <c r="J262" s="33">
        <f t="shared" si="61"/>
        <v>0</v>
      </c>
      <c r="K262" s="10"/>
    </row>
    <row r="263" spans="1:11" x14ac:dyDescent="0.25">
      <c r="A263" s="3" t="s">
        <v>195</v>
      </c>
      <c r="B263" s="33">
        <f t="shared" ref="B263:J263" si="62">IF(B$77="",B227,B227*$I40/B$77)</f>
        <v>1.034</v>
      </c>
      <c r="C263" s="33">
        <f t="shared" si="62"/>
        <v>1.0319361277445109</v>
      </c>
      <c r="D263" s="33">
        <f t="shared" si="62"/>
        <v>0.949755858626113</v>
      </c>
      <c r="E263" s="33">
        <f t="shared" si="62"/>
        <v>0.94693480162029275</v>
      </c>
      <c r="F263" s="33">
        <f t="shared" si="62"/>
        <v>0.9394932707627659</v>
      </c>
      <c r="G263" s="33">
        <f t="shared" si="62"/>
        <v>7.6223821575151687E-2</v>
      </c>
      <c r="H263" s="33">
        <f t="shared" si="62"/>
        <v>0</v>
      </c>
      <c r="I263" s="33">
        <f t="shared" si="62"/>
        <v>0</v>
      </c>
      <c r="J263" s="33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East Midlands in April 17 (Final)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1" t="s">
        <v>407</v>
      </c>
    </row>
    <row r="7" spans="1:3" x14ac:dyDescent="0.25">
      <c r="A7" s="11" t="s">
        <v>408</v>
      </c>
    </row>
    <row r="8" spans="1:3" x14ac:dyDescent="0.25">
      <c r="A8" s="11" t="s">
        <v>409</v>
      </c>
    </row>
    <row r="9" spans="1:3" x14ac:dyDescent="0.25">
      <c r="A9" s="2" t="s">
        <v>410</v>
      </c>
    </row>
    <row r="11" spans="1:3" x14ac:dyDescent="0.25">
      <c r="B11" s="12" t="s">
        <v>411</v>
      </c>
    </row>
    <row r="12" spans="1:3" x14ac:dyDescent="0.25">
      <c r="A12" s="3" t="s">
        <v>411</v>
      </c>
      <c r="B12" s="35">
        <f>PMT(Input!B58,Input!C58,-1)*IF(OR(Input!F58&gt;366,Input!F58&lt;365),Input!F58/365.25,1)</f>
        <v>5.2877645650893153E-2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1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12" t="s">
        <v>139</v>
      </c>
      <c r="C20" s="12" t="s">
        <v>140</v>
      </c>
      <c r="D20" s="12" t="s">
        <v>141</v>
      </c>
      <c r="E20" s="12" t="s">
        <v>142</v>
      </c>
      <c r="F20" s="12" t="s">
        <v>143</v>
      </c>
      <c r="G20" s="12" t="s">
        <v>144</v>
      </c>
      <c r="H20" s="12" t="s">
        <v>145</v>
      </c>
      <c r="I20" s="12" t="s">
        <v>146</v>
      </c>
    </row>
    <row r="21" spans="1:10" ht="30" x14ac:dyDescent="0.25">
      <c r="A21" s="3" t="s">
        <v>414</v>
      </c>
      <c r="B21" s="23">
        <v>1</v>
      </c>
      <c r="C21" s="34">
        <f>Input!$B148</f>
        <v>1.002</v>
      </c>
      <c r="D21" s="34">
        <f>Input!$C148</f>
        <v>1.0069999999999999</v>
      </c>
      <c r="E21" s="34">
        <f>Input!$D148</f>
        <v>1.01</v>
      </c>
      <c r="F21" s="34">
        <f>Input!$E148</f>
        <v>1.018</v>
      </c>
      <c r="G21" s="34">
        <f>Input!$F148</f>
        <v>1.034</v>
      </c>
      <c r="H21" s="34">
        <f>Input!$G148</f>
        <v>1.0529999999999999</v>
      </c>
      <c r="I21" s="34">
        <f>Input!$H148</f>
        <v>1.093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1" t="s">
        <v>416</v>
      </c>
    </row>
    <row r="26" spans="1:10" x14ac:dyDescent="0.25">
      <c r="A26" s="11" t="s">
        <v>417</v>
      </c>
    </row>
    <row r="27" spans="1:10" x14ac:dyDescent="0.25">
      <c r="A27" s="29" t="s">
        <v>359</v>
      </c>
      <c r="B27" s="29" t="s">
        <v>418</v>
      </c>
      <c r="C27" s="29" t="s">
        <v>419</v>
      </c>
    </row>
    <row r="28" spans="1:10" x14ac:dyDescent="0.25">
      <c r="A28" s="29" t="s">
        <v>362</v>
      </c>
      <c r="B28" s="29" t="s">
        <v>420</v>
      </c>
      <c r="C28" s="29" t="s">
        <v>421</v>
      </c>
    </row>
    <row r="30" spans="1:10" ht="45" x14ac:dyDescent="0.25">
      <c r="B30" s="12" t="s">
        <v>422</v>
      </c>
      <c r="C30" s="12" t="s">
        <v>423</v>
      </c>
    </row>
    <row r="31" spans="1:10" x14ac:dyDescent="0.25">
      <c r="A31" s="3" t="s">
        <v>139</v>
      </c>
      <c r="B31" s="33">
        <f>$B$21</f>
        <v>1</v>
      </c>
      <c r="C31" s="9"/>
      <c r="D31" s="10"/>
    </row>
    <row r="32" spans="1:10" x14ac:dyDescent="0.25">
      <c r="A32" s="3" t="s">
        <v>140</v>
      </c>
      <c r="B32" s="33">
        <f>$C$21</f>
        <v>1.002</v>
      </c>
      <c r="C32" s="33">
        <f t="shared" ref="C32:C38" si="0">B31</f>
        <v>1</v>
      </c>
      <c r="D32" s="10"/>
    </row>
    <row r="33" spans="1:5" x14ac:dyDescent="0.25">
      <c r="A33" s="3" t="s">
        <v>141</v>
      </c>
      <c r="B33" s="33">
        <f>$D$21</f>
        <v>1.0069999999999999</v>
      </c>
      <c r="C33" s="33">
        <f t="shared" si="0"/>
        <v>1.002</v>
      </c>
      <c r="D33" s="10"/>
    </row>
    <row r="34" spans="1:5" x14ac:dyDescent="0.25">
      <c r="A34" s="3" t="s">
        <v>142</v>
      </c>
      <c r="B34" s="33">
        <f>$E$21</f>
        <v>1.01</v>
      </c>
      <c r="C34" s="33">
        <f t="shared" si="0"/>
        <v>1.0069999999999999</v>
      </c>
      <c r="D34" s="10"/>
    </row>
    <row r="35" spans="1:5" x14ac:dyDescent="0.25">
      <c r="A35" s="3" t="s">
        <v>143</v>
      </c>
      <c r="B35" s="33">
        <f>$F$21</f>
        <v>1.018</v>
      </c>
      <c r="C35" s="33">
        <f t="shared" si="0"/>
        <v>1.01</v>
      </c>
      <c r="D35" s="10"/>
    </row>
    <row r="36" spans="1:5" x14ac:dyDescent="0.25">
      <c r="A36" s="3" t="s">
        <v>144</v>
      </c>
      <c r="B36" s="33">
        <f>$G$21</f>
        <v>1.034</v>
      </c>
      <c r="C36" s="33">
        <f t="shared" si="0"/>
        <v>1.018</v>
      </c>
      <c r="D36" s="10"/>
    </row>
    <row r="37" spans="1:5" x14ac:dyDescent="0.25">
      <c r="A37" s="3" t="s">
        <v>145</v>
      </c>
      <c r="B37" s="33">
        <f>$H$21</f>
        <v>1.0529999999999999</v>
      </c>
      <c r="C37" s="33">
        <f t="shared" si="0"/>
        <v>1.034</v>
      </c>
      <c r="D37" s="10"/>
    </row>
    <row r="38" spans="1:5" x14ac:dyDescent="0.25">
      <c r="A38" s="3" t="s">
        <v>146</v>
      </c>
      <c r="B38" s="33">
        <f>$I$21</f>
        <v>1.093</v>
      </c>
      <c r="C38" s="33">
        <f t="shared" si="0"/>
        <v>1.0529999999999999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1" t="s">
        <v>425</v>
      </c>
    </row>
    <row r="43" spans="1:5" x14ac:dyDescent="0.25">
      <c r="A43" s="11" t="s">
        <v>426</v>
      </c>
    </row>
    <row r="44" spans="1:5" x14ac:dyDescent="0.25">
      <c r="A44" s="29" t="s">
        <v>359</v>
      </c>
      <c r="B44" s="29" t="s">
        <v>427</v>
      </c>
      <c r="C44" s="29" t="s">
        <v>427</v>
      </c>
      <c r="D44" s="29" t="s">
        <v>427</v>
      </c>
    </row>
    <row r="45" spans="1:5" x14ac:dyDescent="0.25">
      <c r="A45" s="29" t="s">
        <v>362</v>
      </c>
      <c r="B45" s="29" t="s">
        <v>428</v>
      </c>
      <c r="C45" s="29" t="s">
        <v>428</v>
      </c>
      <c r="D45" s="29" t="s">
        <v>429</v>
      </c>
    </row>
    <row r="47" spans="1:5" ht="45" x14ac:dyDescent="0.25">
      <c r="B47" s="12" t="s">
        <v>430</v>
      </c>
      <c r="C47" s="12" t="s">
        <v>431</v>
      </c>
      <c r="D47" s="12" t="s">
        <v>432</v>
      </c>
    </row>
    <row r="48" spans="1:5" x14ac:dyDescent="0.25">
      <c r="A48" s="3" t="s">
        <v>139</v>
      </c>
      <c r="B48" s="9"/>
      <c r="C48" s="35">
        <f>1/(1+Input!B68)</f>
        <v>0.97588229628168977</v>
      </c>
      <c r="D48" s="35">
        <f t="shared" ref="D48:D54" si="1">1/C48-1</f>
        <v>2.4713742436156094E-2</v>
      </c>
      <c r="E48" s="10"/>
    </row>
    <row r="49" spans="1:5" x14ac:dyDescent="0.25">
      <c r="A49" s="3" t="s">
        <v>140</v>
      </c>
      <c r="B49" s="35">
        <f>1/(1+Input!B69)</f>
        <v>0.95692545677786833</v>
      </c>
      <c r="C49" s="35">
        <f>C48/(1+Input!B69)</f>
        <v>0.93384661213079101</v>
      </c>
      <c r="D49" s="35">
        <f t="shared" si="1"/>
        <v>7.0839672179421997E-2</v>
      </c>
      <c r="E49" s="10"/>
    </row>
    <row r="50" spans="1:5" x14ac:dyDescent="0.25">
      <c r="A50" s="3" t="s">
        <v>141</v>
      </c>
      <c r="B50" s="35">
        <f>B49/(1+Input!B70)</f>
        <v>0.95692545677786833</v>
      </c>
      <c r="C50" s="35">
        <f>C49/(1+Input!B70)</f>
        <v>0.93384661213079101</v>
      </c>
      <c r="D50" s="35">
        <f t="shared" si="1"/>
        <v>7.0839672179421997E-2</v>
      </c>
      <c r="E50" s="10"/>
    </row>
    <row r="51" spans="1:5" x14ac:dyDescent="0.25">
      <c r="A51" s="3" t="s">
        <v>142</v>
      </c>
      <c r="B51" s="35">
        <f>B50/(1+Input!B71)</f>
        <v>0.88684875846544553</v>
      </c>
      <c r="C51" s="35">
        <f>C50/(1+Input!B71)</f>
        <v>0.8654600028658247</v>
      </c>
      <c r="D51" s="35">
        <f t="shared" si="1"/>
        <v>0.15545489876905783</v>
      </c>
      <c r="E51" s="10"/>
    </row>
    <row r="52" spans="1:5" x14ac:dyDescent="0.25">
      <c r="A52" s="3" t="s">
        <v>143</v>
      </c>
      <c r="B52" s="35">
        <f>B51/(1+Input!B72)</f>
        <v>0.88684875846544553</v>
      </c>
      <c r="C52" s="35">
        <f>C51/(1+Input!B72)</f>
        <v>0.8654600028658247</v>
      </c>
      <c r="D52" s="35">
        <f t="shared" si="1"/>
        <v>0.15545489876905783</v>
      </c>
      <c r="E52" s="10"/>
    </row>
    <row r="53" spans="1:5" x14ac:dyDescent="0.25">
      <c r="A53" s="3" t="s">
        <v>144</v>
      </c>
      <c r="B53" s="35">
        <f>B52/(1+Input!B73)</f>
        <v>0.66182743169063096</v>
      </c>
      <c r="C53" s="35">
        <f>C52/(1+Input!B73)</f>
        <v>0.64586567378046611</v>
      </c>
      <c r="D53" s="35">
        <f t="shared" si="1"/>
        <v>0.54830956435053779</v>
      </c>
      <c r="E53" s="10"/>
    </row>
    <row r="54" spans="1:5" x14ac:dyDescent="0.25">
      <c r="A54" s="3" t="s">
        <v>145</v>
      </c>
      <c r="B54" s="35">
        <f>B53/(1+Input!B74)</f>
        <v>0.66182743169063096</v>
      </c>
      <c r="C54" s="35">
        <f>C53/(1+Input!B74)</f>
        <v>0.64586567378046611</v>
      </c>
      <c r="D54" s="35">
        <f t="shared" si="1"/>
        <v>0.54830956435053779</v>
      </c>
      <c r="E54" s="10"/>
    </row>
    <row r="55" spans="1:5" x14ac:dyDescent="0.25">
      <c r="A55" s="3" t="s">
        <v>146</v>
      </c>
      <c r="B55" s="35">
        <f>B54/(1+Input!B75)</f>
        <v>0.66182743169063096</v>
      </c>
      <c r="C55" s="35">
        <f>C54/(1+Input!B75)</f>
        <v>0.64586567378046611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1" t="s">
        <v>434</v>
      </c>
    </row>
    <row r="60" spans="1:5" x14ac:dyDescent="0.25">
      <c r="A60" s="11" t="s">
        <v>435</v>
      </c>
    </row>
    <row r="61" spans="1:5" x14ac:dyDescent="0.25">
      <c r="A61" s="2" t="s">
        <v>436</v>
      </c>
    </row>
    <row r="63" spans="1:5" ht="45" x14ac:dyDescent="0.25">
      <c r="B63" s="12" t="s">
        <v>437</v>
      </c>
    </row>
    <row r="64" spans="1:5" x14ac:dyDescent="0.25">
      <c r="A64" s="3" t="s">
        <v>140</v>
      </c>
      <c r="B64" s="33">
        <f>Input!B$85/B$49</f>
        <v>522.50673911799311</v>
      </c>
      <c r="C64" s="10"/>
    </row>
    <row r="65" spans="1:3" x14ac:dyDescent="0.25">
      <c r="A65" s="3" t="s">
        <v>141</v>
      </c>
      <c r="B65" s="33">
        <f>Input!B$85/B$50</f>
        <v>522.50673911799311</v>
      </c>
      <c r="C65" s="10"/>
    </row>
    <row r="66" spans="1:3" x14ac:dyDescent="0.25">
      <c r="A66" s="3" t="s">
        <v>142</v>
      </c>
      <c r="B66" s="33">
        <f>Input!B$85/B$51</f>
        <v>563.79398993033783</v>
      </c>
      <c r="C66" s="10"/>
    </row>
    <row r="67" spans="1:3" x14ac:dyDescent="0.25">
      <c r="A67" s="3" t="s">
        <v>143</v>
      </c>
      <c r="B67" s="33">
        <f>Input!B$85/B$52</f>
        <v>563.79398993033783</v>
      </c>
      <c r="C67" s="10"/>
    </row>
    <row r="68" spans="1:3" x14ac:dyDescent="0.25">
      <c r="A68" s="3" t="s">
        <v>144</v>
      </c>
      <c r="B68" s="33">
        <f>Input!B$85/B$53</f>
        <v>755.48394650665273</v>
      </c>
      <c r="C68" s="10"/>
    </row>
    <row r="69" spans="1:3" x14ac:dyDescent="0.25">
      <c r="A69" s="3" t="s">
        <v>145</v>
      </c>
      <c r="B69" s="33">
        <f>Input!B$85/B$54</f>
        <v>755.48394650665273</v>
      </c>
      <c r="C69" s="10"/>
    </row>
    <row r="70" spans="1:3" x14ac:dyDescent="0.25">
      <c r="A70" s="3" t="s">
        <v>146</v>
      </c>
      <c r="B70" s="33">
        <f>Input!B$85/B$55</f>
        <v>755.48394650665273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1" t="s">
        <v>439</v>
      </c>
    </row>
    <row r="75" spans="1:3" x14ac:dyDescent="0.25">
      <c r="A75" s="11" t="s">
        <v>440</v>
      </c>
    </row>
    <row r="76" spans="1:3" x14ac:dyDescent="0.25">
      <c r="A76" s="11" t="s">
        <v>441</v>
      </c>
    </row>
    <row r="77" spans="1:3" x14ac:dyDescent="0.25">
      <c r="A77" s="2" t="s">
        <v>442</v>
      </c>
    </row>
    <row r="79" spans="1:3" ht="75" x14ac:dyDescent="0.25">
      <c r="B79" s="12" t="s">
        <v>443</v>
      </c>
    </row>
    <row r="80" spans="1:3" x14ac:dyDescent="0.25">
      <c r="A80" s="3" t="s">
        <v>140</v>
      </c>
      <c r="B80" s="33">
        <f>B64*C$49/B$32</f>
        <v>486.96721371341806</v>
      </c>
      <c r="C80" s="10"/>
    </row>
    <row r="81" spans="1:3" x14ac:dyDescent="0.25">
      <c r="A81" s="3" t="s">
        <v>141</v>
      </c>
      <c r="B81" s="33">
        <f>B65*C$50/B$33</f>
        <v>484.549303019707</v>
      </c>
      <c r="C81" s="10"/>
    </row>
    <row r="82" spans="1:3" x14ac:dyDescent="0.25">
      <c r="A82" s="3" t="s">
        <v>142</v>
      </c>
      <c r="B82" s="33">
        <f>B66*C$51/B$34</f>
        <v>483.11004766420291</v>
      </c>
      <c r="C82" s="10"/>
    </row>
    <row r="83" spans="1:3" x14ac:dyDescent="0.25">
      <c r="A83" s="3" t="s">
        <v>143</v>
      </c>
      <c r="B83" s="33">
        <f>B67*C$52/B$35</f>
        <v>479.31350504994589</v>
      </c>
      <c r="C83" s="10"/>
    </row>
    <row r="84" spans="1:3" x14ac:dyDescent="0.25">
      <c r="A84" s="3" t="s">
        <v>144</v>
      </c>
      <c r="B84" s="33">
        <f>B68*C$53/B$36</f>
        <v>471.89666164491763</v>
      </c>
      <c r="C84" s="10"/>
    </row>
    <row r="85" spans="1:3" x14ac:dyDescent="0.25">
      <c r="A85" s="3" t="s">
        <v>145</v>
      </c>
      <c r="B85" s="33">
        <f>B69*C$54/B$37</f>
        <v>463.3819070663294</v>
      </c>
      <c r="C85" s="10"/>
    </row>
    <row r="86" spans="1:3" x14ac:dyDescent="0.25">
      <c r="A86" s="3" t="s">
        <v>146</v>
      </c>
      <c r="B86" s="33">
        <f>B70*C$55/B$38</f>
        <v>446.42374029354517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1" t="s">
        <v>381</v>
      </c>
    </row>
    <row r="91" spans="1:3" x14ac:dyDescent="0.25">
      <c r="A91" s="11" t="s">
        <v>386</v>
      </c>
    </row>
    <row r="92" spans="1:3" x14ac:dyDescent="0.25">
      <c r="A92" s="11" t="s">
        <v>387</v>
      </c>
    </row>
    <row r="93" spans="1:3" x14ac:dyDescent="0.25">
      <c r="A93" s="11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12" t="s">
        <v>140</v>
      </c>
      <c r="C97" s="12" t="s">
        <v>141</v>
      </c>
      <c r="D97" s="12" t="s">
        <v>142</v>
      </c>
      <c r="E97" s="12" t="s">
        <v>143</v>
      </c>
      <c r="F97" s="12" t="s">
        <v>148</v>
      </c>
      <c r="G97" s="12" t="s">
        <v>144</v>
      </c>
      <c r="H97" s="12" t="s">
        <v>145</v>
      </c>
      <c r="I97" s="12" t="s">
        <v>146</v>
      </c>
    </row>
    <row r="98" spans="1:10" x14ac:dyDescent="0.25">
      <c r="A98" s="3" t="s">
        <v>140</v>
      </c>
      <c r="B98" s="36">
        <v>1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10"/>
    </row>
    <row r="99" spans="1:10" x14ac:dyDescent="0.25">
      <c r="A99" s="3" t="s">
        <v>141</v>
      </c>
      <c r="B99" s="36">
        <v>0</v>
      </c>
      <c r="C99" s="37">
        <f>LAFs!$B$119</f>
        <v>0.92495565728868046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10"/>
    </row>
    <row r="100" spans="1:10" x14ac:dyDescent="0.25">
      <c r="A100" s="3" t="s">
        <v>142</v>
      </c>
      <c r="B100" s="36">
        <v>0</v>
      </c>
      <c r="C100" s="36">
        <v>0</v>
      </c>
      <c r="D100" s="37">
        <f>LAFs!$B$127</f>
        <v>0.92495565728868046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10"/>
    </row>
    <row r="101" spans="1:10" x14ac:dyDescent="0.25">
      <c r="A101" s="3" t="s">
        <v>143</v>
      </c>
      <c r="B101" s="36">
        <v>0</v>
      </c>
      <c r="C101" s="36">
        <v>0</v>
      </c>
      <c r="D101" s="36">
        <v>0</v>
      </c>
      <c r="E101" s="37">
        <f>LAFs!$B$135</f>
        <v>0.92495565728868046</v>
      </c>
      <c r="F101" s="37">
        <f>Input!$B$80</f>
        <v>7.5044342711319545E-2</v>
      </c>
      <c r="G101" s="36">
        <v>0</v>
      </c>
      <c r="H101" s="36">
        <v>0</v>
      </c>
      <c r="I101" s="36">
        <v>0</v>
      </c>
      <c r="J101" s="10"/>
    </row>
    <row r="102" spans="1:10" x14ac:dyDescent="0.25">
      <c r="A102" s="3" t="s">
        <v>144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1</v>
      </c>
      <c r="H102" s="36">
        <v>0</v>
      </c>
      <c r="I102" s="36">
        <v>0</v>
      </c>
      <c r="J102" s="10"/>
    </row>
    <row r="103" spans="1:10" x14ac:dyDescent="0.25">
      <c r="A103" s="3" t="s">
        <v>145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1</v>
      </c>
      <c r="I103" s="36">
        <v>0</v>
      </c>
      <c r="J103" s="10"/>
    </row>
    <row r="104" spans="1:10" x14ac:dyDescent="0.25">
      <c r="A104" s="3" t="s">
        <v>146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1" t="s">
        <v>447</v>
      </c>
    </row>
    <row r="109" spans="1:10" x14ac:dyDescent="0.25">
      <c r="A109" s="11" t="s">
        <v>448</v>
      </c>
    </row>
    <row r="110" spans="1:10" x14ac:dyDescent="0.25">
      <c r="A110" s="2" t="s">
        <v>369</v>
      </c>
    </row>
    <row r="112" spans="1:10" ht="60" x14ac:dyDescent="0.25">
      <c r="B112" s="12" t="s">
        <v>449</v>
      </c>
    </row>
    <row r="113" spans="1:3" x14ac:dyDescent="0.25">
      <c r="A113" s="3" t="s">
        <v>140</v>
      </c>
      <c r="B113" s="33">
        <f>SUMPRODUCT(B$80:B$86,$B$98:$B$104)</f>
        <v>486.96721371341806</v>
      </c>
      <c r="C113" s="10"/>
    </row>
    <row r="114" spans="1:3" x14ac:dyDescent="0.25">
      <c r="A114" s="3" t="s">
        <v>141</v>
      </c>
      <c r="B114" s="33">
        <f>SUMPRODUCT(B$80:B$86,$C$98:$C$104)</f>
        <v>448.18661906336507</v>
      </c>
      <c r="C114" s="10"/>
    </row>
    <row r="115" spans="1:3" x14ac:dyDescent="0.25">
      <c r="A115" s="3" t="s">
        <v>142</v>
      </c>
      <c r="B115" s="33">
        <f>SUMPRODUCT(B$80:B$86,$D$98:$D$104)</f>
        <v>446.85537168000855</v>
      </c>
      <c r="C115" s="10"/>
    </row>
    <row r="116" spans="1:3" x14ac:dyDescent="0.25">
      <c r="A116" s="3" t="s">
        <v>143</v>
      </c>
      <c r="B116" s="33">
        <f>SUMPRODUCT(B$80:B$86,$E$98:$E$104)</f>
        <v>443.34373811081394</v>
      </c>
      <c r="C116" s="10"/>
    </row>
    <row r="117" spans="1:3" x14ac:dyDescent="0.25">
      <c r="A117" s="3" t="s">
        <v>148</v>
      </c>
      <c r="B117" s="33">
        <f>SUMPRODUCT(B$80:B$86,$F$98:$F$104)</f>
        <v>35.969766939131929</v>
      </c>
      <c r="C117" s="10"/>
    </row>
    <row r="118" spans="1:3" x14ac:dyDescent="0.25">
      <c r="A118" s="3" t="s">
        <v>144</v>
      </c>
      <c r="B118" s="33">
        <f>SUMPRODUCT(B$80:B$86,$G$98:$G$104)</f>
        <v>471.89666164491763</v>
      </c>
      <c r="C118" s="10"/>
    </row>
    <row r="119" spans="1:3" x14ac:dyDescent="0.25">
      <c r="A119" s="3" t="s">
        <v>145</v>
      </c>
      <c r="B119" s="33">
        <f>SUMPRODUCT(B$80:B$86,$H$98:$H$104)</f>
        <v>463.3819070663294</v>
      </c>
      <c r="C119" s="10"/>
    </row>
    <row r="120" spans="1:3" x14ac:dyDescent="0.25">
      <c r="A120" s="3" t="s">
        <v>146</v>
      </c>
      <c r="B120" s="33">
        <f>SUMPRODUCT(B$80:B$86,$I$98:$I$104)</f>
        <v>446.42374029354517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1" t="s">
        <v>451</v>
      </c>
    </row>
    <row r="125" spans="1:3" x14ac:dyDescent="0.25">
      <c r="A125" s="11" t="s">
        <v>452</v>
      </c>
    </row>
    <row r="126" spans="1:3" x14ac:dyDescent="0.25">
      <c r="A126" s="11" t="s">
        <v>453</v>
      </c>
    </row>
    <row r="127" spans="1:3" x14ac:dyDescent="0.25">
      <c r="A127" s="2" t="s">
        <v>454</v>
      </c>
    </row>
    <row r="129" spans="1:3" x14ac:dyDescent="0.25">
      <c r="B129" s="12" t="s">
        <v>455</v>
      </c>
    </row>
    <row r="130" spans="1:3" x14ac:dyDescent="0.25">
      <c r="A130" s="3" t="s">
        <v>456</v>
      </c>
      <c r="B130" s="33">
        <f>IF(B113,0.001*Input!B90*B$12/B113,0)</f>
        <v>6.0762794142745591</v>
      </c>
      <c r="C130" s="10"/>
    </row>
    <row r="131" spans="1:3" x14ac:dyDescent="0.25">
      <c r="A131" s="3" t="s">
        <v>457</v>
      </c>
      <c r="B131" s="33">
        <f>IF(B114,0.001*Input!B91*B$12/B114,0)</f>
        <v>3.3229246377437467</v>
      </c>
      <c r="C131" s="10"/>
    </row>
    <row r="132" spans="1:3" x14ac:dyDescent="0.25">
      <c r="A132" s="3" t="s">
        <v>458</v>
      </c>
      <c r="B132" s="33">
        <f>IF(B115,0.001*Input!B92*B$12/B115,0)</f>
        <v>4.0624185771235286</v>
      </c>
      <c r="C132" s="10"/>
    </row>
    <row r="133" spans="1:3" x14ac:dyDescent="0.25">
      <c r="A133" s="3" t="s">
        <v>459</v>
      </c>
      <c r="B133" s="33">
        <f>IF(B116,0.001*Input!B93*B$12/B116,0)</f>
        <v>6.6346827842099687</v>
      </c>
      <c r="C133" s="10"/>
    </row>
    <row r="134" spans="1:3" x14ac:dyDescent="0.25">
      <c r="A134" s="3" t="s">
        <v>460</v>
      </c>
      <c r="B134" s="33">
        <f>IF(B117,0.001*Input!B94*B$12/B117,0)</f>
        <v>6.8757997153309462</v>
      </c>
      <c r="C134" s="10"/>
    </row>
    <row r="135" spans="1:3" x14ac:dyDescent="0.25">
      <c r="A135" s="3" t="s">
        <v>461</v>
      </c>
      <c r="B135" s="33">
        <f>IF(B118,0.001*Input!B95*B$12/B118,0)</f>
        <v>15.590336532885457</v>
      </c>
      <c r="C135" s="10"/>
    </row>
    <row r="136" spans="1:3" x14ac:dyDescent="0.25">
      <c r="A136" s="3" t="s">
        <v>462</v>
      </c>
      <c r="B136" s="33">
        <f>IF(B119,0.001*Input!B96*B$12/B119,0)</f>
        <v>6.7429493236277978</v>
      </c>
      <c r="C136" s="10"/>
    </row>
    <row r="137" spans="1:3" x14ac:dyDescent="0.25">
      <c r="A137" s="3" t="s">
        <v>463</v>
      </c>
      <c r="B137" s="33">
        <f>IF(B120,0.001*Input!B97*B$12/B120,0)</f>
        <v>13.811740330007344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East Midlands in April 17 (Final)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1" t="s">
        <v>466</v>
      </c>
    </row>
    <row r="7" spans="1:3" x14ac:dyDescent="0.25">
      <c r="A7" s="11" t="s">
        <v>467</v>
      </c>
    </row>
    <row r="8" spans="1:3" x14ac:dyDescent="0.25">
      <c r="A8" s="2" t="s">
        <v>369</v>
      </c>
    </row>
    <row r="10" spans="1:3" ht="30" x14ac:dyDescent="0.25">
      <c r="B10" s="12" t="s">
        <v>468</v>
      </c>
    </row>
    <row r="11" spans="1:3" x14ac:dyDescent="0.25">
      <c r="A11" s="3" t="s">
        <v>171</v>
      </c>
      <c r="B11" s="17">
        <f>SUMPRODUCT(Input!$B112:$I112,Input!$B$102:$I$102)</f>
        <v>263.10804520699998</v>
      </c>
      <c r="C11" s="10"/>
    </row>
    <row r="12" spans="1:3" x14ac:dyDescent="0.25">
      <c r="A12" s="3" t="s">
        <v>172</v>
      </c>
      <c r="B12" s="17">
        <f>SUMPRODUCT(Input!$B113:$I113,Input!$B$102:$I$102)</f>
        <v>263.10804520699998</v>
      </c>
      <c r="C12" s="10"/>
    </row>
    <row r="13" spans="1:3" x14ac:dyDescent="0.25">
      <c r="A13" s="3" t="s">
        <v>173</v>
      </c>
      <c r="B13" s="17">
        <f>SUMPRODUCT(Input!$B114:$I114,Input!$B$102:$I$102)</f>
        <v>591.94049120500006</v>
      </c>
      <c r="C13" s="10"/>
    </row>
    <row r="14" spans="1:3" x14ac:dyDescent="0.25">
      <c r="A14" s="3" t="s">
        <v>174</v>
      </c>
      <c r="B14" s="17">
        <f>SUMPRODUCT(Input!$B115:$I115,Input!$B$102:$I$102)</f>
        <v>591.94049120500006</v>
      </c>
      <c r="C14" s="10"/>
    </row>
    <row r="15" spans="1:3" x14ac:dyDescent="0.25">
      <c r="A15" s="3" t="s">
        <v>175</v>
      </c>
      <c r="B15" s="17">
        <f>SUMPRODUCT(Input!$B116:$I116,Input!$B$102:$I$102)</f>
        <v>720.68333077999989</v>
      </c>
      <c r="C15" s="10"/>
    </row>
    <row r="16" spans="1:3" x14ac:dyDescent="0.25">
      <c r="A16" s="3" t="s">
        <v>176</v>
      </c>
      <c r="B16" s="17">
        <f>SUMPRODUCT(Input!$B117:$I117,Input!$B$102:$I$102)</f>
        <v>534.47314829999993</v>
      </c>
      <c r="C16" s="10"/>
    </row>
    <row r="17" spans="1:3" x14ac:dyDescent="0.25">
      <c r="A17" s="3" t="s">
        <v>177</v>
      </c>
      <c r="B17" s="17">
        <f>SUMPRODUCT(Input!$B118:$I118,Input!$B$102:$I$102)</f>
        <v>263.10804520699998</v>
      </c>
      <c r="C17" s="10"/>
    </row>
    <row r="18" spans="1:3" x14ac:dyDescent="0.25">
      <c r="A18" s="3" t="s">
        <v>178</v>
      </c>
      <c r="B18" s="17">
        <f>SUMPRODUCT(Input!$B119:$I119,Input!$B$102:$I$102)</f>
        <v>591.94049120500006</v>
      </c>
      <c r="C18" s="10"/>
    </row>
    <row r="19" spans="1:3" x14ac:dyDescent="0.25">
      <c r="A19" s="3" t="s">
        <v>179</v>
      </c>
      <c r="B19" s="17">
        <f>SUMPRODUCT(Input!$B120:$I120,Input!$B$102:$I$102)</f>
        <v>1214.9764092760001</v>
      </c>
      <c r="C19" s="10"/>
    </row>
    <row r="20" spans="1:3" x14ac:dyDescent="0.25">
      <c r="A20" s="3" t="s">
        <v>180</v>
      </c>
      <c r="B20" s="17">
        <f>SUMPRODUCT(Input!$B121:$I121,Input!$B$102:$I$102)</f>
        <v>935.79073381500018</v>
      </c>
      <c r="C20" s="10"/>
    </row>
    <row r="21" spans="1:3" x14ac:dyDescent="0.25">
      <c r="A21" s="3" t="s">
        <v>181</v>
      </c>
      <c r="B21" s="17">
        <f>SUMPRODUCT(Input!$B122:$I122,Input!$B$102:$I$102)</f>
        <v>0</v>
      </c>
      <c r="C21" s="10"/>
    </row>
    <row r="22" spans="1:3" x14ac:dyDescent="0.25">
      <c r="A22" s="3" t="s">
        <v>182</v>
      </c>
      <c r="B22" s="17">
        <f>SUMPRODUCT(Input!$B123:$I123,Input!$B$102:$I$102)</f>
        <v>0</v>
      </c>
      <c r="C22" s="10"/>
    </row>
    <row r="23" spans="1:3" x14ac:dyDescent="0.25">
      <c r="A23" s="3" t="s">
        <v>183</v>
      </c>
      <c r="B23" s="17">
        <f>SUMPRODUCT(Input!$B124:$I124,Input!$B$102:$I$102)</f>
        <v>0</v>
      </c>
      <c r="C23" s="10"/>
    </row>
    <row r="24" spans="1:3" x14ac:dyDescent="0.25">
      <c r="A24" s="3" t="s">
        <v>184</v>
      </c>
      <c r="B24" s="17">
        <f>SUMPRODUCT(Input!$B125:$I125,Input!$B$102:$I$102)</f>
        <v>0</v>
      </c>
      <c r="C24" s="10"/>
    </row>
    <row r="25" spans="1:3" x14ac:dyDescent="0.25">
      <c r="A25" s="3" t="s">
        <v>185</v>
      </c>
      <c r="B25" s="17">
        <f>SUMPRODUCT(Input!$B126:$I126,Input!$B$102:$I$102)</f>
        <v>0</v>
      </c>
      <c r="C25" s="10"/>
    </row>
    <row r="26" spans="1:3" x14ac:dyDescent="0.25">
      <c r="A26" s="3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1" t="s">
        <v>470</v>
      </c>
    </row>
    <row r="31" spans="1:3" x14ac:dyDescent="0.25">
      <c r="A31" s="11" t="s">
        <v>467</v>
      </c>
    </row>
    <row r="32" spans="1:3" x14ac:dyDescent="0.25">
      <c r="A32" s="2" t="s">
        <v>369</v>
      </c>
    </row>
    <row r="34" spans="1:3" ht="30" x14ac:dyDescent="0.25">
      <c r="B34" s="12" t="s">
        <v>468</v>
      </c>
    </row>
    <row r="35" spans="1:3" x14ac:dyDescent="0.25">
      <c r="A35" s="3" t="s">
        <v>471</v>
      </c>
      <c r="B35" s="17">
        <f>SUMPRODUCT(Input!$B134:$I134,Input!$B$102:$I$102)</f>
        <v>238.83891853920005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1" t="s">
        <v>473</v>
      </c>
    </row>
    <row r="40" spans="1:3" x14ac:dyDescent="0.25">
      <c r="A40" s="11" t="s">
        <v>474</v>
      </c>
    </row>
    <row r="41" spans="1:3" x14ac:dyDescent="0.25">
      <c r="A41" s="11" t="s">
        <v>453</v>
      </c>
    </row>
    <row r="42" spans="1:3" x14ac:dyDescent="0.25">
      <c r="A42" s="2" t="s">
        <v>475</v>
      </c>
    </row>
    <row r="44" spans="1:3" ht="30" x14ac:dyDescent="0.25">
      <c r="B44" s="12" t="s">
        <v>468</v>
      </c>
    </row>
    <row r="45" spans="1:3" x14ac:dyDescent="0.25">
      <c r="A45" s="3" t="s">
        <v>476</v>
      </c>
      <c r="B45" s="33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1" t="s">
        <v>478</v>
      </c>
    </row>
    <row r="50" spans="1:3" x14ac:dyDescent="0.25">
      <c r="A50" s="11" t="s">
        <v>479</v>
      </c>
    </row>
    <row r="51" spans="1:3" x14ac:dyDescent="0.25">
      <c r="A51" s="2" t="s">
        <v>369</v>
      </c>
    </row>
    <row r="53" spans="1:3" ht="30" x14ac:dyDescent="0.25">
      <c r="B53" s="12" t="s">
        <v>480</v>
      </c>
    </row>
    <row r="54" spans="1:3" x14ac:dyDescent="0.25">
      <c r="A54" s="3" t="s">
        <v>192</v>
      </c>
      <c r="B54" s="17">
        <f>SUMPRODUCT(Input!$B139:$F139,Input!$B$107:$F$107)</f>
        <v>9284.1299391119992</v>
      </c>
      <c r="C54" s="10"/>
    </row>
    <row r="55" spans="1:3" x14ac:dyDescent="0.25">
      <c r="A55" s="3" t="s">
        <v>193</v>
      </c>
      <c r="B55" s="17">
        <f>SUMPRODUCT(Input!$B140:$F140,Input!$B$107:$F$107)</f>
        <v>9284.1299391119992</v>
      </c>
      <c r="C55" s="10"/>
    </row>
    <row r="56" spans="1:3" x14ac:dyDescent="0.25">
      <c r="A56" s="3" t="s">
        <v>194</v>
      </c>
      <c r="B56" s="17">
        <f>SUMPRODUCT(Input!$B141:$F141,Input!$B$107:$F$107)</f>
        <v>4476.1926720000001</v>
      </c>
      <c r="C56" s="10"/>
    </row>
    <row r="57" spans="1:3" x14ac:dyDescent="0.25">
      <c r="A57" s="3" t="s">
        <v>195</v>
      </c>
      <c r="B57" s="17">
        <f>SUMPRODUCT(Input!$B142:$F142,Input!$B$107:$F$107)</f>
        <v>4476.1926720000001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1" t="s">
        <v>482</v>
      </c>
    </row>
    <row r="62" spans="1:3" x14ac:dyDescent="0.25">
      <c r="A62" s="11" t="s">
        <v>483</v>
      </c>
    </row>
    <row r="63" spans="1:3" x14ac:dyDescent="0.25">
      <c r="A63" s="2" t="s">
        <v>374</v>
      </c>
    </row>
    <row r="65" spans="1:4" ht="30" x14ac:dyDescent="0.25">
      <c r="B65" s="12" t="s">
        <v>468</v>
      </c>
      <c r="C65" s="12" t="s">
        <v>480</v>
      </c>
    </row>
    <row r="66" spans="1:4" x14ac:dyDescent="0.25">
      <c r="A66" s="3" t="s">
        <v>171</v>
      </c>
      <c r="B66" s="34">
        <f>$B$11</f>
        <v>263.10804520699998</v>
      </c>
      <c r="C66" s="9"/>
      <c r="D66" s="10"/>
    </row>
    <row r="67" spans="1:4" x14ac:dyDescent="0.25">
      <c r="A67" s="3" t="s">
        <v>172</v>
      </c>
      <c r="B67" s="34">
        <f>$B$12</f>
        <v>263.10804520699998</v>
      </c>
      <c r="C67" s="9"/>
      <c r="D67" s="10"/>
    </row>
    <row r="68" spans="1:4" x14ac:dyDescent="0.25">
      <c r="A68" s="3" t="s">
        <v>211</v>
      </c>
      <c r="B68" s="9"/>
      <c r="C68" s="9"/>
      <c r="D68" s="10"/>
    </row>
    <row r="69" spans="1:4" x14ac:dyDescent="0.25">
      <c r="A69" s="3" t="s">
        <v>173</v>
      </c>
      <c r="B69" s="34">
        <f>$B$13</f>
        <v>591.94049120500006</v>
      </c>
      <c r="C69" s="9"/>
      <c r="D69" s="10"/>
    </row>
    <row r="70" spans="1:4" x14ac:dyDescent="0.25">
      <c r="A70" s="3" t="s">
        <v>174</v>
      </c>
      <c r="B70" s="34">
        <f>$B$14</f>
        <v>591.94049120500006</v>
      </c>
      <c r="C70" s="9"/>
      <c r="D70" s="10"/>
    </row>
    <row r="71" spans="1:4" x14ac:dyDescent="0.25">
      <c r="A71" s="3" t="s">
        <v>212</v>
      </c>
      <c r="B71" s="9"/>
      <c r="C71" s="9"/>
      <c r="D71" s="10"/>
    </row>
    <row r="72" spans="1:4" x14ac:dyDescent="0.25">
      <c r="A72" s="3" t="s">
        <v>175</v>
      </c>
      <c r="B72" s="34">
        <f>$B$15</f>
        <v>720.68333077999989</v>
      </c>
      <c r="C72" s="9"/>
      <c r="D72" s="10"/>
    </row>
    <row r="73" spans="1:4" x14ac:dyDescent="0.25">
      <c r="A73" s="3" t="s">
        <v>176</v>
      </c>
      <c r="B73" s="34">
        <f>$B$16</f>
        <v>534.47314829999993</v>
      </c>
      <c r="C73" s="9"/>
      <c r="D73" s="10"/>
    </row>
    <row r="74" spans="1:4" x14ac:dyDescent="0.25">
      <c r="A74" s="3" t="s">
        <v>192</v>
      </c>
      <c r="B74" s="9"/>
      <c r="C74" s="34">
        <f>$B$54</f>
        <v>9284.1299391119992</v>
      </c>
      <c r="D74" s="10"/>
    </row>
    <row r="75" spans="1:4" x14ac:dyDescent="0.25">
      <c r="A75" s="3" t="s">
        <v>177</v>
      </c>
      <c r="B75" s="34">
        <f>$B$17</f>
        <v>263.10804520699998</v>
      </c>
      <c r="C75" s="9"/>
      <c r="D75" s="10"/>
    </row>
    <row r="76" spans="1:4" x14ac:dyDescent="0.25">
      <c r="A76" s="3" t="s">
        <v>178</v>
      </c>
      <c r="B76" s="34">
        <f>$B$18</f>
        <v>591.94049120500006</v>
      </c>
      <c r="C76" s="9"/>
      <c r="D76" s="10"/>
    </row>
    <row r="77" spans="1:4" x14ac:dyDescent="0.25">
      <c r="A77" s="3" t="s">
        <v>179</v>
      </c>
      <c r="B77" s="34">
        <f>$B$19</f>
        <v>1214.9764092760001</v>
      </c>
      <c r="C77" s="9"/>
      <c r="D77" s="10"/>
    </row>
    <row r="78" spans="1:4" x14ac:dyDescent="0.25">
      <c r="A78" s="3" t="s">
        <v>180</v>
      </c>
      <c r="B78" s="34">
        <f>$B$20</f>
        <v>935.79073381500018</v>
      </c>
      <c r="C78" s="9"/>
      <c r="D78" s="10"/>
    </row>
    <row r="79" spans="1:4" x14ac:dyDescent="0.25">
      <c r="A79" s="3" t="s">
        <v>193</v>
      </c>
      <c r="B79" s="9"/>
      <c r="C79" s="34">
        <f>$B$55</f>
        <v>9284.1299391119992</v>
      </c>
      <c r="D79" s="10"/>
    </row>
    <row r="80" spans="1:4" x14ac:dyDescent="0.25">
      <c r="A80" s="3" t="s">
        <v>213</v>
      </c>
      <c r="B80" s="9"/>
      <c r="C80" s="9"/>
      <c r="D80" s="10"/>
    </row>
    <row r="81" spans="1:4" x14ac:dyDescent="0.25">
      <c r="A81" s="3" t="s">
        <v>214</v>
      </c>
      <c r="B81" s="9"/>
      <c r="C81" s="9"/>
      <c r="D81" s="10"/>
    </row>
    <row r="82" spans="1:4" x14ac:dyDescent="0.25">
      <c r="A82" s="3" t="s">
        <v>215</v>
      </c>
      <c r="B82" s="9"/>
      <c r="C82" s="9"/>
      <c r="D82" s="10"/>
    </row>
    <row r="83" spans="1:4" x14ac:dyDescent="0.25">
      <c r="A83" s="3" t="s">
        <v>216</v>
      </c>
      <c r="B83" s="9"/>
      <c r="C83" s="9"/>
      <c r="D83" s="10"/>
    </row>
    <row r="84" spans="1:4" x14ac:dyDescent="0.25">
      <c r="A84" s="3" t="s">
        <v>217</v>
      </c>
      <c r="B84" s="9"/>
      <c r="C84" s="9"/>
      <c r="D84" s="10"/>
    </row>
    <row r="85" spans="1:4" x14ac:dyDescent="0.25">
      <c r="A85" s="3" t="s">
        <v>181</v>
      </c>
      <c r="B85" s="34">
        <f>$B$21</f>
        <v>0</v>
      </c>
      <c r="C85" s="9"/>
      <c r="D85" s="10"/>
    </row>
    <row r="86" spans="1:4" x14ac:dyDescent="0.25">
      <c r="A86" s="3" t="s">
        <v>182</v>
      </c>
      <c r="B86" s="34">
        <f>$B$22</f>
        <v>0</v>
      </c>
      <c r="C86" s="9"/>
      <c r="D86" s="10"/>
    </row>
    <row r="87" spans="1:4" x14ac:dyDescent="0.25">
      <c r="A87" s="3" t="s">
        <v>183</v>
      </c>
      <c r="B87" s="34">
        <f>$B$23</f>
        <v>0</v>
      </c>
      <c r="C87" s="9"/>
      <c r="D87" s="10"/>
    </row>
    <row r="88" spans="1:4" x14ac:dyDescent="0.25">
      <c r="A88" s="3" t="s">
        <v>184</v>
      </c>
      <c r="B88" s="34">
        <f>$B$24</f>
        <v>0</v>
      </c>
      <c r="C88" s="9"/>
      <c r="D88" s="10"/>
    </row>
    <row r="89" spans="1:4" x14ac:dyDescent="0.25">
      <c r="A89" s="3" t="s">
        <v>185</v>
      </c>
      <c r="B89" s="34">
        <f>$B$25</f>
        <v>0</v>
      </c>
      <c r="C89" s="9"/>
      <c r="D89" s="10"/>
    </row>
    <row r="90" spans="1:4" x14ac:dyDescent="0.25">
      <c r="A90" s="3" t="s">
        <v>186</v>
      </c>
      <c r="B90" s="34">
        <f>$B$26</f>
        <v>0</v>
      </c>
      <c r="C90" s="9"/>
      <c r="D90" s="10"/>
    </row>
    <row r="91" spans="1:4" x14ac:dyDescent="0.25">
      <c r="A91" s="3" t="s">
        <v>194</v>
      </c>
      <c r="B91" s="9"/>
      <c r="C91" s="34">
        <f>$B$56</f>
        <v>4476.1926720000001</v>
      </c>
      <c r="D91" s="10"/>
    </row>
    <row r="92" spans="1:4" x14ac:dyDescent="0.25">
      <c r="A92" s="3" t="s">
        <v>195</v>
      </c>
      <c r="B92" s="9"/>
      <c r="C92" s="34">
        <f>$B$57</f>
        <v>4476.1926720000001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1" t="s">
        <v>485</v>
      </c>
    </row>
    <row r="97" spans="1:5" x14ac:dyDescent="0.25">
      <c r="A97" s="11" t="s">
        <v>486</v>
      </c>
    </row>
    <row r="98" spans="1:5" x14ac:dyDescent="0.25">
      <c r="A98" s="11" t="s">
        <v>453</v>
      </c>
    </row>
    <row r="99" spans="1:5" x14ac:dyDescent="0.25">
      <c r="A99" s="11" t="s">
        <v>487</v>
      </c>
    </row>
    <row r="100" spans="1:5" x14ac:dyDescent="0.25">
      <c r="A100" s="11" t="s">
        <v>488</v>
      </c>
    </row>
    <row r="101" spans="1:5" x14ac:dyDescent="0.25">
      <c r="A101" s="29" t="s">
        <v>359</v>
      </c>
      <c r="B101" s="29" t="s">
        <v>489</v>
      </c>
      <c r="C101" s="29"/>
      <c r="D101" s="29" t="s">
        <v>490</v>
      </c>
    </row>
    <row r="102" spans="1:5" x14ac:dyDescent="0.25">
      <c r="A102" s="29" t="s">
        <v>362</v>
      </c>
      <c r="B102" s="29" t="s">
        <v>491</v>
      </c>
      <c r="C102" s="29"/>
      <c r="D102" s="29" t="s">
        <v>492</v>
      </c>
    </row>
    <row r="104" spans="1:5" x14ac:dyDescent="0.25">
      <c r="B104" s="27" t="s">
        <v>493</v>
      </c>
      <c r="C104" s="27"/>
    </row>
    <row r="105" spans="1:5" ht="30" x14ac:dyDescent="0.25">
      <c r="B105" s="12" t="s">
        <v>468</v>
      </c>
      <c r="C105" s="12" t="s">
        <v>480</v>
      </c>
      <c r="D105" s="12" t="s">
        <v>494</v>
      </c>
    </row>
    <row r="106" spans="1:5" x14ac:dyDescent="0.25">
      <c r="A106" s="3" t="s">
        <v>171</v>
      </c>
      <c r="B106" s="33">
        <f>100/Input!$F$58*B66*DRM!$B$12*Input!$D$58</f>
        <v>0</v>
      </c>
      <c r="C106" s="33">
        <f>100/Input!$F$58*C66*DRM!$B$12*Input!$D$58</f>
        <v>0</v>
      </c>
      <c r="D106" s="33">
        <f t="shared" ref="D106:D132" si="0">SUM($B106:$C106)</f>
        <v>0</v>
      </c>
      <c r="E106" s="10"/>
    </row>
    <row r="107" spans="1:5" x14ac:dyDescent="0.25">
      <c r="A107" s="3" t="s">
        <v>172</v>
      </c>
      <c r="B107" s="33">
        <f>100/Input!$F$58*B67*DRM!$B$12*Input!$D$58</f>
        <v>0</v>
      </c>
      <c r="C107" s="33">
        <f>100/Input!$F$58*C67*DRM!$B$12*Input!$D$58</f>
        <v>0</v>
      </c>
      <c r="D107" s="33">
        <f t="shared" si="0"/>
        <v>0</v>
      </c>
      <c r="E107" s="10"/>
    </row>
    <row r="108" spans="1:5" x14ac:dyDescent="0.25">
      <c r="A108" s="3" t="s">
        <v>211</v>
      </c>
      <c r="B108" s="33">
        <f>100/Input!$F$58*B68*DRM!$B$12*Input!$D$58</f>
        <v>0</v>
      </c>
      <c r="C108" s="33">
        <f>100/Input!$F$58*C68*DRM!$B$12*Input!$D$58</f>
        <v>0</v>
      </c>
      <c r="D108" s="33">
        <f t="shared" si="0"/>
        <v>0</v>
      </c>
      <c r="E108" s="10"/>
    </row>
    <row r="109" spans="1:5" x14ac:dyDescent="0.25">
      <c r="A109" s="3" t="s">
        <v>173</v>
      </c>
      <c r="B109" s="33">
        <f>100/Input!$F$58*B69*DRM!$B$12*Input!$D$58</f>
        <v>0</v>
      </c>
      <c r="C109" s="33">
        <f>100/Input!$F$58*C69*DRM!$B$12*Input!$D$58</f>
        <v>0</v>
      </c>
      <c r="D109" s="33">
        <f t="shared" si="0"/>
        <v>0</v>
      </c>
      <c r="E109" s="10"/>
    </row>
    <row r="110" spans="1:5" x14ac:dyDescent="0.25">
      <c r="A110" s="3" t="s">
        <v>174</v>
      </c>
      <c r="B110" s="33">
        <f>100/Input!$F$58*B70*DRM!$B$12*Input!$D$58</f>
        <v>0</v>
      </c>
      <c r="C110" s="33">
        <f>100/Input!$F$58*C70*DRM!$B$12*Input!$D$58</f>
        <v>0</v>
      </c>
      <c r="D110" s="33">
        <f t="shared" si="0"/>
        <v>0</v>
      </c>
      <c r="E110" s="10"/>
    </row>
    <row r="111" spans="1:5" x14ac:dyDescent="0.25">
      <c r="A111" s="3" t="s">
        <v>212</v>
      </c>
      <c r="B111" s="33">
        <f>100/Input!$F$58*B71*DRM!$B$12*Input!$D$58</f>
        <v>0</v>
      </c>
      <c r="C111" s="33">
        <f>100/Input!$F$58*C71*DRM!$B$12*Input!$D$58</f>
        <v>0</v>
      </c>
      <c r="D111" s="33">
        <f t="shared" si="0"/>
        <v>0</v>
      </c>
      <c r="E111" s="10"/>
    </row>
    <row r="112" spans="1:5" x14ac:dyDescent="0.25">
      <c r="A112" s="3" t="s">
        <v>175</v>
      </c>
      <c r="B112" s="33">
        <f>100/Input!$F$58*B72*DRM!$B$12*Input!$D$58</f>
        <v>0</v>
      </c>
      <c r="C112" s="33">
        <f>100/Input!$F$58*C72*DRM!$B$12*Input!$D$58</f>
        <v>0</v>
      </c>
      <c r="D112" s="33">
        <f t="shared" si="0"/>
        <v>0</v>
      </c>
      <c r="E112" s="10"/>
    </row>
    <row r="113" spans="1:5" x14ac:dyDescent="0.25">
      <c r="A113" s="3" t="s">
        <v>176</v>
      </c>
      <c r="B113" s="33">
        <f>100/Input!$F$58*B73*DRM!$B$12*Input!$D$58</f>
        <v>0</v>
      </c>
      <c r="C113" s="33">
        <f>100/Input!$F$58*C73*DRM!$B$12*Input!$D$58</f>
        <v>0</v>
      </c>
      <c r="D113" s="33">
        <f t="shared" si="0"/>
        <v>0</v>
      </c>
      <c r="E113" s="10"/>
    </row>
    <row r="114" spans="1:5" x14ac:dyDescent="0.25">
      <c r="A114" s="3" t="s">
        <v>192</v>
      </c>
      <c r="B114" s="33">
        <f>100/Input!$F$58*B74*DRM!$B$12*Input!$D$58</f>
        <v>0</v>
      </c>
      <c r="C114" s="33">
        <f>100/Input!$F$58*C74*DRM!$B$12*Input!$D$58</f>
        <v>0</v>
      </c>
      <c r="D114" s="33">
        <f t="shared" si="0"/>
        <v>0</v>
      </c>
      <c r="E114" s="10"/>
    </row>
    <row r="115" spans="1:5" x14ac:dyDescent="0.25">
      <c r="A115" s="3" t="s">
        <v>177</v>
      </c>
      <c r="B115" s="33">
        <f>100/Input!$F$58*B75*DRM!$B$12*Input!$D$58</f>
        <v>0</v>
      </c>
      <c r="C115" s="33">
        <f>100/Input!$F$58*C75*DRM!$B$12*Input!$D$58</f>
        <v>0</v>
      </c>
      <c r="D115" s="33">
        <f t="shared" si="0"/>
        <v>0</v>
      </c>
      <c r="E115" s="10"/>
    </row>
    <row r="116" spans="1:5" x14ac:dyDescent="0.25">
      <c r="A116" s="3" t="s">
        <v>178</v>
      </c>
      <c r="B116" s="33">
        <f>100/Input!$F$58*B76*DRM!$B$12*Input!$D$58</f>
        <v>0</v>
      </c>
      <c r="C116" s="33">
        <f>100/Input!$F$58*C76*DRM!$B$12*Input!$D$58</f>
        <v>0</v>
      </c>
      <c r="D116" s="33">
        <f t="shared" si="0"/>
        <v>0</v>
      </c>
      <c r="E116" s="10"/>
    </row>
    <row r="117" spans="1:5" x14ac:dyDescent="0.25">
      <c r="A117" s="3" t="s">
        <v>179</v>
      </c>
      <c r="B117" s="33">
        <f>100/Input!$F$58*B77*DRM!$B$12*Input!$D$58</f>
        <v>0</v>
      </c>
      <c r="C117" s="33">
        <f>100/Input!$F$58*C77*DRM!$B$12*Input!$D$58</f>
        <v>0</v>
      </c>
      <c r="D117" s="33">
        <f t="shared" si="0"/>
        <v>0</v>
      </c>
      <c r="E117" s="10"/>
    </row>
    <row r="118" spans="1:5" x14ac:dyDescent="0.25">
      <c r="A118" s="3" t="s">
        <v>180</v>
      </c>
      <c r="B118" s="33">
        <f>100/Input!$F$58*B78*DRM!$B$12*Input!$D$58</f>
        <v>0</v>
      </c>
      <c r="C118" s="33">
        <f>100/Input!$F$58*C78*DRM!$B$12*Input!$D$58</f>
        <v>0</v>
      </c>
      <c r="D118" s="33">
        <f t="shared" si="0"/>
        <v>0</v>
      </c>
      <c r="E118" s="10"/>
    </row>
    <row r="119" spans="1:5" x14ac:dyDescent="0.25">
      <c r="A119" s="3" t="s">
        <v>193</v>
      </c>
      <c r="B119" s="33">
        <f>100/Input!$F$58*B79*DRM!$B$12*Input!$D$58</f>
        <v>0</v>
      </c>
      <c r="C119" s="33">
        <f>100/Input!$F$58*C79*DRM!$B$12*Input!$D$58</f>
        <v>0</v>
      </c>
      <c r="D119" s="33">
        <f t="shared" si="0"/>
        <v>0</v>
      </c>
      <c r="E119" s="10"/>
    </row>
    <row r="120" spans="1:5" x14ac:dyDescent="0.25">
      <c r="A120" s="3" t="s">
        <v>213</v>
      </c>
      <c r="B120" s="33">
        <f>100/Input!$F$58*B80*DRM!$B$12*Input!$D$58</f>
        <v>0</v>
      </c>
      <c r="C120" s="33">
        <f>100/Input!$F$58*C80*DRM!$B$12*Input!$D$58</f>
        <v>0</v>
      </c>
      <c r="D120" s="33">
        <f t="shared" si="0"/>
        <v>0</v>
      </c>
      <c r="E120" s="10"/>
    </row>
    <row r="121" spans="1:5" x14ac:dyDescent="0.25">
      <c r="A121" s="3" t="s">
        <v>214</v>
      </c>
      <c r="B121" s="33">
        <f>100/Input!$F$58*B81*DRM!$B$12*Input!$D$58</f>
        <v>0</v>
      </c>
      <c r="C121" s="33">
        <f>100/Input!$F$58*C81*DRM!$B$12*Input!$D$58</f>
        <v>0</v>
      </c>
      <c r="D121" s="33">
        <f t="shared" si="0"/>
        <v>0</v>
      </c>
      <c r="E121" s="10"/>
    </row>
    <row r="122" spans="1:5" x14ac:dyDescent="0.25">
      <c r="A122" s="3" t="s">
        <v>215</v>
      </c>
      <c r="B122" s="33">
        <f>100/Input!$F$58*B82*DRM!$B$12*Input!$D$58</f>
        <v>0</v>
      </c>
      <c r="C122" s="33">
        <f>100/Input!$F$58*C82*DRM!$B$12*Input!$D$58</f>
        <v>0</v>
      </c>
      <c r="D122" s="33">
        <f t="shared" si="0"/>
        <v>0</v>
      </c>
      <c r="E122" s="10"/>
    </row>
    <row r="123" spans="1:5" x14ac:dyDescent="0.25">
      <c r="A123" s="3" t="s">
        <v>216</v>
      </c>
      <c r="B123" s="33">
        <f>100/Input!$F$58*B83*DRM!$B$12*Input!$D$58</f>
        <v>0</v>
      </c>
      <c r="C123" s="33">
        <f>100/Input!$F$58*C83*DRM!$B$12*Input!$D$58</f>
        <v>0</v>
      </c>
      <c r="D123" s="33">
        <f t="shared" si="0"/>
        <v>0</v>
      </c>
      <c r="E123" s="10"/>
    </row>
    <row r="124" spans="1:5" x14ac:dyDescent="0.25">
      <c r="A124" s="3" t="s">
        <v>217</v>
      </c>
      <c r="B124" s="33">
        <f>100/Input!$F$58*B84*DRM!$B$12*Input!$D$58</f>
        <v>0</v>
      </c>
      <c r="C124" s="33">
        <f>100/Input!$F$58*C84*DRM!$B$12*Input!$D$58</f>
        <v>0</v>
      </c>
      <c r="D124" s="33">
        <f t="shared" si="0"/>
        <v>0</v>
      </c>
      <c r="E124" s="10"/>
    </row>
    <row r="125" spans="1:5" x14ac:dyDescent="0.25">
      <c r="A125" s="3" t="s">
        <v>181</v>
      </c>
      <c r="B125" s="33">
        <f>100/Input!$F$58*B85*DRM!$B$12*Input!$D$58</f>
        <v>0</v>
      </c>
      <c r="C125" s="33">
        <f>100/Input!$F$58*C85*DRM!$B$12*Input!$D$58</f>
        <v>0</v>
      </c>
      <c r="D125" s="33">
        <f t="shared" si="0"/>
        <v>0</v>
      </c>
      <c r="E125" s="10"/>
    </row>
    <row r="126" spans="1:5" x14ac:dyDescent="0.25">
      <c r="A126" s="3" t="s">
        <v>182</v>
      </c>
      <c r="B126" s="33">
        <f>100/Input!$F$58*B86*DRM!$B$12*Input!$D$58</f>
        <v>0</v>
      </c>
      <c r="C126" s="33">
        <f>100/Input!$F$58*C86*DRM!$B$12*Input!$D$58</f>
        <v>0</v>
      </c>
      <c r="D126" s="33">
        <f t="shared" si="0"/>
        <v>0</v>
      </c>
      <c r="E126" s="10"/>
    </row>
    <row r="127" spans="1:5" x14ac:dyDescent="0.25">
      <c r="A127" s="3" t="s">
        <v>183</v>
      </c>
      <c r="B127" s="33">
        <f>100/Input!$F$58*B87*DRM!$B$12*Input!$D$58</f>
        <v>0</v>
      </c>
      <c r="C127" s="33">
        <f>100/Input!$F$58*C87*DRM!$B$12*Input!$D$58</f>
        <v>0</v>
      </c>
      <c r="D127" s="33">
        <f t="shared" si="0"/>
        <v>0</v>
      </c>
      <c r="E127" s="10"/>
    </row>
    <row r="128" spans="1:5" x14ac:dyDescent="0.25">
      <c r="A128" s="3" t="s">
        <v>184</v>
      </c>
      <c r="B128" s="33">
        <f>100/Input!$F$58*B88*DRM!$B$12*Input!$D$58</f>
        <v>0</v>
      </c>
      <c r="C128" s="33">
        <f>100/Input!$F$58*C88*DRM!$B$12*Input!$D$58</f>
        <v>0</v>
      </c>
      <c r="D128" s="33">
        <f t="shared" si="0"/>
        <v>0</v>
      </c>
      <c r="E128" s="10"/>
    </row>
    <row r="129" spans="1:5" x14ac:dyDescent="0.25">
      <c r="A129" s="3" t="s">
        <v>185</v>
      </c>
      <c r="B129" s="33">
        <f>100/Input!$F$58*B89*DRM!$B$12*Input!$D$58</f>
        <v>0</v>
      </c>
      <c r="C129" s="33">
        <f>100/Input!$F$58*C89*DRM!$B$12*Input!$D$58</f>
        <v>0</v>
      </c>
      <c r="D129" s="33">
        <f t="shared" si="0"/>
        <v>0</v>
      </c>
      <c r="E129" s="10"/>
    </row>
    <row r="130" spans="1:5" x14ac:dyDescent="0.25">
      <c r="A130" s="3" t="s">
        <v>186</v>
      </c>
      <c r="B130" s="33">
        <f>100/Input!$F$58*B90*DRM!$B$12*Input!$D$58</f>
        <v>0</v>
      </c>
      <c r="C130" s="33">
        <f>100/Input!$F$58*C90*DRM!$B$12*Input!$D$58</f>
        <v>0</v>
      </c>
      <c r="D130" s="33">
        <f t="shared" si="0"/>
        <v>0</v>
      </c>
      <c r="E130" s="10"/>
    </row>
    <row r="131" spans="1:5" x14ac:dyDescent="0.25">
      <c r="A131" s="3" t="s">
        <v>194</v>
      </c>
      <c r="B131" s="33">
        <f>100/Input!$F$58*B91*DRM!$B$12*Input!$D$58</f>
        <v>0</v>
      </c>
      <c r="C131" s="33">
        <f>100/Input!$F$58*C91*DRM!$B$12*Input!$D$58</f>
        <v>0</v>
      </c>
      <c r="D131" s="33">
        <f t="shared" si="0"/>
        <v>0</v>
      </c>
      <c r="E131" s="10"/>
    </row>
    <row r="132" spans="1:5" x14ac:dyDescent="0.25">
      <c r="A132" s="3" t="s">
        <v>195</v>
      </c>
      <c r="B132" s="33">
        <f>100/Input!$F$58*B92*DRM!$B$12*Input!$D$58</f>
        <v>0</v>
      </c>
      <c r="C132" s="33">
        <f>100/Input!$F$58*C92*DRM!$B$12*Input!$D$58</f>
        <v>0</v>
      </c>
      <c r="D132" s="33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LV unmetered service model assets £/(MWh/year)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East Midlands in April 17 (Final)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1" t="s">
        <v>503</v>
      </c>
    </row>
    <row r="15" spans="1:1" x14ac:dyDescent="0.25">
      <c r="A15" s="11" t="s">
        <v>504</v>
      </c>
    </row>
    <row r="16" spans="1:1" x14ac:dyDescent="0.25">
      <c r="A16" s="2" t="s">
        <v>436</v>
      </c>
    </row>
    <row r="18" spans="1:3" x14ac:dyDescent="0.25">
      <c r="B18" s="12" t="s">
        <v>505</v>
      </c>
    </row>
    <row r="19" spans="1:3" x14ac:dyDescent="0.25">
      <c r="A19" s="3" t="s">
        <v>171</v>
      </c>
      <c r="B19" s="33">
        <f>Input!B160/Input!C160</f>
        <v>2.0316796688038541</v>
      </c>
      <c r="C19" s="10"/>
    </row>
    <row r="20" spans="1:3" x14ac:dyDescent="0.25">
      <c r="A20" s="3" t="s">
        <v>172</v>
      </c>
      <c r="B20" s="33">
        <f>Input!B161/Input!C161</f>
        <v>1.6818362970244873</v>
      </c>
      <c r="C20" s="10"/>
    </row>
    <row r="21" spans="1:3" x14ac:dyDescent="0.25">
      <c r="A21" s="3" t="s">
        <v>211</v>
      </c>
      <c r="B21" s="33">
        <f>Input!B162/Input!C162</f>
        <v>0</v>
      </c>
      <c r="C21" s="10"/>
    </row>
    <row r="22" spans="1:3" x14ac:dyDescent="0.25">
      <c r="A22" s="3" t="s">
        <v>173</v>
      </c>
      <c r="B22" s="33">
        <f>Input!B163/Input!C163</f>
        <v>1.7926536906904922</v>
      </c>
      <c r="C22" s="10"/>
    </row>
    <row r="23" spans="1:3" x14ac:dyDescent="0.25">
      <c r="A23" s="3" t="s">
        <v>174</v>
      </c>
      <c r="B23" s="33">
        <f>Input!B164/Input!C164</f>
        <v>1.5014230335303587</v>
      </c>
      <c r="C23" s="10"/>
    </row>
    <row r="24" spans="1:3" x14ac:dyDescent="0.25">
      <c r="A24" s="3" t="s">
        <v>212</v>
      </c>
      <c r="B24" s="33">
        <f>Input!B165/Input!C165</f>
        <v>0</v>
      </c>
      <c r="C24" s="10"/>
    </row>
    <row r="25" spans="1:3" x14ac:dyDescent="0.25">
      <c r="A25" s="3" t="s">
        <v>175</v>
      </c>
      <c r="B25" s="33">
        <f>Input!B166/Input!C166</f>
        <v>1.5645497043065235</v>
      </c>
      <c r="C25" s="10"/>
    </row>
    <row r="26" spans="1:3" x14ac:dyDescent="0.25">
      <c r="A26" s="3" t="s">
        <v>176</v>
      </c>
      <c r="B26" s="33">
        <f>Input!B167/Input!C167</f>
        <v>1.5645497043065235</v>
      </c>
      <c r="C26" s="10"/>
    </row>
    <row r="27" spans="1:3" x14ac:dyDescent="0.25">
      <c r="A27" s="3" t="s">
        <v>192</v>
      </c>
      <c r="B27" s="33">
        <f>Input!B168/Input!C168</f>
        <v>1.5757272837638963</v>
      </c>
      <c r="C27" s="10"/>
    </row>
    <row r="28" spans="1:3" x14ac:dyDescent="0.25">
      <c r="A28" s="3" t="s">
        <v>177</v>
      </c>
      <c r="B28" s="33">
        <f>Input!B169/Input!C169</f>
        <v>1.9040688284129068</v>
      </c>
      <c r="C28" s="10"/>
    </row>
    <row r="29" spans="1:3" x14ac:dyDescent="0.25">
      <c r="A29" s="3" t="s">
        <v>178</v>
      </c>
      <c r="B29" s="33">
        <f>Input!B170/Input!C170</f>
        <v>1.6353512609175664</v>
      </c>
      <c r="C29" s="10"/>
    </row>
    <row r="30" spans="1:3" x14ac:dyDescent="0.25">
      <c r="A30" s="3" t="s">
        <v>179</v>
      </c>
      <c r="B30" s="33">
        <f>Input!B171/Input!C171</f>
        <v>1.4769381840055376</v>
      </c>
      <c r="C30" s="10"/>
    </row>
    <row r="31" spans="1:3" x14ac:dyDescent="0.25">
      <c r="A31" s="3" t="s">
        <v>180</v>
      </c>
      <c r="B31" s="33">
        <f>Input!B172/Input!C172</f>
        <v>1.453385193684098</v>
      </c>
      <c r="C31" s="10"/>
    </row>
    <row r="32" spans="1:3" x14ac:dyDescent="0.25">
      <c r="A32" s="3" t="s">
        <v>193</v>
      </c>
      <c r="B32" s="33">
        <f>Input!B173/Input!C173</f>
        <v>1.202532112834743</v>
      </c>
      <c r="C32" s="10"/>
    </row>
    <row r="33" spans="1:3" x14ac:dyDescent="0.25">
      <c r="A33" s="3" t="s">
        <v>213</v>
      </c>
      <c r="B33" s="33">
        <f>Input!B174/Input!C174</f>
        <v>1</v>
      </c>
      <c r="C33" s="10"/>
    </row>
    <row r="34" spans="1:3" x14ac:dyDescent="0.25">
      <c r="A34" s="3" t="s">
        <v>214</v>
      </c>
      <c r="B34" s="33">
        <f>Input!B175/Input!C175</f>
        <v>2.1170693361874764</v>
      </c>
      <c r="C34" s="10"/>
    </row>
    <row r="35" spans="1:3" x14ac:dyDescent="0.25">
      <c r="A35" s="3" t="s">
        <v>215</v>
      </c>
      <c r="B35" s="33">
        <f>Input!B176/Input!C176</f>
        <v>4.1535657967437691</v>
      </c>
      <c r="C35" s="10"/>
    </row>
    <row r="36" spans="1:3" x14ac:dyDescent="0.25">
      <c r="A36" s="3" t="s">
        <v>216</v>
      </c>
      <c r="B36" s="33">
        <f>Input!B177/Input!C177</f>
        <v>9.8827010063703216E-3</v>
      </c>
      <c r="C36" s="10"/>
    </row>
    <row r="37" spans="1:3" x14ac:dyDescent="0.25">
      <c r="A37" s="3" t="s">
        <v>217</v>
      </c>
      <c r="B37" s="33">
        <f>Input!B178/Input!C178</f>
        <v>2.1271292361289418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1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12" t="s">
        <v>509</v>
      </c>
    </row>
    <row r="46" spans="1:3" x14ac:dyDescent="0.25">
      <c r="A46" s="3" t="s">
        <v>171</v>
      </c>
      <c r="B46" s="34">
        <f>B$19</f>
        <v>2.0316796688038541</v>
      </c>
      <c r="C46" s="10"/>
    </row>
    <row r="47" spans="1:3" x14ac:dyDescent="0.25">
      <c r="A47" s="3" t="s">
        <v>172</v>
      </c>
      <c r="B47" s="34">
        <f>B$20</f>
        <v>1.6818362970244873</v>
      </c>
      <c r="C47" s="10"/>
    </row>
    <row r="48" spans="1:3" x14ac:dyDescent="0.25">
      <c r="A48" s="3" t="s">
        <v>211</v>
      </c>
      <c r="B48" s="34">
        <f>B$21</f>
        <v>0</v>
      </c>
      <c r="C48" s="10"/>
    </row>
    <row r="49" spans="1:3" x14ac:dyDescent="0.25">
      <c r="A49" s="3" t="s">
        <v>173</v>
      </c>
      <c r="B49" s="34">
        <f>B$22</f>
        <v>1.7926536906904922</v>
      </c>
      <c r="C49" s="10"/>
    </row>
    <row r="50" spans="1:3" x14ac:dyDescent="0.25">
      <c r="A50" s="3" t="s">
        <v>174</v>
      </c>
      <c r="B50" s="34">
        <f>B$23</f>
        <v>1.5014230335303587</v>
      </c>
      <c r="C50" s="10"/>
    </row>
    <row r="51" spans="1:3" x14ac:dyDescent="0.25">
      <c r="A51" s="3" t="s">
        <v>212</v>
      </c>
      <c r="B51" s="34">
        <f>B$24</f>
        <v>0</v>
      </c>
      <c r="C51" s="10"/>
    </row>
    <row r="52" spans="1:3" x14ac:dyDescent="0.25">
      <c r="A52" s="3" t="s">
        <v>175</v>
      </c>
      <c r="B52" s="34">
        <f>B$25</f>
        <v>1.5645497043065235</v>
      </c>
      <c r="C52" s="10"/>
    </row>
    <row r="53" spans="1:3" x14ac:dyDescent="0.25">
      <c r="A53" s="3" t="s">
        <v>176</v>
      </c>
      <c r="B53" s="34">
        <f>B$26</f>
        <v>1.5645497043065235</v>
      </c>
      <c r="C53" s="10"/>
    </row>
    <row r="54" spans="1:3" x14ac:dyDescent="0.25">
      <c r="A54" s="3" t="s">
        <v>192</v>
      </c>
      <c r="B54" s="34">
        <f>B$27</f>
        <v>1.5757272837638963</v>
      </c>
      <c r="C54" s="10"/>
    </row>
    <row r="55" spans="1:3" x14ac:dyDescent="0.25">
      <c r="A55" s="3" t="s">
        <v>177</v>
      </c>
      <c r="B55" s="34">
        <f>B$28</f>
        <v>1.9040688284129068</v>
      </c>
      <c r="C55" s="10"/>
    </row>
    <row r="56" spans="1:3" x14ac:dyDescent="0.25">
      <c r="A56" s="3" t="s">
        <v>178</v>
      </c>
      <c r="B56" s="34">
        <f>B$29</f>
        <v>1.6353512609175664</v>
      </c>
      <c r="C56" s="10"/>
    </row>
    <row r="57" spans="1:3" x14ac:dyDescent="0.25">
      <c r="A57" s="3" t="s">
        <v>179</v>
      </c>
      <c r="B57" s="34">
        <f>B$30</f>
        <v>1.4769381840055376</v>
      </c>
      <c r="C57" s="10"/>
    </row>
    <row r="58" spans="1:3" x14ac:dyDescent="0.25">
      <c r="A58" s="3" t="s">
        <v>180</v>
      </c>
      <c r="B58" s="34">
        <f>B$31</f>
        <v>1.453385193684098</v>
      </c>
      <c r="C58" s="10"/>
    </row>
    <row r="59" spans="1:3" x14ac:dyDescent="0.25">
      <c r="A59" s="3" t="s">
        <v>193</v>
      </c>
      <c r="B59" s="34">
        <f>B$32</f>
        <v>1.202532112834743</v>
      </c>
      <c r="C59" s="10"/>
    </row>
    <row r="60" spans="1:3" x14ac:dyDescent="0.25">
      <c r="A60" s="3" t="s">
        <v>213</v>
      </c>
      <c r="B60" s="34">
        <f>B$33</f>
        <v>1</v>
      </c>
      <c r="C60" s="10"/>
    </row>
    <row r="61" spans="1:3" x14ac:dyDescent="0.25">
      <c r="A61" s="3" t="s">
        <v>214</v>
      </c>
      <c r="B61" s="34">
        <f>B$34</f>
        <v>2.1170693361874764</v>
      </c>
      <c r="C61" s="10"/>
    </row>
    <row r="62" spans="1:3" x14ac:dyDescent="0.25">
      <c r="A62" s="3" t="s">
        <v>215</v>
      </c>
      <c r="B62" s="34">
        <f>B$35</f>
        <v>4.1535657967437691</v>
      </c>
      <c r="C62" s="10"/>
    </row>
    <row r="63" spans="1:3" x14ac:dyDescent="0.25">
      <c r="A63" s="3" t="s">
        <v>216</v>
      </c>
      <c r="B63" s="34">
        <f>B$36</f>
        <v>9.8827010063703216E-3</v>
      </c>
      <c r="C63" s="10"/>
    </row>
    <row r="64" spans="1:3" x14ac:dyDescent="0.25">
      <c r="A64" s="3" t="s">
        <v>217</v>
      </c>
      <c r="B64" s="34">
        <f>B$37</f>
        <v>2.1271292361289418</v>
      </c>
      <c r="C64" s="10"/>
    </row>
    <row r="65" spans="1:7" x14ac:dyDescent="0.25">
      <c r="A65" s="3" t="s">
        <v>181</v>
      </c>
      <c r="B65" s="23">
        <v>-1</v>
      </c>
      <c r="C65" s="10"/>
    </row>
    <row r="66" spans="1:7" x14ac:dyDescent="0.25">
      <c r="A66" s="3" t="s">
        <v>182</v>
      </c>
      <c r="B66" s="23">
        <v>-1</v>
      </c>
      <c r="C66" s="10"/>
    </row>
    <row r="67" spans="1:7" x14ac:dyDescent="0.25">
      <c r="A67" s="3" t="s">
        <v>183</v>
      </c>
      <c r="B67" s="23">
        <v>-1</v>
      </c>
      <c r="C67" s="10"/>
    </row>
    <row r="68" spans="1:7" x14ac:dyDescent="0.25">
      <c r="A68" s="3" t="s">
        <v>184</v>
      </c>
      <c r="B68" s="23">
        <v>-1</v>
      </c>
      <c r="C68" s="10"/>
    </row>
    <row r="69" spans="1:7" x14ac:dyDescent="0.25">
      <c r="A69" s="3" t="s">
        <v>185</v>
      </c>
      <c r="B69" s="23">
        <v>-1</v>
      </c>
      <c r="C69" s="10"/>
    </row>
    <row r="70" spans="1:7" x14ac:dyDescent="0.25">
      <c r="A70" s="3" t="s">
        <v>186</v>
      </c>
      <c r="B70" s="23">
        <v>-1</v>
      </c>
      <c r="C70" s="10"/>
    </row>
    <row r="71" spans="1:7" x14ac:dyDescent="0.25">
      <c r="A71" s="3" t="s">
        <v>194</v>
      </c>
      <c r="B71" s="23">
        <v>-1</v>
      </c>
      <c r="C71" s="10"/>
    </row>
    <row r="72" spans="1:7" x14ac:dyDescent="0.25">
      <c r="A72" s="3" t="s">
        <v>195</v>
      </c>
      <c r="B72" s="23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12" t="s">
        <v>201</v>
      </c>
      <c r="C76" s="12" t="s">
        <v>202</v>
      </c>
      <c r="D76" s="12" t="s">
        <v>203</v>
      </c>
      <c r="E76" s="12" t="s">
        <v>204</v>
      </c>
      <c r="F76" s="12" t="s">
        <v>205</v>
      </c>
    </row>
    <row r="77" spans="1:7" x14ac:dyDescent="0.25">
      <c r="A77" s="24" t="s">
        <v>228</v>
      </c>
      <c r="G77" s="10"/>
    </row>
    <row r="78" spans="1:7" x14ac:dyDescent="0.25">
      <c r="A78" s="3" t="s">
        <v>171</v>
      </c>
      <c r="B78" s="32">
        <v>1</v>
      </c>
      <c r="C78" s="32">
        <v>0</v>
      </c>
      <c r="D78" s="32">
        <v>0</v>
      </c>
      <c r="E78" s="32">
        <v>0</v>
      </c>
      <c r="F78" s="32">
        <v>0</v>
      </c>
      <c r="G78" s="10"/>
    </row>
    <row r="79" spans="1:7" x14ac:dyDescent="0.25">
      <c r="A79" s="3" t="s">
        <v>229</v>
      </c>
      <c r="B79" s="32">
        <v>0</v>
      </c>
      <c r="C79" s="32">
        <v>1</v>
      </c>
      <c r="D79" s="32">
        <v>0</v>
      </c>
      <c r="E79" s="32">
        <v>0</v>
      </c>
      <c r="F79" s="32">
        <v>0</v>
      </c>
      <c r="G79" s="10"/>
    </row>
    <row r="80" spans="1:7" x14ac:dyDescent="0.25">
      <c r="A80" s="3" t="s">
        <v>230</v>
      </c>
      <c r="B80" s="32">
        <v>0</v>
      </c>
      <c r="C80" s="32">
        <v>0</v>
      </c>
      <c r="D80" s="32">
        <v>1</v>
      </c>
      <c r="E80" s="32">
        <v>0</v>
      </c>
      <c r="F80" s="32">
        <v>0</v>
      </c>
      <c r="G80" s="10"/>
    </row>
    <row r="81" spans="1:7" x14ac:dyDescent="0.25">
      <c r="A81" s="24" t="s">
        <v>231</v>
      </c>
      <c r="G81" s="10"/>
    </row>
    <row r="82" spans="1:7" x14ac:dyDescent="0.25">
      <c r="A82" s="3" t="s">
        <v>172</v>
      </c>
      <c r="B82" s="32">
        <v>1</v>
      </c>
      <c r="C82" s="32">
        <v>0</v>
      </c>
      <c r="D82" s="32">
        <v>0</v>
      </c>
      <c r="E82" s="32">
        <v>0</v>
      </c>
      <c r="F82" s="32">
        <v>0</v>
      </c>
      <c r="G82" s="10"/>
    </row>
    <row r="83" spans="1:7" x14ac:dyDescent="0.25">
      <c r="A83" s="3" t="s">
        <v>232</v>
      </c>
      <c r="B83" s="32">
        <v>0</v>
      </c>
      <c r="C83" s="32">
        <v>1</v>
      </c>
      <c r="D83" s="32">
        <v>0</v>
      </c>
      <c r="E83" s="32">
        <v>0</v>
      </c>
      <c r="F83" s="32">
        <v>0</v>
      </c>
      <c r="G83" s="10"/>
    </row>
    <row r="84" spans="1:7" x14ac:dyDescent="0.25">
      <c r="A84" s="3" t="s">
        <v>233</v>
      </c>
      <c r="B84" s="32">
        <v>0</v>
      </c>
      <c r="C84" s="32">
        <v>0</v>
      </c>
      <c r="D84" s="32">
        <v>1</v>
      </c>
      <c r="E84" s="32">
        <v>0</v>
      </c>
      <c r="F84" s="32">
        <v>0</v>
      </c>
      <c r="G84" s="10"/>
    </row>
    <row r="85" spans="1:7" x14ac:dyDescent="0.25">
      <c r="A85" s="24" t="s">
        <v>234</v>
      </c>
      <c r="G85" s="10"/>
    </row>
    <row r="86" spans="1:7" x14ac:dyDescent="0.25">
      <c r="A86" s="3" t="s">
        <v>211</v>
      </c>
      <c r="B86" s="32">
        <v>1</v>
      </c>
      <c r="C86" s="32">
        <v>0</v>
      </c>
      <c r="D86" s="32">
        <v>0</v>
      </c>
      <c r="E86" s="32">
        <v>0</v>
      </c>
      <c r="F86" s="32">
        <v>0</v>
      </c>
      <c r="G86" s="10"/>
    </row>
    <row r="87" spans="1:7" x14ac:dyDescent="0.25">
      <c r="A87" s="3" t="s">
        <v>235</v>
      </c>
      <c r="B87" s="32">
        <v>0</v>
      </c>
      <c r="C87" s="32">
        <v>1</v>
      </c>
      <c r="D87" s="32">
        <v>0</v>
      </c>
      <c r="E87" s="32">
        <v>0</v>
      </c>
      <c r="F87" s="32">
        <v>0</v>
      </c>
      <c r="G87" s="10"/>
    </row>
    <row r="88" spans="1:7" x14ac:dyDescent="0.25">
      <c r="A88" s="3" t="s">
        <v>236</v>
      </c>
      <c r="B88" s="32">
        <v>0</v>
      </c>
      <c r="C88" s="32">
        <v>0</v>
      </c>
      <c r="D88" s="32">
        <v>1</v>
      </c>
      <c r="E88" s="32">
        <v>0</v>
      </c>
      <c r="F88" s="32">
        <v>0</v>
      </c>
      <c r="G88" s="10"/>
    </row>
    <row r="89" spans="1:7" x14ac:dyDescent="0.25">
      <c r="A89" s="24" t="s">
        <v>237</v>
      </c>
      <c r="G89" s="10"/>
    </row>
    <row r="90" spans="1:7" x14ac:dyDescent="0.25">
      <c r="A90" s="3" t="s">
        <v>173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10"/>
    </row>
    <row r="91" spans="1:7" x14ac:dyDescent="0.25">
      <c r="A91" s="3" t="s">
        <v>238</v>
      </c>
      <c r="B91" s="32">
        <v>0</v>
      </c>
      <c r="C91" s="32">
        <v>1</v>
      </c>
      <c r="D91" s="32">
        <v>0</v>
      </c>
      <c r="E91" s="32">
        <v>0</v>
      </c>
      <c r="F91" s="32">
        <v>0</v>
      </c>
      <c r="G91" s="10"/>
    </row>
    <row r="92" spans="1:7" x14ac:dyDescent="0.25">
      <c r="A92" s="3" t="s">
        <v>239</v>
      </c>
      <c r="B92" s="32">
        <v>0</v>
      </c>
      <c r="C92" s="32">
        <v>0</v>
      </c>
      <c r="D92" s="32">
        <v>1</v>
      </c>
      <c r="E92" s="32">
        <v>0</v>
      </c>
      <c r="F92" s="32">
        <v>0</v>
      </c>
      <c r="G92" s="10"/>
    </row>
    <row r="93" spans="1:7" x14ac:dyDescent="0.25">
      <c r="A93" s="24" t="s">
        <v>240</v>
      </c>
      <c r="G93" s="10"/>
    </row>
    <row r="94" spans="1:7" x14ac:dyDescent="0.25">
      <c r="A94" s="3" t="s">
        <v>174</v>
      </c>
      <c r="B94" s="32">
        <v>1</v>
      </c>
      <c r="C94" s="32">
        <v>0</v>
      </c>
      <c r="D94" s="32">
        <v>0</v>
      </c>
      <c r="E94" s="32">
        <v>0</v>
      </c>
      <c r="F94" s="32">
        <v>0</v>
      </c>
      <c r="G94" s="10"/>
    </row>
    <row r="95" spans="1:7" x14ac:dyDescent="0.25">
      <c r="A95" s="3" t="s">
        <v>241</v>
      </c>
      <c r="B95" s="32">
        <v>0</v>
      </c>
      <c r="C95" s="32">
        <v>1</v>
      </c>
      <c r="D95" s="32">
        <v>0</v>
      </c>
      <c r="E95" s="32">
        <v>0</v>
      </c>
      <c r="F95" s="32">
        <v>0</v>
      </c>
      <c r="G95" s="10"/>
    </row>
    <row r="96" spans="1:7" x14ac:dyDescent="0.25">
      <c r="A96" s="3" t="s">
        <v>242</v>
      </c>
      <c r="B96" s="32">
        <v>0</v>
      </c>
      <c r="C96" s="32">
        <v>0</v>
      </c>
      <c r="D96" s="32">
        <v>1</v>
      </c>
      <c r="E96" s="32">
        <v>0</v>
      </c>
      <c r="F96" s="32">
        <v>0</v>
      </c>
      <c r="G96" s="10"/>
    </row>
    <row r="97" spans="1:7" x14ac:dyDescent="0.25">
      <c r="A97" s="24" t="s">
        <v>243</v>
      </c>
      <c r="G97" s="10"/>
    </row>
    <row r="98" spans="1:7" x14ac:dyDescent="0.25">
      <c r="A98" s="3" t="s">
        <v>212</v>
      </c>
      <c r="B98" s="32">
        <v>1</v>
      </c>
      <c r="C98" s="32">
        <v>0</v>
      </c>
      <c r="D98" s="32">
        <v>0</v>
      </c>
      <c r="E98" s="32">
        <v>0</v>
      </c>
      <c r="F98" s="32">
        <v>0</v>
      </c>
      <c r="G98" s="10"/>
    </row>
    <row r="99" spans="1:7" ht="30" x14ac:dyDescent="0.25">
      <c r="A99" s="3" t="s">
        <v>244</v>
      </c>
      <c r="B99" s="32">
        <v>0</v>
      </c>
      <c r="C99" s="32">
        <v>1</v>
      </c>
      <c r="D99" s="32">
        <v>0</v>
      </c>
      <c r="E99" s="32">
        <v>0</v>
      </c>
      <c r="F99" s="32">
        <v>0</v>
      </c>
      <c r="G99" s="10"/>
    </row>
    <row r="100" spans="1:7" ht="30" x14ac:dyDescent="0.25">
      <c r="A100" s="3" t="s">
        <v>245</v>
      </c>
      <c r="B100" s="32">
        <v>0</v>
      </c>
      <c r="C100" s="32">
        <v>0</v>
      </c>
      <c r="D100" s="32">
        <v>1</v>
      </c>
      <c r="E100" s="32">
        <v>0</v>
      </c>
      <c r="F100" s="32">
        <v>0</v>
      </c>
      <c r="G100" s="10"/>
    </row>
    <row r="101" spans="1:7" x14ac:dyDescent="0.25">
      <c r="A101" s="24" t="s">
        <v>246</v>
      </c>
      <c r="G101" s="10"/>
    </row>
    <row r="102" spans="1:7" x14ac:dyDescent="0.25">
      <c r="A102" s="3" t="s">
        <v>175</v>
      </c>
      <c r="B102" s="32">
        <v>1</v>
      </c>
      <c r="C102" s="32">
        <v>0</v>
      </c>
      <c r="D102" s="32">
        <v>0</v>
      </c>
      <c r="E102" s="32">
        <v>0</v>
      </c>
      <c r="F102" s="32">
        <v>0</v>
      </c>
      <c r="G102" s="10"/>
    </row>
    <row r="103" spans="1:7" x14ac:dyDescent="0.25">
      <c r="A103" s="3" t="s">
        <v>247</v>
      </c>
      <c r="B103" s="32">
        <v>0</v>
      </c>
      <c r="C103" s="32">
        <v>1</v>
      </c>
      <c r="D103" s="32">
        <v>0</v>
      </c>
      <c r="E103" s="32">
        <v>0</v>
      </c>
      <c r="F103" s="32">
        <v>0</v>
      </c>
      <c r="G103" s="10"/>
    </row>
    <row r="104" spans="1:7" x14ac:dyDescent="0.25">
      <c r="A104" s="3" t="s">
        <v>248</v>
      </c>
      <c r="B104" s="32">
        <v>0</v>
      </c>
      <c r="C104" s="32">
        <v>0</v>
      </c>
      <c r="D104" s="32">
        <v>1</v>
      </c>
      <c r="E104" s="32">
        <v>0</v>
      </c>
      <c r="F104" s="32">
        <v>0</v>
      </c>
      <c r="G104" s="10"/>
    </row>
    <row r="105" spans="1:7" x14ac:dyDescent="0.25">
      <c r="A105" s="24" t="s">
        <v>249</v>
      </c>
      <c r="G105" s="10"/>
    </row>
    <row r="106" spans="1:7" x14ac:dyDescent="0.25">
      <c r="A106" s="3" t="s">
        <v>176</v>
      </c>
      <c r="B106" s="32">
        <v>1</v>
      </c>
      <c r="C106" s="32">
        <v>0</v>
      </c>
      <c r="D106" s="32">
        <v>0</v>
      </c>
      <c r="E106" s="32">
        <v>0</v>
      </c>
      <c r="F106" s="32">
        <v>0</v>
      </c>
      <c r="G106" s="10"/>
    </row>
    <row r="107" spans="1:7" x14ac:dyDescent="0.25">
      <c r="A107" s="24" t="s">
        <v>250</v>
      </c>
      <c r="G107" s="10"/>
    </row>
    <row r="108" spans="1:7" x14ac:dyDescent="0.25">
      <c r="A108" s="3" t="s">
        <v>192</v>
      </c>
      <c r="B108" s="32">
        <v>1</v>
      </c>
      <c r="C108" s="32">
        <v>0</v>
      </c>
      <c r="D108" s="32">
        <v>0</v>
      </c>
      <c r="E108" s="32">
        <v>0</v>
      </c>
      <c r="F108" s="32">
        <v>0</v>
      </c>
      <c r="G108" s="10"/>
    </row>
    <row r="109" spans="1:7" x14ac:dyDescent="0.25">
      <c r="A109" s="24" t="s">
        <v>251</v>
      </c>
      <c r="G109" s="10"/>
    </row>
    <row r="110" spans="1:7" x14ac:dyDescent="0.25">
      <c r="A110" s="3" t="s">
        <v>177</v>
      </c>
      <c r="B110" s="32">
        <v>1</v>
      </c>
      <c r="C110" s="32">
        <v>0</v>
      </c>
      <c r="D110" s="32">
        <v>0</v>
      </c>
      <c r="E110" s="32">
        <v>0</v>
      </c>
      <c r="F110" s="32">
        <v>0</v>
      </c>
      <c r="G110" s="10"/>
    </row>
    <row r="111" spans="1:7" x14ac:dyDescent="0.25">
      <c r="A111" s="3" t="s">
        <v>252</v>
      </c>
      <c r="B111" s="32">
        <v>0</v>
      </c>
      <c r="C111" s="32">
        <v>1</v>
      </c>
      <c r="D111" s="32">
        <v>0</v>
      </c>
      <c r="E111" s="32">
        <v>0</v>
      </c>
      <c r="F111" s="32">
        <v>0</v>
      </c>
      <c r="G111" s="10"/>
    </row>
    <row r="112" spans="1:7" x14ac:dyDescent="0.25">
      <c r="A112" s="3" t="s">
        <v>253</v>
      </c>
      <c r="B112" s="32">
        <v>0</v>
      </c>
      <c r="C112" s="32">
        <v>0</v>
      </c>
      <c r="D112" s="32">
        <v>1</v>
      </c>
      <c r="E112" s="32">
        <v>0</v>
      </c>
      <c r="F112" s="32">
        <v>0</v>
      </c>
      <c r="G112" s="10"/>
    </row>
    <row r="113" spans="1:7" x14ac:dyDescent="0.25">
      <c r="A113" s="24" t="s">
        <v>254</v>
      </c>
      <c r="G113" s="10"/>
    </row>
    <row r="114" spans="1:7" x14ac:dyDescent="0.25">
      <c r="A114" s="3" t="s">
        <v>178</v>
      </c>
      <c r="B114" s="32">
        <v>1</v>
      </c>
      <c r="C114" s="32">
        <v>0</v>
      </c>
      <c r="D114" s="32">
        <v>0</v>
      </c>
      <c r="E114" s="32">
        <v>0</v>
      </c>
      <c r="F114" s="32">
        <v>0</v>
      </c>
      <c r="G114" s="10"/>
    </row>
    <row r="115" spans="1:7" x14ac:dyDescent="0.25">
      <c r="A115" s="3" t="s">
        <v>255</v>
      </c>
      <c r="B115" s="32">
        <v>0</v>
      </c>
      <c r="C115" s="32">
        <v>1</v>
      </c>
      <c r="D115" s="32">
        <v>0</v>
      </c>
      <c r="E115" s="32">
        <v>0</v>
      </c>
      <c r="F115" s="32">
        <v>0</v>
      </c>
      <c r="G115" s="10"/>
    </row>
    <row r="116" spans="1:7" x14ac:dyDescent="0.25">
      <c r="A116" s="3" t="s">
        <v>256</v>
      </c>
      <c r="B116" s="32">
        <v>0</v>
      </c>
      <c r="C116" s="32">
        <v>0</v>
      </c>
      <c r="D116" s="32">
        <v>1</v>
      </c>
      <c r="E116" s="32">
        <v>0</v>
      </c>
      <c r="F116" s="32">
        <v>0</v>
      </c>
      <c r="G116" s="10"/>
    </row>
    <row r="117" spans="1:7" x14ac:dyDescent="0.25">
      <c r="A117" s="24" t="s">
        <v>257</v>
      </c>
      <c r="G117" s="10"/>
    </row>
    <row r="118" spans="1:7" x14ac:dyDescent="0.25">
      <c r="A118" s="3" t="s">
        <v>179</v>
      </c>
      <c r="B118" s="32">
        <v>1</v>
      </c>
      <c r="C118" s="32">
        <v>0</v>
      </c>
      <c r="D118" s="32">
        <v>0</v>
      </c>
      <c r="E118" s="32">
        <v>0</v>
      </c>
      <c r="F118" s="32">
        <v>0</v>
      </c>
      <c r="G118" s="10"/>
    </row>
    <row r="119" spans="1:7" x14ac:dyDescent="0.25">
      <c r="A119" s="3" t="s">
        <v>258</v>
      </c>
      <c r="B119" s="32">
        <v>0</v>
      </c>
      <c r="C119" s="32">
        <v>1</v>
      </c>
      <c r="D119" s="32">
        <v>0</v>
      </c>
      <c r="E119" s="32">
        <v>0</v>
      </c>
      <c r="F119" s="32">
        <v>0</v>
      </c>
      <c r="G119" s="10"/>
    </row>
    <row r="120" spans="1:7" x14ac:dyDescent="0.25">
      <c r="A120" s="3" t="s">
        <v>259</v>
      </c>
      <c r="B120" s="32">
        <v>0</v>
      </c>
      <c r="C120" s="32">
        <v>0</v>
      </c>
      <c r="D120" s="32">
        <v>1</v>
      </c>
      <c r="E120" s="32">
        <v>0</v>
      </c>
      <c r="F120" s="32">
        <v>0</v>
      </c>
      <c r="G120" s="10"/>
    </row>
    <row r="121" spans="1:7" x14ac:dyDescent="0.25">
      <c r="A121" s="24" t="s">
        <v>260</v>
      </c>
      <c r="G121" s="10"/>
    </row>
    <row r="122" spans="1:7" x14ac:dyDescent="0.25">
      <c r="A122" s="3" t="s">
        <v>180</v>
      </c>
      <c r="B122" s="32">
        <v>1</v>
      </c>
      <c r="C122" s="32">
        <v>0</v>
      </c>
      <c r="D122" s="32">
        <v>0</v>
      </c>
      <c r="E122" s="32">
        <v>0</v>
      </c>
      <c r="F122" s="32">
        <v>0</v>
      </c>
      <c r="G122" s="10"/>
    </row>
    <row r="123" spans="1:7" x14ac:dyDescent="0.25">
      <c r="A123" s="3" t="s">
        <v>261</v>
      </c>
      <c r="B123" s="32">
        <v>0</v>
      </c>
      <c r="C123" s="32">
        <v>0</v>
      </c>
      <c r="D123" s="32">
        <v>0</v>
      </c>
      <c r="E123" s="32">
        <v>1</v>
      </c>
      <c r="F123" s="32">
        <v>0</v>
      </c>
      <c r="G123" s="10"/>
    </row>
    <row r="124" spans="1:7" x14ac:dyDescent="0.25">
      <c r="A124" s="24" t="s">
        <v>262</v>
      </c>
      <c r="G124" s="10"/>
    </row>
    <row r="125" spans="1:7" x14ac:dyDescent="0.25">
      <c r="A125" s="3" t="s">
        <v>193</v>
      </c>
      <c r="B125" s="32">
        <v>1</v>
      </c>
      <c r="C125" s="32">
        <v>0</v>
      </c>
      <c r="D125" s="32">
        <v>0</v>
      </c>
      <c r="E125" s="32">
        <v>0</v>
      </c>
      <c r="F125" s="32">
        <v>0</v>
      </c>
      <c r="G125" s="10"/>
    </row>
    <row r="126" spans="1:7" x14ac:dyDescent="0.25">
      <c r="A126" s="3" t="s">
        <v>263</v>
      </c>
      <c r="B126" s="32">
        <v>0</v>
      </c>
      <c r="C126" s="32">
        <v>0</v>
      </c>
      <c r="D126" s="32">
        <v>0</v>
      </c>
      <c r="E126" s="32">
        <v>0</v>
      </c>
      <c r="F126" s="32">
        <v>1</v>
      </c>
      <c r="G126" s="10"/>
    </row>
    <row r="127" spans="1:7" x14ac:dyDescent="0.25">
      <c r="A127" s="24" t="s">
        <v>264</v>
      </c>
      <c r="G127" s="10"/>
    </row>
    <row r="128" spans="1:7" x14ac:dyDescent="0.25">
      <c r="A128" s="3" t="s">
        <v>213</v>
      </c>
      <c r="B128" s="32">
        <v>1</v>
      </c>
      <c r="C128" s="32">
        <v>0</v>
      </c>
      <c r="D128" s="32">
        <v>0</v>
      </c>
      <c r="E128" s="32">
        <v>0</v>
      </c>
      <c r="F128" s="32">
        <v>0</v>
      </c>
      <c r="G128" s="10"/>
    </row>
    <row r="129" spans="1:7" x14ac:dyDescent="0.25">
      <c r="A129" s="3" t="s">
        <v>265</v>
      </c>
      <c r="B129" s="32">
        <v>0</v>
      </c>
      <c r="C129" s="32">
        <v>1</v>
      </c>
      <c r="D129" s="32">
        <v>0</v>
      </c>
      <c r="E129" s="32">
        <v>0</v>
      </c>
      <c r="F129" s="32">
        <v>0</v>
      </c>
      <c r="G129" s="10"/>
    </row>
    <row r="130" spans="1:7" x14ac:dyDescent="0.25">
      <c r="A130" s="3" t="s">
        <v>266</v>
      </c>
      <c r="B130" s="32">
        <v>0</v>
      </c>
      <c r="C130" s="32">
        <v>0</v>
      </c>
      <c r="D130" s="32">
        <v>1</v>
      </c>
      <c r="E130" s="32">
        <v>0</v>
      </c>
      <c r="F130" s="32">
        <v>0</v>
      </c>
      <c r="G130" s="10"/>
    </row>
    <row r="131" spans="1:7" x14ac:dyDescent="0.25">
      <c r="A131" s="24" t="s">
        <v>267</v>
      </c>
      <c r="G131" s="10"/>
    </row>
    <row r="132" spans="1:7" x14ac:dyDescent="0.25">
      <c r="A132" s="3" t="s">
        <v>214</v>
      </c>
      <c r="B132" s="32">
        <v>1</v>
      </c>
      <c r="C132" s="32">
        <v>0</v>
      </c>
      <c r="D132" s="32">
        <v>0</v>
      </c>
      <c r="E132" s="32">
        <v>0</v>
      </c>
      <c r="F132" s="32">
        <v>0</v>
      </c>
      <c r="G132" s="10"/>
    </row>
    <row r="133" spans="1:7" x14ac:dyDescent="0.25">
      <c r="A133" s="3" t="s">
        <v>268</v>
      </c>
      <c r="B133" s="32">
        <v>0</v>
      </c>
      <c r="C133" s="32">
        <v>1</v>
      </c>
      <c r="D133" s="32">
        <v>0</v>
      </c>
      <c r="E133" s="32">
        <v>0</v>
      </c>
      <c r="F133" s="32">
        <v>0</v>
      </c>
      <c r="G133" s="10"/>
    </row>
    <row r="134" spans="1:7" x14ac:dyDescent="0.25">
      <c r="A134" s="3" t="s">
        <v>269</v>
      </c>
      <c r="B134" s="32">
        <v>0</v>
      </c>
      <c r="C134" s="32">
        <v>0</v>
      </c>
      <c r="D134" s="32">
        <v>1</v>
      </c>
      <c r="E134" s="32">
        <v>0</v>
      </c>
      <c r="F134" s="32">
        <v>0</v>
      </c>
      <c r="G134" s="10"/>
    </row>
    <row r="135" spans="1:7" x14ac:dyDescent="0.25">
      <c r="A135" s="24" t="s">
        <v>270</v>
      </c>
      <c r="G135" s="10"/>
    </row>
    <row r="136" spans="1:7" x14ac:dyDescent="0.25">
      <c r="A136" s="3" t="s">
        <v>215</v>
      </c>
      <c r="B136" s="32">
        <v>1</v>
      </c>
      <c r="C136" s="32">
        <v>0</v>
      </c>
      <c r="D136" s="32">
        <v>0</v>
      </c>
      <c r="E136" s="32">
        <v>0</v>
      </c>
      <c r="F136" s="32">
        <v>0</v>
      </c>
      <c r="G136" s="10"/>
    </row>
    <row r="137" spans="1:7" x14ac:dyDescent="0.25">
      <c r="A137" s="3" t="s">
        <v>271</v>
      </c>
      <c r="B137" s="32">
        <v>0</v>
      </c>
      <c r="C137" s="32">
        <v>1</v>
      </c>
      <c r="D137" s="32">
        <v>0</v>
      </c>
      <c r="E137" s="32">
        <v>0</v>
      </c>
      <c r="F137" s="32">
        <v>0</v>
      </c>
      <c r="G137" s="10"/>
    </row>
    <row r="138" spans="1:7" x14ac:dyDescent="0.25">
      <c r="A138" s="3" t="s">
        <v>272</v>
      </c>
      <c r="B138" s="32">
        <v>0</v>
      </c>
      <c r="C138" s="32">
        <v>0</v>
      </c>
      <c r="D138" s="32">
        <v>1</v>
      </c>
      <c r="E138" s="32">
        <v>0</v>
      </c>
      <c r="F138" s="32">
        <v>0</v>
      </c>
      <c r="G138" s="10"/>
    </row>
    <row r="139" spans="1:7" x14ac:dyDescent="0.25">
      <c r="A139" s="24" t="s">
        <v>273</v>
      </c>
      <c r="G139" s="10"/>
    </row>
    <row r="140" spans="1:7" x14ac:dyDescent="0.25">
      <c r="A140" s="3" t="s">
        <v>216</v>
      </c>
      <c r="B140" s="32">
        <v>1</v>
      </c>
      <c r="C140" s="32">
        <v>0</v>
      </c>
      <c r="D140" s="32">
        <v>0</v>
      </c>
      <c r="E140" s="32">
        <v>0</v>
      </c>
      <c r="F140" s="32">
        <v>0</v>
      </c>
      <c r="G140" s="10"/>
    </row>
    <row r="141" spans="1:7" x14ac:dyDescent="0.25">
      <c r="A141" s="3" t="s">
        <v>274</v>
      </c>
      <c r="B141" s="32">
        <v>0</v>
      </c>
      <c r="C141" s="32">
        <v>1</v>
      </c>
      <c r="D141" s="32">
        <v>0</v>
      </c>
      <c r="E141" s="32">
        <v>0</v>
      </c>
      <c r="F141" s="32">
        <v>0</v>
      </c>
      <c r="G141" s="10"/>
    </row>
    <row r="142" spans="1:7" x14ac:dyDescent="0.25">
      <c r="A142" s="3" t="s">
        <v>275</v>
      </c>
      <c r="B142" s="32">
        <v>0</v>
      </c>
      <c r="C142" s="32">
        <v>0</v>
      </c>
      <c r="D142" s="32">
        <v>1</v>
      </c>
      <c r="E142" s="32">
        <v>0</v>
      </c>
      <c r="F142" s="32">
        <v>0</v>
      </c>
      <c r="G142" s="10"/>
    </row>
    <row r="143" spans="1:7" x14ac:dyDescent="0.25">
      <c r="A143" s="24" t="s">
        <v>276</v>
      </c>
      <c r="G143" s="10"/>
    </row>
    <row r="144" spans="1:7" x14ac:dyDescent="0.25">
      <c r="A144" s="3" t="s">
        <v>217</v>
      </c>
      <c r="B144" s="32">
        <v>1</v>
      </c>
      <c r="C144" s="32">
        <v>0</v>
      </c>
      <c r="D144" s="32">
        <v>0</v>
      </c>
      <c r="E144" s="32">
        <v>0</v>
      </c>
      <c r="F144" s="32">
        <v>0</v>
      </c>
      <c r="G144" s="10"/>
    </row>
    <row r="145" spans="1:7" x14ac:dyDescent="0.25">
      <c r="A145" s="3" t="s">
        <v>277</v>
      </c>
      <c r="B145" s="32">
        <v>0</v>
      </c>
      <c r="C145" s="32">
        <v>1</v>
      </c>
      <c r="D145" s="32">
        <v>0</v>
      </c>
      <c r="E145" s="32">
        <v>0</v>
      </c>
      <c r="F145" s="32">
        <v>0</v>
      </c>
      <c r="G145" s="10"/>
    </row>
    <row r="146" spans="1:7" x14ac:dyDescent="0.25">
      <c r="A146" s="3" t="s">
        <v>278</v>
      </c>
      <c r="B146" s="32">
        <v>0</v>
      </c>
      <c r="C146" s="32">
        <v>0</v>
      </c>
      <c r="D146" s="32">
        <v>1</v>
      </c>
      <c r="E146" s="32">
        <v>0</v>
      </c>
      <c r="F146" s="32">
        <v>0</v>
      </c>
      <c r="G146" s="10"/>
    </row>
    <row r="147" spans="1:7" x14ac:dyDescent="0.25">
      <c r="A147" s="24" t="s">
        <v>279</v>
      </c>
      <c r="G147" s="10"/>
    </row>
    <row r="148" spans="1:7" x14ac:dyDescent="0.25">
      <c r="A148" s="3" t="s">
        <v>181</v>
      </c>
      <c r="B148" s="32">
        <v>1</v>
      </c>
      <c r="C148" s="32">
        <v>0</v>
      </c>
      <c r="D148" s="32">
        <v>0</v>
      </c>
      <c r="E148" s="32">
        <v>0</v>
      </c>
      <c r="F148" s="32">
        <v>0</v>
      </c>
      <c r="G148" s="10"/>
    </row>
    <row r="149" spans="1:7" x14ac:dyDescent="0.25">
      <c r="A149" s="3" t="s">
        <v>280</v>
      </c>
      <c r="B149" s="32">
        <v>1</v>
      </c>
      <c r="C149" s="32">
        <v>0</v>
      </c>
      <c r="D149" s="32">
        <v>0</v>
      </c>
      <c r="E149" s="32">
        <v>0</v>
      </c>
      <c r="F149" s="32">
        <v>0</v>
      </c>
      <c r="G149" s="10"/>
    </row>
    <row r="150" spans="1:7" x14ac:dyDescent="0.25">
      <c r="A150" s="3" t="s">
        <v>281</v>
      </c>
      <c r="B150" s="32">
        <v>1</v>
      </c>
      <c r="C150" s="32">
        <v>0</v>
      </c>
      <c r="D150" s="32">
        <v>0</v>
      </c>
      <c r="E150" s="32">
        <v>0</v>
      </c>
      <c r="F150" s="32">
        <v>0</v>
      </c>
      <c r="G150" s="10"/>
    </row>
    <row r="151" spans="1:7" x14ac:dyDescent="0.25">
      <c r="A151" s="24" t="s">
        <v>282</v>
      </c>
      <c r="G151" s="10"/>
    </row>
    <row r="152" spans="1:7" x14ac:dyDescent="0.25">
      <c r="A152" s="3" t="s">
        <v>182</v>
      </c>
      <c r="B152" s="32">
        <v>1</v>
      </c>
      <c r="C152" s="32">
        <v>0</v>
      </c>
      <c r="D152" s="32">
        <v>0</v>
      </c>
      <c r="E152" s="32">
        <v>0</v>
      </c>
      <c r="F152" s="32">
        <v>0</v>
      </c>
      <c r="G152" s="10"/>
    </row>
    <row r="153" spans="1:7" x14ac:dyDescent="0.25">
      <c r="A153" s="3" t="s">
        <v>283</v>
      </c>
      <c r="B153" s="32">
        <v>1</v>
      </c>
      <c r="C153" s="32">
        <v>0</v>
      </c>
      <c r="D153" s="32">
        <v>0</v>
      </c>
      <c r="E153" s="32">
        <v>0</v>
      </c>
      <c r="F153" s="32">
        <v>0</v>
      </c>
      <c r="G153" s="10"/>
    </row>
    <row r="154" spans="1:7" x14ac:dyDescent="0.25">
      <c r="A154" s="24" t="s">
        <v>284</v>
      </c>
      <c r="G154" s="10"/>
    </row>
    <row r="155" spans="1:7" x14ac:dyDescent="0.25">
      <c r="A155" s="3" t="s">
        <v>183</v>
      </c>
      <c r="B155" s="32">
        <v>1</v>
      </c>
      <c r="C155" s="32">
        <v>0</v>
      </c>
      <c r="D155" s="32">
        <v>0</v>
      </c>
      <c r="E155" s="32">
        <v>0</v>
      </c>
      <c r="F155" s="32">
        <v>0</v>
      </c>
      <c r="G155" s="10"/>
    </row>
    <row r="156" spans="1:7" x14ac:dyDescent="0.25">
      <c r="A156" s="3" t="s">
        <v>285</v>
      </c>
      <c r="B156" s="32">
        <v>1</v>
      </c>
      <c r="C156" s="32">
        <v>0</v>
      </c>
      <c r="D156" s="32">
        <v>0</v>
      </c>
      <c r="E156" s="32">
        <v>0</v>
      </c>
      <c r="F156" s="32">
        <v>0</v>
      </c>
      <c r="G156" s="10"/>
    </row>
    <row r="157" spans="1:7" x14ac:dyDescent="0.25">
      <c r="A157" s="3" t="s">
        <v>286</v>
      </c>
      <c r="B157" s="32">
        <v>1</v>
      </c>
      <c r="C157" s="32">
        <v>0</v>
      </c>
      <c r="D157" s="32">
        <v>0</v>
      </c>
      <c r="E157" s="32">
        <v>0</v>
      </c>
      <c r="F157" s="32">
        <v>0</v>
      </c>
      <c r="G157" s="10"/>
    </row>
    <row r="158" spans="1:7" x14ac:dyDescent="0.25">
      <c r="A158" s="24" t="s">
        <v>287</v>
      </c>
      <c r="G158" s="10"/>
    </row>
    <row r="159" spans="1:7" x14ac:dyDescent="0.25">
      <c r="A159" s="3" t="s">
        <v>184</v>
      </c>
      <c r="B159" s="32">
        <v>1</v>
      </c>
      <c r="C159" s="32">
        <v>0</v>
      </c>
      <c r="D159" s="32">
        <v>0</v>
      </c>
      <c r="E159" s="32">
        <v>0</v>
      </c>
      <c r="F159" s="32">
        <v>0</v>
      </c>
      <c r="G159" s="10"/>
    </row>
    <row r="160" spans="1:7" x14ac:dyDescent="0.25">
      <c r="A160" s="3" t="s">
        <v>288</v>
      </c>
      <c r="B160" s="32">
        <v>1</v>
      </c>
      <c r="C160" s="32">
        <v>0</v>
      </c>
      <c r="D160" s="32">
        <v>0</v>
      </c>
      <c r="E160" s="32">
        <v>0</v>
      </c>
      <c r="F160" s="32">
        <v>0</v>
      </c>
      <c r="G160" s="10"/>
    </row>
    <row r="161" spans="1:7" x14ac:dyDescent="0.25">
      <c r="A161" s="3" t="s">
        <v>289</v>
      </c>
      <c r="B161" s="32">
        <v>1</v>
      </c>
      <c r="C161" s="32">
        <v>0</v>
      </c>
      <c r="D161" s="32">
        <v>0</v>
      </c>
      <c r="E161" s="32">
        <v>0</v>
      </c>
      <c r="F161" s="32">
        <v>0</v>
      </c>
      <c r="G161" s="10"/>
    </row>
    <row r="162" spans="1:7" x14ac:dyDescent="0.25">
      <c r="A162" s="24" t="s">
        <v>290</v>
      </c>
      <c r="G162" s="10"/>
    </row>
    <row r="163" spans="1:7" x14ac:dyDescent="0.25">
      <c r="A163" s="3" t="s">
        <v>185</v>
      </c>
      <c r="B163" s="32">
        <v>1</v>
      </c>
      <c r="C163" s="32">
        <v>0</v>
      </c>
      <c r="D163" s="32">
        <v>0</v>
      </c>
      <c r="E163" s="32">
        <v>0</v>
      </c>
      <c r="F163" s="32">
        <v>0</v>
      </c>
      <c r="G163" s="10"/>
    </row>
    <row r="164" spans="1:7" x14ac:dyDescent="0.25">
      <c r="A164" s="3" t="s">
        <v>291</v>
      </c>
      <c r="B164" s="32">
        <v>1</v>
      </c>
      <c r="C164" s="32">
        <v>0</v>
      </c>
      <c r="D164" s="32">
        <v>0</v>
      </c>
      <c r="E164" s="32">
        <v>0</v>
      </c>
      <c r="F164" s="32">
        <v>0</v>
      </c>
      <c r="G164" s="10"/>
    </row>
    <row r="165" spans="1:7" x14ac:dyDescent="0.25">
      <c r="A165" s="24" t="s">
        <v>292</v>
      </c>
      <c r="G165" s="10"/>
    </row>
    <row r="166" spans="1:7" x14ac:dyDescent="0.25">
      <c r="A166" s="3" t="s">
        <v>186</v>
      </c>
      <c r="B166" s="32">
        <v>1</v>
      </c>
      <c r="C166" s="32">
        <v>0</v>
      </c>
      <c r="D166" s="32">
        <v>0</v>
      </c>
      <c r="E166" s="32">
        <v>0</v>
      </c>
      <c r="F166" s="32">
        <v>0</v>
      </c>
      <c r="G166" s="10"/>
    </row>
    <row r="167" spans="1:7" x14ac:dyDescent="0.25">
      <c r="A167" s="3" t="s">
        <v>293</v>
      </c>
      <c r="B167" s="32">
        <v>1</v>
      </c>
      <c r="C167" s="32">
        <v>0</v>
      </c>
      <c r="D167" s="32">
        <v>0</v>
      </c>
      <c r="E167" s="32">
        <v>0</v>
      </c>
      <c r="F167" s="32">
        <v>0</v>
      </c>
      <c r="G167" s="10"/>
    </row>
    <row r="168" spans="1:7" x14ac:dyDescent="0.25">
      <c r="A168" s="24" t="s">
        <v>294</v>
      </c>
      <c r="G168" s="10"/>
    </row>
    <row r="169" spans="1:7" x14ac:dyDescent="0.25">
      <c r="A169" s="3" t="s">
        <v>194</v>
      </c>
      <c r="B169" s="32">
        <v>1</v>
      </c>
      <c r="C169" s="32">
        <v>0</v>
      </c>
      <c r="D169" s="32">
        <v>0</v>
      </c>
      <c r="E169" s="32">
        <v>0</v>
      </c>
      <c r="F169" s="32">
        <v>0</v>
      </c>
      <c r="G169" s="10"/>
    </row>
    <row r="170" spans="1:7" x14ac:dyDescent="0.25">
      <c r="A170" s="3" t="s">
        <v>295</v>
      </c>
      <c r="B170" s="32">
        <v>1</v>
      </c>
      <c r="C170" s="32">
        <v>0</v>
      </c>
      <c r="D170" s="32">
        <v>0</v>
      </c>
      <c r="E170" s="32">
        <v>0</v>
      </c>
      <c r="F170" s="32">
        <v>0</v>
      </c>
      <c r="G170" s="10"/>
    </row>
    <row r="171" spans="1:7" x14ac:dyDescent="0.25">
      <c r="A171" s="24" t="s">
        <v>296</v>
      </c>
      <c r="G171" s="10"/>
    </row>
    <row r="172" spans="1:7" x14ac:dyDescent="0.25">
      <c r="A172" s="3" t="s">
        <v>195</v>
      </c>
      <c r="B172" s="32">
        <v>1</v>
      </c>
      <c r="C172" s="32">
        <v>0</v>
      </c>
      <c r="D172" s="32">
        <v>0</v>
      </c>
      <c r="E172" s="32">
        <v>0</v>
      </c>
      <c r="F172" s="32">
        <v>0</v>
      </c>
      <c r="G172" s="10"/>
    </row>
    <row r="173" spans="1:7" x14ac:dyDescent="0.25">
      <c r="A173" s="3" t="s">
        <v>297</v>
      </c>
      <c r="B173" s="32">
        <v>1</v>
      </c>
      <c r="C173" s="32">
        <v>0</v>
      </c>
      <c r="D173" s="32">
        <v>0</v>
      </c>
      <c r="E173" s="32">
        <v>0</v>
      </c>
      <c r="F173" s="32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1" t="s">
        <v>512</v>
      </c>
    </row>
    <row r="178" spans="1:10" x14ac:dyDescent="0.25">
      <c r="A178" s="11" t="s">
        <v>513</v>
      </c>
    </row>
    <row r="179" spans="1:10" x14ac:dyDescent="0.25">
      <c r="A179" s="2" t="s">
        <v>514</v>
      </c>
    </row>
    <row r="180" spans="1:10" x14ac:dyDescent="0.25">
      <c r="A180" s="11" t="s">
        <v>515</v>
      </c>
    </row>
    <row r="181" spans="1:10" x14ac:dyDescent="0.25">
      <c r="A181" s="11" t="s">
        <v>516</v>
      </c>
    </row>
    <row r="182" spans="1:10" x14ac:dyDescent="0.25">
      <c r="A182" s="11" t="s">
        <v>517</v>
      </c>
    </row>
    <row r="183" spans="1:10" x14ac:dyDescent="0.25">
      <c r="A183" s="11" t="s">
        <v>518</v>
      </c>
    </row>
    <row r="184" spans="1:10" x14ac:dyDescent="0.25">
      <c r="A184" s="11" t="s">
        <v>519</v>
      </c>
    </row>
    <row r="185" spans="1:10" x14ac:dyDescent="0.25">
      <c r="A185" s="11" t="s">
        <v>520</v>
      </c>
    </row>
    <row r="186" spans="1:10" x14ac:dyDescent="0.25">
      <c r="A186" s="11" t="s">
        <v>521</v>
      </c>
    </row>
    <row r="187" spans="1:10" x14ac:dyDescent="0.25">
      <c r="A187" s="11" t="s">
        <v>522</v>
      </c>
    </row>
    <row r="188" spans="1:10" ht="30" x14ac:dyDescent="0.25">
      <c r="A188" s="29" t="s">
        <v>359</v>
      </c>
      <c r="B188" s="29" t="s">
        <v>361</v>
      </c>
      <c r="C188" s="29" t="s">
        <v>523</v>
      </c>
      <c r="D188" s="29" t="s">
        <v>489</v>
      </c>
      <c r="E188" s="29" t="s">
        <v>489</v>
      </c>
      <c r="F188" s="29" t="s">
        <v>489</v>
      </c>
      <c r="G188" s="29" t="s">
        <v>489</v>
      </c>
      <c r="H188" s="29" t="s">
        <v>489</v>
      </c>
      <c r="I188" s="29" t="s">
        <v>489</v>
      </c>
    </row>
    <row r="189" spans="1:10" ht="30" x14ac:dyDescent="0.25">
      <c r="A189" s="29" t="s">
        <v>362</v>
      </c>
      <c r="B189" s="29" t="s">
        <v>364</v>
      </c>
      <c r="C189" s="29" t="s">
        <v>524</v>
      </c>
      <c r="D189" s="29" t="s">
        <v>525</v>
      </c>
      <c r="E189" s="29" t="s">
        <v>526</v>
      </c>
      <c r="F189" s="29" t="s">
        <v>527</v>
      </c>
      <c r="G189" s="29" t="s">
        <v>528</v>
      </c>
      <c r="H189" s="29" t="s">
        <v>529</v>
      </c>
      <c r="I189" s="29" t="s">
        <v>530</v>
      </c>
    </row>
    <row r="191" spans="1:10" ht="45" x14ac:dyDescent="0.25">
      <c r="B191" s="12" t="s">
        <v>531</v>
      </c>
      <c r="C191" s="12" t="s">
        <v>532</v>
      </c>
      <c r="D191" s="12" t="s">
        <v>222</v>
      </c>
      <c r="E191" s="12" t="s">
        <v>223</v>
      </c>
      <c r="F191" s="12" t="s">
        <v>224</v>
      </c>
      <c r="G191" s="12" t="s">
        <v>225</v>
      </c>
      <c r="H191" s="12" t="s">
        <v>226</v>
      </c>
      <c r="I191" s="12" t="s">
        <v>227</v>
      </c>
    </row>
    <row r="192" spans="1:10" x14ac:dyDescent="0.25">
      <c r="A192" s="24" t="s">
        <v>228</v>
      </c>
      <c r="J192" s="10"/>
    </row>
    <row r="193" spans="1:10" x14ac:dyDescent="0.25">
      <c r="A193" s="3" t="s">
        <v>171</v>
      </c>
      <c r="B193" s="35">
        <f>SUMPRODUCT($B78:$F78,Input!$B$154:$F$154)</f>
        <v>0</v>
      </c>
      <c r="C193" s="37">
        <f>B193</f>
        <v>0</v>
      </c>
      <c r="D193" s="33">
        <f>Input!B187*(1-B193)</f>
        <v>5135811.7457730779</v>
      </c>
      <c r="E193" s="33">
        <f>Input!C187*(1-B193)</f>
        <v>0</v>
      </c>
      <c r="F193" s="33">
        <f>Input!D187*(1-B193)</f>
        <v>0</v>
      </c>
      <c r="G193" s="33">
        <f>Input!E187*(1-C193)</f>
        <v>1545669.8679699886</v>
      </c>
      <c r="H193" s="33">
        <f>Input!F187*(1-B193)</f>
        <v>0</v>
      </c>
      <c r="I193" s="33">
        <f>Input!G187*(1-B193)</f>
        <v>0</v>
      </c>
      <c r="J193" s="10"/>
    </row>
    <row r="194" spans="1:10" x14ac:dyDescent="0.25">
      <c r="A194" s="3" t="s">
        <v>229</v>
      </c>
      <c r="B194" s="35">
        <f>SUMPRODUCT($B79:$F79,Input!$B$154:$F$154)</f>
        <v>0.30122164992514944</v>
      </c>
      <c r="C194" s="37">
        <f>B194</f>
        <v>0.30122164992514944</v>
      </c>
      <c r="D194" s="33">
        <f>Input!B188*(1-B194)</f>
        <v>43603.582533500849</v>
      </c>
      <c r="E194" s="33">
        <f>Input!C188*(1-B194)</f>
        <v>0</v>
      </c>
      <c r="F194" s="33">
        <f>Input!D188*(1-B194)</f>
        <v>0</v>
      </c>
      <c r="G194" s="33">
        <f>Input!E188*(1-C194)</f>
        <v>14561.249481112138</v>
      </c>
      <c r="H194" s="33">
        <f>Input!F188*(1-B194)</f>
        <v>0</v>
      </c>
      <c r="I194" s="33">
        <f>Input!G188*(1-B194)</f>
        <v>0</v>
      </c>
      <c r="J194" s="10"/>
    </row>
    <row r="195" spans="1:10" x14ac:dyDescent="0.25">
      <c r="A195" s="3" t="s">
        <v>230</v>
      </c>
      <c r="B195" s="35">
        <f>SUMPRODUCT($B80:$F80,Input!$B$154:$F$154)</f>
        <v>0.48820319392396561</v>
      </c>
      <c r="C195" s="37">
        <f>B195</f>
        <v>0.48820319392396561</v>
      </c>
      <c r="D195" s="33">
        <f>Input!B189*(1-B195)</f>
        <v>40113.91856889215</v>
      </c>
      <c r="E195" s="33">
        <f>Input!C189*(1-B195)</f>
        <v>0</v>
      </c>
      <c r="F195" s="33">
        <f>Input!D189*(1-B195)</f>
        <v>0</v>
      </c>
      <c r="G195" s="33">
        <f>Input!E189*(1-C195)</f>
        <v>13653.350921280024</v>
      </c>
      <c r="H195" s="33">
        <f>Input!F189*(1-B195)</f>
        <v>0</v>
      </c>
      <c r="I195" s="33">
        <f>Input!G189*(1-B195)</f>
        <v>0</v>
      </c>
      <c r="J195" s="10"/>
    </row>
    <row r="196" spans="1:10" x14ac:dyDescent="0.25">
      <c r="A196" s="24" t="s">
        <v>231</v>
      </c>
      <c r="J196" s="10"/>
    </row>
    <row r="197" spans="1:10" x14ac:dyDescent="0.25">
      <c r="A197" s="3" t="s">
        <v>172</v>
      </c>
      <c r="B197" s="35">
        <f>SUMPRODUCT($B82:$F82,Input!$B$154:$F$154)</f>
        <v>0</v>
      </c>
      <c r="C197" s="37">
        <f>B197</f>
        <v>0</v>
      </c>
      <c r="D197" s="33">
        <f>Input!B191*(1-B197)</f>
        <v>2674882.1277773143</v>
      </c>
      <c r="E197" s="33">
        <f>Input!C191*(1-B197)</f>
        <v>1237908.3874274781</v>
      </c>
      <c r="F197" s="33">
        <f>Input!D191*(1-B197)</f>
        <v>0</v>
      </c>
      <c r="G197" s="33">
        <f>Input!E191*(1-C197)</f>
        <v>890301.56713661191</v>
      </c>
      <c r="H197" s="33">
        <f>Input!F191*(1-B197)</f>
        <v>0</v>
      </c>
      <c r="I197" s="33">
        <f>Input!G191*(1-B197)</f>
        <v>0</v>
      </c>
      <c r="J197" s="10"/>
    </row>
    <row r="198" spans="1:10" x14ac:dyDescent="0.25">
      <c r="A198" s="3" t="s">
        <v>232</v>
      </c>
      <c r="B198" s="35">
        <f>SUMPRODUCT($B83:$F83,Input!$B$154:$F$154)</f>
        <v>0.30122164992514944</v>
      </c>
      <c r="C198" s="37">
        <f>B198</f>
        <v>0.30122164992514944</v>
      </c>
      <c r="D198" s="33">
        <f>Input!B192*(1-B198)</f>
        <v>2887.8132543333681</v>
      </c>
      <c r="E198" s="33">
        <f>Input!C192*(1-B198)</f>
        <v>910.56765760524013</v>
      </c>
      <c r="F198" s="33">
        <f>Input!D192*(1-B198)</f>
        <v>0</v>
      </c>
      <c r="G198" s="33">
        <f>Input!E192*(1-C198)</f>
        <v>820.54413458068257</v>
      </c>
      <c r="H198" s="33">
        <f>Input!F192*(1-B198)</f>
        <v>0</v>
      </c>
      <c r="I198" s="33">
        <f>Input!G192*(1-B198)</f>
        <v>0</v>
      </c>
      <c r="J198" s="10"/>
    </row>
    <row r="199" spans="1:10" x14ac:dyDescent="0.25">
      <c r="A199" s="3" t="s">
        <v>233</v>
      </c>
      <c r="B199" s="35">
        <f>SUMPRODUCT($B84:$F84,Input!$B$154:$F$154)</f>
        <v>0.48820319392396561</v>
      </c>
      <c r="C199" s="37">
        <f>B199</f>
        <v>0.48820319392396561</v>
      </c>
      <c r="D199" s="33">
        <f>Input!B193*(1-B199)</f>
        <v>2809.2469587140722</v>
      </c>
      <c r="E199" s="33">
        <f>Input!C193*(1-B199)</f>
        <v>922.00919630242004</v>
      </c>
      <c r="F199" s="33">
        <f>Input!D193*(1-B199)</f>
        <v>0</v>
      </c>
      <c r="G199" s="33">
        <f>Input!E193*(1-C199)</f>
        <v>887.07714345909562</v>
      </c>
      <c r="H199" s="33">
        <f>Input!F193*(1-B199)</f>
        <v>0</v>
      </c>
      <c r="I199" s="33">
        <f>Input!G193*(1-B199)</f>
        <v>0</v>
      </c>
      <c r="J199" s="10"/>
    </row>
    <row r="200" spans="1:10" x14ac:dyDescent="0.25">
      <c r="A200" s="24" t="s">
        <v>234</v>
      </c>
      <c r="J200" s="10"/>
    </row>
    <row r="201" spans="1:10" x14ac:dyDescent="0.25">
      <c r="A201" s="3" t="s">
        <v>211</v>
      </c>
      <c r="B201" s="35">
        <f>SUMPRODUCT($B86:$F86,Input!$B$154:$F$154)</f>
        <v>0</v>
      </c>
      <c r="C201" s="37">
        <f>B201</f>
        <v>0</v>
      </c>
      <c r="D201" s="33">
        <f>Input!B195*(1-B201)</f>
        <v>126246.1428114313</v>
      </c>
      <c r="E201" s="33">
        <f>Input!C195*(1-B201)</f>
        <v>0</v>
      </c>
      <c r="F201" s="33">
        <f>Input!D195*(1-B201)</f>
        <v>0</v>
      </c>
      <c r="G201" s="33">
        <f>Input!E195*(1-C201)</f>
        <v>37550</v>
      </c>
      <c r="H201" s="33">
        <f>Input!F195*(1-B201)</f>
        <v>0</v>
      </c>
      <c r="I201" s="33">
        <f>Input!G195*(1-B201)</f>
        <v>0</v>
      </c>
      <c r="J201" s="10"/>
    </row>
    <row r="202" spans="1:10" x14ac:dyDescent="0.25">
      <c r="A202" s="3" t="s">
        <v>235</v>
      </c>
      <c r="B202" s="35">
        <f>SUMPRODUCT($B87:$F87,Input!$B$154:$F$154)</f>
        <v>0.30122164992514944</v>
      </c>
      <c r="C202" s="37">
        <f>B202</f>
        <v>0.30122164992514944</v>
      </c>
      <c r="D202" s="33">
        <f>Input!B196*(1-B202)</f>
        <v>0</v>
      </c>
      <c r="E202" s="33">
        <f>Input!C196*(1-B202)</f>
        <v>0</v>
      </c>
      <c r="F202" s="33">
        <f>Input!D196*(1-B202)</f>
        <v>0</v>
      </c>
      <c r="G202" s="33">
        <f>Input!E196*(1-C202)</f>
        <v>0</v>
      </c>
      <c r="H202" s="33">
        <f>Input!F196*(1-B202)</f>
        <v>0</v>
      </c>
      <c r="I202" s="33">
        <f>Input!G196*(1-B202)</f>
        <v>0</v>
      </c>
      <c r="J202" s="10"/>
    </row>
    <row r="203" spans="1:10" x14ac:dyDescent="0.25">
      <c r="A203" s="3" t="s">
        <v>236</v>
      </c>
      <c r="B203" s="35">
        <f>SUMPRODUCT($B88:$F88,Input!$B$154:$F$154)</f>
        <v>0.48820319392396561</v>
      </c>
      <c r="C203" s="37">
        <f>B203</f>
        <v>0.48820319392396561</v>
      </c>
      <c r="D203" s="33">
        <f>Input!B197*(1-B203)</f>
        <v>0</v>
      </c>
      <c r="E203" s="33">
        <f>Input!C197*(1-B203)</f>
        <v>0</v>
      </c>
      <c r="F203" s="33">
        <f>Input!D197*(1-B203)</f>
        <v>0</v>
      </c>
      <c r="G203" s="33">
        <f>Input!E197*(1-C203)</f>
        <v>0</v>
      </c>
      <c r="H203" s="33">
        <f>Input!F197*(1-B203)</f>
        <v>0</v>
      </c>
      <c r="I203" s="33">
        <f>Input!G197*(1-B203)</f>
        <v>0</v>
      </c>
      <c r="J203" s="10"/>
    </row>
    <row r="204" spans="1:10" x14ac:dyDescent="0.25">
      <c r="A204" s="24" t="s">
        <v>237</v>
      </c>
      <c r="J204" s="10"/>
    </row>
    <row r="205" spans="1:10" x14ac:dyDescent="0.25">
      <c r="A205" s="3" t="s">
        <v>173</v>
      </c>
      <c r="B205" s="35">
        <f>SUMPRODUCT($B90:$F90,Input!$B$154:$F$154)</f>
        <v>0</v>
      </c>
      <c r="C205" s="37">
        <f>B205</f>
        <v>0</v>
      </c>
      <c r="D205" s="33">
        <f>Input!B199*(1-B205)</f>
        <v>1110178.3066284719</v>
      </c>
      <c r="E205" s="33">
        <f>Input!C199*(1-B205)</f>
        <v>0</v>
      </c>
      <c r="F205" s="33">
        <f>Input!D199*(1-B205)</f>
        <v>0</v>
      </c>
      <c r="G205" s="33">
        <f>Input!E199*(1-C205)</f>
        <v>95231.738896922456</v>
      </c>
      <c r="H205" s="33">
        <f>Input!F199*(1-B205)</f>
        <v>0</v>
      </c>
      <c r="I205" s="33">
        <f>Input!G199*(1-B205)</f>
        <v>0</v>
      </c>
      <c r="J205" s="10"/>
    </row>
    <row r="206" spans="1:10" x14ac:dyDescent="0.25">
      <c r="A206" s="3" t="s">
        <v>238</v>
      </c>
      <c r="B206" s="35">
        <f>SUMPRODUCT($B91:$F91,Input!$B$154:$F$154)</f>
        <v>0.30122164992514944</v>
      </c>
      <c r="C206" s="37">
        <f>B206</f>
        <v>0.30122164992514944</v>
      </c>
      <c r="D206" s="33">
        <f>Input!B200*(1-B206)</f>
        <v>2916.3107937066638</v>
      </c>
      <c r="E206" s="33">
        <f>Input!C200*(1-B206)</f>
        <v>0</v>
      </c>
      <c r="F206" s="33">
        <f>Input!D200*(1-B206)</f>
        <v>0</v>
      </c>
      <c r="G206" s="33">
        <f>Input!E200*(1-C206)</f>
        <v>374.57879848404576</v>
      </c>
      <c r="H206" s="33">
        <f>Input!F200*(1-B206)</f>
        <v>0</v>
      </c>
      <c r="I206" s="33">
        <f>Input!G200*(1-B206)</f>
        <v>0</v>
      </c>
      <c r="J206" s="10"/>
    </row>
    <row r="207" spans="1:10" x14ac:dyDescent="0.25">
      <c r="A207" s="3" t="s">
        <v>239</v>
      </c>
      <c r="B207" s="35">
        <f>SUMPRODUCT($B92:$F92,Input!$B$154:$F$154)</f>
        <v>0.48820319392396561</v>
      </c>
      <c r="C207" s="37">
        <f>B207</f>
        <v>0.48820319392396561</v>
      </c>
      <c r="D207" s="33">
        <f>Input!B201*(1-B207)</f>
        <v>4716.79143484206</v>
      </c>
      <c r="E207" s="33">
        <f>Input!C201*(1-B207)</f>
        <v>0</v>
      </c>
      <c r="F207" s="33">
        <f>Input!D201*(1-B207)</f>
        <v>0</v>
      </c>
      <c r="G207" s="33">
        <f>Input!E201*(1-C207)</f>
        <v>378.91705796762693</v>
      </c>
      <c r="H207" s="33">
        <f>Input!F201*(1-B207)</f>
        <v>0</v>
      </c>
      <c r="I207" s="33">
        <f>Input!G201*(1-B207)</f>
        <v>0</v>
      </c>
      <c r="J207" s="10"/>
    </row>
    <row r="208" spans="1:10" x14ac:dyDescent="0.25">
      <c r="A208" s="24" t="s">
        <v>240</v>
      </c>
      <c r="J208" s="10"/>
    </row>
    <row r="209" spans="1:10" x14ac:dyDescent="0.25">
      <c r="A209" s="3" t="s">
        <v>174</v>
      </c>
      <c r="B209" s="35">
        <f>SUMPRODUCT($B94:$F94,Input!$B$154:$F$154)</f>
        <v>0</v>
      </c>
      <c r="C209" s="37">
        <f>B209</f>
        <v>0</v>
      </c>
      <c r="D209" s="33">
        <f>Input!B203*(1-B209)</f>
        <v>1563113.8010605199</v>
      </c>
      <c r="E209" s="33">
        <f>Input!C203*(1-B209)</f>
        <v>493762.86707884743</v>
      </c>
      <c r="F209" s="33">
        <f>Input!D203*(1-B209)</f>
        <v>0</v>
      </c>
      <c r="G209" s="33">
        <f>Input!E203*(1-C209)</f>
        <v>83250.607318122653</v>
      </c>
      <c r="H209" s="33">
        <f>Input!F203*(1-B209)</f>
        <v>0</v>
      </c>
      <c r="I209" s="33">
        <f>Input!G203*(1-B209)</f>
        <v>0</v>
      </c>
      <c r="J209" s="10"/>
    </row>
    <row r="210" spans="1:10" x14ac:dyDescent="0.25">
      <c r="A210" s="3" t="s">
        <v>241</v>
      </c>
      <c r="B210" s="35">
        <f>SUMPRODUCT($B95:$F95,Input!$B$154:$F$154)</f>
        <v>0.30122164992514944</v>
      </c>
      <c r="C210" s="37">
        <f>B210</f>
        <v>0.30122164992514944</v>
      </c>
      <c r="D210" s="33">
        <f>Input!B204*(1-B210)</f>
        <v>133.43161012129477</v>
      </c>
      <c r="E210" s="33">
        <f>Input!C204*(1-B210)</f>
        <v>52.895618810892188</v>
      </c>
      <c r="F210" s="33">
        <f>Input!D204*(1-B210)</f>
        <v>0</v>
      </c>
      <c r="G210" s="33">
        <f>Input!E204*(1-C210)</f>
        <v>4.8125755693881667</v>
      </c>
      <c r="H210" s="33">
        <f>Input!F204*(1-B210)</f>
        <v>0</v>
      </c>
      <c r="I210" s="33">
        <f>Input!G204*(1-B210)</f>
        <v>0</v>
      </c>
      <c r="J210" s="10"/>
    </row>
    <row r="211" spans="1:10" x14ac:dyDescent="0.25">
      <c r="A211" s="3" t="s">
        <v>242</v>
      </c>
      <c r="B211" s="35">
        <f>SUMPRODUCT($B96:$F96,Input!$B$154:$F$154)</f>
        <v>0.48820319392396561</v>
      </c>
      <c r="C211" s="37">
        <f>B211</f>
        <v>0.48820319392396561</v>
      </c>
      <c r="D211" s="33">
        <f>Input!B205*(1-B211)</f>
        <v>509.19189034632484</v>
      </c>
      <c r="E211" s="33">
        <f>Input!C205*(1-B211)</f>
        <v>118.30745275609449</v>
      </c>
      <c r="F211" s="33">
        <f>Input!D205*(1-B211)</f>
        <v>0</v>
      </c>
      <c r="G211" s="33">
        <f>Input!E205*(1-C211)</f>
        <v>17.036580900870046</v>
      </c>
      <c r="H211" s="33">
        <f>Input!F205*(1-B211)</f>
        <v>0</v>
      </c>
      <c r="I211" s="33">
        <f>Input!G205*(1-B211)</f>
        <v>0</v>
      </c>
      <c r="J211" s="10"/>
    </row>
    <row r="212" spans="1:10" x14ac:dyDescent="0.25">
      <c r="A212" s="24" t="s">
        <v>243</v>
      </c>
      <c r="J212" s="10"/>
    </row>
    <row r="213" spans="1:10" x14ac:dyDescent="0.25">
      <c r="A213" s="3" t="s">
        <v>212</v>
      </c>
      <c r="B213" s="35">
        <f>SUMPRODUCT($B98:$F98,Input!$B$154:$F$154)</f>
        <v>0</v>
      </c>
      <c r="C213" s="37">
        <f>B213</f>
        <v>0</v>
      </c>
      <c r="D213" s="33">
        <f>Input!B207*(1-B213)</f>
        <v>4232.4037128975033</v>
      </c>
      <c r="E213" s="33">
        <f>Input!C207*(1-B213)</f>
        <v>0</v>
      </c>
      <c r="F213" s="33">
        <f>Input!D207*(1-B213)</f>
        <v>0</v>
      </c>
      <c r="G213" s="33">
        <f>Input!E207*(1-C213)</f>
        <v>725</v>
      </c>
      <c r="H213" s="33">
        <f>Input!F207*(1-B213)</f>
        <v>0</v>
      </c>
      <c r="I213" s="33">
        <f>Input!G207*(1-B213)</f>
        <v>0</v>
      </c>
      <c r="J213" s="10"/>
    </row>
    <row r="214" spans="1:10" ht="30" x14ac:dyDescent="0.25">
      <c r="A214" s="3" t="s">
        <v>244</v>
      </c>
      <c r="B214" s="35">
        <f>SUMPRODUCT($B99:$F99,Input!$B$154:$F$154)</f>
        <v>0.30122164992514944</v>
      </c>
      <c r="C214" s="37">
        <f>B214</f>
        <v>0.30122164992514944</v>
      </c>
      <c r="D214" s="33">
        <f>Input!B208*(1-B214)</f>
        <v>0</v>
      </c>
      <c r="E214" s="33">
        <f>Input!C208*(1-B214)</f>
        <v>0</v>
      </c>
      <c r="F214" s="33">
        <f>Input!D208*(1-B214)</f>
        <v>0</v>
      </c>
      <c r="G214" s="33">
        <f>Input!E208*(1-C214)</f>
        <v>0</v>
      </c>
      <c r="H214" s="33">
        <f>Input!F208*(1-B214)</f>
        <v>0</v>
      </c>
      <c r="I214" s="33">
        <f>Input!G208*(1-B214)</f>
        <v>0</v>
      </c>
      <c r="J214" s="10"/>
    </row>
    <row r="215" spans="1:10" ht="30" x14ac:dyDescent="0.25">
      <c r="A215" s="3" t="s">
        <v>245</v>
      </c>
      <c r="B215" s="35">
        <f>SUMPRODUCT($B100:$F100,Input!$B$154:$F$154)</f>
        <v>0.48820319392396561</v>
      </c>
      <c r="C215" s="37">
        <f>B215</f>
        <v>0.48820319392396561</v>
      </c>
      <c r="D215" s="33">
        <f>Input!B209*(1-B215)</f>
        <v>0</v>
      </c>
      <c r="E215" s="33">
        <f>Input!C209*(1-B215)</f>
        <v>0</v>
      </c>
      <c r="F215" s="33">
        <f>Input!D209*(1-B215)</f>
        <v>0</v>
      </c>
      <c r="G215" s="33">
        <f>Input!E209*(1-C215)</f>
        <v>0</v>
      </c>
      <c r="H215" s="33">
        <f>Input!F209*(1-B215)</f>
        <v>0</v>
      </c>
      <c r="I215" s="33">
        <f>Input!G209*(1-B215)</f>
        <v>0</v>
      </c>
      <c r="J215" s="10"/>
    </row>
    <row r="216" spans="1:10" x14ac:dyDescent="0.25">
      <c r="A216" s="24" t="s">
        <v>246</v>
      </c>
      <c r="J216" s="10"/>
    </row>
    <row r="217" spans="1:10" x14ac:dyDescent="0.25">
      <c r="A217" s="3" t="s">
        <v>175</v>
      </c>
      <c r="B217" s="35">
        <f>SUMPRODUCT($B102:$F102,Input!$B$154:$F$154)</f>
        <v>0</v>
      </c>
      <c r="C217" s="37">
        <f>B217</f>
        <v>0</v>
      </c>
      <c r="D217" s="33">
        <f>Input!B211*(1-B217)</f>
        <v>0</v>
      </c>
      <c r="E217" s="33">
        <f>Input!C211*(1-B217)</f>
        <v>0</v>
      </c>
      <c r="F217" s="33">
        <f>Input!D211*(1-B217)</f>
        <v>0</v>
      </c>
      <c r="G217" s="33">
        <f>Input!E211*(1-C217)</f>
        <v>0</v>
      </c>
      <c r="H217" s="33">
        <f>Input!F211*(1-B217)</f>
        <v>0</v>
      </c>
      <c r="I217" s="33">
        <f>Input!G211*(1-B217)</f>
        <v>0</v>
      </c>
      <c r="J217" s="10"/>
    </row>
    <row r="218" spans="1:10" x14ac:dyDescent="0.25">
      <c r="A218" s="3" t="s">
        <v>247</v>
      </c>
      <c r="B218" s="35">
        <f>SUMPRODUCT($B103:$F103,Input!$B$154:$F$154)</f>
        <v>0.30122164992514944</v>
      </c>
      <c r="C218" s="37">
        <f>B218</f>
        <v>0.30122164992514944</v>
      </c>
      <c r="D218" s="33">
        <f>Input!B212*(1-B218)</f>
        <v>0</v>
      </c>
      <c r="E218" s="33">
        <f>Input!C212*(1-B218)</f>
        <v>0</v>
      </c>
      <c r="F218" s="33">
        <f>Input!D212*(1-B218)</f>
        <v>0</v>
      </c>
      <c r="G218" s="33">
        <f>Input!E212*(1-C218)</f>
        <v>0</v>
      </c>
      <c r="H218" s="33">
        <f>Input!F212*(1-B218)</f>
        <v>0</v>
      </c>
      <c r="I218" s="33">
        <f>Input!G212*(1-B218)</f>
        <v>0</v>
      </c>
      <c r="J218" s="10"/>
    </row>
    <row r="219" spans="1:10" x14ac:dyDescent="0.25">
      <c r="A219" s="3" t="s">
        <v>248</v>
      </c>
      <c r="B219" s="35">
        <f>SUMPRODUCT($B104:$F104,Input!$B$154:$F$154)</f>
        <v>0.48820319392396561</v>
      </c>
      <c r="C219" s="37">
        <f>B219</f>
        <v>0.48820319392396561</v>
      </c>
      <c r="D219" s="33">
        <f>Input!B213*(1-B219)</f>
        <v>0</v>
      </c>
      <c r="E219" s="33">
        <f>Input!C213*(1-B219)</f>
        <v>0</v>
      </c>
      <c r="F219" s="33">
        <f>Input!D213*(1-B219)</f>
        <v>0</v>
      </c>
      <c r="G219" s="33">
        <f>Input!E213*(1-C219)</f>
        <v>0</v>
      </c>
      <c r="H219" s="33">
        <f>Input!F213*(1-B219)</f>
        <v>0</v>
      </c>
      <c r="I219" s="33">
        <f>Input!G213*(1-B219)</f>
        <v>0</v>
      </c>
      <c r="J219" s="10"/>
    </row>
    <row r="220" spans="1:10" x14ac:dyDescent="0.25">
      <c r="A220" s="24" t="s">
        <v>249</v>
      </c>
      <c r="J220" s="10"/>
    </row>
    <row r="221" spans="1:10" x14ac:dyDescent="0.25">
      <c r="A221" s="3" t="s">
        <v>176</v>
      </c>
      <c r="B221" s="35">
        <f>SUMPRODUCT($B106:$F106,Input!$B$154:$F$154)</f>
        <v>0</v>
      </c>
      <c r="C221" s="37">
        <f>B221</f>
        <v>0</v>
      </c>
      <c r="D221" s="33">
        <f>Input!B215*(1-B221)</f>
        <v>0</v>
      </c>
      <c r="E221" s="33">
        <f>Input!C215*(1-B221)</f>
        <v>0</v>
      </c>
      <c r="F221" s="33">
        <f>Input!D215*(1-B221)</f>
        <v>0</v>
      </c>
      <c r="G221" s="33">
        <f>Input!E215*(1-C221)</f>
        <v>0</v>
      </c>
      <c r="H221" s="33">
        <f>Input!F215*(1-B221)</f>
        <v>0</v>
      </c>
      <c r="I221" s="33">
        <f>Input!G215*(1-B221)</f>
        <v>0</v>
      </c>
      <c r="J221" s="10"/>
    </row>
    <row r="222" spans="1:10" x14ac:dyDescent="0.25">
      <c r="A222" s="24" t="s">
        <v>250</v>
      </c>
      <c r="J222" s="10"/>
    </row>
    <row r="223" spans="1:10" x14ac:dyDescent="0.25">
      <c r="A223" s="3" t="s">
        <v>192</v>
      </c>
      <c r="B223" s="35">
        <f>SUMPRODUCT($B108:$F108,Input!$B$154:$F$154)</f>
        <v>0</v>
      </c>
      <c r="C223" s="37">
        <f>B223</f>
        <v>0</v>
      </c>
      <c r="D223" s="33">
        <f>Input!B217*(1-B223)</f>
        <v>0</v>
      </c>
      <c r="E223" s="33">
        <f>Input!C217*(1-B223)</f>
        <v>0</v>
      </c>
      <c r="F223" s="33">
        <f>Input!D217*(1-B223)</f>
        <v>0</v>
      </c>
      <c r="G223" s="33">
        <f>Input!E217*(1-C223)</f>
        <v>0</v>
      </c>
      <c r="H223" s="33">
        <f>Input!F217*(1-B223)</f>
        <v>0</v>
      </c>
      <c r="I223" s="33">
        <f>Input!G217*(1-B223)</f>
        <v>0</v>
      </c>
      <c r="J223" s="10"/>
    </row>
    <row r="224" spans="1:10" x14ac:dyDescent="0.25">
      <c r="A224" s="24" t="s">
        <v>251</v>
      </c>
      <c r="J224" s="10"/>
    </row>
    <row r="225" spans="1:10" x14ac:dyDescent="0.25">
      <c r="A225" s="3" t="s">
        <v>177</v>
      </c>
      <c r="B225" s="35">
        <f>SUMPRODUCT($B110:$F110,Input!$B$154:$F$154)</f>
        <v>0</v>
      </c>
      <c r="C225" s="37">
        <f>B225</f>
        <v>0</v>
      </c>
      <c r="D225" s="33">
        <f>Input!B219*(1-B225)</f>
        <v>0</v>
      </c>
      <c r="E225" s="33">
        <f>Input!C219*(1-B225)</f>
        <v>0</v>
      </c>
      <c r="F225" s="33">
        <f>Input!D219*(1-B225)</f>
        <v>0</v>
      </c>
      <c r="G225" s="33">
        <f>Input!E219*(1-C225)</f>
        <v>0</v>
      </c>
      <c r="H225" s="33">
        <f>Input!F219*(1-B225)</f>
        <v>0</v>
      </c>
      <c r="I225" s="33">
        <f>Input!G219*(1-B225)</f>
        <v>0</v>
      </c>
      <c r="J225" s="10"/>
    </row>
    <row r="226" spans="1:10" x14ac:dyDescent="0.25">
      <c r="A226" s="3" t="s">
        <v>252</v>
      </c>
      <c r="B226" s="35">
        <f>SUMPRODUCT($B111:$F111,Input!$B$154:$F$154)</f>
        <v>0.30122164992514944</v>
      </c>
      <c r="C226" s="37">
        <f>B226</f>
        <v>0.30122164992514944</v>
      </c>
      <c r="D226" s="33">
        <f>Input!B220*(1-B226)</f>
        <v>0</v>
      </c>
      <c r="E226" s="33">
        <f>Input!C220*(1-B226)</f>
        <v>0</v>
      </c>
      <c r="F226" s="33">
        <f>Input!D220*(1-B226)</f>
        <v>0</v>
      </c>
      <c r="G226" s="33">
        <f>Input!E220*(1-C226)</f>
        <v>0</v>
      </c>
      <c r="H226" s="33">
        <f>Input!F220*(1-B226)</f>
        <v>0</v>
      </c>
      <c r="I226" s="33">
        <f>Input!G220*(1-B226)</f>
        <v>0</v>
      </c>
      <c r="J226" s="10"/>
    </row>
    <row r="227" spans="1:10" x14ac:dyDescent="0.25">
      <c r="A227" s="3" t="s">
        <v>253</v>
      </c>
      <c r="B227" s="35">
        <f>SUMPRODUCT($B112:$F112,Input!$B$154:$F$154)</f>
        <v>0.48820319392396561</v>
      </c>
      <c r="C227" s="37">
        <f>B227</f>
        <v>0.48820319392396561</v>
      </c>
      <c r="D227" s="33">
        <f>Input!B221*(1-B227)</f>
        <v>0</v>
      </c>
      <c r="E227" s="33">
        <f>Input!C221*(1-B227)</f>
        <v>0</v>
      </c>
      <c r="F227" s="33">
        <f>Input!D221*(1-B227)</f>
        <v>0</v>
      </c>
      <c r="G227" s="33">
        <f>Input!E221*(1-C227)</f>
        <v>0</v>
      </c>
      <c r="H227" s="33">
        <f>Input!F221*(1-B227)</f>
        <v>0</v>
      </c>
      <c r="I227" s="33">
        <f>Input!G221*(1-B227)</f>
        <v>0</v>
      </c>
      <c r="J227" s="10"/>
    </row>
    <row r="228" spans="1:10" x14ac:dyDescent="0.25">
      <c r="A228" s="24" t="s">
        <v>254</v>
      </c>
      <c r="J228" s="10"/>
    </row>
    <row r="229" spans="1:10" x14ac:dyDescent="0.25">
      <c r="A229" s="3" t="s">
        <v>178</v>
      </c>
      <c r="B229" s="35">
        <f>SUMPRODUCT($B114:$F114,Input!$B$154:$F$154)</f>
        <v>0</v>
      </c>
      <c r="C229" s="37">
        <f>B229</f>
        <v>0</v>
      </c>
      <c r="D229" s="33">
        <f>Input!B223*(1-B229)</f>
        <v>16585.035174751687</v>
      </c>
      <c r="E229" s="33">
        <f>Input!C223*(1-B229)</f>
        <v>64545.285820488316</v>
      </c>
      <c r="F229" s="33">
        <f>Input!D223*(1-B229)</f>
        <v>72719.479750151208</v>
      </c>
      <c r="G229" s="33">
        <f>Input!E223*(1-C229)</f>
        <v>2537.8966696577436</v>
      </c>
      <c r="H229" s="33">
        <f>Input!F223*(1-B229)</f>
        <v>0</v>
      </c>
      <c r="I229" s="33">
        <f>Input!G223*(1-B229)</f>
        <v>0</v>
      </c>
      <c r="J229" s="10"/>
    </row>
    <row r="230" spans="1:10" x14ac:dyDescent="0.25">
      <c r="A230" s="3" t="s">
        <v>255</v>
      </c>
      <c r="B230" s="35">
        <f>SUMPRODUCT($B115:$F115,Input!$B$154:$F$154)</f>
        <v>0.30122164992514944</v>
      </c>
      <c r="C230" s="37">
        <f>B230</f>
        <v>0.30122164992514944</v>
      </c>
      <c r="D230" s="33">
        <f>Input!B224*(1-B230)</f>
        <v>12.289571219607408</v>
      </c>
      <c r="E230" s="33">
        <f>Input!C224*(1-B230)</f>
        <v>47.828290903379639</v>
      </c>
      <c r="F230" s="33">
        <f>Input!D224*(1-B230)</f>
        <v>61.388889262310478</v>
      </c>
      <c r="G230" s="33">
        <f>Input!E224*(1-C230)</f>
        <v>3.1389667564230668</v>
      </c>
      <c r="H230" s="33">
        <f>Input!F224*(1-B230)</f>
        <v>0</v>
      </c>
      <c r="I230" s="33">
        <f>Input!G224*(1-B230)</f>
        <v>0</v>
      </c>
      <c r="J230" s="10"/>
    </row>
    <row r="231" spans="1:10" x14ac:dyDescent="0.25">
      <c r="A231" s="3" t="s">
        <v>256</v>
      </c>
      <c r="B231" s="35">
        <f>SUMPRODUCT($B116:$F116,Input!$B$154:$F$154)</f>
        <v>0.48820319392396561</v>
      </c>
      <c r="C231" s="37">
        <f>B231</f>
        <v>0.48820319392396561</v>
      </c>
      <c r="D231" s="33">
        <f>Input!B225*(1-B231)</f>
        <v>80.204213261607322</v>
      </c>
      <c r="E231" s="33">
        <f>Input!C225*(1-B231)</f>
        <v>312.13704489808845</v>
      </c>
      <c r="F231" s="33">
        <f>Input!D225*(1-B231)</f>
        <v>337.58462960631635</v>
      </c>
      <c r="G231" s="33">
        <f>Input!E225*(1-C231)</f>
        <v>10.787761325372573</v>
      </c>
      <c r="H231" s="33">
        <f>Input!F225*(1-B231)</f>
        <v>0</v>
      </c>
      <c r="I231" s="33">
        <f>Input!G225*(1-B231)</f>
        <v>0</v>
      </c>
      <c r="J231" s="10"/>
    </row>
    <row r="232" spans="1:10" x14ac:dyDescent="0.25">
      <c r="A232" s="24" t="s">
        <v>257</v>
      </c>
      <c r="J232" s="10"/>
    </row>
    <row r="233" spans="1:10" x14ac:dyDescent="0.25">
      <c r="A233" s="3" t="s">
        <v>179</v>
      </c>
      <c r="B233" s="35">
        <f>SUMPRODUCT($B118:$F118,Input!$B$154:$F$154)</f>
        <v>0</v>
      </c>
      <c r="C233" s="37">
        <f>B233</f>
        <v>0</v>
      </c>
      <c r="D233" s="33">
        <f>Input!B227*(1-B233)</f>
        <v>387715.64090520731</v>
      </c>
      <c r="E233" s="33">
        <f>Input!C227*(1-B233)</f>
        <v>1535127.9869164913</v>
      </c>
      <c r="F233" s="33">
        <f>Input!D227*(1-B233)</f>
        <v>1677145.8159297034</v>
      </c>
      <c r="G233" s="33">
        <f>Input!E227*(1-C233)</f>
        <v>14377.710046664228</v>
      </c>
      <c r="H233" s="33">
        <f>Input!F227*(1-B233)</f>
        <v>1992168.009842166</v>
      </c>
      <c r="I233" s="33">
        <f>Input!G227*(1-B233)</f>
        <v>328940.95397160598</v>
      </c>
      <c r="J233" s="10"/>
    </row>
    <row r="234" spans="1:10" x14ac:dyDescent="0.25">
      <c r="A234" s="3" t="s">
        <v>258</v>
      </c>
      <c r="B234" s="35">
        <f>SUMPRODUCT($B119:$F119,Input!$B$154:$F$154)</f>
        <v>0.30122164992514944</v>
      </c>
      <c r="C234" s="37">
        <f>B234</f>
        <v>0.30122164992514944</v>
      </c>
      <c r="D234" s="33">
        <f>Input!B228*(1-B234)</f>
        <v>467.84917383670603</v>
      </c>
      <c r="E234" s="33">
        <f>Input!C228*(1-B234)</f>
        <v>1773.6595112724497</v>
      </c>
      <c r="F234" s="33">
        <f>Input!D228*(1-B234)</f>
        <v>2137.2632669345148</v>
      </c>
      <c r="G234" s="33">
        <f>Input!E228*(1-C234)</f>
        <v>20.923911090517766</v>
      </c>
      <c r="H234" s="33">
        <f>Input!F228*(1-B234)</f>
        <v>3718.5633346663685</v>
      </c>
      <c r="I234" s="33">
        <f>Input!G228*(1-B234)</f>
        <v>347.82729508567337</v>
      </c>
      <c r="J234" s="10"/>
    </row>
    <row r="235" spans="1:10" x14ac:dyDescent="0.25">
      <c r="A235" s="3" t="s">
        <v>259</v>
      </c>
      <c r="B235" s="35">
        <f>SUMPRODUCT($B120:$F120,Input!$B$154:$F$154)</f>
        <v>0.48820319392396561</v>
      </c>
      <c r="C235" s="37">
        <f>B235</f>
        <v>0.48820319392396561</v>
      </c>
      <c r="D235" s="33">
        <f>Input!B229*(1-B235)</f>
        <v>5755.3309115777902</v>
      </c>
      <c r="E235" s="33">
        <f>Input!C229*(1-B235)</f>
        <v>22097.092527620323</v>
      </c>
      <c r="F235" s="33">
        <f>Input!D229*(1-B235)</f>
        <v>25696.170500133605</v>
      </c>
      <c r="G235" s="33">
        <f>Input!E229*(1-C235)</f>
        <v>114.93045635690987</v>
      </c>
      <c r="H235" s="33">
        <f>Input!F229*(1-B235)</f>
        <v>34651.571565687293</v>
      </c>
      <c r="I235" s="33">
        <f>Input!G229*(1-B235)</f>
        <v>4257.8116721607876</v>
      </c>
      <c r="J235" s="10"/>
    </row>
    <row r="236" spans="1:10" x14ac:dyDescent="0.25">
      <c r="A236" s="24" t="s">
        <v>260</v>
      </c>
      <c r="J236" s="10"/>
    </row>
    <row r="237" spans="1:10" x14ac:dyDescent="0.25">
      <c r="A237" s="3" t="s">
        <v>180</v>
      </c>
      <c r="B237" s="35">
        <f>SUMPRODUCT($B122:$F122,Input!$B$154:$F$154)</f>
        <v>0</v>
      </c>
      <c r="C237" s="37">
        <f>B237</f>
        <v>0</v>
      </c>
      <c r="D237" s="33">
        <f>Input!B231*(1-B237)</f>
        <v>10795.103209525521</v>
      </c>
      <c r="E237" s="33">
        <f>Input!C231*(1-B237)</f>
        <v>41608.964309143586</v>
      </c>
      <c r="F237" s="33">
        <f>Input!D231*(1-B237)</f>
        <v>50157.667807796999</v>
      </c>
      <c r="G237" s="33">
        <f>Input!E231*(1-C237)</f>
        <v>151.30238565583156</v>
      </c>
      <c r="H237" s="33">
        <f>Input!F231*(1-B237)</f>
        <v>67327.368806816536</v>
      </c>
      <c r="I237" s="33">
        <f>Input!G231*(1-B237)</f>
        <v>11921.312518690158</v>
      </c>
      <c r="J237" s="10"/>
    </row>
    <row r="238" spans="1:10" x14ac:dyDescent="0.25">
      <c r="A238" s="3" t="s">
        <v>261</v>
      </c>
      <c r="B238" s="35">
        <f>SUMPRODUCT($B123:$F123,Input!$B$154:$F$154)</f>
        <v>0.25845641398755653</v>
      </c>
      <c r="C238" s="37">
        <f>B238</f>
        <v>0.25845641398755653</v>
      </c>
      <c r="D238" s="33">
        <f>Input!B232*(1-B238)</f>
        <v>0</v>
      </c>
      <c r="E238" s="33">
        <f>Input!C232*(1-B238)</f>
        <v>0</v>
      </c>
      <c r="F238" s="33">
        <f>Input!D232*(1-B238)</f>
        <v>0</v>
      </c>
      <c r="G238" s="33">
        <f>Input!E232*(1-C238)</f>
        <v>0</v>
      </c>
      <c r="H238" s="33">
        <f>Input!F232*(1-B238)</f>
        <v>0</v>
      </c>
      <c r="I238" s="33">
        <f>Input!G232*(1-B238)</f>
        <v>0</v>
      </c>
      <c r="J238" s="10"/>
    </row>
    <row r="239" spans="1:10" x14ac:dyDescent="0.25">
      <c r="A239" s="24" t="s">
        <v>262</v>
      </c>
      <c r="J239" s="10"/>
    </row>
    <row r="240" spans="1:10" x14ac:dyDescent="0.25">
      <c r="A240" s="3" t="s">
        <v>193</v>
      </c>
      <c r="B240" s="35">
        <f>SUMPRODUCT($B125:$F125,Input!$B$154:$F$154)</f>
        <v>0</v>
      </c>
      <c r="C240" s="37">
        <f>B240</f>
        <v>0</v>
      </c>
      <c r="D240" s="33">
        <f>Input!B234*(1-B240)</f>
        <v>750759.78145804664</v>
      </c>
      <c r="E240" s="33">
        <f>Input!C234*(1-B240)</f>
        <v>2901574.3162864516</v>
      </c>
      <c r="F240" s="33">
        <f>Input!D234*(1-B240)</f>
        <v>3996289.6937109437</v>
      </c>
      <c r="G240" s="33">
        <f>Input!E234*(1-C240)</f>
        <v>3193.4890199090846</v>
      </c>
      <c r="H240" s="33">
        <f>Input!F234*(1-B240)</f>
        <v>2753192.8060456524</v>
      </c>
      <c r="I240" s="33">
        <f>Input!G234*(1-B240)</f>
        <v>688380.98895730195</v>
      </c>
      <c r="J240" s="10"/>
    </row>
    <row r="241" spans="1:10" x14ac:dyDescent="0.25">
      <c r="A241" s="3" t="s">
        <v>263</v>
      </c>
      <c r="B241" s="35">
        <f>SUMPRODUCT($B126:$F126,Input!$B$154:$F$154)</f>
        <v>0.15948897742330323</v>
      </c>
      <c r="C241" s="37">
        <f>B241</f>
        <v>0.15948897742330323</v>
      </c>
      <c r="D241" s="33">
        <f>Input!B235*(1-B241)</f>
        <v>3626.2025623626578</v>
      </c>
      <c r="E241" s="33">
        <f>Input!C235*(1-B241)</f>
        <v>13058.239762006477</v>
      </c>
      <c r="F241" s="33">
        <f>Input!D235*(1-B241)</f>
        <v>18384.224324154213</v>
      </c>
      <c r="G241" s="33">
        <f>Input!E235*(1-C241)</f>
        <v>14.471766378497518</v>
      </c>
      <c r="H241" s="33">
        <f>Input!F235*(1-B241)</f>
        <v>19295.688504663369</v>
      </c>
      <c r="I241" s="33">
        <f>Input!G235*(1-B241)</f>
        <v>1087.7847916061448</v>
      </c>
      <c r="J241" s="10"/>
    </row>
    <row r="242" spans="1:10" x14ac:dyDescent="0.25">
      <c r="A242" s="24" t="s">
        <v>264</v>
      </c>
      <c r="J242" s="10"/>
    </row>
    <row r="243" spans="1:10" x14ac:dyDescent="0.25">
      <c r="A243" s="3" t="s">
        <v>213</v>
      </c>
      <c r="B243" s="35">
        <f>SUMPRODUCT($B128:$F128,Input!$B$154:$F$154)</f>
        <v>0</v>
      </c>
      <c r="C243" s="37">
        <f>B243</f>
        <v>0</v>
      </c>
      <c r="D243" s="33">
        <f>Input!B237*(1-B243)</f>
        <v>50361.555657214129</v>
      </c>
      <c r="E243" s="33">
        <f>Input!C237*(1-B243)</f>
        <v>0</v>
      </c>
      <c r="F243" s="33">
        <f>Input!D237*(1-B243)</f>
        <v>0</v>
      </c>
      <c r="G243" s="33">
        <f>Input!E237*(1-C243)</f>
        <v>1442.8949741099771</v>
      </c>
      <c r="H243" s="33">
        <f>Input!F237*(1-B243)</f>
        <v>0</v>
      </c>
      <c r="I243" s="33">
        <f>Input!G237*(1-B243)</f>
        <v>0</v>
      </c>
      <c r="J243" s="10"/>
    </row>
    <row r="244" spans="1:10" x14ac:dyDescent="0.25">
      <c r="A244" s="3" t="s">
        <v>265</v>
      </c>
      <c r="B244" s="35">
        <f>SUMPRODUCT($B129:$F129,Input!$B$154:$F$154)</f>
        <v>0.30122164992514944</v>
      </c>
      <c r="C244" s="37">
        <f>B244</f>
        <v>0.30122164992514944</v>
      </c>
      <c r="D244" s="33">
        <f>Input!B238*(1-B244)</f>
        <v>200.59695191742347</v>
      </c>
      <c r="E244" s="33">
        <f>Input!C238*(1-B244)</f>
        <v>0</v>
      </c>
      <c r="F244" s="33">
        <f>Input!D238*(1-B244)</f>
        <v>0</v>
      </c>
      <c r="G244" s="33">
        <f>Input!E238*(1-C244)</f>
        <v>0</v>
      </c>
      <c r="H244" s="33">
        <f>Input!F238*(1-B244)</f>
        <v>0</v>
      </c>
      <c r="I244" s="33">
        <f>Input!G238*(1-B244)</f>
        <v>0</v>
      </c>
      <c r="J244" s="10"/>
    </row>
    <row r="245" spans="1:10" x14ac:dyDescent="0.25">
      <c r="A245" s="3" t="s">
        <v>266</v>
      </c>
      <c r="B245" s="35">
        <f>SUMPRODUCT($B130:$F130,Input!$B$154:$F$154)</f>
        <v>0.48820319392396561</v>
      </c>
      <c r="C245" s="37">
        <f>B245</f>
        <v>0.48820319392396561</v>
      </c>
      <c r="D245" s="33">
        <f>Input!B239*(1-B245)</f>
        <v>182.74676549421247</v>
      </c>
      <c r="E245" s="33">
        <f>Input!C239*(1-B245)</f>
        <v>0</v>
      </c>
      <c r="F245" s="33">
        <f>Input!D239*(1-B245)</f>
        <v>0</v>
      </c>
      <c r="G245" s="33">
        <f>Input!E239*(1-C245)</f>
        <v>0</v>
      </c>
      <c r="H245" s="33">
        <f>Input!F239*(1-B245)</f>
        <v>0</v>
      </c>
      <c r="I245" s="33">
        <f>Input!G239*(1-B245)</f>
        <v>0</v>
      </c>
      <c r="J245" s="10"/>
    </row>
    <row r="246" spans="1:10" x14ac:dyDescent="0.25">
      <c r="A246" s="24" t="s">
        <v>267</v>
      </c>
      <c r="J246" s="10"/>
    </row>
    <row r="247" spans="1:10" x14ac:dyDescent="0.25">
      <c r="A247" s="3" t="s">
        <v>214</v>
      </c>
      <c r="B247" s="35">
        <f>SUMPRODUCT($B132:$F132,Input!$B$154:$F$154)</f>
        <v>0</v>
      </c>
      <c r="C247" s="37">
        <f>B247</f>
        <v>0</v>
      </c>
      <c r="D247" s="33">
        <f>Input!B241*(1-B247)</f>
        <v>22903.185120682123</v>
      </c>
      <c r="E247" s="33">
        <f>Input!C241*(1-B247)</f>
        <v>0</v>
      </c>
      <c r="F247" s="33">
        <f>Input!D241*(1-B247)</f>
        <v>0</v>
      </c>
      <c r="G247" s="33">
        <f>Input!E241*(1-C247)</f>
        <v>1187.4883179029223</v>
      </c>
      <c r="H247" s="33">
        <f>Input!F241*(1-B247)</f>
        <v>0</v>
      </c>
      <c r="I247" s="33">
        <f>Input!G241*(1-B247)</f>
        <v>0</v>
      </c>
      <c r="J247" s="10"/>
    </row>
    <row r="248" spans="1:10" x14ac:dyDescent="0.25">
      <c r="A248" s="3" t="s">
        <v>268</v>
      </c>
      <c r="B248" s="35">
        <f>SUMPRODUCT($B133:$F133,Input!$B$154:$F$154)</f>
        <v>0.30122164992514944</v>
      </c>
      <c r="C248" s="37">
        <f>B248</f>
        <v>0.30122164992514944</v>
      </c>
      <c r="D248" s="33">
        <f>Input!B242*(1-B248)</f>
        <v>132.69010556030707</v>
      </c>
      <c r="E248" s="33">
        <f>Input!C242*(1-B248)</f>
        <v>0</v>
      </c>
      <c r="F248" s="33">
        <f>Input!D242*(1-B248)</f>
        <v>0</v>
      </c>
      <c r="G248" s="33">
        <f>Input!E242*(1-C248)</f>
        <v>0</v>
      </c>
      <c r="H248" s="33">
        <f>Input!F242*(1-B248)</f>
        <v>0</v>
      </c>
      <c r="I248" s="33">
        <f>Input!G242*(1-B248)</f>
        <v>0</v>
      </c>
      <c r="J248" s="10"/>
    </row>
    <row r="249" spans="1:10" x14ac:dyDescent="0.25">
      <c r="A249" s="3" t="s">
        <v>269</v>
      </c>
      <c r="B249" s="35">
        <f>SUMPRODUCT($B134:$F134,Input!$B$154:$F$154)</f>
        <v>0.48820319392396561</v>
      </c>
      <c r="C249" s="37">
        <f>B249</f>
        <v>0.48820319392396561</v>
      </c>
      <c r="D249" s="33">
        <f>Input!B243*(1-B249)</f>
        <v>292.59107578195659</v>
      </c>
      <c r="E249" s="33">
        <f>Input!C243*(1-B249)</f>
        <v>0</v>
      </c>
      <c r="F249" s="33">
        <f>Input!D243*(1-B249)</f>
        <v>0</v>
      </c>
      <c r="G249" s="33">
        <f>Input!E243*(1-C249)</f>
        <v>0</v>
      </c>
      <c r="H249" s="33">
        <f>Input!F243*(1-B249)</f>
        <v>0</v>
      </c>
      <c r="I249" s="33">
        <f>Input!G243*(1-B249)</f>
        <v>0</v>
      </c>
      <c r="J249" s="10"/>
    </row>
    <row r="250" spans="1:10" x14ac:dyDescent="0.25">
      <c r="A250" s="24" t="s">
        <v>270</v>
      </c>
      <c r="J250" s="10"/>
    </row>
    <row r="251" spans="1:10" x14ac:dyDescent="0.25">
      <c r="A251" s="3" t="s">
        <v>215</v>
      </c>
      <c r="B251" s="35">
        <f>SUMPRODUCT($B136:$F136,Input!$B$154:$F$154)</f>
        <v>0</v>
      </c>
      <c r="C251" s="37">
        <f>B251</f>
        <v>0</v>
      </c>
      <c r="D251" s="33">
        <f>Input!B245*(1-B251)</f>
        <v>356.22882700287499</v>
      </c>
      <c r="E251" s="33">
        <f>Input!C245*(1-B251)</f>
        <v>0</v>
      </c>
      <c r="F251" s="33">
        <f>Input!D245*(1-B251)</f>
        <v>0</v>
      </c>
      <c r="G251" s="33">
        <f>Input!E245*(1-C251)</f>
        <v>161.79146747777602</v>
      </c>
      <c r="H251" s="33">
        <f>Input!F245*(1-B251)</f>
        <v>0</v>
      </c>
      <c r="I251" s="33">
        <f>Input!G245*(1-B251)</f>
        <v>0</v>
      </c>
      <c r="J251" s="10"/>
    </row>
    <row r="252" spans="1:10" x14ac:dyDescent="0.25">
      <c r="A252" s="3" t="s">
        <v>271</v>
      </c>
      <c r="B252" s="35">
        <f>SUMPRODUCT($B137:$F137,Input!$B$154:$F$154)</f>
        <v>0.30122164992514944</v>
      </c>
      <c r="C252" s="37">
        <f>B252</f>
        <v>0.30122164992514944</v>
      </c>
      <c r="D252" s="33">
        <f>Input!B246*(1-B252)</f>
        <v>0</v>
      </c>
      <c r="E252" s="33">
        <f>Input!C246*(1-B252)</f>
        <v>0</v>
      </c>
      <c r="F252" s="33">
        <f>Input!D246*(1-B252)</f>
        <v>0</v>
      </c>
      <c r="G252" s="33">
        <f>Input!E246*(1-C252)</f>
        <v>0</v>
      </c>
      <c r="H252" s="33">
        <f>Input!F246*(1-B252)</f>
        <v>0</v>
      </c>
      <c r="I252" s="33">
        <f>Input!G246*(1-B252)</f>
        <v>0</v>
      </c>
      <c r="J252" s="10"/>
    </row>
    <row r="253" spans="1:10" x14ac:dyDescent="0.25">
      <c r="A253" s="3" t="s">
        <v>272</v>
      </c>
      <c r="B253" s="35">
        <f>SUMPRODUCT($B138:$F138,Input!$B$154:$F$154)</f>
        <v>0.48820319392396561</v>
      </c>
      <c r="C253" s="37">
        <f>B253</f>
        <v>0.48820319392396561</v>
      </c>
      <c r="D253" s="33">
        <f>Input!B247*(1-B253)</f>
        <v>0</v>
      </c>
      <c r="E253" s="33">
        <f>Input!C247*(1-B253)</f>
        <v>0</v>
      </c>
      <c r="F253" s="33">
        <f>Input!D247*(1-B253)</f>
        <v>0</v>
      </c>
      <c r="G253" s="33">
        <f>Input!E247*(1-C253)</f>
        <v>0</v>
      </c>
      <c r="H253" s="33">
        <f>Input!F247*(1-B253)</f>
        <v>0</v>
      </c>
      <c r="I253" s="33">
        <f>Input!G247*(1-B253)</f>
        <v>0</v>
      </c>
      <c r="J253" s="10"/>
    </row>
    <row r="254" spans="1:10" x14ac:dyDescent="0.25">
      <c r="A254" s="24" t="s">
        <v>273</v>
      </c>
      <c r="J254" s="10"/>
    </row>
    <row r="255" spans="1:10" x14ac:dyDescent="0.25">
      <c r="A255" s="3" t="s">
        <v>216</v>
      </c>
      <c r="B255" s="35">
        <f>SUMPRODUCT($B140:$F140,Input!$B$154:$F$154)</f>
        <v>0</v>
      </c>
      <c r="C255" s="37">
        <f>B255</f>
        <v>0</v>
      </c>
      <c r="D255" s="33">
        <f>Input!B249*(1-B255)</f>
        <v>8317.3632405332482</v>
      </c>
      <c r="E255" s="33">
        <f>Input!C249*(1-B255)</f>
        <v>0</v>
      </c>
      <c r="F255" s="33">
        <f>Input!D249*(1-B255)</f>
        <v>0</v>
      </c>
      <c r="G255" s="33">
        <f>Input!E249*(1-C255)</f>
        <v>261.51199460244294</v>
      </c>
      <c r="H255" s="33">
        <f>Input!F249*(1-B255)</f>
        <v>0</v>
      </c>
      <c r="I255" s="33">
        <f>Input!G249*(1-B255)</f>
        <v>0</v>
      </c>
      <c r="J255" s="10"/>
    </row>
    <row r="256" spans="1:10" x14ac:dyDescent="0.25">
      <c r="A256" s="3" t="s">
        <v>274</v>
      </c>
      <c r="B256" s="35">
        <f>SUMPRODUCT($B141:$F141,Input!$B$154:$F$154)</f>
        <v>0.30122164992514944</v>
      </c>
      <c r="C256" s="37">
        <f>B256</f>
        <v>0.30122164992514944</v>
      </c>
      <c r="D256" s="33">
        <f>Input!B250*(1-B256)</f>
        <v>0</v>
      </c>
      <c r="E256" s="33">
        <f>Input!C250*(1-B256)</f>
        <v>0</v>
      </c>
      <c r="F256" s="33">
        <f>Input!D250*(1-B256)</f>
        <v>0</v>
      </c>
      <c r="G256" s="33">
        <f>Input!E250*(1-C256)</f>
        <v>0</v>
      </c>
      <c r="H256" s="33">
        <f>Input!F250*(1-B256)</f>
        <v>0</v>
      </c>
      <c r="I256" s="33">
        <f>Input!G250*(1-B256)</f>
        <v>0</v>
      </c>
      <c r="J256" s="10"/>
    </row>
    <row r="257" spans="1:10" x14ac:dyDescent="0.25">
      <c r="A257" s="3" t="s">
        <v>275</v>
      </c>
      <c r="B257" s="35">
        <f>SUMPRODUCT($B142:$F142,Input!$B$154:$F$154)</f>
        <v>0.48820319392396561</v>
      </c>
      <c r="C257" s="37">
        <f>B257</f>
        <v>0.48820319392396561</v>
      </c>
      <c r="D257" s="33">
        <f>Input!B251*(1-B257)</f>
        <v>0</v>
      </c>
      <c r="E257" s="33">
        <f>Input!C251*(1-B257)</f>
        <v>0</v>
      </c>
      <c r="F257" s="33">
        <f>Input!D251*(1-B257)</f>
        <v>0</v>
      </c>
      <c r="G257" s="33">
        <f>Input!E251*(1-C257)</f>
        <v>0</v>
      </c>
      <c r="H257" s="33">
        <f>Input!F251*(1-B257)</f>
        <v>0</v>
      </c>
      <c r="I257" s="33">
        <f>Input!G251*(1-B257)</f>
        <v>0</v>
      </c>
      <c r="J257" s="10"/>
    </row>
    <row r="258" spans="1:10" x14ac:dyDescent="0.25">
      <c r="A258" s="24" t="s">
        <v>276</v>
      </c>
      <c r="J258" s="10"/>
    </row>
    <row r="259" spans="1:10" x14ac:dyDescent="0.25">
      <c r="A259" s="3" t="s">
        <v>217</v>
      </c>
      <c r="B259" s="35">
        <f>SUMPRODUCT($B144:$F144,Input!$B$154:$F$154)</f>
        <v>0</v>
      </c>
      <c r="C259" s="37">
        <f>B259</f>
        <v>0</v>
      </c>
      <c r="D259" s="33">
        <f>Input!B253*(1-B259)</f>
        <v>12896.468429380624</v>
      </c>
      <c r="E259" s="33">
        <f>Input!C253*(1-B259)</f>
        <v>29606.903732128623</v>
      </c>
      <c r="F259" s="33">
        <f>Input!D253*(1-B259)</f>
        <v>198874.5436924781</v>
      </c>
      <c r="G259" s="33">
        <f>Input!E253*(1-C259)</f>
        <v>117.01898591159899</v>
      </c>
      <c r="H259" s="33">
        <f>Input!F253*(1-B259)</f>
        <v>0</v>
      </c>
      <c r="I259" s="33">
        <f>Input!G253*(1-B259)</f>
        <v>0</v>
      </c>
      <c r="J259" s="10"/>
    </row>
    <row r="260" spans="1:10" x14ac:dyDescent="0.25">
      <c r="A260" s="3" t="s">
        <v>277</v>
      </c>
      <c r="B260" s="35">
        <f>SUMPRODUCT($B145:$F145,Input!$B$154:$F$154)</f>
        <v>0.30122164992514944</v>
      </c>
      <c r="C260" s="37">
        <f>B260</f>
        <v>0.30122164992514944</v>
      </c>
      <c r="D260" s="33">
        <f>Input!B254*(1-B260)</f>
        <v>0</v>
      </c>
      <c r="E260" s="33">
        <f>Input!C254*(1-B260)</f>
        <v>0</v>
      </c>
      <c r="F260" s="33">
        <f>Input!D254*(1-B260)</f>
        <v>0</v>
      </c>
      <c r="G260" s="33">
        <f>Input!E254*(1-C260)</f>
        <v>0</v>
      </c>
      <c r="H260" s="33">
        <f>Input!F254*(1-B260)</f>
        <v>0</v>
      </c>
      <c r="I260" s="33">
        <f>Input!G254*(1-B260)</f>
        <v>0</v>
      </c>
      <c r="J260" s="10"/>
    </row>
    <row r="261" spans="1:10" x14ac:dyDescent="0.25">
      <c r="A261" s="3" t="s">
        <v>278</v>
      </c>
      <c r="B261" s="35">
        <f>SUMPRODUCT($B146:$F146,Input!$B$154:$F$154)</f>
        <v>0.48820319392396561</v>
      </c>
      <c r="C261" s="37">
        <f>B261</f>
        <v>0.48820319392396561</v>
      </c>
      <c r="D261" s="33">
        <f>Input!B255*(1-B261)</f>
        <v>0</v>
      </c>
      <c r="E261" s="33">
        <f>Input!C255*(1-B261)</f>
        <v>0</v>
      </c>
      <c r="F261" s="33">
        <f>Input!D255*(1-B261)</f>
        <v>0</v>
      </c>
      <c r="G261" s="33">
        <f>Input!E255*(1-C261)</f>
        <v>0</v>
      </c>
      <c r="H261" s="33">
        <f>Input!F255*(1-B261)</f>
        <v>0</v>
      </c>
      <c r="I261" s="33">
        <f>Input!G255*(1-B261)</f>
        <v>0</v>
      </c>
      <c r="J261" s="10"/>
    </row>
    <row r="262" spans="1:10" x14ac:dyDescent="0.25">
      <c r="A262" s="24" t="s">
        <v>279</v>
      </c>
      <c r="J262" s="10"/>
    </row>
    <row r="263" spans="1:10" x14ac:dyDescent="0.25">
      <c r="A263" s="3" t="s">
        <v>181</v>
      </c>
      <c r="B263" s="35">
        <f>SUMPRODUCT($B148:$F148,Input!$B$154:$F$154)</f>
        <v>0</v>
      </c>
      <c r="C263" s="37">
        <f>B263</f>
        <v>0</v>
      </c>
      <c r="D263" s="33">
        <f>Input!B257*(1-B263)</f>
        <v>1315.3859367110706</v>
      </c>
      <c r="E263" s="33">
        <f>Input!C257*(1-B263)</f>
        <v>0</v>
      </c>
      <c r="F263" s="33">
        <f>Input!D257*(1-B263)</f>
        <v>0</v>
      </c>
      <c r="G263" s="33">
        <f>Input!E257*(1-C263)</f>
        <v>18.316015186163327</v>
      </c>
      <c r="H263" s="33">
        <f>Input!F257*(1-B263)</f>
        <v>0</v>
      </c>
      <c r="I263" s="33">
        <f>Input!G257*(1-B263)</f>
        <v>0</v>
      </c>
      <c r="J263" s="10"/>
    </row>
    <row r="264" spans="1:10" x14ac:dyDescent="0.25">
      <c r="A264" s="3" t="s">
        <v>280</v>
      </c>
      <c r="B264" s="35">
        <f>SUMPRODUCT($B149:$F149,Input!$B$154:$F$154)</f>
        <v>0</v>
      </c>
      <c r="C264" s="36">
        <v>1</v>
      </c>
      <c r="D264" s="33">
        <f>Input!B258*(1-B264)</f>
        <v>37.465485085945801</v>
      </c>
      <c r="E264" s="33">
        <f>Input!C258*(1-B264)</f>
        <v>0</v>
      </c>
      <c r="F264" s="33">
        <f>Input!D258*(1-B264)</f>
        <v>0</v>
      </c>
      <c r="G264" s="33">
        <f>Input!E258*(1-C264)</f>
        <v>0</v>
      </c>
      <c r="H264" s="33">
        <f>Input!F258*(1-B264)</f>
        <v>0</v>
      </c>
      <c r="I264" s="33">
        <f>Input!G258*(1-B264)</f>
        <v>0</v>
      </c>
      <c r="J264" s="10"/>
    </row>
    <row r="265" spans="1:10" x14ac:dyDescent="0.25">
      <c r="A265" s="3" t="s">
        <v>281</v>
      </c>
      <c r="B265" s="35">
        <f>SUMPRODUCT($B150:$F150,Input!$B$154:$F$154)</f>
        <v>0</v>
      </c>
      <c r="C265" s="36">
        <v>1</v>
      </c>
      <c r="D265" s="33">
        <f>Input!B259*(1-B265)</f>
        <v>0</v>
      </c>
      <c r="E265" s="33">
        <f>Input!C259*(1-B265)</f>
        <v>0</v>
      </c>
      <c r="F265" s="33">
        <f>Input!D259*(1-B265)</f>
        <v>0</v>
      </c>
      <c r="G265" s="33">
        <f>Input!E259*(1-C265)</f>
        <v>0</v>
      </c>
      <c r="H265" s="33">
        <f>Input!F259*(1-B265)</f>
        <v>0</v>
      </c>
      <c r="I265" s="33">
        <f>Input!G259*(1-B265)</f>
        <v>0</v>
      </c>
      <c r="J265" s="10"/>
    </row>
    <row r="266" spans="1:10" x14ac:dyDescent="0.25">
      <c r="A266" s="24" t="s">
        <v>282</v>
      </c>
      <c r="J266" s="10"/>
    </row>
    <row r="267" spans="1:10" x14ac:dyDescent="0.25">
      <c r="A267" s="3" t="s">
        <v>182</v>
      </c>
      <c r="B267" s="35">
        <f>SUMPRODUCT($B152:$F152,Input!$B$154:$F$154)</f>
        <v>0</v>
      </c>
      <c r="C267" s="37">
        <f>B267</f>
        <v>0</v>
      </c>
      <c r="D267" s="33">
        <f>Input!B261*(1-B267)</f>
        <v>0</v>
      </c>
      <c r="E267" s="33">
        <f>Input!C261*(1-B267)</f>
        <v>0</v>
      </c>
      <c r="F267" s="33">
        <f>Input!D261*(1-B267)</f>
        <v>0</v>
      </c>
      <c r="G267" s="33">
        <f>Input!E261*(1-C267)</f>
        <v>0</v>
      </c>
      <c r="H267" s="33">
        <f>Input!F261*(1-B267)</f>
        <v>0</v>
      </c>
      <c r="I267" s="33">
        <f>Input!G261*(1-B267)</f>
        <v>0</v>
      </c>
      <c r="J267" s="10"/>
    </row>
    <row r="268" spans="1:10" x14ac:dyDescent="0.25">
      <c r="A268" s="3" t="s">
        <v>283</v>
      </c>
      <c r="B268" s="35">
        <f>SUMPRODUCT($B153:$F153,Input!$B$154:$F$154)</f>
        <v>0</v>
      </c>
      <c r="C268" s="36">
        <v>1</v>
      </c>
      <c r="D268" s="33">
        <f>Input!B262*(1-B268)</f>
        <v>0</v>
      </c>
      <c r="E268" s="33">
        <f>Input!C262*(1-B268)</f>
        <v>0</v>
      </c>
      <c r="F268" s="33">
        <f>Input!D262*(1-B268)</f>
        <v>0</v>
      </c>
      <c r="G268" s="33">
        <f>Input!E262*(1-C268)</f>
        <v>0</v>
      </c>
      <c r="H268" s="33">
        <f>Input!F262*(1-B268)</f>
        <v>0</v>
      </c>
      <c r="I268" s="33">
        <f>Input!G262*(1-B268)</f>
        <v>0</v>
      </c>
      <c r="J268" s="10"/>
    </row>
    <row r="269" spans="1:10" x14ac:dyDescent="0.25">
      <c r="A269" s="24" t="s">
        <v>284</v>
      </c>
      <c r="J269" s="10"/>
    </row>
    <row r="270" spans="1:10" x14ac:dyDescent="0.25">
      <c r="A270" s="3" t="s">
        <v>183</v>
      </c>
      <c r="B270" s="35">
        <f>SUMPRODUCT($B155:$F155,Input!$B$154:$F$154)</f>
        <v>0</v>
      </c>
      <c r="C270" s="37">
        <f>B270</f>
        <v>0</v>
      </c>
      <c r="D270" s="33">
        <f>Input!B264*(1-B270)</f>
        <v>37363.575641600008</v>
      </c>
      <c r="E270" s="33">
        <f>Input!C264*(1-B270)</f>
        <v>0</v>
      </c>
      <c r="F270" s="33">
        <f>Input!D264*(1-B270)</f>
        <v>0</v>
      </c>
      <c r="G270" s="33">
        <f>Input!E264*(1-C270)</f>
        <v>190.28304665625231</v>
      </c>
      <c r="H270" s="33">
        <f>Input!F264*(1-B270)</f>
        <v>0</v>
      </c>
      <c r="I270" s="33">
        <f>Input!G264*(1-B270)</f>
        <v>2298.3905648579534</v>
      </c>
      <c r="J270" s="10"/>
    </row>
    <row r="271" spans="1:10" x14ac:dyDescent="0.25">
      <c r="A271" s="3" t="s">
        <v>285</v>
      </c>
      <c r="B271" s="35">
        <f>SUMPRODUCT($B156:$F156,Input!$B$154:$F$154)</f>
        <v>0</v>
      </c>
      <c r="C271" s="36">
        <v>1</v>
      </c>
      <c r="D271" s="33">
        <f>Input!B265*(1-B271)</f>
        <v>0</v>
      </c>
      <c r="E271" s="33">
        <f>Input!C265*(1-B271)</f>
        <v>0</v>
      </c>
      <c r="F271" s="33">
        <f>Input!D265*(1-B271)</f>
        <v>0</v>
      </c>
      <c r="G271" s="33">
        <f>Input!E265*(1-C271)</f>
        <v>0</v>
      </c>
      <c r="H271" s="33">
        <f>Input!F265*(1-B271)</f>
        <v>0</v>
      </c>
      <c r="I271" s="33">
        <f>Input!G265*(1-B271)</f>
        <v>0</v>
      </c>
      <c r="J271" s="10"/>
    </row>
    <row r="272" spans="1:10" x14ac:dyDescent="0.25">
      <c r="A272" s="3" t="s">
        <v>286</v>
      </c>
      <c r="B272" s="35">
        <f>SUMPRODUCT($B157:$F157,Input!$B$154:$F$154)</f>
        <v>0</v>
      </c>
      <c r="C272" s="36">
        <v>1</v>
      </c>
      <c r="D272" s="33">
        <f>Input!B266*(1-B272)</f>
        <v>101.5981142431738</v>
      </c>
      <c r="E272" s="33">
        <f>Input!C266*(1-B272)</f>
        <v>0</v>
      </c>
      <c r="F272" s="33">
        <f>Input!D266*(1-B272)</f>
        <v>0</v>
      </c>
      <c r="G272" s="33">
        <f>Input!E266*(1-C272)</f>
        <v>0</v>
      </c>
      <c r="H272" s="33">
        <f>Input!F266*(1-B272)</f>
        <v>0</v>
      </c>
      <c r="I272" s="33">
        <f>Input!G266*(1-B272)</f>
        <v>98.011858862763873</v>
      </c>
      <c r="J272" s="10"/>
    </row>
    <row r="273" spans="1:10" x14ac:dyDescent="0.25">
      <c r="A273" s="24" t="s">
        <v>287</v>
      </c>
      <c r="J273" s="10"/>
    </row>
    <row r="274" spans="1:10" x14ac:dyDescent="0.25">
      <c r="A274" s="3" t="s">
        <v>184</v>
      </c>
      <c r="B274" s="35">
        <f>SUMPRODUCT($B159:$F159,Input!$B$154:$F$154)</f>
        <v>0</v>
      </c>
      <c r="C274" s="37">
        <f>B274</f>
        <v>0</v>
      </c>
      <c r="D274" s="33">
        <f>Input!B268*(1-B274)</f>
        <v>728.9515484251142</v>
      </c>
      <c r="E274" s="33">
        <f>Input!C268*(1-B274)</f>
        <v>3252.8214818746578</v>
      </c>
      <c r="F274" s="33">
        <f>Input!D268*(1-B274)</f>
        <v>3642.2599325289552</v>
      </c>
      <c r="G274" s="33">
        <f>Input!E268*(1-C274)</f>
        <v>71.228947946190701</v>
      </c>
      <c r="H274" s="33">
        <f>Input!F268*(1-B274)</f>
        <v>0</v>
      </c>
      <c r="I274" s="33">
        <f>Input!G268*(1-B274)</f>
        <v>685.30016493204562</v>
      </c>
      <c r="J274" s="10"/>
    </row>
    <row r="275" spans="1:10" x14ac:dyDescent="0.25">
      <c r="A275" s="3" t="s">
        <v>288</v>
      </c>
      <c r="B275" s="35">
        <f>SUMPRODUCT($B160:$F160,Input!$B$154:$F$154)</f>
        <v>0</v>
      </c>
      <c r="C275" s="36">
        <v>1</v>
      </c>
      <c r="D275" s="33">
        <f>Input!B269*(1-B275)</f>
        <v>0</v>
      </c>
      <c r="E275" s="33">
        <f>Input!C269*(1-B275)</f>
        <v>0</v>
      </c>
      <c r="F275" s="33">
        <f>Input!D269*(1-B275)</f>
        <v>0</v>
      </c>
      <c r="G275" s="33">
        <f>Input!E269*(1-C275)</f>
        <v>0</v>
      </c>
      <c r="H275" s="33">
        <f>Input!F269*(1-B275)</f>
        <v>0</v>
      </c>
      <c r="I275" s="33">
        <f>Input!G269*(1-B275)</f>
        <v>0</v>
      </c>
      <c r="J275" s="10"/>
    </row>
    <row r="276" spans="1:10" x14ac:dyDescent="0.25">
      <c r="A276" s="3" t="s">
        <v>289</v>
      </c>
      <c r="B276" s="35">
        <f>SUMPRODUCT($B161:$F161,Input!$B$154:$F$154)</f>
        <v>0</v>
      </c>
      <c r="C276" s="36">
        <v>1</v>
      </c>
      <c r="D276" s="33">
        <f>Input!B270*(1-B276)</f>
        <v>0</v>
      </c>
      <c r="E276" s="33">
        <f>Input!C270*(1-B276)</f>
        <v>0</v>
      </c>
      <c r="F276" s="33">
        <f>Input!D270*(1-B276)</f>
        <v>0</v>
      </c>
      <c r="G276" s="33">
        <f>Input!E270*(1-C276)</f>
        <v>0</v>
      </c>
      <c r="H276" s="33">
        <f>Input!F270*(1-B276)</f>
        <v>0</v>
      </c>
      <c r="I276" s="33">
        <f>Input!G270*(1-B276)</f>
        <v>0</v>
      </c>
      <c r="J276" s="10"/>
    </row>
    <row r="277" spans="1:10" x14ac:dyDescent="0.25">
      <c r="A277" s="24" t="s">
        <v>290</v>
      </c>
      <c r="J277" s="10"/>
    </row>
    <row r="278" spans="1:10" x14ac:dyDescent="0.25">
      <c r="A278" s="3" t="s">
        <v>185</v>
      </c>
      <c r="B278" s="35">
        <f>SUMPRODUCT($B163:$F163,Input!$B$154:$F$154)</f>
        <v>0</v>
      </c>
      <c r="C278" s="37">
        <f>B278</f>
        <v>0</v>
      </c>
      <c r="D278" s="33">
        <f>Input!B272*(1-B278)</f>
        <v>1081.2841728000003</v>
      </c>
      <c r="E278" s="33">
        <f>Input!C272*(1-B278)</f>
        <v>0</v>
      </c>
      <c r="F278" s="33">
        <f>Input!D272*(1-B278)</f>
        <v>0</v>
      </c>
      <c r="G278" s="33">
        <f>Input!E272*(1-C278)</f>
        <v>4.0702255969251837</v>
      </c>
      <c r="H278" s="33">
        <f>Input!F272*(1-B278)</f>
        <v>0</v>
      </c>
      <c r="I278" s="33">
        <f>Input!G272*(1-B278)</f>
        <v>129.34290968060574</v>
      </c>
      <c r="J278" s="10"/>
    </row>
    <row r="279" spans="1:10" x14ac:dyDescent="0.25">
      <c r="A279" s="3" t="s">
        <v>291</v>
      </c>
      <c r="B279" s="35">
        <f>SUMPRODUCT($B164:$F164,Input!$B$154:$F$154)</f>
        <v>0</v>
      </c>
      <c r="C279" s="36">
        <v>1</v>
      </c>
      <c r="D279" s="33">
        <f>Input!B273*(1-B279)</f>
        <v>0</v>
      </c>
      <c r="E279" s="33">
        <f>Input!C273*(1-B279)</f>
        <v>0</v>
      </c>
      <c r="F279" s="33">
        <f>Input!D273*(1-B279)</f>
        <v>0</v>
      </c>
      <c r="G279" s="33">
        <f>Input!E273*(1-C279)</f>
        <v>0</v>
      </c>
      <c r="H279" s="33">
        <f>Input!F273*(1-B279)</f>
        <v>0</v>
      </c>
      <c r="I279" s="33">
        <f>Input!G273*(1-B279)</f>
        <v>0</v>
      </c>
      <c r="J279" s="10"/>
    </row>
    <row r="280" spans="1:10" x14ac:dyDescent="0.25">
      <c r="A280" s="24" t="s">
        <v>292</v>
      </c>
      <c r="J280" s="10"/>
    </row>
    <row r="281" spans="1:10" x14ac:dyDescent="0.25">
      <c r="A281" s="3" t="s">
        <v>186</v>
      </c>
      <c r="B281" s="35">
        <f>SUMPRODUCT($B166:$F166,Input!$B$154:$F$154)</f>
        <v>0</v>
      </c>
      <c r="C281" s="37">
        <f>B281</f>
        <v>0</v>
      </c>
      <c r="D281" s="33">
        <f>Input!B275*(1-B281)</f>
        <v>383.16761600000012</v>
      </c>
      <c r="E281" s="33">
        <f>Input!C275*(1-B281)</f>
        <v>1336.9960448000002</v>
      </c>
      <c r="F281" s="33">
        <f>Input!D275*(1-B281)</f>
        <v>2848.1643008000001</v>
      </c>
      <c r="G281" s="33">
        <f>Input!E275*(1-C281)</f>
        <v>1.0175563992312959</v>
      </c>
      <c r="H281" s="33">
        <f>Input!F275*(1-B281)</f>
        <v>0</v>
      </c>
      <c r="I281" s="33">
        <f>Input!G275*(1-B281)</f>
        <v>34.076692591163521</v>
      </c>
      <c r="J281" s="10"/>
    </row>
    <row r="282" spans="1:10" x14ac:dyDescent="0.25">
      <c r="A282" s="3" t="s">
        <v>293</v>
      </c>
      <c r="B282" s="35">
        <f>SUMPRODUCT($B167:$F167,Input!$B$154:$F$154)</f>
        <v>0</v>
      </c>
      <c r="C282" s="36">
        <v>1</v>
      </c>
      <c r="D282" s="33">
        <f>Input!B276*(1-B282)</f>
        <v>0</v>
      </c>
      <c r="E282" s="33">
        <f>Input!C276*(1-B282)</f>
        <v>0</v>
      </c>
      <c r="F282" s="33">
        <f>Input!D276*(1-B282)</f>
        <v>0</v>
      </c>
      <c r="G282" s="33">
        <f>Input!E276*(1-C282)</f>
        <v>0</v>
      </c>
      <c r="H282" s="33">
        <f>Input!F276*(1-B282)</f>
        <v>0</v>
      </c>
      <c r="I282" s="33">
        <f>Input!G276*(1-B282)</f>
        <v>0</v>
      </c>
      <c r="J282" s="10"/>
    </row>
    <row r="283" spans="1:10" x14ac:dyDescent="0.25">
      <c r="A283" s="24" t="s">
        <v>294</v>
      </c>
      <c r="J283" s="10"/>
    </row>
    <row r="284" spans="1:10" x14ac:dyDescent="0.25">
      <c r="A284" s="3" t="s">
        <v>194</v>
      </c>
      <c r="B284" s="35">
        <f>SUMPRODUCT($B169:$F169,Input!$B$154:$F$154)</f>
        <v>0</v>
      </c>
      <c r="C284" s="37">
        <f>B284</f>
        <v>0</v>
      </c>
      <c r="D284" s="33">
        <f>Input!B278*(1-B284)</f>
        <v>159023.41678079998</v>
      </c>
      <c r="E284" s="33">
        <f>Input!C278*(1-B284)</f>
        <v>0</v>
      </c>
      <c r="F284" s="33">
        <f>Input!D278*(1-B284)</f>
        <v>0</v>
      </c>
      <c r="G284" s="33">
        <f>Input!E278*(1-C284)</f>
        <v>73.633827685838014</v>
      </c>
      <c r="H284" s="33">
        <f>Input!F278*(1-B284)</f>
        <v>0</v>
      </c>
      <c r="I284" s="33">
        <f>Input!G278*(1-B284)</f>
        <v>3483.8436451616044</v>
      </c>
      <c r="J284" s="10"/>
    </row>
    <row r="285" spans="1:10" x14ac:dyDescent="0.25">
      <c r="A285" s="3" t="s">
        <v>295</v>
      </c>
      <c r="B285" s="35">
        <f>SUMPRODUCT($B170:$F170,Input!$B$154:$F$154)</f>
        <v>0</v>
      </c>
      <c r="C285" s="36">
        <v>1</v>
      </c>
      <c r="D285" s="33">
        <f>Input!B279*(1-B285)</f>
        <v>72.840429052638285</v>
      </c>
      <c r="E285" s="33">
        <f>Input!C279*(1-B285)</f>
        <v>0</v>
      </c>
      <c r="F285" s="33">
        <f>Input!D279*(1-B285)</f>
        <v>0</v>
      </c>
      <c r="G285" s="33">
        <f>Input!E279*(1-C285)</f>
        <v>0</v>
      </c>
      <c r="H285" s="33">
        <f>Input!F279*(1-B285)</f>
        <v>0</v>
      </c>
      <c r="I285" s="33">
        <f>Input!G279*(1-B285)</f>
        <v>0</v>
      </c>
      <c r="J285" s="10"/>
    </row>
    <row r="286" spans="1:10" x14ac:dyDescent="0.25">
      <c r="A286" s="24" t="s">
        <v>296</v>
      </c>
      <c r="J286" s="10"/>
    </row>
    <row r="287" spans="1:10" x14ac:dyDescent="0.25">
      <c r="A287" s="3" t="s">
        <v>195</v>
      </c>
      <c r="B287" s="35">
        <f>SUMPRODUCT($B172:$F172,Input!$B$154:$F$154)</f>
        <v>0</v>
      </c>
      <c r="C287" s="37">
        <f>B287</f>
        <v>0</v>
      </c>
      <c r="D287" s="33">
        <f>Input!B281*(1-B287)</f>
        <v>66634.498578297527</v>
      </c>
      <c r="E287" s="33">
        <f>Input!C281*(1-B287)</f>
        <v>212262.49346457375</v>
      </c>
      <c r="F287" s="33">
        <f>Input!D281*(1-B287)</f>
        <v>400806.320420056</v>
      </c>
      <c r="G287" s="33">
        <f>Input!E281*(1-C287)</f>
        <v>163.40657650829806</v>
      </c>
      <c r="H287" s="33">
        <f>Input!F281*(1-B287)</f>
        <v>0</v>
      </c>
      <c r="I287" s="33">
        <f>Input!G281*(1-B287)</f>
        <v>8887.1674626252116</v>
      </c>
      <c r="J287" s="10"/>
    </row>
    <row r="288" spans="1:10" x14ac:dyDescent="0.25">
      <c r="A288" s="3" t="s">
        <v>297</v>
      </c>
      <c r="B288" s="35">
        <f>SUMPRODUCT($B173:$F173,Input!$B$154:$F$154)</f>
        <v>0</v>
      </c>
      <c r="C288" s="36">
        <v>1</v>
      </c>
      <c r="D288" s="33">
        <f>Input!B282*(1-B288)</f>
        <v>0</v>
      </c>
      <c r="E288" s="33">
        <f>Input!C282*(1-B288)</f>
        <v>0</v>
      </c>
      <c r="F288" s="33">
        <f>Input!D282*(1-B288)</f>
        <v>0</v>
      </c>
      <c r="G288" s="33">
        <f>Input!E282*(1-C288)</f>
        <v>0</v>
      </c>
      <c r="H288" s="33">
        <f>Input!F282*(1-B288)</f>
        <v>0</v>
      </c>
      <c r="I288" s="33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1" t="s">
        <v>534</v>
      </c>
    </row>
    <row r="293" spans="1:8" x14ac:dyDescent="0.25">
      <c r="A293" s="11" t="s">
        <v>535</v>
      </c>
    </row>
    <row r="294" spans="1:8" x14ac:dyDescent="0.25">
      <c r="A294" s="11" t="s">
        <v>536</v>
      </c>
    </row>
    <row r="295" spans="1:8" x14ac:dyDescent="0.25">
      <c r="A295" s="11" t="s">
        <v>537</v>
      </c>
    </row>
    <row r="296" spans="1:8" x14ac:dyDescent="0.25">
      <c r="A296" s="11" t="s">
        <v>538</v>
      </c>
    </row>
    <row r="297" spans="1:8" x14ac:dyDescent="0.25">
      <c r="A297" s="11" t="s">
        <v>539</v>
      </c>
    </row>
    <row r="298" spans="1:8" x14ac:dyDescent="0.25">
      <c r="A298" s="29" t="s">
        <v>359</v>
      </c>
      <c r="B298" s="29" t="s">
        <v>490</v>
      </c>
      <c r="C298" s="29" t="s">
        <v>490</v>
      </c>
      <c r="D298" s="29" t="s">
        <v>490</v>
      </c>
      <c r="E298" s="29" t="s">
        <v>490</v>
      </c>
      <c r="F298" s="29" t="s">
        <v>490</v>
      </c>
      <c r="G298" s="29" t="s">
        <v>490</v>
      </c>
    </row>
    <row r="299" spans="1:8" x14ac:dyDescent="0.25">
      <c r="A299" s="29" t="s">
        <v>362</v>
      </c>
      <c r="B299" s="29" t="s">
        <v>540</v>
      </c>
      <c r="C299" s="29" t="s">
        <v>541</v>
      </c>
      <c r="D299" s="29" t="s">
        <v>542</v>
      </c>
      <c r="E299" s="29" t="s">
        <v>543</v>
      </c>
      <c r="F299" s="29" t="s">
        <v>492</v>
      </c>
      <c r="G299" s="29" t="s">
        <v>544</v>
      </c>
    </row>
    <row r="301" spans="1:8" ht="30" x14ac:dyDescent="0.25">
      <c r="B301" s="12" t="s">
        <v>222</v>
      </c>
      <c r="C301" s="12" t="s">
        <v>223</v>
      </c>
      <c r="D301" s="12" t="s">
        <v>224</v>
      </c>
      <c r="E301" s="12" t="s">
        <v>225</v>
      </c>
      <c r="F301" s="12" t="s">
        <v>226</v>
      </c>
      <c r="G301" s="12" t="s">
        <v>227</v>
      </c>
    </row>
    <row r="302" spans="1:8" x14ac:dyDescent="0.25">
      <c r="A302" s="3" t="s">
        <v>171</v>
      </c>
      <c r="B302" s="17">
        <f t="shared" ref="B302:G302" si="0">SUM(D$193:D$195)</f>
        <v>5219529.2468754714</v>
      </c>
      <c r="C302" s="17">
        <f t="shared" si="0"/>
        <v>0</v>
      </c>
      <c r="D302" s="17">
        <f t="shared" si="0"/>
        <v>0</v>
      </c>
      <c r="E302" s="17">
        <f t="shared" si="0"/>
        <v>1573884.4683723808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3" t="s">
        <v>172</v>
      </c>
      <c r="B303" s="17">
        <f t="shared" ref="B303:G303" si="1">SUM(D$197:D$199)</f>
        <v>2680579.1879903618</v>
      </c>
      <c r="C303" s="17">
        <f t="shared" si="1"/>
        <v>1239740.9642813858</v>
      </c>
      <c r="D303" s="17">
        <f t="shared" si="1"/>
        <v>0</v>
      </c>
      <c r="E303" s="17">
        <f t="shared" si="1"/>
        <v>892009.18841465167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3" t="s">
        <v>211</v>
      </c>
      <c r="B304" s="17">
        <f t="shared" ref="B304:G304" si="2">SUM(D$201:D$203)</f>
        <v>126246.1428114313</v>
      </c>
      <c r="C304" s="17">
        <f t="shared" si="2"/>
        <v>0</v>
      </c>
      <c r="D304" s="17">
        <f t="shared" si="2"/>
        <v>0</v>
      </c>
      <c r="E304" s="17">
        <f t="shared" si="2"/>
        <v>37550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3" t="s">
        <v>173</v>
      </c>
      <c r="B305" s="17">
        <f t="shared" ref="B305:G305" si="3">SUM(D$205:D$207)</f>
        <v>1117811.4088570208</v>
      </c>
      <c r="C305" s="17">
        <f t="shared" si="3"/>
        <v>0</v>
      </c>
      <c r="D305" s="17">
        <f t="shared" si="3"/>
        <v>0</v>
      </c>
      <c r="E305" s="17">
        <f t="shared" si="3"/>
        <v>95985.234753374127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3" t="s">
        <v>174</v>
      </c>
      <c r="B306" s="17">
        <f t="shared" ref="B306:G306" si="4">SUM(D$209:D$211)</f>
        <v>1563756.4245609876</v>
      </c>
      <c r="C306" s="17">
        <f t="shared" si="4"/>
        <v>493934.07015041442</v>
      </c>
      <c r="D306" s="17">
        <f t="shared" si="4"/>
        <v>0</v>
      </c>
      <c r="E306" s="17">
        <f t="shared" si="4"/>
        <v>83272.456474592909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3" t="s">
        <v>212</v>
      </c>
      <c r="B307" s="17">
        <f t="shared" ref="B307:G307" si="5">SUM(D$213:D$215)</f>
        <v>4232.4037128975033</v>
      </c>
      <c r="C307" s="17">
        <f t="shared" si="5"/>
        <v>0</v>
      </c>
      <c r="D307" s="17">
        <f t="shared" si="5"/>
        <v>0</v>
      </c>
      <c r="E307" s="17">
        <f t="shared" si="5"/>
        <v>725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3" t="s">
        <v>175</v>
      </c>
      <c r="B308" s="17">
        <f t="shared" ref="B308:G308" si="6">SUM(D$217:D$219)</f>
        <v>0</v>
      </c>
      <c r="C308" s="17">
        <f t="shared" si="6"/>
        <v>0</v>
      </c>
      <c r="D308" s="17">
        <f t="shared" si="6"/>
        <v>0</v>
      </c>
      <c r="E308" s="17">
        <f t="shared" si="6"/>
        <v>0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3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3" t="s">
        <v>192</v>
      </c>
      <c r="B310" s="17">
        <f t="shared" ref="B310:G310" si="8">SUM(D$223:D$223)</f>
        <v>0</v>
      </c>
      <c r="C310" s="17">
        <f t="shared" si="8"/>
        <v>0</v>
      </c>
      <c r="D310" s="17">
        <f t="shared" si="8"/>
        <v>0</v>
      </c>
      <c r="E310" s="17">
        <f t="shared" si="8"/>
        <v>0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3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3" t="s">
        <v>178</v>
      </c>
      <c r="B312" s="17">
        <f t="shared" ref="B312:G312" si="10">SUM(D$229:D$231)</f>
        <v>16677.528959232903</v>
      </c>
      <c r="C312" s="17">
        <f t="shared" si="10"/>
        <v>64905.251156289785</v>
      </c>
      <c r="D312" s="17">
        <f t="shared" si="10"/>
        <v>73118.453269019825</v>
      </c>
      <c r="E312" s="17">
        <f t="shared" si="10"/>
        <v>2551.8233977395394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3" t="s">
        <v>179</v>
      </c>
      <c r="B313" s="17">
        <f t="shared" ref="B313:G313" si="11">SUM(D$233:D$235)</f>
        <v>393938.82099062181</v>
      </c>
      <c r="C313" s="17">
        <f t="shared" si="11"/>
        <v>1558998.7389553841</v>
      </c>
      <c r="D313" s="17">
        <f t="shared" si="11"/>
        <v>1704979.2496967716</v>
      </c>
      <c r="E313" s="17">
        <f t="shared" si="11"/>
        <v>14513.564414111655</v>
      </c>
      <c r="F313" s="17">
        <f t="shared" si="11"/>
        <v>2030538.1447425196</v>
      </c>
      <c r="G313" s="17">
        <f t="shared" si="11"/>
        <v>333546.59293885244</v>
      </c>
      <c r="H313" s="10"/>
    </row>
    <row r="314" spans="1:8" x14ac:dyDescent="0.25">
      <c r="A314" s="3" t="s">
        <v>180</v>
      </c>
      <c r="B314" s="17">
        <f t="shared" ref="B314:G314" si="12">SUM(D$237:D$238)</f>
        <v>10795.103209525521</v>
      </c>
      <c r="C314" s="17">
        <f t="shared" si="12"/>
        <v>41608.964309143586</v>
      </c>
      <c r="D314" s="17">
        <f t="shared" si="12"/>
        <v>50157.667807796999</v>
      </c>
      <c r="E314" s="17">
        <f t="shared" si="12"/>
        <v>151.30238565583156</v>
      </c>
      <c r="F314" s="17">
        <f t="shared" si="12"/>
        <v>67327.368806816536</v>
      </c>
      <c r="G314" s="17">
        <f t="shared" si="12"/>
        <v>11921.312518690158</v>
      </c>
      <c r="H314" s="10"/>
    </row>
    <row r="315" spans="1:8" x14ac:dyDescent="0.25">
      <c r="A315" s="3" t="s">
        <v>193</v>
      </c>
      <c r="B315" s="17">
        <f t="shared" ref="B315:G315" si="13">SUM(D$240:D$241)</f>
        <v>754385.98402040929</v>
      </c>
      <c r="C315" s="17">
        <f t="shared" si="13"/>
        <v>2914632.556048458</v>
      </c>
      <c r="D315" s="17">
        <f t="shared" si="13"/>
        <v>4014673.9180350979</v>
      </c>
      <c r="E315" s="17">
        <f t="shared" si="13"/>
        <v>3207.9607862875823</v>
      </c>
      <c r="F315" s="17">
        <f t="shared" si="13"/>
        <v>2772488.4945503157</v>
      </c>
      <c r="G315" s="17">
        <f t="shared" si="13"/>
        <v>689468.77374890808</v>
      </c>
      <c r="H315" s="10"/>
    </row>
    <row r="316" spans="1:8" x14ac:dyDescent="0.25">
      <c r="A316" s="3" t="s">
        <v>213</v>
      </c>
      <c r="B316" s="17">
        <f t="shared" ref="B316:G316" si="14">SUM(D$243:D$245)</f>
        <v>50744.899374625769</v>
      </c>
      <c r="C316" s="17">
        <f t="shared" si="14"/>
        <v>0</v>
      </c>
      <c r="D316" s="17">
        <f t="shared" si="14"/>
        <v>0</v>
      </c>
      <c r="E316" s="17">
        <f t="shared" si="14"/>
        <v>1442.8949741099771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3" t="s">
        <v>214</v>
      </c>
      <c r="B317" s="17">
        <f t="shared" ref="B317:G317" si="15">SUM(D$247:D$249)</f>
        <v>23328.46630202439</v>
      </c>
      <c r="C317" s="17">
        <f t="shared" si="15"/>
        <v>0</v>
      </c>
      <c r="D317" s="17">
        <f t="shared" si="15"/>
        <v>0</v>
      </c>
      <c r="E317" s="17">
        <f t="shared" si="15"/>
        <v>1187.4883179029223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3" t="s">
        <v>215</v>
      </c>
      <c r="B318" s="17">
        <f t="shared" ref="B318:G318" si="16">SUM(D$251:D$253)</f>
        <v>356.22882700287499</v>
      </c>
      <c r="C318" s="17">
        <f t="shared" si="16"/>
        <v>0</v>
      </c>
      <c r="D318" s="17">
        <f t="shared" si="16"/>
        <v>0</v>
      </c>
      <c r="E318" s="17">
        <f t="shared" si="16"/>
        <v>161.79146747777602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3" t="s">
        <v>216</v>
      </c>
      <c r="B319" s="17">
        <f t="shared" ref="B319:G319" si="17">SUM(D$255:D$257)</f>
        <v>8317.3632405332482</v>
      </c>
      <c r="C319" s="17">
        <f t="shared" si="17"/>
        <v>0</v>
      </c>
      <c r="D319" s="17">
        <f t="shared" si="17"/>
        <v>0</v>
      </c>
      <c r="E319" s="17">
        <f t="shared" si="17"/>
        <v>261.51199460244294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3" t="s">
        <v>217</v>
      </c>
      <c r="B320" s="17">
        <f t="shared" ref="B320:G320" si="18">SUM(D$259:D$261)</f>
        <v>12896.468429380624</v>
      </c>
      <c r="C320" s="17">
        <f t="shared" si="18"/>
        <v>29606.903732128623</v>
      </c>
      <c r="D320" s="17">
        <f t="shared" si="18"/>
        <v>198874.5436924781</v>
      </c>
      <c r="E320" s="17">
        <f t="shared" si="18"/>
        <v>117.01898591159899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3" t="s">
        <v>181</v>
      </c>
      <c r="B321" s="17">
        <f t="shared" ref="B321:G321" si="19">SUM(D$263:D$265)</f>
        <v>1352.8514217970164</v>
      </c>
      <c r="C321" s="17">
        <f t="shared" si="19"/>
        <v>0</v>
      </c>
      <c r="D321" s="17">
        <f t="shared" si="19"/>
        <v>0</v>
      </c>
      <c r="E321" s="17">
        <f t="shared" si="19"/>
        <v>18.316015186163327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3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3" t="s">
        <v>183</v>
      </c>
      <c r="B323" s="17">
        <f t="shared" ref="B323:G323" si="21">SUM(D$270:D$272)</f>
        <v>37465.173755843185</v>
      </c>
      <c r="C323" s="17">
        <f t="shared" si="21"/>
        <v>0</v>
      </c>
      <c r="D323" s="17">
        <f t="shared" si="21"/>
        <v>0</v>
      </c>
      <c r="E323" s="17">
        <f t="shared" si="21"/>
        <v>190.28304665625231</v>
      </c>
      <c r="F323" s="17">
        <f t="shared" si="21"/>
        <v>0</v>
      </c>
      <c r="G323" s="17">
        <f t="shared" si="21"/>
        <v>2396.4024237207173</v>
      </c>
      <c r="H323" s="10"/>
    </row>
    <row r="324" spans="1:8" x14ac:dyDescent="0.25">
      <c r="A324" s="3" t="s">
        <v>184</v>
      </c>
      <c r="B324" s="17">
        <f t="shared" ref="B324:G324" si="22">SUM(D$274:D$276)</f>
        <v>728.9515484251142</v>
      </c>
      <c r="C324" s="17">
        <f t="shared" si="22"/>
        <v>3252.8214818746578</v>
      </c>
      <c r="D324" s="17">
        <f t="shared" si="22"/>
        <v>3642.2599325289552</v>
      </c>
      <c r="E324" s="17">
        <f t="shared" si="22"/>
        <v>71.228947946190701</v>
      </c>
      <c r="F324" s="17">
        <f t="shared" si="22"/>
        <v>0</v>
      </c>
      <c r="G324" s="17">
        <f t="shared" si="22"/>
        <v>685.30016493204562</v>
      </c>
      <c r="H324" s="10"/>
    </row>
    <row r="325" spans="1:8" x14ac:dyDescent="0.25">
      <c r="A325" s="3" t="s">
        <v>185</v>
      </c>
      <c r="B325" s="17">
        <f t="shared" ref="B325:G325" si="23">SUM(D$278:D$279)</f>
        <v>1081.2841728000003</v>
      </c>
      <c r="C325" s="17">
        <f t="shared" si="23"/>
        <v>0</v>
      </c>
      <c r="D325" s="17">
        <f t="shared" si="23"/>
        <v>0</v>
      </c>
      <c r="E325" s="17">
        <f t="shared" si="23"/>
        <v>4.0702255969251837</v>
      </c>
      <c r="F325" s="17">
        <f t="shared" si="23"/>
        <v>0</v>
      </c>
      <c r="G325" s="17">
        <f t="shared" si="23"/>
        <v>129.34290968060574</v>
      </c>
      <c r="H325" s="10"/>
    </row>
    <row r="326" spans="1:8" x14ac:dyDescent="0.25">
      <c r="A326" s="3" t="s">
        <v>186</v>
      </c>
      <c r="B326" s="17">
        <f t="shared" ref="B326:G326" si="24">SUM(D$281:D$282)</f>
        <v>383.16761600000012</v>
      </c>
      <c r="C326" s="17">
        <f t="shared" si="24"/>
        <v>1336.9960448000002</v>
      </c>
      <c r="D326" s="17">
        <f t="shared" si="24"/>
        <v>2848.1643008000001</v>
      </c>
      <c r="E326" s="17">
        <f t="shared" si="24"/>
        <v>1.0175563992312959</v>
      </c>
      <c r="F326" s="17">
        <f t="shared" si="24"/>
        <v>0</v>
      </c>
      <c r="G326" s="17">
        <f t="shared" si="24"/>
        <v>34.076692591163521</v>
      </c>
      <c r="H326" s="10"/>
    </row>
    <row r="327" spans="1:8" x14ac:dyDescent="0.25">
      <c r="A327" s="3" t="s">
        <v>194</v>
      </c>
      <c r="B327" s="17">
        <f t="shared" ref="B327:G327" si="25">SUM(D$284:D$285)</f>
        <v>159096.25720985263</v>
      </c>
      <c r="C327" s="17">
        <f t="shared" si="25"/>
        <v>0</v>
      </c>
      <c r="D327" s="17">
        <f t="shared" si="25"/>
        <v>0</v>
      </c>
      <c r="E327" s="17">
        <f t="shared" si="25"/>
        <v>73.633827685838014</v>
      </c>
      <c r="F327" s="17">
        <f t="shared" si="25"/>
        <v>0</v>
      </c>
      <c r="G327" s="17">
        <f t="shared" si="25"/>
        <v>3483.8436451616044</v>
      </c>
      <c r="H327" s="10"/>
    </row>
    <row r="328" spans="1:8" x14ac:dyDescent="0.25">
      <c r="A328" s="3" t="s">
        <v>195</v>
      </c>
      <c r="B328" s="17">
        <f t="shared" ref="B328:G328" si="26">SUM(D$287:D$288)</f>
        <v>66634.498578297527</v>
      </c>
      <c r="C328" s="17">
        <f t="shared" si="26"/>
        <v>212262.49346457375</v>
      </c>
      <c r="D328" s="17">
        <f t="shared" si="26"/>
        <v>400806.320420056</v>
      </c>
      <c r="E328" s="17">
        <f t="shared" si="26"/>
        <v>163.40657650829806</v>
      </c>
      <c r="F328" s="17">
        <f t="shared" si="26"/>
        <v>0</v>
      </c>
      <c r="G328" s="17">
        <f t="shared" si="26"/>
        <v>8887.1674626252116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1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East Midlands in April 17 (Final)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1" t="s">
        <v>546</v>
      </c>
    </row>
    <row r="6" spans="1:6" x14ac:dyDescent="0.25">
      <c r="A6" s="11" t="s">
        <v>547</v>
      </c>
    </row>
    <row r="7" spans="1:6" x14ac:dyDescent="0.25">
      <c r="A7" s="11" t="s">
        <v>548</v>
      </c>
    </row>
    <row r="8" spans="1:6" x14ac:dyDescent="0.25">
      <c r="A8" s="29" t="s">
        <v>359</v>
      </c>
      <c r="B8" s="29" t="s">
        <v>490</v>
      </c>
      <c r="C8" s="29" t="s">
        <v>489</v>
      </c>
      <c r="D8" s="29"/>
      <c r="E8" s="29"/>
    </row>
    <row r="9" spans="1:6" x14ac:dyDescent="0.25">
      <c r="A9" s="29" t="s">
        <v>362</v>
      </c>
      <c r="B9" s="29" t="s">
        <v>540</v>
      </c>
      <c r="C9" s="29" t="s">
        <v>549</v>
      </c>
      <c r="D9" s="29"/>
      <c r="E9" s="29"/>
    </row>
    <row r="11" spans="1:6" ht="30" x14ac:dyDescent="0.25">
      <c r="C11" s="27" t="s">
        <v>551</v>
      </c>
      <c r="D11" s="27"/>
      <c r="E11" s="27"/>
    </row>
    <row r="12" spans="1:6" x14ac:dyDescent="0.25">
      <c r="B12" s="12" t="s">
        <v>550</v>
      </c>
      <c r="C12" s="12" t="s">
        <v>324</v>
      </c>
      <c r="D12" s="12" t="s">
        <v>325</v>
      </c>
      <c r="E12" s="12" t="s">
        <v>326</v>
      </c>
    </row>
    <row r="13" spans="1:6" ht="30" x14ac:dyDescent="0.25">
      <c r="A13" s="3" t="s">
        <v>552</v>
      </c>
      <c r="B13" s="38">
        <f>SUM(Input!$B348:$D348)</f>
        <v>8760</v>
      </c>
      <c r="C13" s="38">
        <f>Input!B348*24*Input!$F58/$B13</f>
        <v>780</v>
      </c>
      <c r="D13" s="38">
        <f>Input!C348*24*Input!$F58/$B13</f>
        <v>2730</v>
      </c>
      <c r="E13" s="38">
        <f>Input!D348*24*Input!$F58/$B13</f>
        <v>5250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1" t="s">
        <v>554</v>
      </c>
    </row>
    <row r="18" spans="1:6" x14ac:dyDescent="0.25">
      <c r="A18" s="11" t="s">
        <v>555</v>
      </c>
    </row>
    <row r="19" spans="1:6" x14ac:dyDescent="0.25">
      <c r="A19" s="11" t="s">
        <v>556</v>
      </c>
    </row>
    <row r="20" spans="1:6" x14ac:dyDescent="0.25">
      <c r="A20" s="11" t="s">
        <v>557</v>
      </c>
    </row>
    <row r="21" spans="1:6" x14ac:dyDescent="0.25">
      <c r="A21" s="29" t="s">
        <v>359</v>
      </c>
      <c r="B21" s="29" t="s">
        <v>490</v>
      </c>
      <c r="C21" s="29" t="s">
        <v>489</v>
      </c>
      <c r="D21" s="29"/>
      <c r="E21" s="29"/>
    </row>
    <row r="22" spans="1:6" x14ac:dyDescent="0.25">
      <c r="A22" s="29" t="s">
        <v>362</v>
      </c>
      <c r="B22" s="29" t="s">
        <v>540</v>
      </c>
      <c r="C22" s="29" t="s">
        <v>558</v>
      </c>
      <c r="D22" s="29"/>
      <c r="E22" s="29"/>
    </row>
    <row r="24" spans="1:6" ht="30" x14ac:dyDescent="0.25">
      <c r="C24" s="27" t="s">
        <v>560</v>
      </c>
      <c r="D24" s="27"/>
      <c r="E24" s="27"/>
    </row>
    <row r="25" spans="1:6" x14ac:dyDescent="0.25">
      <c r="B25" s="12" t="s">
        <v>559</v>
      </c>
      <c r="C25" s="12" t="s">
        <v>324</v>
      </c>
      <c r="D25" s="12" t="s">
        <v>325</v>
      </c>
      <c r="E25" s="12" t="s">
        <v>326</v>
      </c>
    </row>
    <row r="26" spans="1:6" x14ac:dyDescent="0.25">
      <c r="A26" s="3" t="s">
        <v>171</v>
      </c>
      <c r="B26" s="35">
        <f>SUM(Input!$B309:$D309)</f>
        <v>1</v>
      </c>
      <c r="C26" s="35">
        <f>IF($B26,Input!B309/$B26,C$13/Input!$F$58/24)</f>
        <v>0.15175181316585787</v>
      </c>
      <c r="D26" s="35">
        <f>IF($B26,Input!C309/$B26,D$13/Input!$F$58/24)</f>
        <v>0.41863554592191193</v>
      </c>
      <c r="E26" s="35">
        <f>IF($B26,Input!D309/$B26,E$13/Input!$F$58/24)</f>
        <v>0.42961264091223023</v>
      </c>
      <c r="F26" s="10"/>
    </row>
    <row r="27" spans="1:6" x14ac:dyDescent="0.25">
      <c r="A27" s="3" t="s">
        <v>172</v>
      </c>
      <c r="B27" s="35">
        <f>SUM(Input!$B310:$D310)</f>
        <v>1</v>
      </c>
      <c r="C27" s="35">
        <f>IF($B27,Input!B310/$B27,C$13/Input!$F$58/24)</f>
        <v>0.14988930992043384</v>
      </c>
      <c r="D27" s="35">
        <f>IF($B27,Input!C310/$B27,D$13/Input!$F$58/24)</f>
        <v>0.4152479315395457</v>
      </c>
      <c r="E27" s="35">
        <f>IF($B27,Input!D310/$B27,E$13/Input!$F$58/24)</f>
        <v>0.43486275854002043</v>
      </c>
      <c r="F27" s="10"/>
    </row>
    <row r="28" spans="1:6" x14ac:dyDescent="0.25">
      <c r="A28" s="3" t="s">
        <v>211</v>
      </c>
      <c r="B28" s="35">
        <f>SUM(Input!$B311:$D311)</f>
        <v>1</v>
      </c>
      <c r="C28" s="35">
        <f>IF($B28,Input!B311/$B28,C$13/Input!$F$58/24)</f>
        <v>4.5066324872684214E-2</v>
      </c>
      <c r="D28" s="35">
        <f>IF($B28,Input!C311/$B28,D$13/Input!$F$58/24)</f>
        <v>0.31786379114093172</v>
      </c>
      <c r="E28" s="35">
        <f>IF($B28,Input!D311/$B28,E$13/Input!$F$58/24)</f>
        <v>0.63706988398638409</v>
      </c>
      <c r="F28" s="10"/>
    </row>
    <row r="29" spans="1:6" x14ac:dyDescent="0.25">
      <c r="A29" s="3" t="s">
        <v>173</v>
      </c>
      <c r="B29" s="35">
        <f>SUM(Input!$B312:$D312)</f>
        <v>1</v>
      </c>
      <c r="C29" s="35">
        <f>IF($B29,Input!B312/$B29,C$13/Input!$F$58/24)</f>
        <v>0.13197139495307864</v>
      </c>
      <c r="D29" s="35">
        <f>IF($B29,Input!C312/$B29,D$13/Input!$F$58/24)</f>
        <v>0.58632136343692398</v>
      </c>
      <c r="E29" s="35">
        <f>IF($B29,Input!D312/$B29,E$13/Input!$F$58/24)</f>
        <v>0.28170724160999738</v>
      </c>
      <c r="F29" s="10"/>
    </row>
    <row r="30" spans="1:6" x14ac:dyDescent="0.25">
      <c r="A30" s="3" t="s">
        <v>174</v>
      </c>
      <c r="B30" s="35">
        <f>SUM(Input!$B313:$D313)</f>
        <v>1</v>
      </c>
      <c r="C30" s="35">
        <f>IF($B30,Input!B313/$B30,C$13/Input!$F$58/24)</f>
        <v>0.12559343520484603</v>
      </c>
      <c r="D30" s="35">
        <f>IF($B30,Input!C313/$B30,D$13/Input!$F$58/24)</f>
        <v>0.51496750573007233</v>
      </c>
      <c r="E30" s="35">
        <f>IF($B30,Input!D313/$B30,E$13/Input!$F$58/24)</f>
        <v>0.35943905906508161</v>
      </c>
      <c r="F30" s="10"/>
    </row>
    <row r="31" spans="1:6" x14ac:dyDescent="0.25">
      <c r="A31" s="3" t="s">
        <v>212</v>
      </c>
      <c r="B31" s="35">
        <f>SUM(Input!$B314:$D314)</f>
        <v>1</v>
      </c>
      <c r="C31" s="35">
        <f>IF($B31,Input!B314/$B31,C$13/Input!$F$58/24)</f>
        <v>1.6883539413977185E-2</v>
      </c>
      <c r="D31" s="35">
        <f>IF($B31,Input!C314/$B31,D$13/Input!$F$58/24)</f>
        <v>0.18706611656932615</v>
      </c>
      <c r="E31" s="35">
        <f>IF($B31,Input!D314/$B31,E$13/Input!$F$58/24)</f>
        <v>0.79605034401669661</v>
      </c>
      <c r="F31" s="10"/>
    </row>
    <row r="32" spans="1:6" x14ac:dyDescent="0.25">
      <c r="A32" s="3" t="s">
        <v>175</v>
      </c>
      <c r="B32" s="35">
        <f>SUM(Input!$B315:$D315)</f>
        <v>1</v>
      </c>
      <c r="C32" s="35">
        <f>IF($B32,Input!B315/$B32,C$13/Input!$F$58/24)</f>
        <v>0.13523228476397686</v>
      </c>
      <c r="D32" s="35">
        <f>IF($B32,Input!C315/$B32,D$13/Input!$F$58/24)</f>
        <v>0.52748359976013814</v>
      </c>
      <c r="E32" s="35">
        <f>IF($B32,Input!D315/$B32,E$13/Input!$F$58/24)</f>
        <v>0.33728411547588505</v>
      </c>
      <c r="F32" s="10"/>
    </row>
    <row r="33" spans="1:6" x14ac:dyDescent="0.25">
      <c r="A33" s="3" t="s">
        <v>176</v>
      </c>
      <c r="B33" s="35">
        <f>SUM(Input!$B316:$D316)</f>
        <v>1</v>
      </c>
      <c r="C33" s="35">
        <f>IF($B33,Input!B316/$B33,C$13/Input!$F$58/24)</f>
        <v>0.13381599890228998</v>
      </c>
      <c r="D33" s="35">
        <f>IF($B33,Input!C316/$B33,D$13/Input!$F$58/24)</f>
        <v>0.52877228703891521</v>
      </c>
      <c r="E33" s="35">
        <f>IF($B33,Input!D316/$B33,E$13/Input!$F$58/24)</f>
        <v>0.33741171405879483</v>
      </c>
      <c r="F33" s="10"/>
    </row>
    <row r="34" spans="1:6" x14ac:dyDescent="0.25">
      <c r="A34" s="3" t="s">
        <v>192</v>
      </c>
      <c r="B34" s="35">
        <f>SUM(Input!$B317:$D317)</f>
        <v>1</v>
      </c>
      <c r="C34" s="35">
        <f>IF($B34,Input!B317/$B34,C$13/Input!$F$58/24)</f>
        <v>0.1339102608901872</v>
      </c>
      <c r="D34" s="35">
        <f>IF($B34,Input!C317/$B34,D$13/Input!$F$58/24)</f>
        <v>0.53961901757848463</v>
      </c>
      <c r="E34" s="35">
        <f>IF($B34,Input!D317/$B34,E$13/Input!$F$58/24)</f>
        <v>0.32647072153132822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1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12" t="s">
        <v>324</v>
      </c>
      <c r="C42" s="12" t="s">
        <v>325</v>
      </c>
      <c r="D42" s="12" t="s">
        <v>326</v>
      </c>
    </row>
    <row r="43" spans="1:6" x14ac:dyDescent="0.25">
      <c r="A43" s="3" t="s">
        <v>171</v>
      </c>
      <c r="B43" s="37">
        <f>C$26</f>
        <v>0.15175181316585787</v>
      </c>
      <c r="C43" s="37">
        <f>D$26</f>
        <v>0.41863554592191193</v>
      </c>
      <c r="D43" s="37">
        <f>E$26</f>
        <v>0.42961264091223023</v>
      </c>
      <c r="E43" s="10"/>
    </row>
    <row r="44" spans="1:6" x14ac:dyDescent="0.25">
      <c r="A44" s="3" t="s">
        <v>172</v>
      </c>
      <c r="B44" s="37">
        <f>C$27</f>
        <v>0.14988930992043384</v>
      </c>
      <c r="C44" s="37">
        <f>D$27</f>
        <v>0.4152479315395457</v>
      </c>
      <c r="D44" s="37">
        <f>E$27</f>
        <v>0.43486275854002043</v>
      </c>
      <c r="E44" s="10"/>
    </row>
    <row r="45" spans="1:6" x14ac:dyDescent="0.25">
      <c r="A45" s="3" t="s">
        <v>211</v>
      </c>
      <c r="B45" s="37">
        <f>C$28</f>
        <v>4.5066324872684214E-2</v>
      </c>
      <c r="C45" s="37">
        <f>D$28</f>
        <v>0.31786379114093172</v>
      </c>
      <c r="D45" s="37">
        <f>E$28</f>
        <v>0.63706988398638409</v>
      </c>
      <c r="E45" s="10"/>
    </row>
    <row r="46" spans="1:6" x14ac:dyDescent="0.25">
      <c r="A46" s="3" t="s">
        <v>173</v>
      </c>
      <c r="B46" s="37">
        <f>C$29</f>
        <v>0.13197139495307864</v>
      </c>
      <c r="C46" s="37">
        <f>D$29</f>
        <v>0.58632136343692398</v>
      </c>
      <c r="D46" s="37">
        <f>E$29</f>
        <v>0.28170724160999738</v>
      </c>
      <c r="E46" s="10"/>
    </row>
    <row r="47" spans="1:6" x14ac:dyDescent="0.25">
      <c r="A47" s="3" t="s">
        <v>174</v>
      </c>
      <c r="B47" s="37">
        <f>C$30</f>
        <v>0.12559343520484603</v>
      </c>
      <c r="C47" s="37">
        <f>D$30</f>
        <v>0.51496750573007233</v>
      </c>
      <c r="D47" s="37">
        <f>E$30</f>
        <v>0.35943905906508161</v>
      </c>
      <c r="E47" s="10"/>
    </row>
    <row r="48" spans="1:6" x14ac:dyDescent="0.25">
      <c r="A48" s="3" t="s">
        <v>212</v>
      </c>
      <c r="B48" s="37">
        <f>C$31</f>
        <v>1.6883539413977185E-2</v>
      </c>
      <c r="C48" s="37">
        <f>D$31</f>
        <v>0.18706611656932615</v>
      </c>
      <c r="D48" s="37">
        <f>E$31</f>
        <v>0.79605034401669661</v>
      </c>
      <c r="E48" s="10"/>
    </row>
    <row r="49" spans="1:5" x14ac:dyDescent="0.25">
      <c r="A49" s="3" t="s">
        <v>175</v>
      </c>
      <c r="B49" s="37">
        <f>C$32</f>
        <v>0.13523228476397686</v>
      </c>
      <c r="C49" s="37">
        <f>D$32</f>
        <v>0.52748359976013814</v>
      </c>
      <c r="D49" s="37">
        <f>E$32</f>
        <v>0.33728411547588505</v>
      </c>
      <c r="E49" s="10"/>
    </row>
    <row r="50" spans="1:5" x14ac:dyDescent="0.25">
      <c r="A50" s="3" t="s">
        <v>176</v>
      </c>
      <c r="B50" s="37">
        <f>C$33</f>
        <v>0.13381599890228998</v>
      </c>
      <c r="C50" s="37">
        <f>D$33</f>
        <v>0.52877228703891521</v>
      </c>
      <c r="D50" s="37">
        <f>E$33</f>
        <v>0.33741171405879483</v>
      </c>
      <c r="E50" s="10"/>
    </row>
    <row r="51" spans="1:5" x14ac:dyDescent="0.25">
      <c r="A51" s="3" t="s">
        <v>192</v>
      </c>
      <c r="B51" s="37">
        <f>C$34</f>
        <v>0.1339102608901872</v>
      </c>
      <c r="C51" s="37">
        <f>D$34</f>
        <v>0.53961901757848463</v>
      </c>
      <c r="D51" s="37">
        <f>E$34</f>
        <v>0.32647072153132822</v>
      </c>
      <c r="E51" s="10"/>
    </row>
    <row r="52" spans="1:5" x14ac:dyDescent="0.25">
      <c r="A52" s="3" t="s">
        <v>177</v>
      </c>
      <c r="B52" s="36">
        <v>1</v>
      </c>
      <c r="C52" s="36">
        <v>0</v>
      </c>
      <c r="D52" s="36">
        <v>0</v>
      </c>
      <c r="E52" s="10"/>
    </row>
    <row r="53" spans="1:5" x14ac:dyDescent="0.25">
      <c r="A53" s="3" t="s">
        <v>178</v>
      </c>
      <c r="B53" s="36">
        <v>1</v>
      </c>
      <c r="C53" s="36">
        <v>0</v>
      </c>
      <c r="D53" s="36">
        <v>0</v>
      </c>
      <c r="E53" s="10"/>
    </row>
    <row r="54" spans="1:5" x14ac:dyDescent="0.25">
      <c r="A54" s="3" t="s">
        <v>179</v>
      </c>
      <c r="B54" s="36">
        <v>1</v>
      </c>
      <c r="C54" s="36">
        <v>0</v>
      </c>
      <c r="D54" s="36">
        <v>0</v>
      </c>
      <c r="E54" s="10"/>
    </row>
    <row r="55" spans="1:5" x14ac:dyDescent="0.25">
      <c r="A55" s="3" t="s">
        <v>180</v>
      </c>
      <c r="B55" s="36">
        <v>1</v>
      </c>
      <c r="C55" s="36">
        <v>0</v>
      </c>
      <c r="D55" s="36">
        <v>0</v>
      </c>
      <c r="E55" s="10"/>
    </row>
    <row r="56" spans="1:5" x14ac:dyDescent="0.25">
      <c r="A56" s="3" t="s">
        <v>193</v>
      </c>
      <c r="B56" s="36">
        <v>1</v>
      </c>
      <c r="C56" s="36">
        <v>0</v>
      </c>
      <c r="D56" s="36">
        <v>0</v>
      </c>
      <c r="E56" s="10"/>
    </row>
    <row r="57" spans="1:5" x14ac:dyDescent="0.25">
      <c r="A57" s="3" t="s">
        <v>184</v>
      </c>
      <c r="B57" s="36">
        <v>1</v>
      </c>
      <c r="C57" s="36">
        <v>0</v>
      </c>
      <c r="D57" s="36">
        <v>0</v>
      </c>
      <c r="E57" s="10"/>
    </row>
    <row r="58" spans="1:5" x14ac:dyDescent="0.25">
      <c r="A58" s="3" t="s">
        <v>186</v>
      </c>
      <c r="B58" s="36">
        <v>1</v>
      </c>
      <c r="C58" s="36">
        <v>0</v>
      </c>
      <c r="D58" s="36">
        <v>0</v>
      </c>
      <c r="E58" s="10"/>
    </row>
    <row r="59" spans="1:5" x14ac:dyDescent="0.25">
      <c r="A59" s="3" t="s">
        <v>195</v>
      </c>
      <c r="B59" s="36">
        <v>1</v>
      </c>
      <c r="C59" s="36">
        <v>0</v>
      </c>
      <c r="D59" s="36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1" t="s">
        <v>565</v>
      </c>
    </row>
    <row r="64" spans="1:5" x14ac:dyDescent="0.25">
      <c r="A64" s="11" t="s">
        <v>566</v>
      </c>
    </row>
    <row r="65" spans="1:6" x14ac:dyDescent="0.25">
      <c r="A65" s="11" t="s">
        <v>556</v>
      </c>
    </row>
    <row r="66" spans="1:6" x14ac:dyDescent="0.25">
      <c r="A66" s="11" t="s">
        <v>557</v>
      </c>
    </row>
    <row r="67" spans="1:6" x14ac:dyDescent="0.25">
      <c r="A67" s="29" t="s">
        <v>359</v>
      </c>
      <c r="B67" s="29" t="s">
        <v>490</v>
      </c>
      <c r="C67" s="29" t="s">
        <v>489</v>
      </c>
      <c r="D67" s="29"/>
      <c r="E67" s="29"/>
    </row>
    <row r="68" spans="1:6" x14ac:dyDescent="0.25">
      <c r="A68" s="29" t="s">
        <v>362</v>
      </c>
      <c r="B68" s="29" t="s">
        <v>540</v>
      </c>
      <c r="C68" s="29" t="s">
        <v>558</v>
      </c>
      <c r="D68" s="29"/>
      <c r="E68" s="29"/>
    </row>
    <row r="70" spans="1:6" ht="30" x14ac:dyDescent="0.25">
      <c r="C70" s="27" t="s">
        <v>567</v>
      </c>
      <c r="D70" s="27"/>
      <c r="E70" s="27"/>
    </row>
    <row r="71" spans="1:6" x14ac:dyDescent="0.25">
      <c r="B71" s="12" t="s">
        <v>559</v>
      </c>
      <c r="C71" s="12" t="s">
        <v>324</v>
      </c>
      <c r="D71" s="12" t="s">
        <v>325</v>
      </c>
      <c r="E71" s="12" t="s">
        <v>326</v>
      </c>
    </row>
    <row r="72" spans="1:6" x14ac:dyDescent="0.25">
      <c r="A72" s="3" t="s">
        <v>172</v>
      </c>
      <c r="B72" s="35">
        <f>SUM(Input!$B322:$D322)</f>
        <v>1</v>
      </c>
      <c r="C72" s="35">
        <f>IF($B72,Input!B322/$B72,C$13/Input!$F$58/24)</f>
        <v>0</v>
      </c>
      <c r="D72" s="35">
        <f>IF($B72,Input!C322/$B72,D$13/Input!$F$58/24)</f>
        <v>0</v>
      </c>
      <c r="E72" s="35">
        <f>IF($B72,Input!D322/$B72,E$13/Input!$F$58/24)</f>
        <v>1</v>
      </c>
      <c r="F72" s="10"/>
    </row>
    <row r="73" spans="1:6" x14ac:dyDescent="0.25">
      <c r="A73" s="3" t="s">
        <v>174</v>
      </c>
      <c r="B73" s="35">
        <f>SUM(Input!$B323:$D323)</f>
        <v>1</v>
      </c>
      <c r="C73" s="35">
        <f>IF($B73,Input!B323/$B73,C$13/Input!$F$58/24)</f>
        <v>0</v>
      </c>
      <c r="D73" s="35">
        <f>IF($B73,Input!C323/$B73,D$13/Input!$F$58/24)</f>
        <v>0</v>
      </c>
      <c r="E73" s="35">
        <f>IF($B73,Input!D323/$B73,E$13/Input!$F$58/24)</f>
        <v>1</v>
      </c>
      <c r="F73" s="10"/>
    </row>
    <row r="74" spans="1:6" x14ac:dyDescent="0.25">
      <c r="A74" s="3" t="s">
        <v>175</v>
      </c>
      <c r="B74" s="35">
        <f>SUM(Input!$B324:$D324)</f>
        <v>1</v>
      </c>
      <c r="C74" s="35">
        <f>IF($B74,Input!B324/$B74,C$13/Input!$F$58/24)</f>
        <v>0</v>
      </c>
      <c r="D74" s="35">
        <f>IF($B74,Input!C324/$B74,D$13/Input!$F$58/24)</f>
        <v>0</v>
      </c>
      <c r="E74" s="35">
        <f>IF($B74,Input!D324/$B74,E$13/Input!$F$58/24)</f>
        <v>1</v>
      </c>
      <c r="F74" s="10"/>
    </row>
    <row r="75" spans="1:6" x14ac:dyDescent="0.25">
      <c r="A75" s="3" t="s">
        <v>176</v>
      </c>
      <c r="B75" s="35">
        <f>SUM(Input!$B325:$D325)</f>
        <v>1</v>
      </c>
      <c r="C75" s="35">
        <f>IF($B75,Input!B325/$B75,C$13/Input!$F$58/24)</f>
        <v>0</v>
      </c>
      <c r="D75" s="35">
        <f>IF($B75,Input!C325/$B75,D$13/Input!$F$58/24)</f>
        <v>0</v>
      </c>
      <c r="E75" s="35">
        <f>IF($B75,Input!D325/$B75,E$13/Input!$F$58/24)</f>
        <v>1</v>
      </c>
      <c r="F75" s="10"/>
    </row>
    <row r="76" spans="1:6" x14ac:dyDescent="0.25">
      <c r="A76" s="3" t="s">
        <v>192</v>
      </c>
      <c r="B76" s="35">
        <f>SUM(Input!$B326:$D326)</f>
        <v>1</v>
      </c>
      <c r="C76" s="35">
        <f>IF($B76,Input!B326/$B76,C$13/Input!$F$58/24)</f>
        <v>0</v>
      </c>
      <c r="D76" s="35">
        <f>IF($B76,Input!C326/$B76,D$13/Input!$F$58/24)</f>
        <v>0</v>
      </c>
      <c r="E76" s="35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1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12" t="s">
        <v>324</v>
      </c>
      <c r="C84" s="12" t="s">
        <v>325</v>
      </c>
      <c r="D84" s="12" t="s">
        <v>326</v>
      </c>
    </row>
    <row r="85" spans="1:5" x14ac:dyDescent="0.25">
      <c r="A85" s="3" t="s">
        <v>172</v>
      </c>
      <c r="B85" s="37">
        <f>C$72</f>
        <v>0</v>
      </c>
      <c r="C85" s="37">
        <f>D$72</f>
        <v>0</v>
      </c>
      <c r="D85" s="37">
        <f>E$72</f>
        <v>1</v>
      </c>
      <c r="E85" s="10"/>
    </row>
    <row r="86" spans="1:5" x14ac:dyDescent="0.25">
      <c r="A86" s="3" t="s">
        <v>174</v>
      </c>
      <c r="B86" s="37">
        <f>C$73</f>
        <v>0</v>
      </c>
      <c r="C86" s="37">
        <f>D$73</f>
        <v>0</v>
      </c>
      <c r="D86" s="37">
        <f>E$73</f>
        <v>1</v>
      </c>
      <c r="E86" s="10"/>
    </row>
    <row r="87" spans="1:5" x14ac:dyDescent="0.25">
      <c r="A87" s="3" t="s">
        <v>175</v>
      </c>
      <c r="B87" s="37">
        <f>C$74</f>
        <v>0</v>
      </c>
      <c r="C87" s="37">
        <f>D$74</f>
        <v>0</v>
      </c>
      <c r="D87" s="37">
        <f>E$74</f>
        <v>1</v>
      </c>
      <c r="E87" s="10"/>
    </row>
    <row r="88" spans="1:5" x14ac:dyDescent="0.25">
      <c r="A88" s="3" t="s">
        <v>176</v>
      </c>
      <c r="B88" s="37">
        <f>C$75</f>
        <v>0</v>
      </c>
      <c r="C88" s="37">
        <f>D$75</f>
        <v>0</v>
      </c>
      <c r="D88" s="37">
        <f>E$75</f>
        <v>1</v>
      </c>
      <c r="E88" s="10"/>
    </row>
    <row r="89" spans="1:5" x14ac:dyDescent="0.25">
      <c r="A89" s="3" t="s">
        <v>192</v>
      </c>
      <c r="B89" s="37">
        <f>C$76</f>
        <v>0</v>
      </c>
      <c r="C89" s="37">
        <f>D$76</f>
        <v>0</v>
      </c>
      <c r="D89" s="37">
        <f>E$76</f>
        <v>1</v>
      </c>
      <c r="E89" s="10"/>
    </row>
    <row r="90" spans="1:5" x14ac:dyDescent="0.25">
      <c r="A90" s="3" t="s">
        <v>177</v>
      </c>
      <c r="B90" s="36">
        <v>0</v>
      </c>
      <c r="C90" s="36">
        <v>1</v>
      </c>
      <c r="D90" s="36">
        <v>0</v>
      </c>
      <c r="E90" s="10"/>
    </row>
    <row r="91" spans="1:5" x14ac:dyDescent="0.25">
      <c r="A91" s="3" t="s">
        <v>178</v>
      </c>
      <c r="B91" s="36">
        <v>0</v>
      </c>
      <c r="C91" s="36">
        <v>1</v>
      </c>
      <c r="D91" s="36">
        <v>0</v>
      </c>
      <c r="E91" s="10"/>
    </row>
    <row r="92" spans="1:5" x14ac:dyDescent="0.25">
      <c r="A92" s="3" t="s">
        <v>179</v>
      </c>
      <c r="B92" s="36">
        <v>0</v>
      </c>
      <c r="C92" s="36">
        <v>1</v>
      </c>
      <c r="D92" s="36">
        <v>0</v>
      </c>
      <c r="E92" s="10"/>
    </row>
    <row r="93" spans="1:5" x14ac:dyDescent="0.25">
      <c r="A93" s="3" t="s">
        <v>180</v>
      </c>
      <c r="B93" s="36">
        <v>0</v>
      </c>
      <c r="C93" s="36">
        <v>1</v>
      </c>
      <c r="D93" s="36">
        <v>0</v>
      </c>
      <c r="E93" s="10"/>
    </row>
    <row r="94" spans="1:5" x14ac:dyDescent="0.25">
      <c r="A94" s="3" t="s">
        <v>193</v>
      </c>
      <c r="B94" s="36">
        <v>0</v>
      </c>
      <c r="C94" s="36">
        <v>1</v>
      </c>
      <c r="D94" s="36">
        <v>0</v>
      </c>
      <c r="E94" s="10"/>
    </row>
    <row r="95" spans="1:5" x14ac:dyDescent="0.25">
      <c r="A95" s="3" t="s">
        <v>184</v>
      </c>
      <c r="B95" s="36">
        <v>0</v>
      </c>
      <c r="C95" s="36">
        <v>1</v>
      </c>
      <c r="D95" s="36">
        <v>0</v>
      </c>
      <c r="E95" s="10"/>
    </row>
    <row r="96" spans="1:5" x14ac:dyDescent="0.25">
      <c r="A96" s="3" t="s">
        <v>186</v>
      </c>
      <c r="B96" s="36">
        <v>0</v>
      </c>
      <c r="C96" s="36">
        <v>1</v>
      </c>
      <c r="D96" s="36">
        <v>0</v>
      </c>
      <c r="E96" s="10"/>
    </row>
    <row r="97" spans="1:5" x14ac:dyDescent="0.25">
      <c r="A97" s="3" t="s">
        <v>195</v>
      </c>
      <c r="B97" s="36">
        <v>0</v>
      </c>
      <c r="C97" s="36">
        <v>1</v>
      </c>
      <c r="D97" s="36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12" t="s">
        <v>324</v>
      </c>
      <c r="C101" s="12" t="s">
        <v>325</v>
      </c>
      <c r="D101" s="12" t="s">
        <v>326</v>
      </c>
    </row>
    <row r="102" spans="1:5" x14ac:dyDescent="0.25">
      <c r="A102" s="3" t="s">
        <v>177</v>
      </c>
      <c r="B102" s="36">
        <v>0</v>
      </c>
      <c r="C102" s="36">
        <v>0</v>
      </c>
      <c r="D102" s="36">
        <v>1</v>
      </c>
      <c r="E102" s="10"/>
    </row>
    <row r="103" spans="1:5" x14ac:dyDescent="0.25">
      <c r="A103" s="3" t="s">
        <v>178</v>
      </c>
      <c r="B103" s="36">
        <v>0</v>
      </c>
      <c r="C103" s="36">
        <v>0</v>
      </c>
      <c r="D103" s="36">
        <v>1</v>
      </c>
      <c r="E103" s="10"/>
    </row>
    <row r="104" spans="1:5" x14ac:dyDescent="0.25">
      <c r="A104" s="3" t="s">
        <v>179</v>
      </c>
      <c r="B104" s="36">
        <v>0</v>
      </c>
      <c r="C104" s="36">
        <v>0</v>
      </c>
      <c r="D104" s="36">
        <v>1</v>
      </c>
      <c r="E104" s="10"/>
    </row>
    <row r="105" spans="1:5" x14ac:dyDescent="0.25">
      <c r="A105" s="3" t="s">
        <v>180</v>
      </c>
      <c r="B105" s="36">
        <v>0</v>
      </c>
      <c r="C105" s="36">
        <v>0</v>
      </c>
      <c r="D105" s="36">
        <v>1</v>
      </c>
      <c r="E105" s="10"/>
    </row>
    <row r="106" spans="1:5" x14ac:dyDescent="0.25">
      <c r="A106" s="3" t="s">
        <v>193</v>
      </c>
      <c r="B106" s="36">
        <v>0</v>
      </c>
      <c r="C106" s="36">
        <v>0</v>
      </c>
      <c r="D106" s="36">
        <v>1</v>
      </c>
      <c r="E106" s="10"/>
    </row>
    <row r="107" spans="1:5" x14ac:dyDescent="0.25">
      <c r="A107" s="3" t="s">
        <v>184</v>
      </c>
      <c r="B107" s="36">
        <v>0</v>
      </c>
      <c r="C107" s="36">
        <v>0</v>
      </c>
      <c r="D107" s="36">
        <v>1</v>
      </c>
      <c r="E107" s="10"/>
    </row>
    <row r="108" spans="1:5" x14ac:dyDescent="0.25">
      <c r="A108" s="3" t="s">
        <v>186</v>
      </c>
      <c r="B108" s="36">
        <v>0</v>
      </c>
      <c r="C108" s="36">
        <v>0</v>
      </c>
      <c r="D108" s="36">
        <v>1</v>
      </c>
      <c r="E108" s="10"/>
    </row>
    <row r="109" spans="1:5" x14ac:dyDescent="0.25">
      <c r="A109" s="3" t="s">
        <v>195</v>
      </c>
      <c r="B109" s="36">
        <v>0</v>
      </c>
      <c r="C109" s="36">
        <v>0</v>
      </c>
      <c r="D109" s="36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1" t="s">
        <v>573</v>
      </c>
    </row>
    <row r="114" spans="1:3" x14ac:dyDescent="0.25">
      <c r="A114" s="11" t="s">
        <v>574</v>
      </c>
    </row>
    <row r="115" spans="1:3" x14ac:dyDescent="0.25">
      <c r="A115" s="11" t="s">
        <v>575</v>
      </c>
    </row>
    <row r="116" spans="1:3" x14ac:dyDescent="0.25">
      <c r="A116" s="2" t="s">
        <v>576</v>
      </c>
    </row>
    <row r="118" spans="1:3" x14ac:dyDescent="0.25">
      <c r="B118" s="12" t="s">
        <v>577</v>
      </c>
    </row>
    <row r="119" spans="1:3" x14ac:dyDescent="0.25">
      <c r="A119" s="3" t="s">
        <v>171</v>
      </c>
      <c r="B119" s="17">
        <f>Loads!B302+Loads!C302+Loads!D302</f>
        <v>5219529.2468754714</v>
      </c>
      <c r="C119" s="10"/>
    </row>
    <row r="120" spans="1:3" x14ac:dyDescent="0.25">
      <c r="A120" s="3" t="s">
        <v>172</v>
      </c>
      <c r="B120" s="17">
        <f>Loads!B303+Loads!C303+Loads!D303</f>
        <v>3920320.1522717476</v>
      </c>
      <c r="C120" s="10"/>
    </row>
    <row r="121" spans="1:3" x14ac:dyDescent="0.25">
      <c r="A121" s="3" t="s">
        <v>211</v>
      </c>
      <c r="B121" s="17">
        <f>Loads!B304+Loads!C304+Loads!D304</f>
        <v>126246.1428114313</v>
      </c>
      <c r="C121" s="10"/>
    </row>
    <row r="122" spans="1:3" x14ac:dyDescent="0.25">
      <c r="A122" s="3" t="s">
        <v>173</v>
      </c>
      <c r="B122" s="17">
        <f>Loads!B305+Loads!C305+Loads!D305</f>
        <v>1117811.4088570208</v>
      </c>
      <c r="C122" s="10"/>
    </row>
    <row r="123" spans="1:3" x14ac:dyDescent="0.25">
      <c r="A123" s="3" t="s">
        <v>174</v>
      </c>
      <c r="B123" s="17">
        <f>Loads!B306+Loads!C306+Loads!D306</f>
        <v>2057690.4947114021</v>
      </c>
      <c r="C123" s="10"/>
    </row>
    <row r="124" spans="1:3" x14ac:dyDescent="0.25">
      <c r="A124" s="3" t="s">
        <v>212</v>
      </c>
      <c r="B124" s="17">
        <f>Loads!B307+Loads!C307+Loads!D307</f>
        <v>4232.4037128975033</v>
      </c>
      <c r="C124" s="10"/>
    </row>
    <row r="125" spans="1:3" x14ac:dyDescent="0.25">
      <c r="A125" s="3" t="s">
        <v>175</v>
      </c>
      <c r="B125" s="17">
        <f>Loads!B308+Loads!C308+Loads!D308</f>
        <v>0</v>
      </c>
      <c r="C125" s="10"/>
    </row>
    <row r="126" spans="1:3" x14ac:dyDescent="0.25">
      <c r="A126" s="3" t="s">
        <v>176</v>
      </c>
      <c r="B126" s="17">
        <f>Loads!B309+Loads!C309+Loads!D309</f>
        <v>0</v>
      </c>
      <c r="C126" s="10"/>
    </row>
    <row r="127" spans="1:3" x14ac:dyDescent="0.25">
      <c r="A127" s="3" t="s">
        <v>192</v>
      </c>
      <c r="B127" s="17">
        <f>Loads!B310+Loads!C310+Loads!D310</f>
        <v>0</v>
      </c>
      <c r="C127" s="10"/>
    </row>
    <row r="128" spans="1:3" x14ac:dyDescent="0.25">
      <c r="A128" s="3" t="s">
        <v>177</v>
      </c>
      <c r="B128" s="17">
        <f>Loads!B311+Loads!C311+Loads!D311</f>
        <v>0</v>
      </c>
      <c r="C128" s="10"/>
    </row>
    <row r="129" spans="1:3" x14ac:dyDescent="0.25">
      <c r="A129" s="3" t="s">
        <v>178</v>
      </c>
      <c r="B129" s="17">
        <f>Loads!B312+Loads!C312+Loads!D312</f>
        <v>154701.23338454252</v>
      </c>
      <c r="C129" s="10"/>
    </row>
    <row r="130" spans="1:3" x14ac:dyDescent="0.25">
      <c r="A130" s="3" t="s">
        <v>179</v>
      </c>
      <c r="B130" s="17">
        <f>Loads!B313+Loads!C313+Loads!D313</f>
        <v>3657916.8096427778</v>
      </c>
      <c r="C130" s="10"/>
    </row>
    <row r="131" spans="1:3" x14ac:dyDescent="0.25">
      <c r="A131" s="3" t="s">
        <v>180</v>
      </c>
      <c r="B131" s="17">
        <f>Loads!B314+Loads!C314+Loads!D314</f>
        <v>102561.73532646611</v>
      </c>
      <c r="C131" s="10"/>
    </row>
    <row r="132" spans="1:3" x14ac:dyDescent="0.25">
      <c r="A132" s="3" t="s">
        <v>193</v>
      </c>
      <c r="B132" s="17">
        <f>Loads!B315+Loads!C315+Loads!D315</f>
        <v>7683692.458103965</v>
      </c>
      <c r="C132" s="10"/>
    </row>
    <row r="133" spans="1:3" x14ac:dyDescent="0.25">
      <c r="A133" s="3" t="s">
        <v>213</v>
      </c>
      <c r="B133" s="17">
        <f>Loads!B316+Loads!C316+Loads!D316</f>
        <v>50744.899374625769</v>
      </c>
      <c r="C133" s="10"/>
    </row>
    <row r="134" spans="1:3" x14ac:dyDescent="0.25">
      <c r="A134" s="3" t="s">
        <v>214</v>
      </c>
      <c r="B134" s="17">
        <f>Loads!B317+Loads!C317+Loads!D317</f>
        <v>23328.46630202439</v>
      </c>
      <c r="C134" s="10"/>
    </row>
    <row r="135" spans="1:3" x14ac:dyDescent="0.25">
      <c r="A135" s="3" t="s">
        <v>215</v>
      </c>
      <c r="B135" s="17">
        <f>Loads!B318+Loads!C318+Loads!D318</f>
        <v>356.22882700287499</v>
      </c>
      <c r="C135" s="10"/>
    </row>
    <row r="136" spans="1:3" x14ac:dyDescent="0.25">
      <c r="A136" s="3" t="s">
        <v>216</v>
      </c>
      <c r="B136" s="17">
        <f>Loads!B319+Loads!C319+Loads!D319</f>
        <v>8317.3632405332482</v>
      </c>
      <c r="C136" s="10"/>
    </row>
    <row r="137" spans="1:3" x14ac:dyDescent="0.25">
      <c r="A137" s="3" t="s">
        <v>217</v>
      </c>
      <c r="B137" s="17">
        <f>Loads!B320+Loads!C320+Loads!D320</f>
        <v>241377.91585398733</v>
      </c>
      <c r="C137" s="10"/>
    </row>
    <row r="138" spans="1:3" x14ac:dyDescent="0.25">
      <c r="A138" s="3" t="s">
        <v>181</v>
      </c>
      <c r="B138" s="17">
        <f>Loads!B321+Loads!C321+Loads!D321</f>
        <v>1352.8514217970164</v>
      </c>
      <c r="C138" s="10"/>
    </row>
    <row r="139" spans="1:3" x14ac:dyDescent="0.25">
      <c r="A139" s="3" t="s">
        <v>182</v>
      </c>
      <c r="B139" s="17">
        <f>Loads!B322+Loads!C322+Loads!D322</f>
        <v>0</v>
      </c>
      <c r="C139" s="10"/>
    </row>
    <row r="140" spans="1:3" x14ac:dyDescent="0.25">
      <c r="A140" s="3" t="s">
        <v>183</v>
      </c>
      <c r="B140" s="17">
        <f>Loads!B323+Loads!C323+Loads!D323</f>
        <v>37465.173755843185</v>
      </c>
      <c r="C140" s="10"/>
    </row>
    <row r="141" spans="1:3" x14ac:dyDescent="0.25">
      <c r="A141" s="3" t="s">
        <v>184</v>
      </c>
      <c r="B141" s="17">
        <f>Loads!B324+Loads!C324+Loads!D324</f>
        <v>7624.0329628287272</v>
      </c>
      <c r="C141" s="10"/>
    </row>
    <row r="142" spans="1:3" x14ac:dyDescent="0.25">
      <c r="A142" s="3" t="s">
        <v>185</v>
      </c>
      <c r="B142" s="17">
        <f>Loads!B325+Loads!C325+Loads!D325</f>
        <v>1081.2841728000003</v>
      </c>
      <c r="C142" s="10"/>
    </row>
    <row r="143" spans="1:3" x14ac:dyDescent="0.25">
      <c r="A143" s="3" t="s">
        <v>186</v>
      </c>
      <c r="B143" s="17">
        <f>Loads!B326+Loads!C326+Loads!D326</f>
        <v>4568.3279616</v>
      </c>
      <c r="C143" s="10"/>
    </row>
    <row r="144" spans="1:3" x14ac:dyDescent="0.25">
      <c r="A144" s="3" t="s">
        <v>194</v>
      </c>
      <c r="B144" s="17">
        <f>Loads!B327+Loads!C327+Loads!D327</f>
        <v>159096.25720985263</v>
      </c>
      <c r="C144" s="10"/>
    </row>
    <row r="145" spans="1:6" x14ac:dyDescent="0.25">
      <c r="A145" s="3" t="s">
        <v>195</v>
      </c>
      <c r="B145" s="17">
        <f>Loads!B328+Loads!C328+Loads!D328</f>
        <v>679703.31246292731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1" t="s">
        <v>579</v>
      </c>
    </row>
    <row r="150" spans="1:6" x14ac:dyDescent="0.25">
      <c r="A150" s="11" t="s">
        <v>580</v>
      </c>
    </row>
    <row r="151" spans="1:6" x14ac:dyDescent="0.25">
      <c r="A151" s="11" t="s">
        <v>581</v>
      </c>
    </row>
    <row r="152" spans="1:6" x14ac:dyDescent="0.25">
      <c r="A152" s="11" t="s">
        <v>582</v>
      </c>
    </row>
    <row r="153" spans="1:6" x14ac:dyDescent="0.25">
      <c r="A153" s="11" t="s">
        <v>583</v>
      </c>
    </row>
    <row r="154" spans="1:6" x14ac:dyDescent="0.25">
      <c r="A154" s="11" t="s">
        <v>584</v>
      </c>
    </row>
    <row r="155" spans="1:6" x14ac:dyDescent="0.25">
      <c r="A155" s="29" t="s">
        <v>359</v>
      </c>
      <c r="B155" s="29" t="s">
        <v>489</v>
      </c>
      <c r="C155" s="29"/>
      <c r="D155" s="29"/>
      <c r="E155" s="29" t="s">
        <v>489</v>
      </c>
    </row>
    <row r="156" spans="1:6" ht="30" x14ac:dyDescent="0.25">
      <c r="A156" s="29" t="s">
        <v>362</v>
      </c>
      <c r="B156" s="29" t="s">
        <v>585</v>
      </c>
      <c r="C156" s="29"/>
      <c r="D156" s="29"/>
      <c r="E156" s="29" t="s">
        <v>586</v>
      </c>
    </row>
    <row r="158" spans="1:6" ht="30" x14ac:dyDescent="0.25">
      <c r="B158" s="27" t="s">
        <v>587</v>
      </c>
      <c r="C158" s="27"/>
      <c r="D158" s="27"/>
    </row>
    <row r="159" spans="1:6" ht="45" x14ac:dyDescent="0.25">
      <c r="B159" s="12" t="s">
        <v>324</v>
      </c>
      <c r="C159" s="12" t="s">
        <v>325</v>
      </c>
      <c r="D159" s="12" t="s">
        <v>326</v>
      </c>
      <c r="E159" s="12" t="s">
        <v>588</v>
      </c>
    </row>
    <row r="160" spans="1:6" x14ac:dyDescent="0.25">
      <c r="A160" s="3" t="s">
        <v>171</v>
      </c>
      <c r="B160" s="35">
        <f>IF($B$119&gt;0,(Loads!$B$302*B$43)/$B$119,0)</f>
        <v>0.15175181316585787</v>
      </c>
      <c r="C160" s="35">
        <f>IF($B$119&gt;0,(Loads!$B$302*C$43)/$B$119,0)</f>
        <v>0.41863554592191193</v>
      </c>
      <c r="D160" s="35">
        <f>IF($B$119&gt;0,(Loads!$B$302*D$43)/$B$119,0)</f>
        <v>0.42961264091223023</v>
      </c>
      <c r="E160" s="33">
        <f>IF($C$13&gt;0,$B160*Input!$F$58*24/$C$13,0)</f>
        <v>1.7042895940165577</v>
      </c>
      <c r="F160" s="10"/>
    </row>
    <row r="161" spans="1:6" x14ac:dyDescent="0.25">
      <c r="A161" s="3" t="s">
        <v>173</v>
      </c>
      <c r="B161" s="35">
        <f>IF($B$122&gt;0,(Loads!$B$305*B$46)/$B$122,0)</f>
        <v>0.13197139495307864</v>
      </c>
      <c r="C161" s="35">
        <f>IF($B$122&gt;0,(Loads!$B$305*C$46)/$B$122,0)</f>
        <v>0.58632136343692398</v>
      </c>
      <c r="D161" s="35">
        <f>IF($B$122&gt;0,(Loads!$B$305*D$46)/$B$122,0)</f>
        <v>0.28170724160999738</v>
      </c>
      <c r="E161" s="33">
        <f>IF($C$13&gt;0,$B161*Input!$F$58*24/$C$13,0)</f>
        <v>1.4821402817807292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1" t="s">
        <v>579</v>
      </c>
    </row>
    <row r="166" spans="1:6" x14ac:dyDescent="0.25">
      <c r="A166" s="11" t="s">
        <v>580</v>
      </c>
    </row>
    <row r="167" spans="1:6" x14ac:dyDescent="0.25">
      <c r="A167" s="11" t="s">
        <v>581</v>
      </c>
    </row>
    <row r="168" spans="1:6" x14ac:dyDescent="0.25">
      <c r="A168" s="11" t="s">
        <v>590</v>
      </c>
    </row>
    <row r="169" spans="1:6" x14ac:dyDescent="0.25">
      <c r="A169" s="11" t="s">
        <v>591</v>
      </c>
    </row>
    <row r="170" spans="1:6" x14ac:dyDescent="0.25">
      <c r="A170" s="11" t="s">
        <v>592</v>
      </c>
    </row>
    <row r="171" spans="1:6" x14ac:dyDescent="0.25">
      <c r="A171" s="11" t="s">
        <v>593</v>
      </c>
    </row>
    <row r="172" spans="1:6" x14ac:dyDescent="0.25">
      <c r="A172" s="11" t="s">
        <v>594</v>
      </c>
    </row>
    <row r="173" spans="1:6" x14ac:dyDescent="0.25">
      <c r="A173" s="29" t="s">
        <v>359</v>
      </c>
      <c r="B173" s="29" t="s">
        <v>489</v>
      </c>
      <c r="C173" s="29"/>
      <c r="D173" s="29"/>
      <c r="E173" s="29" t="s">
        <v>489</v>
      </c>
    </row>
    <row r="174" spans="1:6" ht="30" x14ac:dyDescent="0.25">
      <c r="A174" s="29" t="s">
        <v>362</v>
      </c>
      <c r="B174" s="29" t="s">
        <v>595</v>
      </c>
      <c r="C174" s="29"/>
      <c r="D174" s="29"/>
      <c r="E174" s="29" t="s">
        <v>596</v>
      </c>
    </row>
    <row r="176" spans="1:6" ht="30" x14ac:dyDescent="0.25">
      <c r="B176" s="27" t="s">
        <v>597</v>
      </c>
      <c r="C176" s="27"/>
      <c r="D176" s="27"/>
    </row>
    <row r="177" spans="1:6" ht="45" x14ac:dyDescent="0.25">
      <c r="B177" s="12" t="s">
        <v>324</v>
      </c>
      <c r="C177" s="12" t="s">
        <v>325</v>
      </c>
      <c r="D177" s="12" t="s">
        <v>326</v>
      </c>
      <c r="E177" s="12" t="s">
        <v>598</v>
      </c>
    </row>
    <row r="178" spans="1:6" x14ac:dyDescent="0.25">
      <c r="A178" s="3" t="s">
        <v>172</v>
      </c>
      <c r="B178" s="35">
        <f>IF($B$120&gt;0,(Loads!$B$303*B$44+Loads!$C$303*B$85)/$B$120,0)</f>
        <v>0.1024891205485151</v>
      </c>
      <c r="C178" s="35">
        <f>IF($B$120&gt;0,(Loads!$B$303*C$44+Loads!$C$303*C$85)/$B$120,0)</f>
        <v>0.28393215857534765</v>
      </c>
      <c r="D178" s="35">
        <f>IF($B$120&gt;0,(Loads!$B$303*D$44+Loads!$C$303*D$85)/$B$120,0)</f>
        <v>0.6135787208761373</v>
      </c>
      <c r="E178" s="33">
        <f>IF($C$13&gt;0,$B178*Input!$F$58*24/$C$13,0)</f>
        <v>1.1510316615448619</v>
      </c>
      <c r="F178" s="10"/>
    </row>
    <row r="179" spans="1:6" x14ac:dyDescent="0.25">
      <c r="A179" s="3" t="s">
        <v>174</v>
      </c>
      <c r="B179" s="35">
        <f>IF($B$123&gt;0,(Loads!$B$306*B$47+Loads!$C$306*B$86)/$B$123,0)</f>
        <v>9.5445618128205192E-2</v>
      </c>
      <c r="C179" s="35">
        <f>IF($B$123&gt;0,(Loads!$B$306*C$47+Loads!$C$306*C$86)/$B$123,0)</f>
        <v>0.39135319310423866</v>
      </c>
      <c r="D179" s="35">
        <f>IF($B$123&gt;0,(Loads!$B$306*D$47+Loads!$C$306*D$86)/$B$123,0)</f>
        <v>0.51320118876755616</v>
      </c>
      <c r="E179" s="33">
        <f>IF($C$13&gt;0,$B179*Input!$F$58*24/$C$13,0)</f>
        <v>1.0719277112859968</v>
      </c>
      <c r="F179" s="10"/>
    </row>
    <row r="180" spans="1:6" x14ac:dyDescent="0.25">
      <c r="A180" s="3" t="s">
        <v>175</v>
      </c>
      <c r="B180" s="35">
        <f>IF($B$125&gt;0,(Loads!$B$308*B$49+Loads!$C$308*B$87)/$B$125,0)</f>
        <v>0</v>
      </c>
      <c r="C180" s="35">
        <f>IF($B$125&gt;0,(Loads!$B$308*C$49+Loads!$C$308*C$87)/$B$125,0)</f>
        <v>0</v>
      </c>
      <c r="D180" s="35">
        <f>IF($B$125&gt;0,(Loads!$B$308*D$49+Loads!$C$308*D$87)/$B$125,0)</f>
        <v>0</v>
      </c>
      <c r="E180" s="33">
        <f>IF($C$13&gt;0,$B180*Input!$F$58*24/$C$13,0)</f>
        <v>0</v>
      </c>
      <c r="F180" s="10"/>
    </row>
    <row r="181" spans="1:6" x14ac:dyDescent="0.25">
      <c r="A181" s="3" t="s">
        <v>176</v>
      </c>
      <c r="B181" s="35">
        <f>IF($B$126&gt;0,(Loads!$B$309*B$50+Loads!$C$309*B$88)/$B$126,0)</f>
        <v>0</v>
      </c>
      <c r="C181" s="35">
        <f>IF($B$126&gt;0,(Loads!$B$309*C$50+Loads!$C$309*C$88)/$B$126,0)</f>
        <v>0</v>
      </c>
      <c r="D181" s="35">
        <f>IF($B$126&gt;0,(Loads!$B$309*D$50+Loads!$C$309*D$88)/$B$126,0)</f>
        <v>0</v>
      </c>
      <c r="E181" s="33">
        <f>IF($C$13&gt;0,$B181*Input!$F$58*24/$C$13,0)</f>
        <v>0</v>
      </c>
      <c r="F181" s="10"/>
    </row>
    <row r="182" spans="1:6" x14ac:dyDescent="0.25">
      <c r="A182" s="3" t="s">
        <v>192</v>
      </c>
      <c r="B182" s="35">
        <f>IF($B$127&gt;0,(Loads!$B$310*B$51+Loads!$C$310*B$89)/$B$127,0)</f>
        <v>0</v>
      </c>
      <c r="C182" s="35">
        <f>IF($B$127&gt;0,(Loads!$B$310*C$51+Loads!$C$310*C$89)/$B$127,0)</f>
        <v>0</v>
      </c>
      <c r="D182" s="35">
        <f>IF($B$127&gt;0,(Loads!$B$310*D$51+Loads!$C$310*D$89)/$B$127,0)</f>
        <v>0</v>
      </c>
      <c r="E182" s="33">
        <f>IF($C$13&gt;0,$B182*Input!$F$58*24/$C$13,0)</f>
        <v>0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1" t="s">
        <v>579</v>
      </c>
    </row>
    <row r="187" spans="1:6" x14ac:dyDescent="0.25">
      <c r="A187" s="11" t="s">
        <v>580</v>
      </c>
    </row>
    <row r="188" spans="1:6" x14ac:dyDescent="0.25">
      <c r="A188" s="11" t="s">
        <v>581</v>
      </c>
    </row>
    <row r="189" spans="1:6" x14ac:dyDescent="0.25">
      <c r="A189" s="11" t="s">
        <v>590</v>
      </c>
    </row>
    <row r="190" spans="1:6" x14ac:dyDescent="0.25">
      <c r="A190" s="11" t="s">
        <v>591</v>
      </c>
    </row>
    <row r="191" spans="1:6" x14ac:dyDescent="0.25">
      <c r="A191" s="11" t="s">
        <v>600</v>
      </c>
    </row>
    <row r="192" spans="1:6" x14ac:dyDescent="0.25">
      <c r="A192" s="11" t="s">
        <v>601</v>
      </c>
    </row>
    <row r="193" spans="1:6" x14ac:dyDescent="0.25">
      <c r="A193" s="11" t="s">
        <v>602</v>
      </c>
    </row>
    <row r="194" spans="1:6" x14ac:dyDescent="0.25">
      <c r="A194" s="11" t="s">
        <v>603</v>
      </c>
    </row>
    <row r="195" spans="1:6" x14ac:dyDescent="0.25">
      <c r="A195" s="11" t="s">
        <v>604</v>
      </c>
    </row>
    <row r="196" spans="1:6" x14ac:dyDescent="0.25">
      <c r="A196" s="29" t="s">
        <v>359</v>
      </c>
      <c r="B196" s="29" t="s">
        <v>489</v>
      </c>
      <c r="C196" s="29"/>
      <c r="D196" s="29"/>
      <c r="E196" s="29" t="s">
        <v>489</v>
      </c>
    </row>
    <row r="197" spans="1:6" ht="30" x14ac:dyDescent="0.25">
      <c r="A197" s="29" t="s">
        <v>362</v>
      </c>
      <c r="B197" s="29" t="s">
        <v>605</v>
      </c>
      <c r="C197" s="29"/>
      <c r="D197" s="29"/>
      <c r="E197" s="29" t="s">
        <v>606</v>
      </c>
    </row>
    <row r="199" spans="1:6" ht="30" x14ac:dyDescent="0.25">
      <c r="B199" s="27" t="s">
        <v>607</v>
      </c>
      <c r="C199" s="27"/>
      <c r="D199" s="27"/>
    </row>
    <row r="200" spans="1:6" ht="45" x14ac:dyDescent="0.25">
      <c r="B200" s="12" t="s">
        <v>324</v>
      </c>
      <c r="C200" s="12" t="s">
        <v>325</v>
      </c>
      <c r="D200" s="12" t="s">
        <v>326</v>
      </c>
      <c r="E200" s="12" t="s">
        <v>608</v>
      </c>
    </row>
    <row r="201" spans="1:6" x14ac:dyDescent="0.25">
      <c r="A201" s="3" t="s">
        <v>177</v>
      </c>
      <c r="B201" s="35">
        <f>IF($B$128&gt;0,(Loads!$B$311*B$52+Loads!$C$311*B$90+Loads!$D$311*B$102)/$B$128,0)</f>
        <v>0</v>
      </c>
      <c r="C201" s="35">
        <f>IF($B$128&gt;0,(Loads!$B$311*C$52+Loads!$C$311*C$90+Loads!$D$311*C$102)/$B$128,0)</f>
        <v>0</v>
      </c>
      <c r="D201" s="35">
        <f>IF($B$128&gt;0,(Loads!$B$311*D$52+Loads!$C$311*D$90+Loads!$D$311*D$102)/$B$128,0)</f>
        <v>0</v>
      </c>
      <c r="E201" s="33">
        <f>IF($C$13&gt;0,$B201*Input!$F$58*24/$C$13,0)</f>
        <v>0</v>
      </c>
      <c r="F201" s="10"/>
    </row>
    <row r="202" spans="1:6" x14ac:dyDescent="0.25">
      <c r="A202" s="3" t="s">
        <v>178</v>
      </c>
      <c r="B202" s="35">
        <f>IF($B$129&gt;0,(Loads!$B$312*B$53+Loads!$C$312*B$91+Loads!$D$312*B$103)/$B$129,0)</f>
        <v>0.10780475755986631</v>
      </c>
      <c r="C202" s="35">
        <f>IF($B$129&gt;0,(Loads!$B$312*C$53+Loads!$C$312*C$91+Loads!$D$312*C$103)/$B$129,0)</f>
        <v>0.41955225395620543</v>
      </c>
      <c r="D202" s="35">
        <f>IF($B$129&gt;0,(Loads!$B$312*D$53+Loads!$C$312*D$91+Loads!$D$312*D$103)/$B$129,0)</f>
        <v>0.47264298848392827</v>
      </c>
      <c r="E202" s="33">
        <f>IF($C$13&gt;0,$B202*Input!$F$58*24/$C$13,0)</f>
        <v>1.2107303541338834</v>
      </c>
      <c r="F202" s="10"/>
    </row>
    <row r="203" spans="1:6" x14ac:dyDescent="0.25">
      <c r="A203" s="3" t="s">
        <v>179</v>
      </c>
      <c r="B203" s="35">
        <f>IF($B$130&gt;0,(Loads!$B$313*B$54+Loads!$C$313*B$92+Loads!$D$313*B$104)/$B$130,0)</f>
        <v>0.10769485515694185</v>
      </c>
      <c r="C203" s="35">
        <f>IF($B$130&gt;0,(Loads!$B$313*C$54+Loads!$C$313*C$92+Loads!$D$313*C$104)/$B$130,0)</f>
        <v>0.42619852229707533</v>
      </c>
      <c r="D203" s="35">
        <f>IF($B$130&gt;0,(Loads!$B$313*D$54+Loads!$C$313*D$92+Loads!$D$313*D$104)/$B$130,0)</f>
        <v>0.46610662254598273</v>
      </c>
      <c r="E203" s="33">
        <f>IF($C$13&gt;0,$B203*Input!$F$58*24/$C$13,0)</f>
        <v>1.2094960656087317</v>
      </c>
      <c r="F203" s="10"/>
    </row>
    <row r="204" spans="1:6" x14ac:dyDescent="0.25">
      <c r="A204" s="3" t="s">
        <v>180</v>
      </c>
      <c r="B204" s="35">
        <f>IF($B$131&gt;0,(Loads!$B$314*B$55+Loads!$C$314*B$93+Loads!$D$314*B$105)/$B$131,0)</f>
        <v>0.10525468563069292</v>
      </c>
      <c r="C204" s="35">
        <f>IF($B$131&gt;0,(Loads!$B$314*C$55+Loads!$C$314*C$93+Loads!$D$314*C$105)/$B$131,0)</f>
        <v>0.40569676572551489</v>
      </c>
      <c r="D204" s="35">
        <f>IF($B$131&gt;0,(Loads!$B$314*D$55+Loads!$C$314*D$93+Loads!$D$314*D$105)/$B$131,0)</f>
        <v>0.48904854864379216</v>
      </c>
      <c r="E204" s="33">
        <f>IF($C$13&gt;0,$B204*Input!$F$58*24/$C$13,0)</f>
        <v>1.1820910847754742</v>
      </c>
      <c r="F204" s="10"/>
    </row>
    <row r="205" spans="1:6" x14ac:dyDescent="0.25">
      <c r="A205" s="3" t="s">
        <v>193</v>
      </c>
      <c r="B205" s="35">
        <f>IF($B$132&gt;0,(Loads!$B$315*B$56+Loads!$C$315*B$94+Loads!$D$315*B$106)/$B$132,0)</f>
        <v>9.8180137757174407E-2</v>
      </c>
      <c r="C205" s="35">
        <f>IF($B$132&gt;0,(Loads!$B$315*C$56+Loads!$C$315*C$94+Loads!$D$315*C$106)/$B$132,0)</f>
        <v>0.37932707118885328</v>
      </c>
      <c r="D205" s="35">
        <f>IF($B$132&gt;0,(Loads!$B$315*D$56+Loads!$C$315*D$94+Loads!$D$315*D$106)/$B$132,0)</f>
        <v>0.52249279105397228</v>
      </c>
      <c r="E205" s="33">
        <f>IF($C$13&gt;0,$B205*Input!$F$58*24/$C$13,0)</f>
        <v>1.1026384701959588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1" t="s">
        <v>610</v>
      </c>
    </row>
    <row r="210" spans="1:4" x14ac:dyDescent="0.25">
      <c r="A210" s="11" t="s">
        <v>611</v>
      </c>
    </row>
    <row r="211" spans="1:4" x14ac:dyDescent="0.25">
      <c r="A211" s="11" t="s">
        <v>612</v>
      </c>
    </row>
    <row r="212" spans="1:4" x14ac:dyDescent="0.25">
      <c r="A212" s="11" t="s">
        <v>613</v>
      </c>
    </row>
    <row r="213" spans="1:4" x14ac:dyDescent="0.25">
      <c r="A213" s="11" t="s">
        <v>614</v>
      </c>
    </row>
    <row r="214" spans="1:4" x14ac:dyDescent="0.25">
      <c r="A214" s="29" t="s">
        <v>359</v>
      </c>
      <c r="B214" s="29" t="s">
        <v>523</v>
      </c>
      <c r="C214" s="29" t="s">
        <v>489</v>
      </c>
    </row>
    <row r="215" spans="1:4" ht="30" x14ac:dyDescent="0.25">
      <c r="A215" s="29" t="s">
        <v>362</v>
      </c>
      <c r="B215" s="29" t="s">
        <v>615</v>
      </c>
      <c r="C215" s="29" t="s">
        <v>616</v>
      </c>
    </row>
    <row r="217" spans="1:4" ht="75" x14ac:dyDescent="0.25">
      <c r="B217" s="12" t="s">
        <v>617</v>
      </c>
      <c r="C217" s="12" t="s">
        <v>618</v>
      </c>
    </row>
    <row r="218" spans="1:4" x14ac:dyDescent="0.25">
      <c r="A218" s="3" t="s">
        <v>171</v>
      </c>
      <c r="B218" s="34">
        <f>E$160</f>
        <v>1.7042895940165577</v>
      </c>
      <c r="C218" s="33">
        <f>IF($B218&lt;&gt;0,Loads!B$46/$B218,IF(Loads!B$46&lt;0,-1,1))</f>
        <v>1.1920976786672299</v>
      </c>
      <c r="D218" s="10"/>
    </row>
    <row r="219" spans="1:4" x14ac:dyDescent="0.25">
      <c r="A219" s="3" t="s">
        <v>172</v>
      </c>
      <c r="B219" s="34">
        <f>E$178</f>
        <v>1.1510316615448619</v>
      </c>
      <c r="C219" s="33">
        <f>IF($B219&lt;&gt;0,Loads!B$47/$B219,IF(Loads!B$47&lt;0,-1,1))</f>
        <v>1.4611555469874771</v>
      </c>
      <c r="D219" s="10"/>
    </row>
    <row r="220" spans="1:4" x14ac:dyDescent="0.25">
      <c r="A220" s="3" t="s">
        <v>211</v>
      </c>
      <c r="B220" s="9"/>
      <c r="C220" s="33">
        <f>IF($B220&lt;&gt;0,Loads!B$48/$B220,IF(Loads!B$48&lt;0,-1,1))</f>
        <v>1</v>
      </c>
      <c r="D220" s="10"/>
    </row>
    <row r="221" spans="1:4" x14ac:dyDescent="0.25">
      <c r="A221" s="3" t="s">
        <v>173</v>
      </c>
      <c r="B221" s="34">
        <f>E$161</f>
        <v>1.4821402817807292</v>
      </c>
      <c r="C221" s="33">
        <f>IF($B221&lt;&gt;0,Loads!B$49/$B221,IF(Loads!B$49&lt;0,-1,1))</f>
        <v>1.2095033869106466</v>
      </c>
      <c r="D221" s="10"/>
    </row>
    <row r="222" spans="1:4" x14ac:dyDescent="0.25">
      <c r="A222" s="3" t="s">
        <v>174</v>
      </c>
      <c r="B222" s="34">
        <f>E$179</f>
        <v>1.0719277112859968</v>
      </c>
      <c r="C222" s="33">
        <f>IF($B222&lt;&gt;0,Loads!B$50/$B222,IF(Loads!B$50&lt;0,-1,1))</f>
        <v>1.4006756404581557</v>
      </c>
      <c r="D222" s="10"/>
    </row>
    <row r="223" spans="1:4" x14ac:dyDescent="0.25">
      <c r="A223" s="3" t="s">
        <v>212</v>
      </c>
      <c r="B223" s="9"/>
      <c r="C223" s="33">
        <f>IF($B223&lt;&gt;0,Loads!B$51/$B223,IF(Loads!B$51&lt;0,-1,1))</f>
        <v>1</v>
      </c>
      <c r="D223" s="10"/>
    </row>
    <row r="224" spans="1:4" x14ac:dyDescent="0.25">
      <c r="A224" s="3" t="s">
        <v>175</v>
      </c>
      <c r="B224" s="34">
        <f>E$180</f>
        <v>0</v>
      </c>
      <c r="C224" s="33">
        <f>IF($B224&lt;&gt;0,Loads!B$52/$B224,IF(Loads!B$52&lt;0,-1,1))</f>
        <v>1</v>
      </c>
      <c r="D224" s="10"/>
    </row>
    <row r="225" spans="1:4" x14ac:dyDescent="0.25">
      <c r="A225" s="3" t="s">
        <v>176</v>
      </c>
      <c r="B225" s="34">
        <f>E$181</f>
        <v>0</v>
      </c>
      <c r="C225" s="33">
        <f>IF($B225&lt;&gt;0,Loads!B$53/$B225,IF(Loads!B$53&lt;0,-1,1))</f>
        <v>1</v>
      </c>
      <c r="D225" s="10"/>
    </row>
    <row r="226" spans="1:4" x14ac:dyDescent="0.25">
      <c r="A226" s="3" t="s">
        <v>192</v>
      </c>
      <c r="B226" s="34">
        <f>E$182</f>
        <v>0</v>
      </c>
      <c r="C226" s="33">
        <f>IF($B226&lt;&gt;0,Loads!B$54/$B226,IF(Loads!B$54&lt;0,-1,1))</f>
        <v>1</v>
      </c>
      <c r="D226" s="10"/>
    </row>
    <row r="227" spans="1:4" x14ac:dyDescent="0.25">
      <c r="A227" s="3" t="s">
        <v>177</v>
      </c>
      <c r="B227" s="34">
        <f>E$201</f>
        <v>0</v>
      </c>
      <c r="C227" s="33">
        <f>IF($B227&lt;&gt;0,Loads!B$55/$B227,IF(Loads!B$55&lt;0,-1,1))</f>
        <v>1</v>
      </c>
      <c r="D227" s="10"/>
    </row>
    <row r="228" spans="1:4" x14ac:dyDescent="0.25">
      <c r="A228" s="3" t="s">
        <v>178</v>
      </c>
      <c r="B228" s="34">
        <f>E$202</f>
        <v>1.2107303541338834</v>
      </c>
      <c r="C228" s="33">
        <f>IF($B228&lt;&gt;0,Loads!B$56/$B228,IF(Loads!B$56&lt;0,-1,1))</f>
        <v>1.3507146784037167</v>
      </c>
      <c r="D228" s="10"/>
    </row>
    <row r="229" spans="1:4" x14ac:dyDescent="0.25">
      <c r="A229" s="3" t="s">
        <v>179</v>
      </c>
      <c r="B229" s="34">
        <f>E$203</f>
        <v>1.2094960656087317</v>
      </c>
      <c r="C229" s="33">
        <f>IF($B229&lt;&gt;0,Loads!B$57/$B229,IF(Loads!B$57&lt;0,-1,1))</f>
        <v>1.2211186344473175</v>
      </c>
      <c r="D229" s="10"/>
    </row>
    <row r="230" spans="1:4" x14ac:dyDescent="0.25">
      <c r="A230" s="3" t="s">
        <v>180</v>
      </c>
      <c r="B230" s="34">
        <f>E$204</f>
        <v>1.1820910847754742</v>
      </c>
      <c r="C230" s="33">
        <f>IF($B230&lt;&gt;0,Loads!B$58/$B230,IF(Loads!B$58&lt;0,-1,1))</f>
        <v>1.2295035572154351</v>
      </c>
      <c r="D230" s="10"/>
    </row>
    <row r="231" spans="1:4" x14ac:dyDescent="0.25">
      <c r="A231" s="3" t="s">
        <v>193</v>
      </c>
      <c r="B231" s="34">
        <f>E$205</f>
        <v>1.1026384701959588</v>
      </c>
      <c r="C231" s="33">
        <f>IF($B231&lt;&gt;0,Loads!B$59/$B231,IF(Loads!B$59&lt;0,-1,1))</f>
        <v>1.0905951001519394</v>
      </c>
      <c r="D231" s="10"/>
    </row>
    <row r="232" spans="1:4" x14ac:dyDescent="0.25">
      <c r="A232" s="3" t="s">
        <v>184</v>
      </c>
      <c r="B232" s="9"/>
      <c r="C232" s="33">
        <f>IF($B232&lt;&gt;0,Loads!B$68/$B232,IF(Loads!B$68&lt;0,-1,1))</f>
        <v>-1</v>
      </c>
      <c r="D232" s="10"/>
    </row>
    <row r="233" spans="1:4" x14ac:dyDescent="0.25">
      <c r="A233" s="3" t="s">
        <v>186</v>
      </c>
      <c r="B233" s="9"/>
      <c r="C233" s="33">
        <f>IF($B233&lt;&gt;0,Loads!B$70/$B233,IF(Loads!B$70&lt;0,-1,1))</f>
        <v>-1</v>
      </c>
      <c r="D233" s="10"/>
    </row>
    <row r="234" spans="1:4" x14ac:dyDescent="0.25">
      <c r="A234" s="3" t="s">
        <v>195</v>
      </c>
      <c r="B234" s="9"/>
      <c r="C234" s="33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1" t="s">
        <v>620</v>
      </c>
    </row>
    <row r="239" spans="1:4" x14ac:dyDescent="0.25">
      <c r="A239" s="11" t="s">
        <v>621</v>
      </c>
    </row>
    <row r="240" spans="1:4" x14ac:dyDescent="0.25">
      <c r="A240" s="11" t="s">
        <v>622</v>
      </c>
    </row>
    <row r="241" spans="1:6" x14ac:dyDescent="0.25">
      <c r="A241" s="11" t="s">
        <v>623</v>
      </c>
    </row>
    <row r="242" spans="1:6" x14ac:dyDescent="0.25">
      <c r="A242" s="29" t="s">
        <v>359</v>
      </c>
      <c r="B242" s="29" t="s">
        <v>490</v>
      </c>
      <c r="C242" s="29" t="s">
        <v>489</v>
      </c>
      <c r="D242" s="29"/>
      <c r="E242" s="29"/>
    </row>
    <row r="243" spans="1:6" x14ac:dyDescent="0.25">
      <c r="A243" s="29" t="s">
        <v>362</v>
      </c>
      <c r="B243" s="29" t="s">
        <v>540</v>
      </c>
      <c r="C243" s="29" t="s">
        <v>624</v>
      </c>
      <c r="D243" s="29"/>
      <c r="E243" s="29"/>
    </row>
    <row r="245" spans="1:6" x14ac:dyDescent="0.25">
      <c r="C245" s="27" t="s">
        <v>626</v>
      </c>
      <c r="D245" s="27"/>
      <c r="E245" s="27"/>
    </row>
    <row r="246" spans="1:6" ht="30" x14ac:dyDescent="0.25">
      <c r="B246" s="12" t="s">
        <v>625</v>
      </c>
      <c r="C246" s="12" t="s">
        <v>324</v>
      </c>
      <c r="D246" s="12" t="s">
        <v>325</v>
      </c>
      <c r="E246" s="12" t="s">
        <v>326</v>
      </c>
    </row>
    <row r="247" spans="1:6" x14ac:dyDescent="0.25">
      <c r="A247" s="3" t="s">
        <v>139</v>
      </c>
      <c r="B247" s="35">
        <f>SUM(Input!$B355:$D355)</f>
        <v>1</v>
      </c>
      <c r="C247" s="35">
        <f>IF($B247,Input!B355/$B247,Input!B$348/$B$13)</f>
        <v>0.98260220093464345</v>
      </c>
      <c r="D247" s="35">
        <f>IF($B247,Input!C355/$B247,Input!C$348/$B$13)</f>
        <v>0</v>
      </c>
      <c r="E247" s="35">
        <f>IF($B247,Input!D355/$B247,Input!D$348/$B$13)</f>
        <v>1.7397799065356524E-2</v>
      </c>
      <c r="F247" s="10"/>
    </row>
    <row r="248" spans="1:6" x14ac:dyDescent="0.25">
      <c r="A248" s="3" t="s">
        <v>140</v>
      </c>
      <c r="B248" s="35">
        <f>SUM(Input!$B356:$D356)</f>
        <v>1</v>
      </c>
      <c r="C248" s="35">
        <f>IF($B248,Input!B356/$B248,Input!B$348/$B$13)</f>
        <v>0.85756549301791341</v>
      </c>
      <c r="D248" s="35">
        <f>IF($B248,Input!C356/$B248,Input!C$348/$B$13)</f>
        <v>0.13246822025442007</v>
      </c>
      <c r="E248" s="35">
        <f>IF($B248,Input!D356/$B248,Input!D$348/$B$13)</f>
        <v>9.9662867276665724E-3</v>
      </c>
      <c r="F248" s="10"/>
    </row>
    <row r="249" spans="1:6" x14ac:dyDescent="0.25">
      <c r="A249" s="3" t="s">
        <v>141</v>
      </c>
      <c r="B249" s="35">
        <f>SUM(Input!$B357:$D357)</f>
        <v>1</v>
      </c>
      <c r="C249" s="35">
        <f>IF($B249,Input!B357/$B249,Input!B$348/$B$13)</f>
        <v>0.85756549301791341</v>
      </c>
      <c r="D249" s="35">
        <f>IF($B249,Input!C357/$B249,Input!C$348/$B$13)</f>
        <v>0.13246822025442007</v>
      </c>
      <c r="E249" s="35">
        <f>IF($B249,Input!D357/$B249,Input!D$348/$B$13)</f>
        <v>9.9662867276665724E-3</v>
      </c>
      <c r="F249" s="10"/>
    </row>
    <row r="250" spans="1:6" x14ac:dyDescent="0.25">
      <c r="A250" s="3" t="s">
        <v>142</v>
      </c>
      <c r="B250" s="35">
        <f>SUM(Input!$B358:$D358)</f>
        <v>1</v>
      </c>
      <c r="C250" s="35">
        <f>IF($B250,Input!B358/$B250,Input!B$348/$B$13)</f>
        <v>0.67045710295130456</v>
      </c>
      <c r="D250" s="35">
        <f>IF($B250,Input!C358/$B250,Input!C$348/$B$13)</f>
        <v>0.28665186374780161</v>
      </c>
      <c r="E250" s="35">
        <f>IF($B250,Input!D358/$B250,Input!D$348/$B$13)</f>
        <v>4.2891033300893812E-2</v>
      </c>
      <c r="F250" s="10"/>
    </row>
    <row r="251" spans="1:6" x14ac:dyDescent="0.25">
      <c r="A251" s="3" t="s">
        <v>143</v>
      </c>
      <c r="B251" s="35">
        <f>SUM(Input!$B359:$D359)</f>
        <v>1</v>
      </c>
      <c r="C251" s="35">
        <f>IF($B251,Input!B359/$B251,Input!B$348/$B$13)</f>
        <v>0.67045710295130456</v>
      </c>
      <c r="D251" s="35">
        <f>IF($B251,Input!C359/$B251,Input!C$348/$B$13)</f>
        <v>0.28665186374780161</v>
      </c>
      <c r="E251" s="35">
        <f>IF($B251,Input!D359/$B251,Input!D$348/$B$13)</f>
        <v>4.2891033300893812E-2</v>
      </c>
      <c r="F251" s="10"/>
    </row>
    <row r="252" spans="1:6" x14ac:dyDescent="0.25">
      <c r="A252" s="3" t="s">
        <v>148</v>
      </c>
      <c r="B252" s="35">
        <f>SUM(Input!$B360:$D360)</f>
        <v>1</v>
      </c>
      <c r="C252" s="35">
        <f>IF($B252,Input!B360/$B252,Input!B$348/$B$13)</f>
        <v>0.85756549301791341</v>
      </c>
      <c r="D252" s="35">
        <f>IF($B252,Input!C360/$B252,Input!C$348/$B$13)</f>
        <v>0.13246822025442007</v>
      </c>
      <c r="E252" s="35">
        <f>IF($B252,Input!D360/$B252,Input!D$348/$B$13)</f>
        <v>9.9662867276665724E-3</v>
      </c>
      <c r="F252" s="10"/>
    </row>
    <row r="253" spans="1:6" x14ac:dyDescent="0.25">
      <c r="A253" s="3" t="s">
        <v>144</v>
      </c>
      <c r="B253" s="35">
        <f>SUM(Input!$B361:$D361)</f>
        <v>1</v>
      </c>
      <c r="C253" s="35">
        <f>IF($B253,Input!B361/$B253,Input!B$348/$B$13)</f>
        <v>0.67045710295130456</v>
      </c>
      <c r="D253" s="35">
        <f>IF($B253,Input!C361/$B253,Input!C$348/$B$13)</f>
        <v>0.28665186374780161</v>
      </c>
      <c r="E253" s="35">
        <f>IF($B253,Input!D361/$B253,Input!D$348/$B$13)</f>
        <v>4.2891033300893812E-2</v>
      </c>
      <c r="F253" s="10"/>
    </row>
    <row r="254" spans="1:6" x14ac:dyDescent="0.25">
      <c r="A254" s="3" t="s">
        <v>145</v>
      </c>
      <c r="B254" s="35">
        <f>SUM(Input!$B362:$D362)</f>
        <v>1</v>
      </c>
      <c r="C254" s="35">
        <f>IF($B254,Input!B362/$B254,Input!B$348/$B$13)</f>
        <v>0.67045710295130456</v>
      </c>
      <c r="D254" s="35">
        <f>IF($B254,Input!C362/$B254,Input!C$348/$B$13)</f>
        <v>0.28665186374780161</v>
      </c>
      <c r="E254" s="35">
        <f>IF($B254,Input!D362/$B254,Input!D$348/$B$13)</f>
        <v>4.2891033300893812E-2</v>
      </c>
      <c r="F254" s="10"/>
    </row>
    <row r="255" spans="1:6" x14ac:dyDescent="0.25">
      <c r="A255" s="3" t="s">
        <v>146</v>
      </c>
      <c r="B255" s="35">
        <f>SUM(Input!$B363:$D363)</f>
        <v>1</v>
      </c>
      <c r="C255" s="35">
        <f>IF($B255,Input!B363/$B255,Input!B$348/$B$13)</f>
        <v>0.67045710295130456</v>
      </c>
      <c r="D255" s="35">
        <f>IF($B255,Input!C363/$B255,Input!C$348/$B$13)</f>
        <v>0.28665186374780161</v>
      </c>
      <c r="E255" s="35">
        <f>IF($B255,Input!D363/$B255,Input!D$348/$B$13)</f>
        <v>4.2891033300893812E-2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1" t="s">
        <v>628</v>
      </c>
    </row>
    <row r="260" spans="1:38" x14ac:dyDescent="0.25">
      <c r="A260" s="2" t="s">
        <v>629</v>
      </c>
    </row>
    <row r="262" spans="1:38" x14ac:dyDescent="0.25">
      <c r="B262" s="24" t="s">
        <v>139</v>
      </c>
      <c r="C262" s="12" t="s">
        <v>324</v>
      </c>
      <c r="D262" s="12" t="s">
        <v>325</v>
      </c>
      <c r="E262" s="12" t="s">
        <v>326</v>
      </c>
      <c r="F262" s="24" t="s">
        <v>140</v>
      </c>
      <c r="G262" s="12" t="s">
        <v>324</v>
      </c>
      <c r="H262" s="12" t="s">
        <v>325</v>
      </c>
      <c r="I262" s="12" t="s">
        <v>326</v>
      </c>
      <c r="J262" s="24" t="s">
        <v>141</v>
      </c>
      <c r="K262" s="12" t="s">
        <v>324</v>
      </c>
      <c r="L262" s="12" t="s">
        <v>325</v>
      </c>
      <c r="M262" s="12" t="s">
        <v>326</v>
      </c>
      <c r="N262" s="24" t="s">
        <v>142</v>
      </c>
      <c r="O262" s="12" t="s">
        <v>324</v>
      </c>
      <c r="P262" s="12" t="s">
        <v>325</v>
      </c>
      <c r="Q262" s="12" t="s">
        <v>326</v>
      </c>
      <c r="R262" s="24" t="s">
        <v>143</v>
      </c>
      <c r="S262" s="12" t="s">
        <v>324</v>
      </c>
      <c r="T262" s="12" t="s">
        <v>325</v>
      </c>
      <c r="U262" s="12" t="s">
        <v>326</v>
      </c>
      <c r="V262" s="24" t="s">
        <v>148</v>
      </c>
      <c r="W262" s="12" t="s">
        <v>324</v>
      </c>
      <c r="X262" s="12" t="s">
        <v>325</v>
      </c>
      <c r="Y262" s="12" t="s">
        <v>326</v>
      </c>
      <c r="Z262" s="24" t="s">
        <v>144</v>
      </c>
      <c r="AA262" s="12" t="s">
        <v>324</v>
      </c>
      <c r="AB262" s="12" t="s">
        <v>325</v>
      </c>
      <c r="AC262" s="12" t="s">
        <v>326</v>
      </c>
      <c r="AD262" s="24" t="s">
        <v>145</v>
      </c>
      <c r="AE262" s="12" t="s">
        <v>324</v>
      </c>
      <c r="AF262" s="12" t="s">
        <v>325</v>
      </c>
      <c r="AG262" s="12" t="s">
        <v>326</v>
      </c>
      <c r="AH262" s="24" t="s">
        <v>146</v>
      </c>
      <c r="AI262" s="12" t="s">
        <v>324</v>
      </c>
      <c r="AJ262" s="12" t="s">
        <v>325</v>
      </c>
      <c r="AK262" s="12" t="s">
        <v>326</v>
      </c>
    </row>
    <row r="263" spans="1:38" x14ac:dyDescent="0.25">
      <c r="A263" s="3" t="s">
        <v>630</v>
      </c>
      <c r="C263" s="37">
        <f>C$247</f>
        <v>0.98260220093464345</v>
      </c>
      <c r="D263" s="37">
        <f>D$247</f>
        <v>0</v>
      </c>
      <c r="E263" s="37">
        <f>E$247</f>
        <v>1.7397799065356524E-2</v>
      </c>
      <c r="G263" s="37">
        <f>C$248</f>
        <v>0.85756549301791341</v>
      </c>
      <c r="H263" s="37">
        <f>D$248</f>
        <v>0.13246822025442007</v>
      </c>
      <c r="I263" s="37">
        <f>E$248</f>
        <v>9.9662867276665724E-3</v>
      </c>
      <c r="K263" s="37">
        <f>C$249</f>
        <v>0.85756549301791341</v>
      </c>
      <c r="L263" s="37">
        <f>D$249</f>
        <v>0.13246822025442007</v>
      </c>
      <c r="M263" s="37">
        <f>E$249</f>
        <v>9.9662867276665724E-3</v>
      </c>
      <c r="O263" s="37">
        <f>C$250</f>
        <v>0.67045710295130456</v>
      </c>
      <c r="P263" s="37">
        <f>D$250</f>
        <v>0.28665186374780161</v>
      </c>
      <c r="Q263" s="37">
        <f>E$250</f>
        <v>4.2891033300893812E-2</v>
      </c>
      <c r="S263" s="37">
        <f>C$251</f>
        <v>0.67045710295130456</v>
      </c>
      <c r="T263" s="37">
        <f>D$251</f>
        <v>0.28665186374780161</v>
      </c>
      <c r="U263" s="37">
        <f>E$251</f>
        <v>4.2891033300893812E-2</v>
      </c>
      <c r="W263" s="37">
        <f>C$252</f>
        <v>0.85756549301791341</v>
      </c>
      <c r="X263" s="37">
        <f>D$252</f>
        <v>0.13246822025442007</v>
      </c>
      <c r="Y263" s="37">
        <f>E$252</f>
        <v>9.9662867276665724E-3</v>
      </c>
      <c r="AA263" s="37">
        <f>C$253</f>
        <v>0.67045710295130456</v>
      </c>
      <c r="AB263" s="37">
        <f>D$253</f>
        <v>0.28665186374780161</v>
      </c>
      <c r="AC263" s="37">
        <f>E$253</f>
        <v>4.2891033300893812E-2</v>
      </c>
      <c r="AE263" s="37">
        <f>C$254</f>
        <v>0.67045710295130456</v>
      </c>
      <c r="AF263" s="37">
        <f>D$254</f>
        <v>0.28665186374780161</v>
      </c>
      <c r="AG263" s="37">
        <f>E$254</f>
        <v>4.2891033300893812E-2</v>
      </c>
      <c r="AI263" s="37">
        <f>C$255</f>
        <v>0.67045710295130456</v>
      </c>
      <c r="AJ263" s="37">
        <f>D$255</f>
        <v>0.28665186374780161</v>
      </c>
      <c r="AK263" s="37">
        <f>E$255</f>
        <v>4.2891033300893812E-2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1" t="s">
        <v>632</v>
      </c>
    </row>
    <row r="268" spans="1:38" x14ac:dyDescent="0.25">
      <c r="A268" s="11" t="s">
        <v>633</v>
      </c>
    </row>
    <row r="269" spans="1:38" x14ac:dyDescent="0.25">
      <c r="A269" s="11" t="s">
        <v>634</v>
      </c>
    </row>
    <row r="270" spans="1:38" x14ac:dyDescent="0.25">
      <c r="A270" s="11" t="s">
        <v>557</v>
      </c>
    </row>
    <row r="271" spans="1:38" x14ac:dyDescent="0.25">
      <c r="A271" s="2" t="s">
        <v>635</v>
      </c>
    </row>
    <row r="273" spans="1:38" x14ac:dyDescent="0.25">
      <c r="B273" s="24" t="s">
        <v>139</v>
      </c>
      <c r="C273" s="12" t="s">
        <v>324</v>
      </c>
      <c r="D273" s="12" t="s">
        <v>325</v>
      </c>
      <c r="E273" s="12" t="s">
        <v>326</v>
      </c>
      <c r="F273" s="24" t="s">
        <v>140</v>
      </c>
      <c r="G273" s="12" t="s">
        <v>324</v>
      </c>
      <c r="H273" s="12" t="s">
        <v>325</v>
      </c>
      <c r="I273" s="12" t="s">
        <v>326</v>
      </c>
      <c r="J273" s="24" t="s">
        <v>141</v>
      </c>
      <c r="K273" s="12" t="s">
        <v>324</v>
      </c>
      <c r="L273" s="12" t="s">
        <v>325</v>
      </c>
      <c r="M273" s="12" t="s">
        <v>326</v>
      </c>
      <c r="N273" s="24" t="s">
        <v>142</v>
      </c>
      <c r="O273" s="12" t="s">
        <v>324</v>
      </c>
      <c r="P273" s="12" t="s">
        <v>325</v>
      </c>
      <c r="Q273" s="12" t="s">
        <v>326</v>
      </c>
      <c r="R273" s="24" t="s">
        <v>143</v>
      </c>
      <c r="S273" s="12" t="s">
        <v>324</v>
      </c>
      <c r="T273" s="12" t="s">
        <v>325</v>
      </c>
      <c r="U273" s="12" t="s">
        <v>326</v>
      </c>
      <c r="V273" s="24" t="s">
        <v>148</v>
      </c>
      <c r="W273" s="12" t="s">
        <v>324</v>
      </c>
      <c r="X273" s="12" t="s">
        <v>325</v>
      </c>
      <c r="Y273" s="12" t="s">
        <v>326</v>
      </c>
      <c r="Z273" s="24" t="s">
        <v>144</v>
      </c>
      <c r="AA273" s="12" t="s">
        <v>324</v>
      </c>
      <c r="AB273" s="12" t="s">
        <v>325</v>
      </c>
      <c r="AC273" s="12" t="s">
        <v>326</v>
      </c>
      <c r="AD273" s="24" t="s">
        <v>145</v>
      </c>
      <c r="AE273" s="12" t="s">
        <v>324</v>
      </c>
      <c r="AF273" s="12" t="s">
        <v>325</v>
      </c>
      <c r="AG273" s="12" t="s">
        <v>326</v>
      </c>
      <c r="AH273" s="24" t="s">
        <v>146</v>
      </c>
      <c r="AI273" s="12" t="s">
        <v>324</v>
      </c>
      <c r="AJ273" s="12" t="s">
        <v>325</v>
      </c>
      <c r="AK273" s="12" t="s">
        <v>326</v>
      </c>
    </row>
    <row r="274" spans="1:38" x14ac:dyDescent="0.25">
      <c r="A274" s="3" t="s">
        <v>171</v>
      </c>
      <c r="C274" s="33">
        <f>IF(C$13&gt;0,$C218*C$263*24*Input!$F$58/C$13,0)</f>
        <v>13.155249169767304</v>
      </c>
      <c r="D274" s="33">
        <f>IF(D$13&gt;0,$C218*D$263*24*Input!$F$58/D$13,0)</f>
        <v>0</v>
      </c>
      <c r="E274" s="33">
        <f>IF(E$13&gt;0,$C218*E$263*24*Input!$F$58/E$13,0)</f>
        <v>3.460596432503589E-2</v>
      </c>
      <c r="G274" s="33">
        <f>IF(C$13&gt;0,$C218*G$263*24*Input!$F$58/C$13,0)</f>
        <v>11.481235976587605</v>
      </c>
      <c r="H274" s="33">
        <f>IF(D$13&gt;0,$C218*H$263*24*Input!$F$58/D$13,0)</f>
        <v>0.50671644940485994</v>
      </c>
      <c r="I274" s="33">
        <f>IF(E$13&gt;0,$C218*I$263*24*Input!$F$58/E$13,0)</f>
        <v>1.9823942192635065E-2</v>
      </c>
      <c r="K274" s="33">
        <f>IF(C$13&gt;0,$C218*K$263*24*Input!$F$58/C$13,0)</f>
        <v>11.481235976587605</v>
      </c>
      <c r="L274" s="33">
        <f>IF(D$13&gt;0,$C218*L$263*24*Input!$F$58/D$13,0)</f>
        <v>0.50671644940485994</v>
      </c>
      <c r="M274" s="33">
        <f>IF(E$13&gt;0,$C218*M$263*24*Input!$F$58/E$13,0)</f>
        <v>1.9823942192635065E-2</v>
      </c>
      <c r="O274" s="33">
        <f>IF(C$13&gt;0,$C218*O$263*24*Input!$F$58/C$13,0)</f>
        <v>8.9761963066795456</v>
      </c>
      <c r="P274" s="33">
        <f>IF(D$13&gt;0,$C218*P$263*24*Input!$F$58/D$13,0)</f>
        <v>1.0964985740323261</v>
      </c>
      <c r="Q274" s="33">
        <f>IF(E$13&gt;0,$C218*Q$263*24*Input!$F$58/E$13,0)</f>
        <v>8.5314559772692783E-2</v>
      </c>
      <c r="S274" s="33">
        <f>IF(C$13&gt;0,$C218*S$263*24*Input!$F$58/C$13,0)</f>
        <v>8.9761963066795456</v>
      </c>
      <c r="T274" s="33">
        <f>IF(D$13&gt;0,$C218*T$263*24*Input!$F$58/D$13,0)</f>
        <v>1.0964985740323261</v>
      </c>
      <c r="U274" s="33">
        <f>IF(E$13&gt;0,$C218*U$263*24*Input!$F$58/E$13,0)</f>
        <v>8.5314559772692783E-2</v>
      </c>
      <c r="W274" s="33">
        <f>IF(C$13&gt;0,$C218*W$263*24*Input!$F$58/C$13,0)</f>
        <v>11.481235976587605</v>
      </c>
      <c r="X274" s="33">
        <f>IF(D$13&gt;0,$C218*X$263*24*Input!$F$58/D$13,0)</f>
        <v>0.50671644940485994</v>
      </c>
      <c r="Y274" s="33">
        <f>IF(E$13&gt;0,$C218*Y$263*24*Input!$F$58/E$13,0)</f>
        <v>1.9823942192635065E-2</v>
      </c>
      <c r="AA274" s="33">
        <f>IF(C$13&gt;0,$C218*AA$263*24*Input!$F$58/C$13,0)</f>
        <v>8.9761963066795456</v>
      </c>
      <c r="AB274" s="33">
        <f>IF(D$13&gt;0,$C218*AB$263*24*Input!$F$58/D$13,0)</f>
        <v>1.0964985740323261</v>
      </c>
      <c r="AC274" s="33">
        <f>IF(E$13&gt;0,$C218*AC$263*24*Input!$F$58/E$13,0)</f>
        <v>8.5314559772692783E-2</v>
      </c>
      <c r="AE274" s="33">
        <f>IF(C$13&gt;0,$C218*AE$263*24*Input!$F$58/C$13,0)</f>
        <v>8.9761963066795456</v>
      </c>
      <c r="AF274" s="33">
        <f>IF(D$13&gt;0,$C218*AF$263*24*Input!$F$58/D$13,0)</f>
        <v>1.0964985740323261</v>
      </c>
      <c r="AG274" s="33">
        <f>IF(E$13&gt;0,$C218*AG$263*24*Input!$F$58/E$13,0)</f>
        <v>8.5314559772692783E-2</v>
      </c>
      <c r="AI274" s="33">
        <f>IF(C$13&gt;0,$C218*AI$263*24*Input!$F$58/C$13,0)</f>
        <v>8.9761963066795456</v>
      </c>
      <c r="AJ274" s="33">
        <f>IF(D$13&gt;0,$C218*AJ$263*24*Input!$F$58/D$13,0)</f>
        <v>1.0964985740323261</v>
      </c>
      <c r="AK274" s="33">
        <f>IF(E$13&gt;0,$C218*AK$263*24*Input!$F$58/E$13,0)</f>
        <v>8.5314559772692783E-2</v>
      </c>
      <c r="AL274" s="10"/>
    </row>
    <row r="275" spans="1:38" x14ac:dyDescent="0.25">
      <c r="A275" s="3" t="s">
        <v>172</v>
      </c>
      <c r="C275" s="33">
        <f>IF(C$13&gt;0,$C219*C$263*24*Input!$F$58/C$13,0)</f>
        <v>16.124404602396357</v>
      </c>
      <c r="D275" s="33">
        <f>IF(D$13&gt;0,$C219*D$263*24*Input!$F$58/D$13,0)</f>
        <v>0</v>
      </c>
      <c r="E275" s="33">
        <f>IF(E$13&gt;0,$C219*E$263*24*Input!$F$58/E$13,0)</f>
        <v>4.241657176021723E-2</v>
      </c>
      <c r="G275" s="33">
        <f>IF(C$13&gt;0,$C219*G$263*24*Input!$F$58/C$13,0)</f>
        <v>14.072564634316423</v>
      </c>
      <c r="H275" s="33">
        <f>IF(D$13&gt;0,$C219*H$263*24*Input!$F$58/D$13,0)</f>
        <v>0.62108295657908785</v>
      </c>
      <c r="I275" s="33">
        <f>IF(E$13&gt;0,$C219*I$263*24*Input!$F$58/E$13,0)</f>
        <v>2.4298229596681851E-2</v>
      </c>
      <c r="K275" s="33">
        <f>IF(C$13&gt;0,$C219*K$263*24*Input!$F$58/C$13,0)</f>
        <v>14.072564634316423</v>
      </c>
      <c r="L275" s="33">
        <f>IF(D$13&gt;0,$C219*L$263*24*Input!$F$58/D$13,0)</f>
        <v>0.62108295657908785</v>
      </c>
      <c r="M275" s="33">
        <f>IF(E$13&gt;0,$C219*M$263*24*Input!$F$58/E$13,0)</f>
        <v>2.4298229596681851E-2</v>
      </c>
      <c r="O275" s="33">
        <f>IF(C$13&gt;0,$C219*O$263*24*Input!$F$58/C$13,0)</f>
        <v>11.002134522245392</v>
      </c>
      <c r="P275" s="33">
        <f>IF(D$13&gt;0,$C219*P$263*24*Input!$F$58/D$13,0)</f>
        <v>1.3439796103809281</v>
      </c>
      <c r="Q275" s="33">
        <f>IF(E$13&gt;0,$C219*Q$263*24*Input!$F$58/E$13,0)</f>
        <v>0.10457015769884956</v>
      </c>
      <c r="S275" s="33">
        <f>IF(C$13&gt;0,$C219*S$263*24*Input!$F$58/C$13,0)</f>
        <v>11.002134522245392</v>
      </c>
      <c r="T275" s="33">
        <f>IF(D$13&gt;0,$C219*T$263*24*Input!$F$58/D$13,0)</f>
        <v>1.3439796103809281</v>
      </c>
      <c r="U275" s="33">
        <f>IF(E$13&gt;0,$C219*U$263*24*Input!$F$58/E$13,0)</f>
        <v>0.10457015769884956</v>
      </c>
      <c r="W275" s="33">
        <f>IF(C$13&gt;0,$C219*W$263*24*Input!$F$58/C$13,0)</f>
        <v>14.072564634316423</v>
      </c>
      <c r="X275" s="33">
        <f>IF(D$13&gt;0,$C219*X$263*24*Input!$F$58/D$13,0)</f>
        <v>0.62108295657908785</v>
      </c>
      <c r="Y275" s="33">
        <f>IF(E$13&gt;0,$C219*Y$263*24*Input!$F$58/E$13,0)</f>
        <v>2.4298229596681851E-2</v>
      </c>
      <c r="AA275" s="33">
        <f>IF(C$13&gt;0,$C219*AA$263*24*Input!$F$58/C$13,0)</f>
        <v>11.002134522245392</v>
      </c>
      <c r="AB275" s="33">
        <f>IF(D$13&gt;0,$C219*AB$263*24*Input!$F$58/D$13,0)</f>
        <v>1.3439796103809281</v>
      </c>
      <c r="AC275" s="33">
        <f>IF(E$13&gt;0,$C219*AC$263*24*Input!$F$58/E$13,0)</f>
        <v>0.10457015769884956</v>
      </c>
      <c r="AE275" s="33">
        <f>IF(C$13&gt;0,$C219*AE$263*24*Input!$F$58/C$13,0)</f>
        <v>11.002134522245392</v>
      </c>
      <c r="AF275" s="33">
        <f>IF(D$13&gt;0,$C219*AF$263*24*Input!$F$58/D$13,0)</f>
        <v>1.3439796103809281</v>
      </c>
      <c r="AG275" s="33">
        <f>IF(E$13&gt;0,$C219*AG$263*24*Input!$F$58/E$13,0)</f>
        <v>0.10457015769884956</v>
      </c>
      <c r="AI275" s="33">
        <f>IF(C$13&gt;0,$C219*AI$263*24*Input!$F$58/C$13,0)</f>
        <v>11.002134522245392</v>
      </c>
      <c r="AJ275" s="33">
        <f>IF(D$13&gt;0,$C219*AJ$263*24*Input!$F$58/D$13,0)</f>
        <v>1.3439796103809281</v>
      </c>
      <c r="AK275" s="33">
        <f>IF(E$13&gt;0,$C219*AK$263*24*Input!$F$58/E$13,0)</f>
        <v>0.10457015769884956</v>
      </c>
      <c r="AL275" s="10"/>
    </row>
    <row r="276" spans="1:38" x14ac:dyDescent="0.25">
      <c r="A276" s="3" t="s">
        <v>211</v>
      </c>
      <c r="C276" s="33">
        <f>IF(C$13&gt;0,$C220*C$263*24*Input!$F$58/C$13,0)</f>
        <v>11.035378564342917</v>
      </c>
      <c r="D276" s="33">
        <f>IF(D$13&gt;0,$C220*D$263*24*Input!$F$58/D$13,0)</f>
        <v>0</v>
      </c>
      <c r="E276" s="33">
        <f>IF(E$13&gt;0,$C220*E$263*24*Input!$F$58/E$13,0)</f>
        <v>2.9029470440480602E-2</v>
      </c>
      <c r="G276" s="33">
        <f>IF(C$13&gt;0,$C220*G$263*24*Input!$F$58/C$13,0)</f>
        <v>9.6311201523550274</v>
      </c>
      <c r="H276" s="33">
        <f>IF(D$13&gt;0,$C220*H$263*24*Input!$F$58/D$13,0)</f>
        <v>0.4250628605966007</v>
      </c>
      <c r="I276" s="33">
        <f>IF(E$13&gt;0,$C220*I$263*24*Input!$F$58/E$13,0)</f>
        <v>1.662946128273508E-2</v>
      </c>
      <c r="K276" s="33">
        <f>IF(C$13&gt;0,$C220*K$263*24*Input!$F$58/C$13,0)</f>
        <v>9.6311201523550274</v>
      </c>
      <c r="L276" s="33">
        <f>IF(D$13&gt;0,$C220*L$263*24*Input!$F$58/D$13,0)</f>
        <v>0.4250628605966007</v>
      </c>
      <c r="M276" s="33">
        <f>IF(E$13&gt;0,$C220*M$263*24*Input!$F$58/E$13,0)</f>
        <v>1.662946128273508E-2</v>
      </c>
      <c r="O276" s="33">
        <f>IF(C$13&gt;0,$C220*O$263*24*Input!$F$58/C$13,0)</f>
        <v>7.5297490023761897</v>
      </c>
      <c r="P276" s="33">
        <f>IF(D$13&gt;0,$C220*P$263*24*Input!$F$58/D$13,0)</f>
        <v>0.91980598037756123</v>
      </c>
      <c r="Q276" s="33">
        <f>IF(E$13&gt;0,$C220*Q$263*24*Input!$F$58/E$13,0)</f>
        <v>7.1566752707777112E-2</v>
      </c>
      <c r="S276" s="33">
        <f>IF(C$13&gt;0,$C220*S$263*24*Input!$F$58/C$13,0)</f>
        <v>7.5297490023761897</v>
      </c>
      <c r="T276" s="33">
        <f>IF(D$13&gt;0,$C220*T$263*24*Input!$F$58/D$13,0)</f>
        <v>0.91980598037756123</v>
      </c>
      <c r="U276" s="33">
        <f>IF(E$13&gt;0,$C220*U$263*24*Input!$F$58/E$13,0)</f>
        <v>7.1566752707777112E-2</v>
      </c>
      <c r="W276" s="33">
        <f>IF(C$13&gt;0,$C220*W$263*24*Input!$F$58/C$13,0)</f>
        <v>9.6311201523550274</v>
      </c>
      <c r="X276" s="33">
        <f>IF(D$13&gt;0,$C220*X$263*24*Input!$F$58/D$13,0)</f>
        <v>0.4250628605966007</v>
      </c>
      <c r="Y276" s="33">
        <f>IF(E$13&gt;0,$C220*Y$263*24*Input!$F$58/E$13,0)</f>
        <v>1.662946128273508E-2</v>
      </c>
      <c r="AA276" s="33">
        <f>IF(C$13&gt;0,$C220*AA$263*24*Input!$F$58/C$13,0)</f>
        <v>7.5297490023761897</v>
      </c>
      <c r="AB276" s="33">
        <f>IF(D$13&gt;0,$C220*AB$263*24*Input!$F$58/D$13,0)</f>
        <v>0.91980598037756123</v>
      </c>
      <c r="AC276" s="33">
        <f>IF(E$13&gt;0,$C220*AC$263*24*Input!$F$58/E$13,0)</f>
        <v>7.1566752707777112E-2</v>
      </c>
      <c r="AE276" s="33">
        <f>IF(C$13&gt;0,$C220*AE$263*24*Input!$F$58/C$13,0)</f>
        <v>7.5297490023761897</v>
      </c>
      <c r="AF276" s="33">
        <f>IF(D$13&gt;0,$C220*AF$263*24*Input!$F$58/D$13,0)</f>
        <v>0.91980598037756123</v>
      </c>
      <c r="AG276" s="33">
        <f>IF(E$13&gt;0,$C220*AG$263*24*Input!$F$58/E$13,0)</f>
        <v>7.1566752707777112E-2</v>
      </c>
      <c r="AI276" s="33">
        <f>IF(C$13&gt;0,$C220*AI$263*24*Input!$F$58/C$13,0)</f>
        <v>7.5297490023761897</v>
      </c>
      <c r="AJ276" s="33">
        <f>IF(D$13&gt;0,$C220*AJ$263*24*Input!$F$58/D$13,0)</f>
        <v>0.91980598037756123</v>
      </c>
      <c r="AK276" s="33">
        <f>IF(E$13&gt;0,$C220*AK$263*24*Input!$F$58/E$13,0)</f>
        <v>7.1566752707777112E-2</v>
      </c>
      <c r="AL276" s="10"/>
    </row>
    <row r="277" spans="1:38" x14ac:dyDescent="0.25">
      <c r="A277" s="3" t="s">
        <v>173</v>
      </c>
      <c r="C277" s="33">
        <f>IF(C$13&gt;0,$C221*C$263*24*Input!$F$58/C$13,0)</f>
        <v>13.347327749413909</v>
      </c>
      <c r="D277" s="33">
        <f>IF(D$13&gt;0,$C221*D$263*24*Input!$F$58/D$13,0)</f>
        <v>0</v>
      </c>
      <c r="E277" s="33">
        <f>IF(E$13&gt;0,$C221*E$263*24*Input!$F$58/E$13,0)</f>
        <v>3.5111242817983786E-2</v>
      </c>
      <c r="G277" s="33">
        <f>IF(C$13&gt;0,$C221*G$263*24*Input!$F$58/C$13,0)</f>
        <v>11.648872444016789</v>
      </c>
      <c r="H277" s="33">
        <f>IF(D$13&gt;0,$C221*H$263*24*Input!$F$58/D$13,0)</f>
        <v>0.51411496954151659</v>
      </c>
      <c r="I277" s="33">
        <f>IF(E$13&gt;0,$C221*I$263*24*Input!$F$58/E$13,0)</f>
        <v>2.0113389743967546E-2</v>
      </c>
      <c r="K277" s="33">
        <f>IF(C$13&gt;0,$C221*K$263*24*Input!$F$58/C$13,0)</f>
        <v>11.648872444016789</v>
      </c>
      <c r="L277" s="33">
        <f>IF(D$13&gt;0,$C221*L$263*24*Input!$F$58/D$13,0)</f>
        <v>0.51411496954151659</v>
      </c>
      <c r="M277" s="33">
        <f>IF(E$13&gt;0,$C221*M$263*24*Input!$F$58/E$13,0)</f>
        <v>2.0113389743967546E-2</v>
      </c>
      <c r="O277" s="33">
        <f>IF(C$13&gt;0,$C221*O$263*24*Input!$F$58/C$13,0)</f>
        <v>9.1072569209610634</v>
      </c>
      <c r="P277" s="33">
        <f>IF(D$13&gt;0,$C221*P$263*24*Input!$F$58/D$13,0)</f>
        <v>1.112508448567328</v>
      </c>
      <c r="Q277" s="33">
        <f>IF(E$13&gt;0,$C221*Q$263*24*Input!$F$58/E$13,0)</f>
        <v>8.6560229790253088E-2</v>
      </c>
      <c r="S277" s="33">
        <f>IF(C$13&gt;0,$C221*S$263*24*Input!$F$58/C$13,0)</f>
        <v>9.1072569209610634</v>
      </c>
      <c r="T277" s="33">
        <f>IF(D$13&gt;0,$C221*T$263*24*Input!$F$58/D$13,0)</f>
        <v>1.112508448567328</v>
      </c>
      <c r="U277" s="33">
        <f>IF(E$13&gt;0,$C221*U$263*24*Input!$F$58/E$13,0)</f>
        <v>8.6560229790253088E-2</v>
      </c>
      <c r="W277" s="33">
        <f>IF(C$13&gt;0,$C221*W$263*24*Input!$F$58/C$13,0)</f>
        <v>11.648872444016789</v>
      </c>
      <c r="X277" s="33">
        <f>IF(D$13&gt;0,$C221*X$263*24*Input!$F$58/D$13,0)</f>
        <v>0.51411496954151659</v>
      </c>
      <c r="Y277" s="33">
        <f>IF(E$13&gt;0,$C221*Y$263*24*Input!$F$58/E$13,0)</f>
        <v>2.0113389743967546E-2</v>
      </c>
      <c r="AA277" s="33">
        <f>IF(C$13&gt;0,$C221*AA$263*24*Input!$F$58/C$13,0)</f>
        <v>9.1072569209610634</v>
      </c>
      <c r="AB277" s="33">
        <f>IF(D$13&gt;0,$C221*AB$263*24*Input!$F$58/D$13,0)</f>
        <v>1.112508448567328</v>
      </c>
      <c r="AC277" s="33">
        <f>IF(E$13&gt;0,$C221*AC$263*24*Input!$F$58/E$13,0)</f>
        <v>8.6560229790253088E-2</v>
      </c>
      <c r="AE277" s="33">
        <f>IF(C$13&gt;0,$C221*AE$263*24*Input!$F$58/C$13,0)</f>
        <v>9.1072569209610634</v>
      </c>
      <c r="AF277" s="33">
        <f>IF(D$13&gt;0,$C221*AF$263*24*Input!$F$58/D$13,0)</f>
        <v>1.112508448567328</v>
      </c>
      <c r="AG277" s="33">
        <f>IF(E$13&gt;0,$C221*AG$263*24*Input!$F$58/E$13,0)</f>
        <v>8.6560229790253088E-2</v>
      </c>
      <c r="AI277" s="33">
        <f>IF(C$13&gt;0,$C221*AI$263*24*Input!$F$58/C$13,0)</f>
        <v>9.1072569209610634</v>
      </c>
      <c r="AJ277" s="33">
        <f>IF(D$13&gt;0,$C221*AJ$263*24*Input!$F$58/D$13,0)</f>
        <v>1.112508448567328</v>
      </c>
      <c r="AK277" s="33">
        <f>IF(E$13&gt;0,$C221*AK$263*24*Input!$F$58/E$13,0)</f>
        <v>8.6560229790253088E-2</v>
      </c>
      <c r="AL277" s="10"/>
    </row>
    <row r="278" spans="1:38" x14ac:dyDescent="0.25">
      <c r="A278" s="3" t="s">
        <v>174</v>
      </c>
      <c r="C278" s="33">
        <f>IF(C$13&gt;0,$C222*C$263*24*Input!$F$58/C$13,0)</f>
        <v>15.456985938309222</v>
      </c>
      <c r="D278" s="33">
        <f>IF(D$13&gt;0,$C222*D$263*24*Input!$F$58/D$13,0)</f>
        <v>0</v>
      </c>
      <c r="E278" s="33">
        <f>IF(E$13&gt;0,$C222*E$263*24*Input!$F$58/E$13,0)</f>
        <v>4.0660872101381265E-2</v>
      </c>
      <c r="G278" s="33">
        <f>IF(C$13&gt;0,$C222*G$263*24*Input!$F$58/C$13,0)</f>
        <v>13.49007538772933</v>
      </c>
      <c r="H278" s="33">
        <f>IF(D$13&gt;0,$C222*H$263*24*Input!$F$58/D$13,0)</f>
        <v>0.59537519450111931</v>
      </c>
      <c r="I278" s="33">
        <f>IF(E$13&gt;0,$C222*I$263*24*Input!$F$58/E$13,0)</f>
        <v>2.3292481332669059E-2</v>
      </c>
      <c r="K278" s="33">
        <f>IF(C$13&gt;0,$C222*K$263*24*Input!$F$58/C$13,0)</f>
        <v>13.49007538772933</v>
      </c>
      <c r="L278" s="33">
        <f>IF(D$13&gt;0,$C222*L$263*24*Input!$F$58/D$13,0)</f>
        <v>0.59537519450111931</v>
      </c>
      <c r="M278" s="33">
        <f>IF(E$13&gt;0,$C222*M$263*24*Input!$F$58/E$13,0)</f>
        <v>2.3292481332669059E-2</v>
      </c>
      <c r="O278" s="33">
        <f>IF(C$13&gt;0,$C222*O$263*24*Input!$F$58/C$13,0)</f>
        <v>10.546736006392429</v>
      </c>
      <c r="P278" s="33">
        <f>IF(D$13&gt;0,$C222*P$263*24*Input!$F$58/D$13,0)</f>
        <v>1.2883498306625822</v>
      </c>
      <c r="Q278" s="33">
        <f>IF(E$13&gt;0,$C222*Q$263*24*Input!$F$58/E$13,0)</f>
        <v>0.10024180718447616</v>
      </c>
      <c r="S278" s="33">
        <f>IF(C$13&gt;0,$C222*S$263*24*Input!$F$58/C$13,0)</f>
        <v>10.546736006392429</v>
      </c>
      <c r="T278" s="33">
        <f>IF(D$13&gt;0,$C222*T$263*24*Input!$F$58/D$13,0)</f>
        <v>1.2883498306625822</v>
      </c>
      <c r="U278" s="33">
        <f>IF(E$13&gt;0,$C222*U$263*24*Input!$F$58/E$13,0)</f>
        <v>0.10024180718447616</v>
      </c>
      <c r="W278" s="33">
        <f>IF(C$13&gt;0,$C222*W$263*24*Input!$F$58/C$13,0)</f>
        <v>13.49007538772933</v>
      </c>
      <c r="X278" s="33">
        <f>IF(D$13&gt;0,$C222*X$263*24*Input!$F$58/D$13,0)</f>
        <v>0.59537519450111931</v>
      </c>
      <c r="Y278" s="33">
        <f>IF(E$13&gt;0,$C222*Y$263*24*Input!$F$58/E$13,0)</f>
        <v>2.3292481332669059E-2</v>
      </c>
      <c r="AA278" s="33">
        <f>IF(C$13&gt;0,$C222*AA$263*24*Input!$F$58/C$13,0)</f>
        <v>10.546736006392429</v>
      </c>
      <c r="AB278" s="33">
        <f>IF(D$13&gt;0,$C222*AB$263*24*Input!$F$58/D$13,0)</f>
        <v>1.2883498306625822</v>
      </c>
      <c r="AC278" s="33">
        <f>IF(E$13&gt;0,$C222*AC$263*24*Input!$F$58/E$13,0)</f>
        <v>0.10024180718447616</v>
      </c>
      <c r="AE278" s="33">
        <f>IF(C$13&gt;0,$C222*AE$263*24*Input!$F$58/C$13,0)</f>
        <v>10.546736006392429</v>
      </c>
      <c r="AF278" s="33">
        <f>IF(D$13&gt;0,$C222*AF$263*24*Input!$F$58/D$13,0)</f>
        <v>1.2883498306625822</v>
      </c>
      <c r="AG278" s="33">
        <f>IF(E$13&gt;0,$C222*AG$263*24*Input!$F$58/E$13,0)</f>
        <v>0.10024180718447616</v>
      </c>
      <c r="AI278" s="33">
        <f>IF(C$13&gt;0,$C222*AI$263*24*Input!$F$58/C$13,0)</f>
        <v>10.546736006392429</v>
      </c>
      <c r="AJ278" s="33">
        <f>IF(D$13&gt;0,$C222*AJ$263*24*Input!$F$58/D$13,0)</f>
        <v>1.2883498306625822</v>
      </c>
      <c r="AK278" s="33">
        <f>IF(E$13&gt;0,$C222*AK$263*24*Input!$F$58/E$13,0)</f>
        <v>0.10024180718447616</v>
      </c>
      <c r="AL278" s="10"/>
    </row>
    <row r="279" spans="1:38" x14ac:dyDescent="0.25">
      <c r="A279" s="3" t="s">
        <v>212</v>
      </c>
      <c r="C279" s="33">
        <f>IF(C$13&gt;0,$C223*C$263*24*Input!$F$58/C$13,0)</f>
        <v>11.035378564342917</v>
      </c>
      <c r="D279" s="33">
        <f>IF(D$13&gt;0,$C223*D$263*24*Input!$F$58/D$13,0)</f>
        <v>0</v>
      </c>
      <c r="E279" s="33">
        <f>IF(E$13&gt;0,$C223*E$263*24*Input!$F$58/E$13,0)</f>
        <v>2.9029470440480602E-2</v>
      </c>
      <c r="G279" s="33">
        <f>IF(C$13&gt;0,$C223*G$263*24*Input!$F$58/C$13,0)</f>
        <v>9.6311201523550274</v>
      </c>
      <c r="H279" s="33">
        <f>IF(D$13&gt;0,$C223*H$263*24*Input!$F$58/D$13,0)</f>
        <v>0.4250628605966007</v>
      </c>
      <c r="I279" s="33">
        <f>IF(E$13&gt;0,$C223*I$263*24*Input!$F$58/E$13,0)</f>
        <v>1.662946128273508E-2</v>
      </c>
      <c r="K279" s="33">
        <f>IF(C$13&gt;0,$C223*K$263*24*Input!$F$58/C$13,0)</f>
        <v>9.6311201523550274</v>
      </c>
      <c r="L279" s="33">
        <f>IF(D$13&gt;0,$C223*L$263*24*Input!$F$58/D$13,0)</f>
        <v>0.4250628605966007</v>
      </c>
      <c r="M279" s="33">
        <f>IF(E$13&gt;0,$C223*M$263*24*Input!$F$58/E$13,0)</f>
        <v>1.662946128273508E-2</v>
      </c>
      <c r="O279" s="33">
        <f>IF(C$13&gt;0,$C223*O$263*24*Input!$F$58/C$13,0)</f>
        <v>7.5297490023761897</v>
      </c>
      <c r="P279" s="33">
        <f>IF(D$13&gt;0,$C223*P$263*24*Input!$F$58/D$13,0)</f>
        <v>0.91980598037756123</v>
      </c>
      <c r="Q279" s="33">
        <f>IF(E$13&gt;0,$C223*Q$263*24*Input!$F$58/E$13,0)</f>
        <v>7.1566752707777112E-2</v>
      </c>
      <c r="S279" s="33">
        <f>IF(C$13&gt;0,$C223*S$263*24*Input!$F$58/C$13,0)</f>
        <v>7.5297490023761897</v>
      </c>
      <c r="T279" s="33">
        <f>IF(D$13&gt;0,$C223*T$263*24*Input!$F$58/D$13,0)</f>
        <v>0.91980598037756123</v>
      </c>
      <c r="U279" s="33">
        <f>IF(E$13&gt;0,$C223*U$263*24*Input!$F$58/E$13,0)</f>
        <v>7.1566752707777112E-2</v>
      </c>
      <c r="W279" s="33">
        <f>IF(C$13&gt;0,$C223*W$263*24*Input!$F$58/C$13,0)</f>
        <v>9.6311201523550274</v>
      </c>
      <c r="X279" s="33">
        <f>IF(D$13&gt;0,$C223*X$263*24*Input!$F$58/D$13,0)</f>
        <v>0.4250628605966007</v>
      </c>
      <c r="Y279" s="33">
        <f>IF(E$13&gt;0,$C223*Y$263*24*Input!$F$58/E$13,0)</f>
        <v>1.662946128273508E-2</v>
      </c>
      <c r="AA279" s="33">
        <f>IF(C$13&gt;0,$C223*AA$263*24*Input!$F$58/C$13,0)</f>
        <v>7.5297490023761897</v>
      </c>
      <c r="AB279" s="33">
        <f>IF(D$13&gt;0,$C223*AB$263*24*Input!$F$58/D$13,0)</f>
        <v>0.91980598037756123</v>
      </c>
      <c r="AC279" s="33">
        <f>IF(E$13&gt;0,$C223*AC$263*24*Input!$F$58/E$13,0)</f>
        <v>7.1566752707777112E-2</v>
      </c>
      <c r="AE279" s="33">
        <f>IF(C$13&gt;0,$C223*AE$263*24*Input!$F$58/C$13,0)</f>
        <v>7.5297490023761897</v>
      </c>
      <c r="AF279" s="33">
        <f>IF(D$13&gt;0,$C223*AF$263*24*Input!$F$58/D$13,0)</f>
        <v>0.91980598037756123</v>
      </c>
      <c r="AG279" s="33">
        <f>IF(E$13&gt;0,$C223*AG$263*24*Input!$F$58/E$13,0)</f>
        <v>7.1566752707777112E-2</v>
      </c>
      <c r="AI279" s="33">
        <f>IF(C$13&gt;0,$C223*AI$263*24*Input!$F$58/C$13,0)</f>
        <v>7.5297490023761897</v>
      </c>
      <c r="AJ279" s="33">
        <f>IF(D$13&gt;0,$C223*AJ$263*24*Input!$F$58/D$13,0)</f>
        <v>0.91980598037756123</v>
      </c>
      <c r="AK279" s="33">
        <f>IF(E$13&gt;0,$C223*AK$263*24*Input!$F$58/E$13,0)</f>
        <v>7.1566752707777112E-2</v>
      </c>
      <c r="AL279" s="10"/>
    </row>
    <row r="280" spans="1:38" x14ac:dyDescent="0.25">
      <c r="A280" s="3" t="s">
        <v>175</v>
      </c>
      <c r="C280" s="33">
        <f>IF(C$13&gt;0,$C224*C$263*24*Input!$F$58/C$13,0)</f>
        <v>11.035378564342917</v>
      </c>
      <c r="D280" s="33">
        <f>IF(D$13&gt;0,$C224*D$263*24*Input!$F$58/D$13,0)</f>
        <v>0</v>
      </c>
      <c r="E280" s="33">
        <f>IF(E$13&gt;0,$C224*E$263*24*Input!$F$58/E$13,0)</f>
        <v>2.9029470440480602E-2</v>
      </c>
      <c r="G280" s="33">
        <f>IF(C$13&gt;0,$C224*G$263*24*Input!$F$58/C$13,0)</f>
        <v>9.6311201523550274</v>
      </c>
      <c r="H280" s="33">
        <f>IF(D$13&gt;0,$C224*H$263*24*Input!$F$58/D$13,0)</f>
        <v>0.4250628605966007</v>
      </c>
      <c r="I280" s="33">
        <f>IF(E$13&gt;0,$C224*I$263*24*Input!$F$58/E$13,0)</f>
        <v>1.662946128273508E-2</v>
      </c>
      <c r="K280" s="33">
        <f>IF(C$13&gt;0,$C224*K$263*24*Input!$F$58/C$13,0)</f>
        <v>9.6311201523550274</v>
      </c>
      <c r="L280" s="33">
        <f>IF(D$13&gt;0,$C224*L$263*24*Input!$F$58/D$13,0)</f>
        <v>0.4250628605966007</v>
      </c>
      <c r="M280" s="33">
        <f>IF(E$13&gt;0,$C224*M$263*24*Input!$F$58/E$13,0)</f>
        <v>1.662946128273508E-2</v>
      </c>
      <c r="O280" s="33">
        <f>IF(C$13&gt;0,$C224*O$263*24*Input!$F$58/C$13,0)</f>
        <v>7.5297490023761897</v>
      </c>
      <c r="P280" s="33">
        <f>IF(D$13&gt;0,$C224*P$263*24*Input!$F$58/D$13,0)</f>
        <v>0.91980598037756123</v>
      </c>
      <c r="Q280" s="33">
        <f>IF(E$13&gt;0,$C224*Q$263*24*Input!$F$58/E$13,0)</f>
        <v>7.1566752707777112E-2</v>
      </c>
      <c r="S280" s="33">
        <f>IF(C$13&gt;0,$C224*S$263*24*Input!$F$58/C$13,0)</f>
        <v>7.5297490023761897</v>
      </c>
      <c r="T280" s="33">
        <f>IF(D$13&gt;0,$C224*T$263*24*Input!$F$58/D$13,0)</f>
        <v>0.91980598037756123</v>
      </c>
      <c r="U280" s="33">
        <f>IF(E$13&gt;0,$C224*U$263*24*Input!$F$58/E$13,0)</f>
        <v>7.1566752707777112E-2</v>
      </c>
      <c r="W280" s="33">
        <f>IF(C$13&gt;0,$C224*W$263*24*Input!$F$58/C$13,0)</f>
        <v>9.6311201523550274</v>
      </c>
      <c r="X280" s="33">
        <f>IF(D$13&gt;0,$C224*X$263*24*Input!$F$58/D$13,0)</f>
        <v>0.4250628605966007</v>
      </c>
      <c r="Y280" s="33">
        <f>IF(E$13&gt;0,$C224*Y$263*24*Input!$F$58/E$13,0)</f>
        <v>1.662946128273508E-2</v>
      </c>
      <c r="AA280" s="33">
        <f>IF(C$13&gt;0,$C224*AA$263*24*Input!$F$58/C$13,0)</f>
        <v>7.5297490023761897</v>
      </c>
      <c r="AB280" s="33">
        <f>IF(D$13&gt;0,$C224*AB$263*24*Input!$F$58/D$13,0)</f>
        <v>0.91980598037756123</v>
      </c>
      <c r="AC280" s="33">
        <f>IF(E$13&gt;0,$C224*AC$263*24*Input!$F$58/E$13,0)</f>
        <v>7.1566752707777112E-2</v>
      </c>
      <c r="AE280" s="33">
        <f>IF(C$13&gt;0,$C224*AE$263*24*Input!$F$58/C$13,0)</f>
        <v>7.5297490023761897</v>
      </c>
      <c r="AF280" s="33">
        <f>IF(D$13&gt;0,$C224*AF$263*24*Input!$F$58/D$13,0)</f>
        <v>0.91980598037756123</v>
      </c>
      <c r="AG280" s="33">
        <f>IF(E$13&gt;0,$C224*AG$263*24*Input!$F$58/E$13,0)</f>
        <v>7.1566752707777112E-2</v>
      </c>
      <c r="AI280" s="33">
        <f>IF(C$13&gt;0,$C224*AI$263*24*Input!$F$58/C$13,0)</f>
        <v>7.5297490023761897</v>
      </c>
      <c r="AJ280" s="33">
        <f>IF(D$13&gt;0,$C224*AJ$263*24*Input!$F$58/D$13,0)</f>
        <v>0.91980598037756123</v>
      </c>
      <c r="AK280" s="33">
        <f>IF(E$13&gt;0,$C224*AK$263*24*Input!$F$58/E$13,0)</f>
        <v>7.1566752707777112E-2</v>
      </c>
      <c r="AL280" s="10"/>
    </row>
    <row r="281" spans="1:38" x14ac:dyDescent="0.25">
      <c r="A281" s="3" t="s">
        <v>176</v>
      </c>
      <c r="C281" s="33">
        <f>IF(C$13&gt;0,$C225*C$263*24*Input!$F$58/C$13,0)</f>
        <v>11.035378564342917</v>
      </c>
      <c r="D281" s="33">
        <f>IF(D$13&gt;0,$C225*D$263*24*Input!$F$58/D$13,0)</f>
        <v>0</v>
      </c>
      <c r="E281" s="33">
        <f>IF(E$13&gt;0,$C225*E$263*24*Input!$F$58/E$13,0)</f>
        <v>2.9029470440480602E-2</v>
      </c>
      <c r="G281" s="33">
        <f>IF(C$13&gt;0,$C225*G$263*24*Input!$F$58/C$13,0)</f>
        <v>9.6311201523550274</v>
      </c>
      <c r="H281" s="33">
        <f>IF(D$13&gt;0,$C225*H$263*24*Input!$F$58/D$13,0)</f>
        <v>0.4250628605966007</v>
      </c>
      <c r="I281" s="33">
        <f>IF(E$13&gt;0,$C225*I$263*24*Input!$F$58/E$13,0)</f>
        <v>1.662946128273508E-2</v>
      </c>
      <c r="K281" s="33">
        <f>IF(C$13&gt;0,$C225*K$263*24*Input!$F$58/C$13,0)</f>
        <v>9.6311201523550274</v>
      </c>
      <c r="L281" s="33">
        <f>IF(D$13&gt;0,$C225*L$263*24*Input!$F$58/D$13,0)</f>
        <v>0.4250628605966007</v>
      </c>
      <c r="M281" s="33">
        <f>IF(E$13&gt;0,$C225*M$263*24*Input!$F$58/E$13,0)</f>
        <v>1.662946128273508E-2</v>
      </c>
      <c r="O281" s="33">
        <f>IF(C$13&gt;0,$C225*O$263*24*Input!$F$58/C$13,0)</f>
        <v>7.5297490023761897</v>
      </c>
      <c r="P281" s="33">
        <f>IF(D$13&gt;0,$C225*P$263*24*Input!$F$58/D$13,0)</f>
        <v>0.91980598037756123</v>
      </c>
      <c r="Q281" s="33">
        <f>IF(E$13&gt;0,$C225*Q$263*24*Input!$F$58/E$13,0)</f>
        <v>7.1566752707777112E-2</v>
      </c>
      <c r="S281" s="33">
        <f>IF(C$13&gt;0,$C225*S$263*24*Input!$F$58/C$13,0)</f>
        <v>7.5297490023761897</v>
      </c>
      <c r="T281" s="33">
        <f>IF(D$13&gt;0,$C225*T$263*24*Input!$F$58/D$13,0)</f>
        <v>0.91980598037756123</v>
      </c>
      <c r="U281" s="33">
        <f>IF(E$13&gt;0,$C225*U$263*24*Input!$F$58/E$13,0)</f>
        <v>7.1566752707777112E-2</v>
      </c>
      <c r="W281" s="33">
        <f>IF(C$13&gt;0,$C225*W$263*24*Input!$F$58/C$13,0)</f>
        <v>9.6311201523550274</v>
      </c>
      <c r="X281" s="33">
        <f>IF(D$13&gt;0,$C225*X$263*24*Input!$F$58/D$13,0)</f>
        <v>0.4250628605966007</v>
      </c>
      <c r="Y281" s="33">
        <f>IF(E$13&gt;0,$C225*Y$263*24*Input!$F$58/E$13,0)</f>
        <v>1.662946128273508E-2</v>
      </c>
      <c r="AA281" s="33">
        <f>IF(C$13&gt;0,$C225*AA$263*24*Input!$F$58/C$13,0)</f>
        <v>7.5297490023761897</v>
      </c>
      <c r="AB281" s="33">
        <f>IF(D$13&gt;0,$C225*AB$263*24*Input!$F$58/D$13,0)</f>
        <v>0.91980598037756123</v>
      </c>
      <c r="AC281" s="33">
        <f>IF(E$13&gt;0,$C225*AC$263*24*Input!$F$58/E$13,0)</f>
        <v>7.1566752707777112E-2</v>
      </c>
      <c r="AE281" s="33">
        <f>IF(C$13&gt;0,$C225*AE$263*24*Input!$F$58/C$13,0)</f>
        <v>7.5297490023761897</v>
      </c>
      <c r="AF281" s="33">
        <f>IF(D$13&gt;0,$C225*AF$263*24*Input!$F$58/D$13,0)</f>
        <v>0.91980598037756123</v>
      </c>
      <c r="AG281" s="33">
        <f>IF(E$13&gt;0,$C225*AG$263*24*Input!$F$58/E$13,0)</f>
        <v>7.1566752707777112E-2</v>
      </c>
      <c r="AI281" s="33">
        <f>IF(C$13&gt;0,$C225*AI$263*24*Input!$F$58/C$13,0)</f>
        <v>7.5297490023761897</v>
      </c>
      <c r="AJ281" s="33">
        <f>IF(D$13&gt;0,$C225*AJ$263*24*Input!$F$58/D$13,0)</f>
        <v>0.91980598037756123</v>
      </c>
      <c r="AK281" s="33">
        <f>IF(E$13&gt;0,$C225*AK$263*24*Input!$F$58/E$13,0)</f>
        <v>7.1566752707777112E-2</v>
      </c>
      <c r="AL281" s="10"/>
    </row>
    <row r="282" spans="1:38" x14ac:dyDescent="0.25">
      <c r="A282" s="3" t="s">
        <v>192</v>
      </c>
      <c r="C282" s="33">
        <f>IF(C$13&gt;0,$C226*C$263*24*Input!$F$58/C$13,0)</f>
        <v>11.035378564342917</v>
      </c>
      <c r="D282" s="33">
        <f>IF(D$13&gt;0,$C226*D$263*24*Input!$F$58/D$13,0)</f>
        <v>0</v>
      </c>
      <c r="E282" s="33">
        <f>IF(E$13&gt;0,$C226*E$263*24*Input!$F$58/E$13,0)</f>
        <v>2.9029470440480602E-2</v>
      </c>
      <c r="G282" s="33">
        <f>IF(C$13&gt;0,$C226*G$263*24*Input!$F$58/C$13,0)</f>
        <v>9.6311201523550274</v>
      </c>
      <c r="H282" s="33">
        <f>IF(D$13&gt;0,$C226*H$263*24*Input!$F$58/D$13,0)</f>
        <v>0.4250628605966007</v>
      </c>
      <c r="I282" s="33">
        <f>IF(E$13&gt;0,$C226*I$263*24*Input!$F$58/E$13,0)</f>
        <v>1.662946128273508E-2</v>
      </c>
      <c r="K282" s="33">
        <f>IF(C$13&gt;0,$C226*K$263*24*Input!$F$58/C$13,0)</f>
        <v>9.6311201523550274</v>
      </c>
      <c r="L282" s="33">
        <f>IF(D$13&gt;0,$C226*L$263*24*Input!$F$58/D$13,0)</f>
        <v>0.4250628605966007</v>
      </c>
      <c r="M282" s="33">
        <f>IF(E$13&gt;0,$C226*M$263*24*Input!$F$58/E$13,0)</f>
        <v>1.662946128273508E-2</v>
      </c>
      <c r="O282" s="33">
        <f>IF(C$13&gt;0,$C226*O$263*24*Input!$F$58/C$13,0)</f>
        <v>7.5297490023761897</v>
      </c>
      <c r="P282" s="33">
        <f>IF(D$13&gt;0,$C226*P$263*24*Input!$F$58/D$13,0)</f>
        <v>0.91980598037756123</v>
      </c>
      <c r="Q282" s="33">
        <f>IF(E$13&gt;0,$C226*Q$263*24*Input!$F$58/E$13,0)</f>
        <v>7.1566752707777112E-2</v>
      </c>
      <c r="S282" s="33">
        <f>IF(C$13&gt;0,$C226*S$263*24*Input!$F$58/C$13,0)</f>
        <v>7.5297490023761897</v>
      </c>
      <c r="T282" s="33">
        <f>IF(D$13&gt;0,$C226*T$263*24*Input!$F$58/D$13,0)</f>
        <v>0.91980598037756123</v>
      </c>
      <c r="U282" s="33">
        <f>IF(E$13&gt;0,$C226*U$263*24*Input!$F$58/E$13,0)</f>
        <v>7.1566752707777112E-2</v>
      </c>
      <c r="W282" s="33">
        <f>IF(C$13&gt;0,$C226*W$263*24*Input!$F$58/C$13,0)</f>
        <v>9.6311201523550274</v>
      </c>
      <c r="X282" s="33">
        <f>IF(D$13&gt;0,$C226*X$263*24*Input!$F$58/D$13,0)</f>
        <v>0.4250628605966007</v>
      </c>
      <c r="Y282" s="33">
        <f>IF(E$13&gt;0,$C226*Y$263*24*Input!$F$58/E$13,0)</f>
        <v>1.662946128273508E-2</v>
      </c>
      <c r="AA282" s="33">
        <f>IF(C$13&gt;0,$C226*AA$263*24*Input!$F$58/C$13,0)</f>
        <v>7.5297490023761897</v>
      </c>
      <c r="AB282" s="33">
        <f>IF(D$13&gt;0,$C226*AB$263*24*Input!$F$58/D$13,0)</f>
        <v>0.91980598037756123</v>
      </c>
      <c r="AC282" s="33">
        <f>IF(E$13&gt;0,$C226*AC$263*24*Input!$F$58/E$13,0)</f>
        <v>7.1566752707777112E-2</v>
      </c>
      <c r="AE282" s="33">
        <f>IF(C$13&gt;0,$C226*AE$263*24*Input!$F$58/C$13,0)</f>
        <v>7.5297490023761897</v>
      </c>
      <c r="AF282" s="33">
        <f>IF(D$13&gt;0,$C226*AF$263*24*Input!$F$58/D$13,0)</f>
        <v>0.91980598037756123</v>
      </c>
      <c r="AG282" s="33">
        <f>IF(E$13&gt;0,$C226*AG$263*24*Input!$F$58/E$13,0)</f>
        <v>7.1566752707777112E-2</v>
      </c>
      <c r="AI282" s="33">
        <f>IF(C$13&gt;0,$C226*AI$263*24*Input!$F$58/C$13,0)</f>
        <v>7.5297490023761897</v>
      </c>
      <c r="AJ282" s="33">
        <f>IF(D$13&gt;0,$C226*AJ$263*24*Input!$F$58/D$13,0)</f>
        <v>0.91980598037756123</v>
      </c>
      <c r="AK282" s="33">
        <f>IF(E$13&gt;0,$C226*AK$263*24*Input!$F$58/E$13,0)</f>
        <v>7.1566752707777112E-2</v>
      </c>
      <c r="AL282" s="10"/>
    </row>
    <row r="283" spans="1:38" x14ac:dyDescent="0.25">
      <c r="A283" s="3" t="s">
        <v>177</v>
      </c>
      <c r="C283" s="33">
        <f>IF(C$13&gt;0,$C227*C$263*24*Input!$F$58/C$13,0)</f>
        <v>11.035378564342917</v>
      </c>
      <c r="D283" s="33">
        <f>IF(D$13&gt;0,$C227*D$263*24*Input!$F$58/D$13,0)</f>
        <v>0</v>
      </c>
      <c r="E283" s="33">
        <f>IF(E$13&gt;0,$C227*E$263*24*Input!$F$58/E$13,0)</f>
        <v>2.9029470440480602E-2</v>
      </c>
      <c r="G283" s="33">
        <f>IF(C$13&gt;0,$C227*G$263*24*Input!$F$58/C$13,0)</f>
        <v>9.6311201523550274</v>
      </c>
      <c r="H283" s="33">
        <f>IF(D$13&gt;0,$C227*H$263*24*Input!$F$58/D$13,0)</f>
        <v>0.4250628605966007</v>
      </c>
      <c r="I283" s="33">
        <f>IF(E$13&gt;0,$C227*I$263*24*Input!$F$58/E$13,0)</f>
        <v>1.662946128273508E-2</v>
      </c>
      <c r="K283" s="33">
        <f>IF(C$13&gt;0,$C227*K$263*24*Input!$F$58/C$13,0)</f>
        <v>9.6311201523550274</v>
      </c>
      <c r="L283" s="33">
        <f>IF(D$13&gt;0,$C227*L$263*24*Input!$F$58/D$13,0)</f>
        <v>0.4250628605966007</v>
      </c>
      <c r="M283" s="33">
        <f>IF(E$13&gt;0,$C227*M$263*24*Input!$F$58/E$13,0)</f>
        <v>1.662946128273508E-2</v>
      </c>
      <c r="O283" s="33">
        <f>IF(C$13&gt;0,$C227*O$263*24*Input!$F$58/C$13,0)</f>
        <v>7.5297490023761897</v>
      </c>
      <c r="P283" s="33">
        <f>IF(D$13&gt;0,$C227*P$263*24*Input!$F$58/D$13,0)</f>
        <v>0.91980598037756123</v>
      </c>
      <c r="Q283" s="33">
        <f>IF(E$13&gt;0,$C227*Q$263*24*Input!$F$58/E$13,0)</f>
        <v>7.1566752707777112E-2</v>
      </c>
      <c r="S283" s="33">
        <f>IF(C$13&gt;0,$C227*S$263*24*Input!$F$58/C$13,0)</f>
        <v>7.5297490023761897</v>
      </c>
      <c r="T283" s="33">
        <f>IF(D$13&gt;0,$C227*T$263*24*Input!$F$58/D$13,0)</f>
        <v>0.91980598037756123</v>
      </c>
      <c r="U283" s="33">
        <f>IF(E$13&gt;0,$C227*U$263*24*Input!$F$58/E$13,0)</f>
        <v>7.1566752707777112E-2</v>
      </c>
      <c r="W283" s="33">
        <f>IF(C$13&gt;0,$C227*W$263*24*Input!$F$58/C$13,0)</f>
        <v>9.6311201523550274</v>
      </c>
      <c r="X283" s="33">
        <f>IF(D$13&gt;0,$C227*X$263*24*Input!$F$58/D$13,0)</f>
        <v>0.4250628605966007</v>
      </c>
      <c r="Y283" s="33">
        <f>IF(E$13&gt;0,$C227*Y$263*24*Input!$F$58/E$13,0)</f>
        <v>1.662946128273508E-2</v>
      </c>
      <c r="AA283" s="33">
        <f>IF(C$13&gt;0,$C227*AA$263*24*Input!$F$58/C$13,0)</f>
        <v>7.5297490023761897</v>
      </c>
      <c r="AB283" s="33">
        <f>IF(D$13&gt;0,$C227*AB$263*24*Input!$F$58/D$13,0)</f>
        <v>0.91980598037756123</v>
      </c>
      <c r="AC283" s="33">
        <f>IF(E$13&gt;0,$C227*AC$263*24*Input!$F$58/E$13,0)</f>
        <v>7.1566752707777112E-2</v>
      </c>
      <c r="AE283" s="33">
        <f>IF(C$13&gt;0,$C227*AE$263*24*Input!$F$58/C$13,0)</f>
        <v>7.5297490023761897</v>
      </c>
      <c r="AF283" s="33">
        <f>IF(D$13&gt;0,$C227*AF$263*24*Input!$F$58/D$13,0)</f>
        <v>0.91980598037756123</v>
      </c>
      <c r="AG283" s="33">
        <f>IF(E$13&gt;0,$C227*AG$263*24*Input!$F$58/E$13,0)</f>
        <v>7.1566752707777112E-2</v>
      </c>
      <c r="AI283" s="33">
        <f>IF(C$13&gt;0,$C227*AI$263*24*Input!$F$58/C$13,0)</f>
        <v>7.5297490023761897</v>
      </c>
      <c r="AJ283" s="33">
        <f>IF(D$13&gt;0,$C227*AJ$263*24*Input!$F$58/D$13,0)</f>
        <v>0.91980598037756123</v>
      </c>
      <c r="AK283" s="33">
        <f>IF(E$13&gt;0,$C227*AK$263*24*Input!$F$58/E$13,0)</f>
        <v>7.1566752707777112E-2</v>
      </c>
      <c r="AL283" s="10"/>
    </row>
    <row r="284" spans="1:38" x14ac:dyDescent="0.25">
      <c r="A284" s="3" t="s">
        <v>178</v>
      </c>
      <c r="C284" s="33">
        <f>IF(C$13&gt;0,$C228*C$263*24*Input!$F$58/C$13,0)</f>
        <v>14.905647808599713</v>
      </c>
      <c r="D284" s="33">
        <f>IF(D$13&gt;0,$C228*D$263*24*Input!$F$58/D$13,0)</f>
        <v>0</v>
      </c>
      <c r="E284" s="33">
        <f>IF(E$13&gt;0,$C228*E$263*24*Input!$F$58/E$13,0)</f>
        <v>3.9210531830243957E-2</v>
      </c>
      <c r="G284" s="33">
        <f>IF(C$13&gt;0,$C228*G$263*24*Input!$F$58/C$13,0)</f>
        <v>13.008895359255774</v>
      </c>
      <c r="H284" s="33">
        <f>IF(D$13&gt;0,$C228*H$263*24*Input!$F$58/D$13,0)</f>
        <v>0.57413864505210133</v>
      </c>
      <c r="I284" s="33">
        <f>IF(E$13&gt;0,$C228*I$263*24*Input!$F$58/E$13,0)</f>
        <v>2.2461657448536575E-2</v>
      </c>
      <c r="K284" s="33">
        <f>IF(C$13&gt;0,$C228*K$263*24*Input!$F$58/C$13,0)</f>
        <v>13.008895359255774</v>
      </c>
      <c r="L284" s="33">
        <f>IF(D$13&gt;0,$C228*L$263*24*Input!$F$58/D$13,0)</f>
        <v>0.57413864505210133</v>
      </c>
      <c r="M284" s="33">
        <f>IF(E$13&gt;0,$C228*M$263*24*Input!$F$58/E$13,0)</f>
        <v>2.2461657448536575E-2</v>
      </c>
      <c r="O284" s="33">
        <f>IF(C$13&gt;0,$C228*O$263*24*Input!$F$58/C$13,0)</f>
        <v>10.170542502205262</v>
      </c>
      <c r="P284" s="33">
        <f>IF(D$13&gt;0,$C228*P$263*24*Input!$F$58/D$13,0)</f>
        <v>1.2423954389794929</v>
      </c>
      <c r="Q284" s="33">
        <f>IF(E$13&gt;0,$C228*Q$263*24*Input!$F$58/E$13,0)</f>
        <v>9.6666263368083483E-2</v>
      </c>
      <c r="S284" s="33">
        <f>IF(C$13&gt;0,$C228*S$263*24*Input!$F$58/C$13,0)</f>
        <v>10.170542502205262</v>
      </c>
      <c r="T284" s="33">
        <f>IF(D$13&gt;0,$C228*T$263*24*Input!$F$58/D$13,0)</f>
        <v>1.2423954389794929</v>
      </c>
      <c r="U284" s="33">
        <f>IF(E$13&gt;0,$C228*U$263*24*Input!$F$58/E$13,0)</f>
        <v>9.6666263368083483E-2</v>
      </c>
      <c r="W284" s="33">
        <f>IF(C$13&gt;0,$C228*W$263*24*Input!$F$58/C$13,0)</f>
        <v>13.008895359255774</v>
      </c>
      <c r="X284" s="33">
        <f>IF(D$13&gt;0,$C228*X$263*24*Input!$F$58/D$13,0)</f>
        <v>0.57413864505210133</v>
      </c>
      <c r="Y284" s="33">
        <f>IF(E$13&gt;0,$C228*Y$263*24*Input!$F$58/E$13,0)</f>
        <v>2.2461657448536575E-2</v>
      </c>
      <c r="AA284" s="33">
        <f>IF(C$13&gt;0,$C228*AA$263*24*Input!$F$58/C$13,0)</f>
        <v>10.170542502205262</v>
      </c>
      <c r="AB284" s="33">
        <f>IF(D$13&gt;0,$C228*AB$263*24*Input!$F$58/D$13,0)</f>
        <v>1.2423954389794929</v>
      </c>
      <c r="AC284" s="33">
        <f>IF(E$13&gt;0,$C228*AC$263*24*Input!$F$58/E$13,0)</f>
        <v>9.6666263368083483E-2</v>
      </c>
      <c r="AE284" s="33">
        <f>IF(C$13&gt;0,$C228*AE$263*24*Input!$F$58/C$13,0)</f>
        <v>10.170542502205262</v>
      </c>
      <c r="AF284" s="33">
        <f>IF(D$13&gt;0,$C228*AF$263*24*Input!$F$58/D$13,0)</f>
        <v>1.2423954389794929</v>
      </c>
      <c r="AG284" s="33">
        <f>IF(E$13&gt;0,$C228*AG$263*24*Input!$F$58/E$13,0)</f>
        <v>9.6666263368083483E-2</v>
      </c>
      <c r="AI284" s="33">
        <f>IF(C$13&gt;0,$C228*AI$263*24*Input!$F$58/C$13,0)</f>
        <v>10.170542502205262</v>
      </c>
      <c r="AJ284" s="33">
        <f>IF(D$13&gt;0,$C228*AJ$263*24*Input!$F$58/D$13,0)</f>
        <v>1.2423954389794929</v>
      </c>
      <c r="AK284" s="33">
        <f>IF(E$13&gt;0,$C228*AK$263*24*Input!$F$58/E$13,0)</f>
        <v>9.6666263368083483E-2</v>
      </c>
      <c r="AL284" s="10"/>
    </row>
    <row r="285" spans="1:38" x14ac:dyDescent="0.25">
      <c r="A285" s="3" t="s">
        <v>179</v>
      </c>
      <c r="C285" s="33">
        <f>IF(C$13&gt;0,$C229*C$263*24*Input!$F$58/C$13,0)</f>
        <v>13.475506403099624</v>
      </c>
      <c r="D285" s="33">
        <f>IF(D$13&gt;0,$C229*D$263*24*Input!$F$58/D$13,0)</f>
        <v>0</v>
      </c>
      <c r="E285" s="33">
        <f>IF(E$13&gt;0,$C229*E$263*24*Input!$F$58/E$13,0)</f>
        <v>3.5448427303008442E-2</v>
      </c>
      <c r="G285" s="33">
        <f>IF(C$13&gt;0,$C229*G$263*24*Input!$F$58/C$13,0)</f>
        <v>11.760740288641811</v>
      </c>
      <c r="H285" s="33">
        <f>IF(D$13&gt;0,$C229*H$263*24*Input!$F$58/D$13,0)</f>
        <v>0.5190521798859915</v>
      </c>
      <c r="I285" s="33">
        <f>IF(E$13&gt;0,$C229*I$263*24*Input!$F$58/E$13,0)</f>
        <v>2.0306545053167997E-2</v>
      </c>
      <c r="K285" s="33">
        <f>IF(C$13&gt;0,$C229*K$263*24*Input!$F$58/C$13,0)</f>
        <v>11.760740288641811</v>
      </c>
      <c r="L285" s="33">
        <f>IF(D$13&gt;0,$C229*L$263*24*Input!$F$58/D$13,0)</f>
        <v>0.5190521798859915</v>
      </c>
      <c r="M285" s="33">
        <f>IF(E$13&gt;0,$C229*M$263*24*Input!$F$58/E$13,0)</f>
        <v>2.0306545053167997E-2</v>
      </c>
      <c r="O285" s="33">
        <f>IF(C$13&gt;0,$C229*O$263*24*Input!$F$58/C$13,0)</f>
        <v>9.1947168195126636</v>
      </c>
      <c r="P285" s="33">
        <f>IF(D$13&gt;0,$C229*P$263*24*Input!$F$58/D$13,0)</f>
        <v>1.1231922227151239</v>
      </c>
      <c r="Q285" s="33">
        <f>IF(E$13&gt;0,$C229*Q$263*24*Input!$F$58/E$13,0)</f>
        <v>8.739149533834964E-2</v>
      </c>
      <c r="S285" s="33">
        <f>IF(C$13&gt;0,$C229*S$263*24*Input!$F$58/C$13,0)</f>
        <v>9.1947168195126636</v>
      </c>
      <c r="T285" s="33">
        <f>IF(D$13&gt;0,$C229*T$263*24*Input!$F$58/D$13,0)</f>
        <v>1.1231922227151239</v>
      </c>
      <c r="U285" s="33">
        <f>IF(E$13&gt;0,$C229*U$263*24*Input!$F$58/E$13,0)</f>
        <v>8.739149533834964E-2</v>
      </c>
      <c r="W285" s="33">
        <f>IF(C$13&gt;0,$C229*W$263*24*Input!$F$58/C$13,0)</f>
        <v>11.760740288641811</v>
      </c>
      <c r="X285" s="33">
        <f>IF(D$13&gt;0,$C229*X$263*24*Input!$F$58/D$13,0)</f>
        <v>0.5190521798859915</v>
      </c>
      <c r="Y285" s="33">
        <f>IF(E$13&gt;0,$C229*Y$263*24*Input!$F$58/E$13,0)</f>
        <v>2.0306545053167997E-2</v>
      </c>
      <c r="AA285" s="33">
        <f>IF(C$13&gt;0,$C229*AA$263*24*Input!$F$58/C$13,0)</f>
        <v>9.1947168195126636</v>
      </c>
      <c r="AB285" s="33">
        <f>IF(D$13&gt;0,$C229*AB$263*24*Input!$F$58/D$13,0)</f>
        <v>1.1231922227151239</v>
      </c>
      <c r="AC285" s="33">
        <f>IF(E$13&gt;0,$C229*AC$263*24*Input!$F$58/E$13,0)</f>
        <v>8.739149533834964E-2</v>
      </c>
      <c r="AE285" s="33">
        <f>IF(C$13&gt;0,$C229*AE$263*24*Input!$F$58/C$13,0)</f>
        <v>9.1947168195126636</v>
      </c>
      <c r="AF285" s="33">
        <f>IF(D$13&gt;0,$C229*AF$263*24*Input!$F$58/D$13,0)</f>
        <v>1.1231922227151239</v>
      </c>
      <c r="AG285" s="33">
        <f>IF(E$13&gt;0,$C229*AG$263*24*Input!$F$58/E$13,0)</f>
        <v>8.739149533834964E-2</v>
      </c>
      <c r="AI285" s="33">
        <f>IF(C$13&gt;0,$C229*AI$263*24*Input!$F$58/C$13,0)</f>
        <v>9.1947168195126636</v>
      </c>
      <c r="AJ285" s="33">
        <f>IF(D$13&gt;0,$C229*AJ$263*24*Input!$F$58/D$13,0)</f>
        <v>1.1231922227151239</v>
      </c>
      <c r="AK285" s="33">
        <f>IF(E$13&gt;0,$C229*AK$263*24*Input!$F$58/E$13,0)</f>
        <v>8.739149533834964E-2</v>
      </c>
      <c r="AL285" s="10"/>
    </row>
    <row r="286" spans="1:38" x14ac:dyDescent="0.25">
      <c r="A286" s="3" t="s">
        <v>180</v>
      </c>
      <c r="C286" s="33">
        <f>IF(C$13&gt;0,$C230*C$263*24*Input!$F$58/C$13,0)</f>
        <v>13.56803720007858</v>
      </c>
      <c r="D286" s="33">
        <f>IF(D$13&gt;0,$C230*D$263*24*Input!$F$58/D$13,0)</f>
        <v>0</v>
      </c>
      <c r="E286" s="33">
        <f>IF(E$13&gt;0,$C230*E$263*24*Input!$F$58/E$13,0)</f>
        <v>3.5691837170651219E-2</v>
      </c>
      <c r="G286" s="33">
        <f>IF(C$13&gt;0,$C230*G$263*24*Input!$F$58/C$13,0)</f>
        <v>11.841496487289771</v>
      </c>
      <c r="H286" s="33">
        <f>IF(D$13&gt;0,$C230*H$263*24*Input!$F$58/D$13,0)</f>
        <v>0.52261629914368912</v>
      </c>
      <c r="I286" s="33">
        <f>IF(E$13&gt;0,$C230*I$263*24*Input!$F$58/E$13,0)</f>
        <v>2.0445981801699133E-2</v>
      </c>
      <c r="K286" s="33">
        <f>IF(C$13&gt;0,$C230*K$263*24*Input!$F$58/C$13,0)</f>
        <v>11.841496487289771</v>
      </c>
      <c r="L286" s="33">
        <f>IF(D$13&gt;0,$C230*L$263*24*Input!$F$58/D$13,0)</f>
        <v>0.52261629914368912</v>
      </c>
      <c r="M286" s="33">
        <f>IF(E$13&gt;0,$C230*M$263*24*Input!$F$58/E$13,0)</f>
        <v>2.0445981801699133E-2</v>
      </c>
      <c r="O286" s="33">
        <f>IF(C$13&gt;0,$C230*O$263*24*Input!$F$58/C$13,0)</f>
        <v>9.2578531833609006</v>
      </c>
      <c r="P286" s="33">
        <f>IF(D$13&gt;0,$C230*P$263*24*Input!$F$58/D$13,0)</f>
        <v>1.1309047248222421</v>
      </c>
      <c r="Q286" s="33">
        <f>IF(E$13&gt;0,$C230*Q$263*24*Input!$F$58/E$13,0)</f>
        <v>8.799157703256931E-2</v>
      </c>
      <c r="S286" s="33">
        <f>IF(C$13&gt;0,$C230*S$263*24*Input!$F$58/C$13,0)</f>
        <v>9.2578531833609006</v>
      </c>
      <c r="T286" s="33">
        <f>IF(D$13&gt;0,$C230*T$263*24*Input!$F$58/D$13,0)</f>
        <v>1.1309047248222421</v>
      </c>
      <c r="U286" s="33">
        <f>IF(E$13&gt;0,$C230*U$263*24*Input!$F$58/E$13,0)</f>
        <v>8.799157703256931E-2</v>
      </c>
      <c r="W286" s="33">
        <f>IF(C$13&gt;0,$C230*W$263*24*Input!$F$58/C$13,0)</f>
        <v>11.841496487289771</v>
      </c>
      <c r="X286" s="33">
        <f>IF(D$13&gt;0,$C230*X$263*24*Input!$F$58/D$13,0)</f>
        <v>0.52261629914368912</v>
      </c>
      <c r="Y286" s="33">
        <f>IF(E$13&gt;0,$C230*Y$263*24*Input!$F$58/E$13,0)</f>
        <v>2.0445981801699133E-2</v>
      </c>
      <c r="AA286" s="33">
        <f>IF(C$13&gt;0,$C230*AA$263*24*Input!$F$58/C$13,0)</f>
        <v>9.2578531833609006</v>
      </c>
      <c r="AB286" s="33">
        <f>IF(D$13&gt;0,$C230*AB$263*24*Input!$F$58/D$13,0)</f>
        <v>1.1309047248222421</v>
      </c>
      <c r="AC286" s="33">
        <f>IF(E$13&gt;0,$C230*AC$263*24*Input!$F$58/E$13,0)</f>
        <v>8.799157703256931E-2</v>
      </c>
      <c r="AE286" s="33">
        <f>IF(C$13&gt;0,$C230*AE$263*24*Input!$F$58/C$13,0)</f>
        <v>9.2578531833609006</v>
      </c>
      <c r="AF286" s="33">
        <f>IF(D$13&gt;0,$C230*AF$263*24*Input!$F$58/D$13,0)</f>
        <v>1.1309047248222421</v>
      </c>
      <c r="AG286" s="33">
        <f>IF(E$13&gt;0,$C230*AG$263*24*Input!$F$58/E$13,0)</f>
        <v>8.799157703256931E-2</v>
      </c>
      <c r="AI286" s="33">
        <f>IF(C$13&gt;0,$C230*AI$263*24*Input!$F$58/C$13,0)</f>
        <v>9.2578531833609006</v>
      </c>
      <c r="AJ286" s="33">
        <f>IF(D$13&gt;0,$C230*AJ$263*24*Input!$F$58/D$13,0)</f>
        <v>1.1309047248222421</v>
      </c>
      <c r="AK286" s="33">
        <f>IF(E$13&gt;0,$C230*AK$263*24*Input!$F$58/E$13,0)</f>
        <v>8.799157703256931E-2</v>
      </c>
      <c r="AL286" s="10"/>
    </row>
    <row r="287" spans="1:38" x14ac:dyDescent="0.25">
      <c r="A287" s="3" t="s">
        <v>193</v>
      </c>
      <c r="C287" s="33">
        <f>IF(C$13&gt;0,$C231*C$263*24*Input!$F$58/C$13,0)</f>
        <v>12.03512979059413</v>
      </c>
      <c r="D287" s="33">
        <f>IF(D$13&gt;0,$C231*D$263*24*Input!$F$58/D$13,0)</f>
        <v>0</v>
      </c>
      <c r="E287" s="33">
        <f>IF(E$13&gt;0,$C231*E$263*24*Input!$F$58/E$13,0)</f>
        <v>3.1659398222393706E-2</v>
      </c>
      <c r="G287" s="33">
        <f>IF(C$13&gt;0,$C231*G$263*24*Input!$F$58/C$13,0)</f>
        <v>10.503652447132994</v>
      </c>
      <c r="H287" s="33">
        <f>IF(D$13&gt;0,$C231*H$263*24*Input!$F$58/D$13,0)</f>
        <v>0.46357147302321955</v>
      </c>
      <c r="I287" s="33">
        <f>IF(E$13&gt;0,$C231*I$263*24*Input!$F$58/E$13,0)</f>
        <v>1.8136008993117264E-2</v>
      </c>
      <c r="K287" s="33">
        <f>IF(C$13&gt;0,$C231*K$263*24*Input!$F$58/C$13,0)</f>
        <v>10.503652447132994</v>
      </c>
      <c r="L287" s="33">
        <f>IF(D$13&gt;0,$C231*L$263*24*Input!$F$58/D$13,0)</f>
        <v>0.46357147302321955</v>
      </c>
      <c r="M287" s="33">
        <f>IF(E$13&gt;0,$C231*M$263*24*Input!$F$58/E$13,0)</f>
        <v>1.8136008993117264E-2</v>
      </c>
      <c r="O287" s="33">
        <f>IF(C$13&gt;0,$C231*O$263*24*Input!$F$58/C$13,0)</f>
        <v>8.2119073673654253</v>
      </c>
      <c r="P287" s="33">
        <f>IF(D$13&gt;0,$C231*P$263*24*Input!$F$58/D$13,0)</f>
        <v>1.0031358952902192</v>
      </c>
      <c r="Q287" s="33">
        <f>IF(E$13&gt;0,$C231*Q$263*24*Input!$F$58/E$13,0)</f>
        <v>7.8050349836887245E-2</v>
      </c>
      <c r="S287" s="33">
        <f>IF(C$13&gt;0,$C231*S$263*24*Input!$F$58/C$13,0)</f>
        <v>8.2119073673654253</v>
      </c>
      <c r="T287" s="33">
        <f>IF(D$13&gt;0,$C231*T$263*24*Input!$F$58/D$13,0)</f>
        <v>1.0031358952902192</v>
      </c>
      <c r="U287" s="33">
        <f>IF(E$13&gt;0,$C231*U$263*24*Input!$F$58/E$13,0)</f>
        <v>7.8050349836887245E-2</v>
      </c>
      <c r="W287" s="33">
        <f>IF(C$13&gt;0,$C231*W$263*24*Input!$F$58/C$13,0)</f>
        <v>10.503652447132994</v>
      </c>
      <c r="X287" s="33">
        <f>IF(D$13&gt;0,$C231*X$263*24*Input!$F$58/D$13,0)</f>
        <v>0.46357147302321955</v>
      </c>
      <c r="Y287" s="33">
        <f>IF(E$13&gt;0,$C231*Y$263*24*Input!$F$58/E$13,0)</f>
        <v>1.8136008993117264E-2</v>
      </c>
      <c r="AA287" s="33">
        <f>IF(C$13&gt;0,$C231*AA$263*24*Input!$F$58/C$13,0)</f>
        <v>8.2119073673654253</v>
      </c>
      <c r="AB287" s="33">
        <f>IF(D$13&gt;0,$C231*AB$263*24*Input!$F$58/D$13,0)</f>
        <v>1.0031358952902192</v>
      </c>
      <c r="AC287" s="33">
        <f>IF(E$13&gt;0,$C231*AC$263*24*Input!$F$58/E$13,0)</f>
        <v>7.8050349836887245E-2</v>
      </c>
      <c r="AE287" s="33">
        <f>IF(C$13&gt;0,$C231*AE$263*24*Input!$F$58/C$13,0)</f>
        <v>8.2119073673654253</v>
      </c>
      <c r="AF287" s="33">
        <f>IF(D$13&gt;0,$C231*AF$263*24*Input!$F$58/D$13,0)</f>
        <v>1.0031358952902192</v>
      </c>
      <c r="AG287" s="33">
        <f>IF(E$13&gt;0,$C231*AG$263*24*Input!$F$58/E$13,0)</f>
        <v>7.8050349836887245E-2</v>
      </c>
      <c r="AI287" s="33">
        <f>IF(C$13&gt;0,$C231*AI$263*24*Input!$F$58/C$13,0)</f>
        <v>8.2119073673654253</v>
      </c>
      <c r="AJ287" s="33">
        <f>IF(D$13&gt;0,$C231*AJ$263*24*Input!$F$58/D$13,0)</f>
        <v>1.0031358952902192</v>
      </c>
      <c r="AK287" s="33">
        <f>IF(E$13&gt;0,$C231*AK$263*24*Input!$F$58/E$13,0)</f>
        <v>7.8050349836887245E-2</v>
      </c>
      <c r="AL287" s="10"/>
    </row>
    <row r="288" spans="1:38" x14ac:dyDescent="0.25">
      <c r="A288" s="3" t="s">
        <v>184</v>
      </c>
      <c r="C288" s="33">
        <f>IF(C$13&gt;0,$C232*C$263*24*Input!$F$58/C$13,0)</f>
        <v>-11.035378564342917</v>
      </c>
      <c r="D288" s="33">
        <f>IF(D$13&gt;0,$C232*D$263*24*Input!$F$58/D$13,0)</f>
        <v>0</v>
      </c>
      <c r="E288" s="33">
        <f>IF(E$13&gt;0,$C232*E$263*24*Input!$F$58/E$13,0)</f>
        <v>-2.9029470440480602E-2</v>
      </c>
      <c r="G288" s="33">
        <f>IF(C$13&gt;0,$C232*G$263*24*Input!$F$58/C$13,0)</f>
        <v>-9.6311201523550274</v>
      </c>
      <c r="H288" s="33">
        <f>IF(D$13&gt;0,$C232*H$263*24*Input!$F$58/D$13,0)</f>
        <v>-0.4250628605966007</v>
      </c>
      <c r="I288" s="33">
        <f>IF(E$13&gt;0,$C232*I$263*24*Input!$F$58/E$13,0)</f>
        <v>-1.662946128273508E-2</v>
      </c>
      <c r="K288" s="33">
        <f>IF(C$13&gt;0,$C232*K$263*24*Input!$F$58/C$13,0)</f>
        <v>-9.6311201523550274</v>
      </c>
      <c r="L288" s="33">
        <f>IF(D$13&gt;0,$C232*L$263*24*Input!$F$58/D$13,0)</f>
        <v>-0.4250628605966007</v>
      </c>
      <c r="M288" s="33">
        <f>IF(E$13&gt;0,$C232*M$263*24*Input!$F$58/E$13,0)</f>
        <v>-1.662946128273508E-2</v>
      </c>
      <c r="O288" s="33">
        <f>IF(C$13&gt;0,$C232*O$263*24*Input!$F$58/C$13,0)</f>
        <v>-7.5297490023761897</v>
      </c>
      <c r="P288" s="33">
        <f>IF(D$13&gt;0,$C232*P$263*24*Input!$F$58/D$13,0)</f>
        <v>-0.91980598037756123</v>
      </c>
      <c r="Q288" s="33">
        <f>IF(E$13&gt;0,$C232*Q$263*24*Input!$F$58/E$13,0)</f>
        <v>-7.1566752707777112E-2</v>
      </c>
      <c r="S288" s="33">
        <f>IF(C$13&gt;0,$C232*S$263*24*Input!$F$58/C$13,0)</f>
        <v>-7.5297490023761897</v>
      </c>
      <c r="T288" s="33">
        <f>IF(D$13&gt;0,$C232*T$263*24*Input!$F$58/D$13,0)</f>
        <v>-0.91980598037756123</v>
      </c>
      <c r="U288" s="33">
        <f>IF(E$13&gt;0,$C232*U$263*24*Input!$F$58/E$13,0)</f>
        <v>-7.1566752707777112E-2</v>
      </c>
      <c r="W288" s="33">
        <f>IF(C$13&gt;0,$C232*W$263*24*Input!$F$58/C$13,0)</f>
        <v>-9.6311201523550274</v>
      </c>
      <c r="X288" s="33">
        <f>IF(D$13&gt;0,$C232*X$263*24*Input!$F$58/D$13,0)</f>
        <v>-0.4250628605966007</v>
      </c>
      <c r="Y288" s="33">
        <f>IF(E$13&gt;0,$C232*Y$263*24*Input!$F$58/E$13,0)</f>
        <v>-1.662946128273508E-2</v>
      </c>
      <c r="AA288" s="33">
        <f>IF(C$13&gt;0,$C232*AA$263*24*Input!$F$58/C$13,0)</f>
        <v>-7.5297490023761897</v>
      </c>
      <c r="AB288" s="33">
        <f>IF(D$13&gt;0,$C232*AB$263*24*Input!$F$58/D$13,0)</f>
        <v>-0.91980598037756123</v>
      </c>
      <c r="AC288" s="33">
        <f>IF(E$13&gt;0,$C232*AC$263*24*Input!$F$58/E$13,0)</f>
        <v>-7.1566752707777112E-2</v>
      </c>
      <c r="AE288" s="33">
        <f>IF(C$13&gt;0,$C232*AE$263*24*Input!$F$58/C$13,0)</f>
        <v>-7.5297490023761897</v>
      </c>
      <c r="AF288" s="33">
        <f>IF(D$13&gt;0,$C232*AF$263*24*Input!$F$58/D$13,0)</f>
        <v>-0.91980598037756123</v>
      </c>
      <c r="AG288" s="33">
        <f>IF(E$13&gt;0,$C232*AG$263*24*Input!$F$58/E$13,0)</f>
        <v>-7.1566752707777112E-2</v>
      </c>
      <c r="AI288" s="33">
        <f>IF(C$13&gt;0,$C232*AI$263*24*Input!$F$58/C$13,0)</f>
        <v>-7.5297490023761897</v>
      </c>
      <c r="AJ288" s="33">
        <f>IF(D$13&gt;0,$C232*AJ$263*24*Input!$F$58/D$13,0)</f>
        <v>-0.91980598037756123</v>
      </c>
      <c r="AK288" s="33">
        <f>IF(E$13&gt;0,$C232*AK$263*24*Input!$F$58/E$13,0)</f>
        <v>-7.1566752707777112E-2</v>
      </c>
      <c r="AL288" s="10"/>
    </row>
    <row r="289" spans="1:38" x14ac:dyDescent="0.25">
      <c r="A289" s="3" t="s">
        <v>186</v>
      </c>
      <c r="C289" s="33">
        <f>IF(C$13&gt;0,$C233*C$263*24*Input!$F$58/C$13,0)</f>
        <v>-11.035378564342917</v>
      </c>
      <c r="D289" s="33">
        <f>IF(D$13&gt;0,$C233*D$263*24*Input!$F$58/D$13,0)</f>
        <v>0</v>
      </c>
      <c r="E289" s="33">
        <f>IF(E$13&gt;0,$C233*E$263*24*Input!$F$58/E$13,0)</f>
        <v>-2.9029470440480602E-2</v>
      </c>
      <c r="G289" s="33">
        <f>IF(C$13&gt;0,$C233*G$263*24*Input!$F$58/C$13,0)</f>
        <v>-9.6311201523550274</v>
      </c>
      <c r="H289" s="33">
        <f>IF(D$13&gt;0,$C233*H$263*24*Input!$F$58/D$13,0)</f>
        <v>-0.4250628605966007</v>
      </c>
      <c r="I289" s="33">
        <f>IF(E$13&gt;0,$C233*I$263*24*Input!$F$58/E$13,0)</f>
        <v>-1.662946128273508E-2</v>
      </c>
      <c r="K289" s="33">
        <f>IF(C$13&gt;0,$C233*K$263*24*Input!$F$58/C$13,0)</f>
        <v>-9.6311201523550274</v>
      </c>
      <c r="L289" s="33">
        <f>IF(D$13&gt;0,$C233*L$263*24*Input!$F$58/D$13,0)</f>
        <v>-0.4250628605966007</v>
      </c>
      <c r="M289" s="33">
        <f>IF(E$13&gt;0,$C233*M$263*24*Input!$F$58/E$13,0)</f>
        <v>-1.662946128273508E-2</v>
      </c>
      <c r="O289" s="33">
        <f>IF(C$13&gt;0,$C233*O$263*24*Input!$F$58/C$13,0)</f>
        <v>-7.5297490023761897</v>
      </c>
      <c r="P289" s="33">
        <f>IF(D$13&gt;0,$C233*P$263*24*Input!$F$58/D$13,0)</f>
        <v>-0.91980598037756123</v>
      </c>
      <c r="Q289" s="33">
        <f>IF(E$13&gt;0,$C233*Q$263*24*Input!$F$58/E$13,0)</f>
        <v>-7.1566752707777112E-2</v>
      </c>
      <c r="S289" s="33">
        <f>IF(C$13&gt;0,$C233*S$263*24*Input!$F$58/C$13,0)</f>
        <v>-7.5297490023761897</v>
      </c>
      <c r="T289" s="33">
        <f>IF(D$13&gt;0,$C233*T$263*24*Input!$F$58/D$13,0)</f>
        <v>-0.91980598037756123</v>
      </c>
      <c r="U289" s="33">
        <f>IF(E$13&gt;0,$C233*U$263*24*Input!$F$58/E$13,0)</f>
        <v>-7.1566752707777112E-2</v>
      </c>
      <c r="W289" s="33">
        <f>IF(C$13&gt;0,$C233*W$263*24*Input!$F$58/C$13,0)</f>
        <v>-9.6311201523550274</v>
      </c>
      <c r="X289" s="33">
        <f>IF(D$13&gt;0,$C233*X$263*24*Input!$F$58/D$13,0)</f>
        <v>-0.4250628605966007</v>
      </c>
      <c r="Y289" s="33">
        <f>IF(E$13&gt;0,$C233*Y$263*24*Input!$F$58/E$13,0)</f>
        <v>-1.662946128273508E-2</v>
      </c>
      <c r="AA289" s="33">
        <f>IF(C$13&gt;0,$C233*AA$263*24*Input!$F$58/C$13,0)</f>
        <v>-7.5297490023761897</v>
      </c>
      <c r="AB289" s="33">
        <f>IF(D$13&gt;0,$C233*AB$263*24*Input!$F$58/D$13,0)</f>
        <v>-0.91980598037756123</v>
      </c>
      <c r="AC289" s="33">
        <f>IF(E$13&gt;0,$C233*AC$263*24*Input!$F$58/E$13,0)</f>
        <v>-7.1566752707777112E-2</v>
      </c>
      <c r="AE289" s="33">
        <f>IF(C$13&gt;0,$C233*AE$263*24*Input!$F$58/C$13,0)</f>
        <v>-7.5297490023761897</v>
      </c>
      <c r="AF289" s="33">
        <f>IF(D$13&gt;0,$C233*AF$263*24*Input!$F$58/D$13,0)</f>
        <v>-0.91980598037756123</v>
      </c>
      <c r="AG289" s="33">
        <f>IF(E$13&gt;0,$C233*AG$263*24*Input!$F$58/E$13,0)</f>
        <v>-7.1566752707777112E-2</v>
      </c>
      <c r="AI289" s="33">
        <f>IF(C$13&gt;0,$C233*AI$263*24*Input!$F$58/C$13,0)</f>
        <v>-7.5297490023761897</v>
      </c>
      <c r="AJ289" s="33">
        <f>IF(D$13&gt;0,$C233*AJ$263*24*Input!$F$58/D$13,0)</f>
        <v>-0.91980598037756123</v>
      </c>
      <c r="AK289" s="33">
        <f>IF(E$13&gt;0,$C233*AK$263*24*Input!$F$58/E$13,0)</f>
        <v>-7.1566752707777112E-2</v>
      </c>
      <c r="AL289" s="10"/>
    </row>
    <row r="290" spans="1:38" x14ac:dyDescent="0.25">
      <c r="A290" s="3" t="s">
        <v>195</v>
      </c>
      <c r="C290" s="33">
        <f>IF(C$13&gt;0,$C234*C$263*24*Input!$F$58/C$13,0)</f>
        <v>-11.035378564342917</v>
      </c>
      <c r="D290" s="33">
        <f>IF(D$13&gt;0,$C234*D$263*24*Input!$F$58/D$13,0)</f>
        <v>0</v>
      </c>
      <c r="E290" s="33">
        <f>IF(E$13&gt;0,$C234*E$263*24*Input!$F$58/E$13,0)</f>
        <v>-2.9029470440480602E-2</v>
      </c>
      <c r="G290" s="33">
        <f>IF(C$13&gt;0,$C234*G$263*24*Input!$F$58/C$13,0)</f>
        <v>-9.6311201523550274</v>
      </c>
      <c r="H290" s="33">
        <f>IF(D$13&gt;0,$C234*H$263*24*Input!$F$58/D$13,0)</f>
        <v>-0.4250628605966007</v>
      </c>
      <c r="I290" s="33">
        <f>IF(E$13&gt;0,$C234*I$263*24*Input!$F$58/E$13,0)</f>
        <v>-1.662946128273508E-2</v>
      </c>
      <c r="K290" s="33">
        <f>IF(C$13&gt;0,$C234*K$263*24*Input!$F$58/C$13,0)</f>
        <v>-9.6311201523550274</v>
      </c>
      <c r="L290" s="33">
        <f>IF(D$13&gt;0,$C234*L$263*24*Input!$F$58/D$13,0)</f>
        <v>-0.4250628605966007</v>
      </c>
      <c r="M290" s="33">
        <f>IF(E$13&gt;0,$C234*M$263*24*Input!$F$58/E$13,0)</f>
        <v>-1.662946128273508E-2</v>
      </c>
      <c r="O290" s="33">
        <f>IF(C$13&gt;0,$C234*O$263*24*Input!$F$58/C$13,0)</f>
        <v>-7.5297490023761897</v>
      </c>
      <c r="P290" s="33">
        <f>IF(D$13&gt;0,$C234*P$263*24*Input!$F$58/D$13,0)</f>
        <v>-0.91980598037756123</v>
      </c>
      <c r="Q290" s="33">
        <f>IF(E$13&gt;0,$C234*Q$263*24*Input!$F$58/E$13,0)</f>
        <v>-7.1566752707777112E-2</v>
      </c>
      <c r="S290" s="33">
        <f>IF(C$13&gt;0,$C234*S$263*24*Input!$F$58/C$13,0)</f>
        <v>-7.5297490023761897</v>
      </c>
      <c r="T290" s="33">
        <f>IF(D$13&gt;0,$C234*T$263*24*Input!$F$58/D$13,0)</f>
        <v>-0.91980598037756123</v>
      </c>
      <c r="U290" s="33">
        <f>IF(E$13&gt;0,$C234*U$263*24*Input!$F$58/E$13,0)</f>
        <v>-7.1566752707777112E-2</v>
      </c>
      <c r="W290" s="33">
        <f>IF(C$13&gt;0,$C234*W$263*24*Input!$F$58/C$13,0)</f>
        <v>-9.6311201523550274</v>
      </c>
      <c r="X290" s="33">
        <f>IF(D$13&gt;0,$C234*X$263*24*Input!$F$58/D$13,0)</f>
        <v>-0.4250628605966007</v>
      </c>
      <c r="Y290" s="33">
        <f>IF(E$13&gt;0,$C234*Y$263*24*Input!$F$58/E$13,0)</f>
        <v>-1.662946128273508E-2</v>
      </c>
      <c r="AA290" s="33">
        <f>IF(C$13&gt;0,$C234*AA$263*24*Input!$F$58/C$13,0)</f>
        <v>-7.5297490023761897</v>
      </c>
      <c r="AB290" s="33">
        <f>IF(D$13&gt;0,$C234*AB$263*24*Input!$F$58/D$13,0)</f>
        <v>-0.91980598037756123</v>
      </c>
      <c r="AC290" s="33">
        <f>IF(E$13&gt;0,$C234*AC$263*24*Input!$F$58/E$13,0)</f>
        <v>-7.1566752707777112E-2</v>
      </c>
      <c r="AE290" s="33">
        <f>IF(C$13&gt;0,$C234*AE$263*24*Input!$F$58/C$13,0)</f>
        <v>-7.5297490023761897</v>
      </c>
      <c r="AF290" s="33">
        <f>IF(D$13&gt;0,$C234*AF$263*24*Input!$F$58/D$13,0)</f>
        <v>-0.91980598037756123</v>
      </c>
      <c r="AG290" s="33">
        <f>IF(E$13&gt;0,$C234*AG$263*24*Input!$F$58/E$13,0)</f>
        <v>-7.1566752707777112E-2</v>
      </c>
      <c r="AI290" s="33">
        <f>IF(C$13&gt;0,$C234*AI$263*24*Input!$F$58/C$13,0)</f>
        <v>-7.5297490023761897</v>
      </c>
      <c r="AJ290" s="33">
        <f>IF(D$13&gt;0,$C234*AJ$263*24*Input!$F$58/D$13,0)</f>
        <v>-0.91980598037756123</v>
      </c>
      <c r="AK290" s="33">
        <f>IF(E$13&gt;0,$C234*AK$263*24*Input!$F$58/E$13,0)</f>
        <v>-7.1566752707777112E-2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1" t="s">
        <v>637</v>
      </c>
    </row>
    <row r="295" spans="1:38" x14ac:dyDescent="0.25">
      <c r="A295" s="2" t="s">
        <v>638</v>
      </c>
    </row>
    <row r="297" spans="1:38" x14ac:dyDescent="0.25">
      <c r="B297" s="24" t="s">
        <v>139</v>
      </c>
      <c r="C297" s="12" t="s">
        <v>324</v>
      </c>
      <c r="D297" s="12" t="s">
        <v>325</v>
      </c>
      <c r="E297" s="12" t="s">
        <v>326</v>
      </c>
      <c r="F297" s="24" t="s">
        <v>140</v>
      </c>
      <c r="G297" s="12" t="s">
        <v>324</v>
      </c>
      <c r="H297" s="12" t="s">
        <v>325</v>
      </c>
      <c r="I297" s="12" t="s">
        <v>326</v>
      </c>
      <c r="J297" s="24" t="s">
        <v>141</v>
      </c>
      <c r="K297" s="12" t="s">
        <v>324</v>
      </c>
      <c r="L297" s="12" t="s">
        <v>325</v>
      </c>
      <c r="M297" s="12" t="s">
        <v>326</v>
      </c>
      <c r="N297" s="24" t="s">
        <v>142</v>
      </c>
      <c r="O297" s="12" t="s">
        <v>324</v>
      </c>
      <c r="P297" s="12" t="s">
        <v>325</v>
      </c>
      <c r="Q297" s="12" t="s">
        <v>326</v>
      </c>
      <c r="R297" s="24" t="s">
        <v>143</v>
      </c>
      <c r="S297" s="12" t="s">
        <v>324</v>
      </c>
      <c r="T297" s="12" t="s">
        <v>325</v>
      </c>
      <c r="U297" s="12" t="s">
        <v>326</v>
      </c>
      <c r="V297" s="24" t="s">
        <v>148</v>
      </c>
      <c r="W297" s="12" t="s">
        <v>324</v>
      </c>
      <c r="X297" s="12" t="s">
        <v>325</v>
      </c>
      <c r="Y297" s="12" t="s">
        <v>326</v>
      </c>
      <c r="Z297" s="24" t="s">
        <v>144</v>
      </c>
      <c r="AA297" s="12" t="s">
        <v>324</v>
      </c>
      <c r="AB297" s="12" t="s">
        <v>325</v>
      </c>
      <c r="AC297" s="12" t="s">
        <v>326</v>
      </c>
      <c r="AD297" s="24" t="s">
        <v>145</v>
      </c>
      <c r="AE297" s="12" t="s">
        <v>324</v>
      </c>
      <c r="AF297" s="12" t="s">
        <v>325</v>
      </c>
      <c r="AG297" s="12" t="s">
        <v>326</v>
      </c>
      <c r="AH297" s="24" t="s">
        <v>146</v>
      </c>
      <c r="AI297" s="12" t="s">
        <v>324</v>
      </c>
      <c r="AJ297" s="12" t="s">
        <v>325</v>
      </c>
      <c r="AK297" s="12" t="s">
        <v>326</v>
      </c>
    </row>
    <row r="298" spans="1:38" x14ac:dyDescent="0.25">
      <c r="A298" s="3" t="s">
        <v>171</v>
      </c>
      <c r="C298" s="34">
        <f>C$274</f>
        <v>13.155249169767304</v>
      </c>
      <c r="D298" s="34">
        <f>D$274</f>
        <v>0</v>
      </c>
      <c r="E298" s="34">
        <f>E$274</f>
        <v>3.460596432503589E-2</v>
      </c>
      <c r="G298" s="34">
        <f>G$274</f>
        <v>11.481235976587605</v>
      </c>
      <c r="H298" s="34">
        <f>H$274</f>
        <v>0.50671644940485994</v>
      </c>
      <c r="I298" s="34">
        <f>I$274</f>
        <v>1.9823942192635065E-2</v>
      </c>
      <c r="K298" s="34">
        <f>K$274</f>
        <v>11.481235976587605</v>
      </c>
      <c r="L298" s="34">
        <f>L$274</f>
        <v>0.50671644940485994</v>
      </c>
      <c r="M298" s="34">
        <f>M$274</f>
        <v>1.9823942192635065E-2</v>
      </c>
      <c r="O298" s="34">
        <f>O$274</f>
        <v>8.9761963066795456</v>
      </c>
      <c r="P298" s="34">
        <f>P$274</f>
        <v>1.0964985740323261</v>
      </c>
      <c r="Q298" s="34">
        <f>Q$274</f>
        <v>8.5314559772692783E-2</v>
      </c>
      <c r="S298" s="34">
        <f>S$274</f>
        <v>8.9761963066795456</v>
      </c>
      <c r="T298" s="34">
        <f>T$274</f>
        <v>1.0964985740323261</v>
      </c>
      <c r="U298" s="34">
        <f>U$274</f>
        <v>8.5314559772692783E-2</v>
      </c>
      <c r="W298" s="34">
        <f>W$274</f>
        <v>11.481235976587605</v>
      </c>
      <c r="X298" s="34">
        <f>X$274</f>
        <v>0.50671644940485994</v>
      </c>
      <c r="Y298" s="34">
        <f>Y$274</f>
        <v>1.9823942192635065E-2</v>
      </c>
      <c r="AA298" s="34">
        <f>AA$274</f>
        <v>8.9761963066795456</v>
      </c>
      <c r="AB298" s="34">
        <f>AB$274</f>
        <v>1.0964985740323261</v>
      </c>
      <c r="AC298" s="34">
        <f>AC$274</f>
        <v>8.5314559772692783E-2</v>
      </c>
      <c r="AE298" s="34">
        <f>AE$274</f>
        <v>8.9761963066795456</v>
      </c>
      <c r="AF298" s="34">
        <f>AF$274</f>
        <v>1.0964985740323261</v>
      </c>
      <c r="AG298" s="34">
        <f>AG$274</f>
        <v>8.5314559772692783E-2</v>
      </c>
      <c r="AI298" s="34">
        <f>AI$274</f>
        <v>8.9761963066795456</v>
      </c>
      <c r="AJ298" s="34">
        <f>AJ$274</f>
        <v>1.0964985740323261</v>
      </c>
      <c r="AK298" s="34">
        <f>AK$274</f>
        <v>8.5314559772692783E-2</v>
      </c>
      <c r="AL298" s="10"/>
    </row>
    <row r="299" spans="1:38" x14ac:dyDescent="0.25">
      <c r="A299" s="3" t="s">
        <v>173</v>
      </c>
      <c r="C299" s="34">
        <f>C$277</f>
        <v>13.347327749413909</v>
      </c>
      <c r="D299" s="34">
        <f>D$277</f>
        <v>0</v>
      </c>
      <c r="E299" s="34">
        <f>E$277</f>
        <v>3.5111242817983786E-2</v>
      </c>
      <c r="G299" s="34">
        <f>G$277</f>
        <v>11.648872444016789</v>
      </c>
      <c r="H299" s="34">
        <f>H$277</f>
        <v>0.51411496954151659</v>
      </c>
      <c r="I299" s="34">
        <f>I$277</f>
        <v>2.0113389743967546E-2</v>
      </c>
      <c r="K299" s="34">
        <f>K$277</f>
        <v>11.648872444016789</v>
      </c>
      <c r="L299" s="34">
        <f>L$277</f>
        <v>0.51411496954151659</v>
      </c>
      <c r="M299" s="34">
        <f>M$277</f>
        <v>2.0113389743967546E-2</v>
      </c>
      <c r="O299" s="34">
        <f>O$277</f>
        <v>9.1072569209610634</v>
      </c>
      <c r="P299" s="34">
        <f>P$277</f>
        <v>1.112508448567328</v>
      </c>
      <c r="Q299" s="34">
        <f>Q$277</f>
        <v>8.6560229790253088E-2</v>
      </c>
      <c r="S299" s="34">
        <f>S$277</f>
        <v>9.1072569209610634</v>
      </c>
      <c r="T299" s="34">
        <f>T$277</f>
        <v>1.112508448567328</v>
      </c>
      <c r="U299" s="34">
        <f>U$277</f>
        <v>8.6560229790253088E-2</v>
      </c>
      <c r="W299" s="34">
        <f>W$277</f>
        <v>11.648872444016789</v>
      </c>
      <c r="X299" s="34">
        <f>X$277</f>
        <v>0.51411496954151659</v>
      </c>
      <c r="Y299" s="34">
        <f>Y$277</f>
        <v>2.0113389743967546E-2</v>
      </c>
      <c r="AA299" s="34">
        <f>AA$277</f>
        <v>9.1072569209610634</v>
      </c>
      <c r="AB299" s="34">
        <f>AB$277</f>
        <v>1.112508448567328</v>
      </c>
      <c r="AC299" s="34">
        <f>AC$277</f>
        <v>8.6560229790253088E-2</v>
      </c>
      <c r="AE299" s="34">
        <f>AE$277</f>
        <v>9.1072569209610634</v>
      </c>
      <c r="AF299" s="34">
        <f>AF$277</f>
        <v>1.112508448567328</v>
      </c>
      <c r="AG299" s="34">
        <f>AG$277</f>
        <v>8.6560229790253088E-2</v>
      </c>
      <c r="AI299" s="34">
        <f>AI$277</f>
        <v>9.1072569209610634</v>
      </c>
      <c r="AJ299" s="34">
        <f>AJ$277</f>
        <v>1.112508448567328</v>
      </c>
      <c r="AK299" s="34">
        <f>AK$277</f>
        <v>8.6560229790253088E-2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1" t="s">
        <v>579</v>
      </c>
    </row>
    <row r="304" spans="1:38" x14ac:dyDescent="0.25">
      <c r="A304" s="2" t="s">
        <v>638</v>
      </c>
    </row>
    <row r="306" spans="1:5" ht="45" x14ac:dyDescent="0.25">
      <c r="B306" s="12" t="s">
        <v>640</v>
      </c>
    </row>
    <row r="307" spans="1:5" x14ac:dyDescent="0.25">
      <c r="A307" s="3" t="s">
        <v>171</v>
      </c>
      <c r="B307" s="17">
        <f>B$119</f>
        <v>5219529.2468754714</v>
      </c>
      <c r="C307" s="10"/>
    </row>
    <row r="308" spans="1:5" x14ac:dyDescent="0.25">
      <c r="A308" s="3" t="s">
        <v>173</v>
      </c>
      <c r="B308" s="17">
        <f>B$122</f>
        <v>1117811.4088570208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1" t="s">
        <v>642</v>
      </c>
    </row>
    <row r="313" spans="1:5" x14ac:dyDescent="0.25">
      <c r="A313" s="2" t="s">
        <v>638</v>
      </c>
    </row>
    <row r="315" spans="1:5" x14ac:dyDescent="0.25">
      <c r="B315" s="12" t="s">
        <v>324</v>
      </c>
      <c r="C315" s="12" t="s">
        <v>325</v>
      </c>
      <c r="D315" s="12" t="s">
        <v>326</v>
      </c>
    </row>
    <row r="316" spans="1:5" x14ac:dyDescent="0.25">
      <c r="A316" s="3" t="s">
        <v>171</v>
      </c>
      <c r="B316" s="35">
        <f>B$43</f>
        <v>0.15175181316585787</v>
      </c>
      <c r="C316" s="35">
        <f>C$43</f>
        <v>0.41863554592191193</v>
      </c>
      <c r="D316" s="35">
        <f>D$43</f>
        <v>0.42961264091223023</v>
      </c>
      <c r="E316" s="10"/>
    </row>
    <row r="317" spans="1:5" x14ac:dyDescent="0.25">
      <c r="A317" s="3" t="s">
        <v>173</v>
      </c>
      <c r="B317" s="35">
        <f>B$46</f>
        <v>0.13197139495307864</v>
      </c>
      <c r="C317" s="35">
        <f>C$46</f>
        <v>0.58632136343692398</v>
      </c>
      <c r="D317" s="35">
        <f>D$46</f>
        <v>0.28170724160999738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11" x14ac:dyDescent="0.25">
      <c r="A321" s="11" t="s">
        <v>644</v>
      </c>
    </row>
    <row r="322" spans="1:11" x14ac:dyDescent="0.25">
      <c r="A322" s="11" t="s">
        <v>645</v>
      </c>
    </row>
    <row r="323" spans="1:11" x14ac:dyDescent="0.25">
      <c r="A323" s="2" t="s">
        <v>369</v>
      </c>
    </row>
    <row r="325" spans="1:11" x14ac:dyDescent="0.25">
      <c r="B325" s="12" t="s">
        <v>139</v>
      </c>
      <c r="C325" s="12" t="s">
        <v>140</v>
      </c>
      <c r="D325" s="12" t="s">
        <v>141</v>
      </c>
      <c r="E325" s="12" t="s">
        <v>142</v>
      </c>
      <c r="F325" s="12" t="s">
        <v>143</v>
      </c>
      <c r="G325" s="12" t="s">
        <v>148</v>
      </c>
      <c r="H325" s="12" t="s">
        <v>144</v>
      </c>
      <c r="I325" s="12" t="s">
        <v>145</v>
      </c>
      <c r="J325" s="12" t="s">
        <v>146</v>
      </c>
    </row>
    <row r="326" spans="1:11" x14ac:dyDescent="0.25">
      <c r="A326" s="3" t="s">
        <v>171</v>
      </c>
      <c r="B326" s="33">
        <f>SUMPRODUCT($C298:$E298,$B316:$D316)</f>
        <v>2.0112000738858278</v>
      </c>
      <c r="C326" s="33">
        <f>SUMPRODUCT($G298:$I298,$B316:$D316)</f>
        <v>1.9629445104151337</v>
      </c>
      <c r="D326" s="33">
        <f>SUMPRODUCT($K298:$M298,$B316:$D316)</f>
        <v>1.9629445104151337</v>
      </c>
      <c r="E326" s="33">
        <f>SUMPRODUCT($O298:$Q298,$B316:$D316)</f>
        <v>1.8578395573461295</v>
      </c>
      <c r="F326" s="33">
        <f>SUMPRODUCT($S298:$U298,$B316:$D316)</f>
        <v>1.8578395573461295</v>
      </c>
      <c r="G326" s="33">
        <f>SUMPRODUCT($W298:$Y298,$B316:$D316)</f>
        <v>1.9629445104151337</v>
      </c>
      <c r="H326" s="33">
        <f>SUMPRODUCT($AA298:$AC298,$B316:$D316)</f>
        <v>1.8578395573461295</v>
      </c>
      <c r="I326" s="33">
        <f>SUMPRODUCT($AE298:$AG298,$B316:$D316)</f>
        <v>1.8578395573461295</v>
      </c>
      <c r="J326" s="33">
        <f>SUMPRODUCT($AI298:$AK298,$B316:$D316)</f>
        <v>1.8578395573461295</v>
      </c>
      <c r="K326" s="10"/>
    </row>
    <row r="327" spans="1:11" x14ac:dyDescent="0.25">
      <c r="A327" s="3" t="s">
        <v>173</v>
      </c>
      <c r="B327" s="33">
        <f>SUMPRODUCT($C299:$E299,$B317:$D317)</f>
        <v>1.7713565533498423</v>
      </c>
      <c r="C327" s="33">
        <f>SUMPRODUCT($G299:$I299,$B317:$D317)</f>
        <v>1.8444206235164886</v>
      </c>
      <c r="D327" s="33">
        <f>SUMPRODUCT($K299:$M299,$B317:$D317)</f>
        <v>1.8444206235164886</v>
      </c>
      <c r="E327" s="33">
        <f>SUMPRODUCT($O299:$Q299,$B317:$D317)</f>
        <v>1.878569514021744</v>
      </c>
      <c r="F327" s="33">
        <f>SUMPRODUCT($S299:$U299,$B317:$D317)</f>
        <v>1.878569514021744</v>
      </c>
      <c r="G327" s="33">
        <f>SUMPRODUCT($W299:$Y299,$B317:$D317)</f>
        <v>1.8444206235164886</v>
      </c>
      <c r="H327" s="33">
        <f>SUMPRODUCT($AA299:$AC299,$B317:$D317)</f>
        <v>1.878569514021744</v>
      </c>
      <c r="I327" s="33">
        <f>SUMPRODUCT($AE299:$AG299,$B317:$D317)</f>
        <v>1.878569514021744</v>
      </c>
      <c r="J327" s="33">
        <f>SUMPRODUCT($AI299:$AK299,$B317:$D317)</f>
        <v>1.878569514021744</v>
      </c>
      <c r="K327" s="10"/>
    </row>
    <row r="329" spans="1:11" ht="21" customHeight="1" x14ac:dyDescent="0.3">
      <c r="A329" s="1" t="s">
        <v>646</v>
      </c>
    </row>
    <row r="330" spans="1:11" x14ac:dyDescent="0.25">
      <c r="A330" s="2" t="s">
        <v>356</v>
      </c>
    </row>
    <row r="331" spans="1:11" x14ac:dyDescent="0.25">
      <c r="A331" s="11" t="s">
        <v>579</v>
      </c>
    </row>
    <row r="332" spans="1:11" x14ac:dyDescent="0.25">
      <c r="A332" s="2" t="s">
        <v>638</v>
      </c>
    </row>
    <row r="334" spans="1:11" ht="45" x14ac:dyDescent="0.25">
      <c r="B334" s="12" t="s">
        <v>647</v>
      </c>
    </row>
    <row r="335" spans="1:11" x14ac:dyDescent="0.25">
      <c r="A335" s="3" t="s">
        <v>172</v>
      </c>
      <c r="B335" s="17">
        <f>B$120</f>
        <v>3920320.1522717476</v>
      </c>
      <c r="C335" s="10"/>
    </row>
    <row r="336" spans="1:11" x14ac:dyDescent="0.25">
      <c r="A336" s="3" t="s">
        <v>174</v>
      </c>
      <c r="B336" s="17">
        <f>B$123</f>
        <v>2057690.4947114021</v>
      </c>
      <c r="C336" s="10"/>
    </row>
    <row r="338" spans="1:38" ht="21" customHeight="1" x14ac:dyDescent="0.3">
      <c r="A338" s="1" t="s">
        <v>648</v>
      </c>
    </row>
    <row r="339" spans="1:38" x14ac:dyDescent="0.25">
      <c r="A339" s="2" t="s">
        <v>356</v>
      </c>
    </row>
    <row r="340" spans="1:38" x14ac:dyDescent="0.25">
      <c r="A340" s="11" t="s">
        <v>637</v>
      </c>
    </row>
    <row r="341" spans="1:38" x14ac:dyDescent="0.25">
      <c r="A341" s="2" t="s">
        <v>638</v>
      </c>
    </row>
    <row r="343" spans="1:38" x14ac:dyDescent="0.25">
      <c r="B343" s="24" t="s">
        <v>139</v>
      </c>
      <c r="C343" s="12" t="s">
        <v>324</v>
      </c>
      <c r="D343" s="12" t="s">
        <v>325</v>
      </c>
      <c r="E343" s="12" t="s">
        <v>326</v>
      </c>
      <c r="F343" s="24" t="s">
        <v>140</v>
      </c>
      <c r="G343" s="12" t="s">
        <v>324</v>
      </c>
      <c r="H343" s="12" t="s">
        <v>325</v>
      </c>
      <c r="I343" s="12" t="s">
        <v>326</v>
      </c>
      <c r="J343" s="24" t="s">
        <v>141</v>
      </c>
      <c r="K343" s="12" t="s">
        <v>324</v>
      </c>
      <c r="L343" s="12" t="s">
        <v>325</v>
      </c>
      <c r="M343" s="12" t="s">
        <v>326</v>
      </c>
      <c r="N343" s="24" t="s">
        <v>142</v>
      </c>
      <c r="O343" s="12" t="s">
        <v>324</v>
      </c>
      <c r="P343" s="12" t="s">
        <v>325</v>
      </c>
      <c r="Q343" s="12" t="s">
        <v>326</v>
      </c>
      <c r="R343" s="24" t="s">
        <v>143</v>
      </c>
      <c r="S343" s="12" t="s">
        <v>324</v>
      </c>
      <c r="T343" s="12" t="s">
        <v>325</v>
      </c>
      <c r="U343" s="12" t="s">
        <v>326</v>
      </c>
      <c r="V343" s="24" t="s">
        <v>148</v>
      </c>
      <c r="W343" s="12" t="s">
        <v>324</v>
      </c>
      <c r="X343" s="12" t="s">
        <v>325</v>
      </c>
      <c r="Y343" s="12" t="s">
        <v>326</v>
      </c>
      <c r="Z343" s="24" t="s">
        <v>144</v>
      </c>
      <c r="AA343" s="12" t="s">
        <v>324</v>
      </c>
      <c r="AB343" s="12" t="s">
        <v>325</v>
      </c>
      <c r="AC343" s="12" t="s">
        <v>326</v>
      </c>
      <c r="AD343" s="24" t="s">
        <v>145</v>
      </c>
      <c r="AE343" s="12" t="s">
        <v>324</v>
      </c>
      <c r="AF343" s="12" t="s">
        <v>325</v>
      </c>
      <c r="AG343" s="12" t="s">
        <v>326</v>
      </c>
      <c r="AH343" s="24" t="s">
        <v>146</v>
      </c>
      <c r="AI343" s="12" t="s">
        <v>324</v>
      </c>
      <c r="AJ343" s="12" t="s">
        <v>325</v>
      </c>
      <c r="AK343" s="12" t="s">
        <v>326</v>
      </c>
    </row>
    <row r="344" spans="1:38" x14ac:dyDescent="0.25">
      <c r="A344" s="3" t="s">
        <v>172</v>
      </c>
      <c r="C344" s="34">
        <f>C$275</f>
        <v>16.124404602396357</v>
      </c>
      <c r="D344" s="34">
        <f>D$275</f>
        <v>0</v>
      </c>
      <c r="E344" s="34">
        <f>E$275</f>
        <v>4.241657176021723E-2</v>
      </c>
      <c r="G344" s="34">
        <f>G$275</f>
        <v>14.072564634316423</v>
      </c>
      <c r="H344" s="34">
        <f>H$275</f>
        <v>0.62108295657908785</v>
      </c>
      <c r="I344" s="34">
        <f>I$275</f>
        <v>2.4298229596681851E-2</v>
      </c>
      <c r="K344" s="34">
        <f>K$275</f>
        <v>14.072564634316423</v>
      </c>
      <c r="L344" s="34">
        <f>L$275</f>
        <v>0.62108295657908785</v>
      </c>
      <c r="M344" s="34">
        <f>M$275</f>
        <v>2.4298229596681851E-2</v>
      </c>
      <c r="O344" s="34">
        <f>O$275</f>
        <v>11.002134522245392</v>
      </c>
      <c r="P344" s="34">
        <f>P$275</f>
        <v>1.3439796103809281</v>
      </c>
      <c r="Q344" s="34">
        <f>Q$275</f>
        <v>0.10457015769884956</v>
      </c>
      <c r="S344" s="34">
        <f>S$275</f>
        <v>11.002134522245392</v>
      </c>
      <c r="T344" s="34">
        <f>T$275</f>
        <v>1.3439796103809281</v>
      </c>
      <c r="U344" s="34">
        <f>U$275</f>
        <v>0.10457015769884956</v>
      </c>
      <c r="W344" s="34">
        <f>W$275</f>
        <v>14.072564634316423</v>
      </c>
      <c r="X344" s="34">
        <f>X$275</f>
        <v>0.62108295657908785</v>
      </c>
      <c r="Y344" s="34">
        <f>Y$275</f>
        <v>2.4298229596681851E-2</v>
      </c>
      <c r="AA344" s="34">
        <f>AA$275</f>
        <v>11.002134522245392</v>
      </c>
      <c r="AB344" s="34">
        <f>AB$275</f>
        <v>1.3439796103809281</v>
      </c>
      <c r="AC344" s="34">
        <f>AC$275</f>
        <v>0.10457015769884956</v>
      </c>
      <c r="AE344" s="34">
        <f>AE$275</f>
        <v>11.002134522245392</v>
      </c>
      <c r="AF344" s="34">
        <f>AF$275</f>
        <v>1.3439796103809281</v>
      </c>
      <c r="AG344" s="34">
        <f>AG$275</f>
        <v>0.10457015769884956</v>
      </c>
      <c r="AI344" s="34">
        <f>AI$275</f>
        <v>11.002134522245392</v>
      </c>
      <c r="AJ344" s="34">
        <f>AJ$275</f>
        <v>1.3439796103809281</v>
      </c>
      <c r="AK344" s="34">
        <f>AK$275</f>
        <v>0.10457015769884956</v>
      </c>
      <c r="AL344" s="10"/>
    </row>
    <row r="345" spans="1:38" x14ac:dyDescent="0.25">
      <c r="A345" s="3" t="s">
        <v>174</v>
      </c>
      <c r="C345" s="34">
        <f>C$278</f>
        <v>15.456985938309222</v>
      </c>
      <c r="D345" s="34">
        <f>D$278</f>
        <v>0</v>
      </c>
      <c r="E345" s="34">
        <f>E$278</f>
        <v>4.0660872101381265E-2</v>
      </c>
      <c r="G345" s="34">
        <f>G$278</f>
        <v>13.49007538772933</v>
      </c>
      <c r="H345" s="34">
        <f>H$278</f>
        <v>0.59537519450111931</v>
      </c>
      <c r="I345" s="34">
        <f>I$278</f>
        <v>2.3292481332669059E-2</v>
      </c>
      <c r="K345" s="34">
        <f>K$278</f>
        <v>13.49007538772933</v>
      </c>
      <c r="L345" s="34">
        <f>L$278</f>
        <v>0.59537519450111931</v>
      </c>
      <c r="M345" s="34">
        <f>M$278</f>
        <v>2.3292481332669059E-2</v>
      </c>
      <c r="O345" s="34">
        <f>O$278</f>
        <v>10.546736006392429</v>
      </c>
      <c r="P345" s="34">
        <f>P$278</f>
        <v>1.2883498306625822</v>
      </c>
      <c r="Q345" s="34">
        <f>Q$278</f>
        <v>0.10024180718447616</v>
      </c>
      <c r="S345" s="34">
        <f>S$278</f>
        <v>10.546736006392429</v>
      </c>
      <c r="T345" s="34">
        <f>T$278</f>
        <v>1.2883498306625822</v>
      </c>
      <c r="U345" s="34">
        <f>U$278</f>
        <v>0.10024180718447616</v>
      </c>
      <c r="W345" s="34">
        <f>W$278</f>
        <v>13.49007538772933</v>
      </c>
      <c r="X345" s="34">
        <f>X$278</f>
        <v>0.59537519450111931</v>
      </c>
      <c r="Y345" s="34">
        <f>Y$278</f>
        <v>2.3292481332669059E-2</v>
      </c>
      <c r="AA345" s="34">
        <f>AA$278</f>
        <v>10.546736006392429</v>
      </c>
      <c r="AB345" s="34">
        <f>AB$278</f>
        <v>1.2883498306625822</v>
      </c>
      <c r="AC345" s="34">
        <f>AC$278</f>
        <v>0.10024180718447616</v>
      </c>
      <c r="AE345" s="34">
        <f>AE$278</f>
        <v>10.546736006392429</v>
      </c>
      <c r="AF345" s="34">
        <f>AF$278</f>
        <v>1.2883498306625822</v>
      </c>
      <c r="AG345" s="34">
        <f>AG$278</f>
        <v>0.10024180718447616</v>
      </c>
      <c r="AI345" s="34">
        <f>AI$278</f>
        <v>10.546736006392429</v>
      </c>
      <c r="AJ345" s="34">
        <f>AJ$278</f>
        <v>1.2883498306625822</v>
      </c>
      <c r="AK345" s="34">
        <f>AK$278</f>
        <v>0.10024180718447616</v>
      </c>
      <c r="AL345" s="10"/>
    </row>
    <row r="347" spans="1:38" ht="21" customHeight="1" x14ac:dyDescent="0.3">
      <c r="A347" s="1" t="s">
        <v>649</v>
      </c>
    </row>
    <row r="348" spans="1:38" x14ac:dyDescent="0.25">
      <c r="A348" s="2" t="s">
        <v>356</v>
      </c>
    </row>
    <row r="349" spans="1:38" x14ac:dyDescent="0.25">
      <c r="A349" s="11" t="s">
        <v>650</v>
      </c>
    </row>
    <row r="350" spans="1:38" x14ac:dyDescent="0.25">
      <c r="A350" s="2" t="s">
        <v>638</v>
      </c>
    </row>
    <row r="352" spans="1:38" x14ac:dyDescent="0.25">
      <c r="B352" s="12" t="s">
        <v>324</v>
      </c>
      <c r="C352" s="12" t="s">
        <v>325</v>
      </c>
      <c r="D352" s="12" t="s">
        <v>326</v>
      </c>
    </row>
    <row r="353" spans="1:11" x14ac:dyDescent="0.25">
      <c r="A353" s="3" t="s">
        <v>172</v>
      </c>
      <c r="B353" s="35">
        <f>B$178</f>
        <v>0.1024891205485151</v>
      </c>
      <c r="C353" s="35">
        <f>C$178</f>
        <v>0.28393215857534765</v>
      </c>
      <c r="D353" s="35">
        <f>D$178</f>
        <v>0.6135787208761373</v>
      </c>
      <c r="E353" s="10"/>
    </row>
    <row r="354" spans="1:11" x14ac:dyDescent="0.25">
      <c r="A354" s="3" t="s">
        <v>174</v>
      </c>
      <c r="B354" s="35">
        <f>B$179</f>
        <v>9.5445618128205192E-2</v>
      </c>
      <c r="C354" s="35">
        <f>C$179</f>
        <v>0.39135319310423866</v>
      </c>
      <c r="D354" s="35">
        <f>D$179</f>
        <v>0.51320118876755616</v>
      </c>
      <c r="E354" s="10"/>
    </row>
    <row r="356" spans="1:11" ht="21" customHeight="1" x14ac:dyDescent="0.3">
      <c r="A356" s="1" t="s">
        <v>651</v>
      </c>
    </row>
    <row r="357" spans="1:11" x14ac:dyDescent="0.25">
      <c r="A357" s="2" t="s">
        <v>356</v>
      </c>
    </row>
    <row r="358" spans="1:11" x14ac:dyDescent="0.25">
      <c r="A358" s="11" t="s">
        <v>652</v>
      </c>
    </row>
    <row r="359" spans="1:11" x14ac:dyDescent="0.25">
      <c r="A359" s="11" t="s">
        <v>653</v>
      </c>
    </row>
    <row r="360" spans="1:11" x14ac:dyDescent="0.25">
      <c r="A360" s="2" t="s">
        <v>369</v>
      </c>
    </row>
    <row r="362" spans="1:11" x14ac:dyDescent="0.25">
      <c r="B362" s="12" t="s">
        <v>139</v>
      </c>
      <c r="C362" s="12" t="s">
        <v>140</v>
      </c>
      <c r="D362" s="12" t="s">
        <v>141</v>
      </c>
      <c r="E362" s="12" t="s">
        <v>142</v>
      </c>
      <c r="F362" s="12" t="s">
        <v>143</v>
      </c>
      <c r="G362" s="12" t="s">
        <v>148</v>
      </c>
      <c r="H362" s="12" t="s">
        <v>144</v>
      </c>
      <c r="I362" s="12" t="s">
        <v>145</v>
      </c>
      <c r="J362" s="12" t="s">
        <v>146</v>
      </c>
    </row>
    <row r="363" spans="1:11" x14ac:dyDescent="0.25">
      <c r="A363" s="3" t="s">
        <v>172</v>
      </c>
      <c r="B363" s="33">
        <f>SUMPRODUCT($C344:$E344,$B353:$D353)</f>
        <v>1.678601952912617</v>
      </c>
      <c r="C363" s="33">
        <f>SUMPRODUCT($G344:$I344,$B353:$D353)</f>
        <v>1.6335390743845724</v>
      </c>
      <c r="D363" s="33">
        <f>SUMPRODUCT($K344:$M344,$B353:$D353)</f>
        <v>1.6335390743845724</v>
      </c>
      <c r="E363" s="33">
        <f>SUMPRODUCT($O344:$Q344,$B353:$D353)</f>
        <v>1.5733601468007754</v>
      </c>
      <c r="F363" s="33">
        <f>SUMPRODUCT($S344:$U344,$B353:$D353)</f>
        <v>1.5733601468007754</v>
      </c>
      <c r="G363" s="33">
        <f>SUMPRODUCT($W344:$Y344,$B353:$D353)</f>
        <v>1.6335390743845724</v>
      </c>
      <c r="H363" s="33">
        <f>SUMPRODUCT($AA344:$AC344,$B353:$D353)</f>
        <v>1.5733601468007754</v>
      </c>
      <c r="I363" s="33">
        <f>SUMPRODUCT($AE344:$AG344,$B353:$D353)</f>
        <v>1.5733601468007754</v>
      </c>
      <c r="J363" s="33">
        <f>SUMPRODUCT($AI344:$AK344,$B353:$D353)</f>
        <v>1.5733601468007754</v>
      </c>
      <c r="K363" s="10"/>
    </row>
    <row r="364" spans="1:11" x14ac:dyDescent="0.25">
      <c r="A364" s="3" t="s">
        <v>174</v>
      </c>
      <c r="B364" s="33">
        <f>SUMPRODUCT($C345:$E345,$B354:$D354)</f>
        <v>1.4961687851796539</v>
      </c>
      <c r="C364" s="33">
        <f>SUMPRODUCT($G345:$I345,$B354:$D354)</f>
        <v>1.5325242965502552</v>
      </c>
      <c r="D364" s="33">
        <f>SUMPRODUCT($K345:$M345,$B354:$D354)</f>
        <v>1.5325242965502552</v>
      </c>
      <c r="E364" s="33">
        <f>SUMPRODUCT($O345:$Q345,$B354:$D354)</f>
        <v>1.5622837720415117</v>
      </c>
      <c r="F364" s="33">
        <f>SUMPRODUCT($S345:$U345,$B354:$D354)</f>
        <v>1.5622837720415117</v>
      </c>
      <c r="G364" s="33">
        <f>SUMPRODUCT($W345:$Y345,$B354:$D354)</f>
        <v>1.5325242965502552</v>
      </c>
      <c r="H364" s="33">
        <f>SUMPRODUCT($AA345:$AC345,$B354:$D354)</f>
        <v>1.5622837720415117</v>
      </c>
      <c r="I364" s="33">
        <f>SUMPRODUCT($AE345:$AG345,$B354:$D354)</f>
        <v>1.5622837720415117</v>
      </c>
      <c r="J364" s="33">
        <f>SUMPRODUCT($AI345:$AK345,$B354:$D354)</f>
        <v>1.5622837720415117</v>
      </c>
      <c r="K364" s="10"/>
    </row>
    <row r="366" spans="1:11" ht="21" customHeight="1" x14ac:dyDescent="0.3">
      <c r="A366" s="1" t="s">
        <v>654</v>
      </c>
    </row>
    <row r="367" spans="1:11" x14ac:dyDescent="0.25">
      <c r="A367" s="2" t="s">
        <v>356</v>
      </c>
    </row>
    <row r="368" spans="1:11" x14ac:dyDescent="0.25">
      <c r="A368" s="11" t="s">
        <v>579</v>
      </c>
    </row>
    <row r="369" spans="1:38" x14ac:dyDescent="0.25">
      <c r="A369" s="2" t="s">
        <v>638</v>
      </c>
    </row>
    <row r="371" spans="1:38" ht="45" x14ac:dyDescent="0.25">
      <c r="B371" s="12" t="s">
        <v>655</v>
      </c>
    </row>
    <row r="372" spans="1:38" x14ac:dyDescent="0.25">
      <c r="A372" s="3" t="s">
        <v>211</v>
      </c>
      <c r="B372" s="17">
        <f>B$121</f>
        <v>126246.1428114313</v>
      </c>
      <c r="C372" s="10"/>
    </row>
    <row r="373" spans="1:38" x14ac:dyDescent="0.25">
      <c r="A373" s="3" t="s">
        <v>212</v>
      </c>
      <c r="B373" s="17">
        <f>B$124</f>
        <v>4232.4037128975033</v>
      </c>
      <c r="C373" s="10"/>
    </row>
    <row r="375" spans="1:38" ht="21" customHeight="1" x14ac:dyDescent="0.3">
      <c r="A375" s="1" t="s">
        <v>656</v>
      </c>
    </row>
    <row r="376" spans="1:38" x14ac:dyDescent="0.25">
      <c r="A376" s="2" t="s">
        <v>356</v>
      </c>
    </row>
    <row r="377" spans="1:38" x14ac:dyDescent="0.25">
      <c r="A377" s="11" t="s">
        <v>637</v>
      </c>
    </row>
    <row r="378" spans="1:38" x14ac:dyDescent="0.25">
      <c r="A378" s="2" t="s">
        <v>638</v>
      </c>
    </row>
    <row r="380" spans="1:38" x14ac:dyDescent="0.25">
      <c r="B380" s="24" t="s">
        <v>139</v>
      </c>
      <c r="C380" s="12" t="s">
        <v>324</v>
      </c>
      <c r="D380" s="12" t="s">
        <v>325</v>
      </c>
      <c r="E380" s="12" t="s">
        <v>326</v>
      </c>
      <c r="F380" s="24" t="s">
        <v>140</v>
      </c>
      <c r="G380" s="12" t="s">
        <v>324</v>
      </c>
      <c r="H380" s="12" t="s">
        <v>325</v>
      </c>
      <c r="I380" s="12" t="s">
        <v>326</v>
      </c>
      <c r="J380" s="24" t="s">
        <v>141</v>
      </c>
      <c r="K380" s="12" t="s">
        <v>324</v>
      </c>
      <c r="L380" s="12" t="s">
        <v>325</v>
      </c>
      <c r="M380" s="12" t="s">
        <v>326</v>
      </c>
      <c r="N380" s="24" t="s">
        <v>142</v>
      </c>
      <c r="O380" s="12" t="s">
        <v>324</v>
      </c>
      <c r="P380" s="12" t="s">
        <v>325</v>
      </c>
      <c r="Q380" s="12" t="s">
        <v>326</v>
      </c>
      <c r="R380" s="24" t="s">
        <v>143</v>
      </c>
      <c r="S380" s="12" t="s">
        <v>324</v>
      </c>
      <c r="T380" s="12" t="s">
        <v>325</v>
      </c>
      <c r="U380" s="12" t="s">
        <v>326</v>
      </c>
      <c r="V380" s="24" t="s">
        <v>148</v>
      </c>
      <c r="W380" s="12" t="s">
        <v>324</v>
      </c>
      <c r="X380" s="12" t="s">
        <v>325</v>
      </c>
      <c r="Y380" s="12" t="s">
        <v>326</v>
      </c>
      <c r="Z380" s="24" t="s">
        <v>144</v>
      </c>
      <c r="AA380" s="12" t="s">
        <v>324</v>
      </c>
      <c r="AB380" s="12" t="s">
        <v>325</v>
      </c>
      <c r="AC380" s="12" t="s">
        <v>326</v>
      </c>
      <c r="AD380" s="24" t="s">
        <v>145</v>
      </c>
      <c r="AE380" s="12" t="s">
        <v>324</v>
      </c>
      <c r="AF380" s="12" t="s">
        <v>325</v>
      </c>
      <c r="AG380" s="12" t="s">
        <v>326</v>
      </c>
      <c r="AH380" s="24" t="s">
        <v>146</v>
      </c>
      <c r="AI380" s="12" t="s">
        <v>324</v>
      </c>
      <c r="AJ380" s="12" t="s">
        <v>325</v>
      </c>
      <c r="AK380" s="12" t="s">
        <v>326</v>
      </c>
    </row>
    <row r="381" spans="1:38" x14ac:dyDescent="0.25">
      <c r="A381" s="3" t="s">
        <v>211</v>
      </c>
      <c r="C381" s="34">
        <f>C$276</f>
        <v>11.035378564342917</v>
      </c>
      <c r="D381" s="34">
        <f>D$276</f>
        <v>0</v>
      </c>
      <c r="E381" s="34">
        <f>E$276</f>
        <v>2.9029470440480602E-2</v>
      </c>
      <c r="G381" s="34">
        <f>G$276</f>
        <v>9.6311201523550274</v>
      </c>
      <c r="H381" s="34">
        <f>H$276</f>
        <v>0.4250628605966007</v>
      </c>
      <c r="I381" s="34">
        <f>I$276</f>
        <v>1.662946128273508E-2</v>
      </c>
      <c r="K381" s="34">
        <f>K$276</f>
        <v>9.6311201523550274</v>
      </c>
      <c r="L381" s="34">
        <f>L$276</f>
        <v>0.4250628605966007</v>
      </c>
      <c r="M381" s="34">
        <f>M$276</f>
        <v>1.662946128273508E-2</v>
      </c>
      <c r="O381" s="34">
        <f>O$276</f>
        <v>7.5297490023761897</v>
      </c>
      <c r="P381" s="34">
        <f>P$276</f>
        <v>0.91980598037756123</v>
      </c>
      <c r="Q381" s="34">
        <f>Q$276</f>
        <v>7.1566752707777112E-2</v>
      </c>
      <c r="S381" s="34">
        <f>S$276</f>
        <v>7.5297490023761897</v>
      </c>
      <c r="T381" s="34">
        <f>T$276</f>
        <v>0.91980598037756123</v>
      </c>
      <c r="U381" s="34">
        <f>U$276</f>
        <v>7.1566752707777112E-2</v>
      </c>
      <c r="W381" s="34">
        <f>W$276</f>
        <v>9.6311201523550274</v>
      </c>
      <c r="X381" s="34">
        <f>X$276</f>
        <v>0.4250628605966007</v>
      </c>
      <c r="Y381" s="34">
        <f>Y$276</f>
        <v>1.662946128273508E-2</v>
      </c>
      <c r="AA381" s="34">
        <f>AA$276</f>
        <v>7.5297490023761897</v>
      </c>
      <c r="AB381" s="34">
        <f>AB$276</f>
        <v>0.91980598037756123</v>
      </c>
      <c r="AC381" s="34">
        <f>AC$276</f>
        <v>7.1566752707777112E-2</v>
      </c>
      <c r="AE381" s="34">
        <f>AE$276</f>
        <v>7.5297490023761897</v>
      </c>
      <c r="AF381" s="34">
        <f>AF$276</f>
        <v>0.91980598037756123</v>
      </c>
      <c r="AG381" s="34">
        <f>AG$276</f>
        <v>7.1566752707777112E-2</v>
      </c>
      <c r="AI381" s="34">
        <f>AI$276</f>
        <v>7.5297490023761897</v>
      </c>
      <c r="AJ381" s="34">
        <f>AJ$276</f>
        <v>0.91980598037756123</v>
      </c>
      <c r="AK381" s="34">
        <f>AK$276</f>
        <v>7.1566752707777112E-2</v>
      </c>
      <c r="AL381" s="10"/>
    </row>
    <row r="382" spans="1:38" x14ac:dyDescent="0.25">
      <c r="A382" s="3" t="s">
        <v>212</v>
      </c>
      <c r="C382" s="34">
        <f>C$279</f>
        <v>11.035378564342917</v>
      </c>
      <c r="D382" s="34">
        <f>D$279</f>
        <v>0</v>
      </c>
      <c r="E382" s="34">
        <f>E$279</f>
        <v>2.9029470440480602E-2</v>
      </c>
      <c r="G382" s="34">
        <f>G$279</f>
        <v>9.6311201523550274</v>
      </c>
      <c r="H382" s="34">
        <f>H$279</f>
        <v>0.4250628605966007</v>
      </c>
      <c r="I382" s="34">
        <f>I$279</f>
        <v>1.662946128273508E-2</v>
      </c>
      <c r="K382" s="34">
        <f>K$279</f>
        <v>9.6311201523550274</v>
      </c>
      <c r="L382" s="34">
        <f>L$279</f>
        <v>0.4250628605966007</v>
      </c>
      <c r="M382" s="34">
        <f>M$279</f>
        <v>1.662946128273508E-2</v>
      </c>
      <c r="O382" s="34">
        <f>O$279</f>
        <v>7.5297490023761897</v>
      </c>
      <c r="P382" s="34">
        <f>P$279</f>
        <v>0.91980598037756123</v>
      </c>
      <c r="Q382" s="34">
        <f>Q$279</f>
        <v>7.1566752707777112E-2</v>
      </c>
      <c r="S382" s="34">
        <f>S$279</f>
        <v>7.5297490023761897</v>
      </c>
      <c r="T382" s="34">
        <f>T$279</f>
        <v>0.91980598037756123</v>
      </c>
      <c r="U382" s="34">
        <f>U$279</f>
        <v>7.1566752707777112E-2</v>
      </c>
      <c r="W382" s="34">
        <f>W$279</f>
        <v>9.6311201523550274</v>
      </c>
      <c r="X382" s="34">
        <f>X$279</f>
        <v>0.4250628605966007</v>
      </c>
      <c r="Y382" s="34">
        <f>Y$279</f>
        <v>1.662946128273508E-2</v>
      </c>
      <c r="AA382" s="34">
        <f>AA$279</f>
        <v>7.5297490023761897</v>
      </c>
      <c r="AB382" s="34">
        <f>AB$279</f>
        <v>0.91980598037756123</v>
      </c>
      <c r="AC382" s="34">
        <f>AC$279</f>
        <v>7.1566752707777112E-2</v>
      </c>
      <c r="AE382" s="34">
        <f>AE$279</f>
        <v>7.5297490023761897</v>
      </c>
      <c r="AF382" s="34">
        <f>AF$279</f>
        <v>0.91980598037756123</v>
      </c>
      <c r="AG382" s="34">
        <f>AG$279</f>
        <v>7.1566752707777112E-2</v>
      </c>
      <c r="AI382" s="34">
        <f>AI$279</f>
        <v>7.5297490023761897</v>
      </c>
      <c r="AJ382" s="34">
        <f>AJ$279</f>
        <v>0.91980598037756123</v>
      </c>
      <c r="AK382" s="34">
        <f>AK$279</f>
        <v>7.1566752707777112E-2</v>
      </c>
      <c r="AL382" s="10"/>
    </row>
    <row r="384" spans="1:38" ht="21" customHeight="1" x14ac:dyDescent="0.3">
      <c r="A384" s="1" t="s">
        <v>657</v>
      </c>
    </row>
    <row r="385" spans="1:11" x14ac:dyDescent="0.25">
      <c r="A385" s="2" t="s">
        <v>356</v>
      </c>
    </row>
    <row r="386" spans="1:11" x14ac:dyDescent="0.25">
      <c r="A386" s="11" t="s">
        <v>642</v>
      </c>
    </row>
    <row r="387" spans="1:11" x14ac:dyDescent="0.25">
      <c r="A387" s="2" t="s">
        <v>638</v>
      </c>
    </row>
    <row r="389" spans="1:11" x14ac:dyDescent="0.25">
      <c r="B389" s="12" t="s">
        <v>324</v>
      </c>
      <c r="C389" s="12" t="s">
        <v>325</v>
      </c>
      <c r="D389" s="12" t="s">
        <v>326</v>
      </c>
    </row>
    <row r="390" spans="1:11" x14ac:dyDescent="0.25">
      <c r="A390" s="3" t="s">
        <v>211</v>
      </c>
      <c r="B390" s="35">
        <f>B$45</f>
        <v>4.5066324872684214E-2</v>
      </c>
      <c r="C390" s="35">
        <f>C$45</f>
        <v>0.31786379114093172</v>
      </c>
      <c r="D390" s="35">
        <f>D$45</f>
        <v>0.63706988398638409</v>
      </c>
      <c r="E390" s="10"/>
    </row>
    <row r="391" spans="1:11" x14ac:dyDescent="0.25">
      <c r="A391" s="3" t="s">
        <v>212</v>
      </c>
      <c r="B391" s="35">
        <f>B$48</f>
        <v>1.6883539413977185E-2</v>
      </c>
      <c r="C391" s="35">
        <f>C$48</f>
        <v>0.18706611656932615</v>
      </c>
      <c r="D391" s="35">
        <f>D$48</f>
        <v>0.79605034401669661</v>
      </c>
      <c r="E391" s="10"/>
    </row>
    <row r="393" spans="1:11" ht="21" customHeight="1" x14ac:dyDescent="0.3">
      <c r="A393" s="1" t="s">
        <v>658</v>
      </c>
    </row>
    <row r="394" spans="1:11" x14ac:dyDescent="0.25">
      <c r="A394" s="2" t="s">
        <v>356</v>
      </c>
    </row>
    <row r="395" spans="1:11" x14ac:dyDescent="0.25">
      <c r="A395" s="11" t="s">
        <v>659</v>
      </c>
    </row>
    <row r="396" spans="1:11" x14ac:dyDescent="0.25">
      <c r="A396" s="11" t="s">
        <v>660</v>
      </c>
    </row>
    <row r="397" spans="1:11" x14ac:dyDescent="0.25">
      <c r="A397" s="2" t="s">
        <v>369</v>
      </c>
    </row>
    <row r="399" spans="1:11" x14ac:dyDescent="0.25">
      <c r="B399" s="12" t="s">
        <v>139</v>
      </c>
      <c r="C399" s="12" t="s">
        <v>140</v>
      </c>
      <c r="D399" s="12" t="s">
        <v>141</v>
      </c>
      <c r="E399" s="12" t="s">
        <v>142</v>
      </c>
      <c r="F399" s="12" t="s">
        <v>143</v>
      </c>
      <c r="G399" s="12" t="s">
        <v>148</v>
      </c>
      <c r="H399" s="12" t="s">
        <v>144</v>
      </c>
      <c r="I399" s="12" t="s">
        <v>145</v>
      </c>
      <c r="J399" s="12" t="s">
        <v>146</v>
      </c>
    </row>
    <row r="400" spans="1:11" x14ac:dyDescent="0.25">
      <c r="A400" s="3" t="s">
        <v>211</v>
      </c>
      <c r="B400" s="33">
        <f>SUMPRODUCT($C381:$E381,$B390:$D390)</f>
        <v>0.51581775683943654</v>
      </c>
      <c r="C400" s="33">
        <f>SUMPRODUCT($G381:$I381,$B390:$D390)</f>
        <v>0.57974541098648058</v>
      </c>
      <c r="D400" s="33">
        <f>SUMPRODUCT($K381:$M381,$B390:$D390)</f>
        <v>0.57974541098648058</v>
      </c>
      <c r="E400" s="33">
        <f>SUMPRODUCT($O381:$Q381,$B390:$D390)</f>
        <v>0.67730415363259411</v>
      </c>
      <c r="F400" s="33">
        <f>SUMPRODUCT($S381:$U381,$B390:$D390)</f>
        <v>0.67730415363259411</v>
      </c>
      <c r="G400" s="33">
        <f>SUMPRODUCT($W381:$Y381,$B390:$D390)</f>
        <v>0.57974541098648058</v>
      </c>
      <c r="H400" s="33">
        <f>SUMPRODUCT($AA381:$AC381,$B390:$D390)</f>
        <v>0.67730415363259411</v>
      </c>
      <c r="I400" s="33">
        <f>SUMPRODUCT($AE381:$AG381,$B390:$D390)</f>
        <v>0.67730415363259411</v>
      </c>
      <c r="J400" s="33">
        <f>SUMPRODUCT($AI381:$AK381,$B390:$D390)</f>
        <v>0.67730415363259411</v>
      </c>
      <c r="K400" s="10"/>
    </row>
    <row r="401" spans="1:11" x14ac:dyDescent="0.25">
      <c r="A401" s="3" t="s">
        <v>212</v>
      </c>
      <c r="B401" s="33">
        <f>SUMPRODUCT($C382:$E382,$B391:$D391)</f>
        <v>0.20942516887000973</v>
      </c>
      <c r="C401" s="33">
        <f>SUMPRODUCT($G382:$I382,$B391:$D391)</f>
        <v>0.25536014369762461</v>
      </c>
      <c r="D401" s="33">
        <f>SUMPRODUCT($K382:$M382,$B391:$D391)</f>
        <v>0.25536014369762461</v>
      </c>
      <c r="E401" s="33">
        <f>SUMPRODUCT($O382:$Q382,$B391:$D391)</f>
        <v>0.35616408491862978</v>
      </c>
      <c r="F401" s="33">
        <f>SUMPRODUCT($S382:$U382,$B391:$D391)</f>
        <v>0.35616408491862978</v>
      </c>
      <c r="G401" s="33">
        <f>SUMPRODUCT($W382:$Y382,$B391:$D391)</f>
        <v>0.25536014369762461</v>
      </c>
      <c r="H401" s="33">
        <f>SUMPRODUCT($AA382:$AC382,$B391:$D391)</f>
        <v>0.35616408491862978</v>
      </c>
      <c r="I401" s="33">
        <f>SUMPRODUCT($AE382:$AG382,$B391:$D391)</f>
        <v>0.35616408491862978</v>
      </c>
      <c r="J401" s="33">
        <f>SUMPRODUCT($AI382:$AK382,$B391:$D391)</f>
        <v>0.35616408491862978</v>
      </c>
      <c r="K401" s="10"/>
    </row>
    <row r="403" spans="1:11" ht="21" customHeight="1" x14ac:dyDescent="0.3">
      <c r="A403" s="1" t="s">
        <v>661</v>
      </c>
    </row>
    <row r="404" spans="1:11" x14ac:dyDescent="0.25">
      <c r="A404" s="2" t="s">
        <v>356</v>
      </c>
    </row>
    <row r="405" spans="1:11" x14ac:dyDescent="0.25">
      <c r="A405" s="11" t="s">
        <v>579</v>
      </c>
    </row>
    <row r="406" spans="1:11" x14ac:dyDescent="0.25">
      <c r="A406" s="2" t="s">
        <v>638</v>
      </c>
    </row>
    <row r="408" spans="1:11" ht="45" x14ac:dyDescent="0.25">
      <c r="B408" s="12" t="s">
        <v>662</v>
      </c>
    </row>
    <row r="409" spans="1:11" x14ac:dyDescent="0.25">
      <c r="A409" s="3" t="s">
        <v>177</v>
      </c>
      <c r="B409" s="17">
        <f>B$128</f>
        <v>0</v>
      </c>
      <c r="C409" s="10"/>
    </row>
    <row r="410" spans="1:11" x14ac:dyDescent="0.25">
      <c r="A410" s="3" t="s">
        <v>178</v>
      </c>
      <c r="B410" s="17">
        <f>B$129</f>
        <v>154701.23338454252</v>
      </c>
      <c r="C410" s="10"/>
    </row>
    <row r="412" spans="1:11" ht="21" customHeight="1" x14ac:dyDescent="0.3">
      <c r="A412" s="1" t="s">
        <v>663</v>
      </c>
    </row>
    <row r="413" spans="1:11" x14ac:dyDescent="0.25">
      <c r="A413" s="2" t="s">
        <v>356</v>
      </c>
    </row>
    <row r="414" spans="1:11" x14ac:dyDescent="0.25">
      <c r="A414" s="11" t="s">
        <v>637</v>
      </c>
    </row>
    <row r="415" spans="1:11" x14ac:dyDescent="0.25">
      <c r="A415" s="2" t="s">
        <v>638</v>
      </c>
    </row>
    <row r="417" spans="1:38" x14ac:dyDescent="0.25">
      <c r="B417" s="24" t="s">
        <v>139</v>
      </c>
      <c r="C417" s="12" t="s">
        <v>324</v>
      </c>
      <c r="D417" s="12" t="s">
        <v>325</v>
      </c>
      <c r="E417" s="12" t="s">
        <v>326</v>
      </c>
      <c r="F417" s="24" t="s">
        <v>140</v>
      </c>
      <c r="G417" s="12" t="s">
        <v>324</v>
      </c>
      <c r="H417" s="12" t="s">
        <v>325</v>
      </c>
      <c r="I417" s="12" t="s">
        <v>326</v>
      </c>
      <c r="J417" s="24" t="s">
        <v>141</v>
      </c>
      <c r="K417" s="12" t="s">
        <v>324</v>
      </c>
      <c r="L417" s="12" t="s">
        <v>325</v>
      </c>
      <c r="M417" s="12" t="s">
        <v>326</v>
      </c>
      <c r="N417" s="24" t="s">
        <v>142</v>
      </c>
      <c r="O417" s="12" t="s">
        <v>324</v>
      </c>
      <c r="P417" s="12" t="s">
        <v>325</v>
      </c>
      <c r="Q417" s="12" t="s">
        <v>326</v>
      </c>
      <c r="R417" s="24" t="s">
        <v>143</v>
      </c>
      <c r="S417" s="12" t="s">
        <v>324</v>
      </c>
      <c r="T417" s="12" t="s">
        <v>325</v>
      </c>
      <c r="U417" s="12" t="s">
        <v>326</v>
      </c>
      <c r="V417" s="24" t="s">
        <v>148</v>
      </c>
      <c r="W417" s="12" t="s">
        <v>324</v>
      </c>
      <c r="X417" s="12" t="s">
        <v>325</v>
      </c>
      <c r="Y417" s="12" t="s">
        <v>326</v>
      </c>
      <c r="Z417" s="24" t="s">
        <v>144</v>
      </c>
      <c r="AA417" s="12" t="s">
        <v>324</v>
      </c>
      <c r="AB417" s="12" t="s">
        <v>325</v>
      </c>
      <c r="AC417" s="12" t="s">
        <v>326</v>
      </c>
      <c r="AD417" s="24" t="s">
        <v>145</v>
      </c>
      <c r="AE417" s="12" t="s">
        <v>324</v>
      </c>
      <c r="AF417" s="12" t="s">
        <v>325</v>
      </c>
      <c r="AG417" s="12" t="s">
        <v>326</v>
      </c>
      <c r="AH417" s="24" t="s">
        <v>146</v>
      </c>
      <c r="AI417" s="12" t="s">
        <v>324</v>
      </c>
      <c r="AJ417" s="12" t="s">
        <v>325</v>
      </c>
      <c r="AK417" s="12" t="s">
        <v>326</v>
      </c>
    </row>
    <row r="418" spans="1:38" x14ac:dyDescent="0.25">
      <c r="A418" s="3" t="s">
        <v>177</v>
      </c>
      <c r="C418" s="34">
        <f>C$283</f>
        <v>11.035378564342917</v>
      </c>
      <c r="D418" s="34">
        <f>D$283</f>
        <v>0</v>
      </c>
      <c r="E418" s="34">
        <f>E$283</f>
        <v>2.9029470440480602E-2</v>
      </c>
      <c r="G418" s="34">
        <f>G$283</f>
        <v>9.6311201523550274</v>
      </c>
      <c r="H418" s="34">
        <f>H$283</f>
        <v>0.4250628605966007</v>
      </c>
      <c r="I418" s="34">
        <f>I$283</f>
        <v>1.662946128273508E-2</v>
      </c>
      <c r="K418" s="34">
        <f>K$283</f>
        <v>9.6311201523550274</v>
      </c>
      <c r="L418" s="34">
        <f>L$283</f>
        <v>0.4250628605966007</v>
      </c>
      <c r="M418" s="34">
        <f>M$283</f>
        <v>1.662946128273508E-2</v>
      </c>
      <c r="O418" s="34">
        <f>O$283</f>
        <v>7.5297490023761897</v>
      </c>
      <c r="P418" s="34">
        <f>P$283</f>
        <v>0.91980598037756123</v>
      </c>
      <c r="Q418" s="34">
        <f>Q$283</f>
        <v>7.1566752707777112E-2</v>
      </c>
      <c r="S418" s="34">
        <f>S$283</f>
        <v>7.5297490023761897</v>
      </c>
      <c r="T418" s="34">
        <f>T$283</f>
        <v>0.91980598037756123</v>
      </c>
      <c r="U418" s="34">
        <f>U$283</f>
        <v>7.1566752707777112E-2</v>
      </c>
      <c r="W418" s="34">
        <f>W$283</f>
        <v>9.6311201523550274</v>
      </c>
      <c r="X418" s="34">
        <f>X$283</f>
        <v>0.4250628605966007</v>
      </c>
      <c r="Y418" s="34">
        <f>Y$283</f>
        <v>1.662946128273508E-2</v>
      </c>
      <c r="AA418" s="34">
        <f>AA$283</f>
        <v>7.5297490023761897</v>
      </c>
      <c r="AB418" s="34">
        <f>AB$283</f>
        <v>0.91980598037756123</v>
      </c>
      <c r="AC418" s="34">
        <f>AC$283</f>
        <v>7.1566752707777112E-2</v>
      </c>
      <c r="AE418" s="34">
        <f>AE$283</f>
        <v>7.5297490023761897</v>
      </c>
      <c r="AF418" s="34">
        <f>AF$283</f>
        <v>0.91980598037756123</v>
      </c>
      <c r="AG418" s="34">
        <f>AG$283</f>
        <v>7.1566752707777112E-2</v>
      </c>
      <c r="AI418" s="34">
        <f>AI$283</f>
        <v>7.5297490023761897</v>
      </c>
      <c r="AJ418" s="34">
        <f>AJ$283</f>
        <v>0.91980598037756123</v>
      </c>
      <c r="AK418" s="34">
        <f>AK$283</f>
        <v>7.1566752707777112E-2</v>
      </c>
      <c r="AL418" s="10"/>
    </row>
    <row r="419" spans="1:38" x14ac:dyDescent="0.25">
      <c r="A419" s="3" t="s">
        <v>178</v>
      </c>
      <c r="C419" s="34">
        <f>C$284</f>
        <v>14.905647808599713</v>
      </c>
      <c r="D419" s="34">
        <f>D$284</f>
        <v>0</v>
      </c>
      <c r="E419" s="34">
        <f>E$284</f>
        <v>3.9210531830243957E-2</v>
      </c>
      <c r="G419" s="34">
        <f>G$284</f>
        <v>13.008895359255774</v>
      </c>
      <c r="H419" s="34">
        <f>H$284</f>
        <v>0.57413864505210133</v>
      </c>
      <c r="I419" s="34">
        <f>I$284</f>
        <v>2.2461657448536575E-2</v>
      </c>
      <c r="K419" s="34">
        <f>K$284</f>
        <v>13.008895359255774</v>
      </c>
      <c r="L419" s="34">
        <f>L$284</f>
        <v>0.57413864505210133</v>
      </c>
      <c r="M419" s="34">
        <f>M$284</f>
        <v>2.2461657448536575E-2</v>
      </c>
      <c r="O419" s="34">
        <f>O$284</f>
        <v>10.170542502205262</v>
      </c>
      <c r="P419" s="34">
        <f>P$284</f>
        <v>1.2423954389794929</v>
      </c>
      <c r="Q419" s="34">
        <f>Q$284</f>
        <v>9.6666263368083483E-2</v>
      </c>
      <c r="S419" s="34">
        <f>S$284</f>
        <v>10.170542502205262</v>
      </c>
      <c r="T419" s="34">
        <f>T$284</f>
        <v>1.2423954389794929</v>
      </c>
      <c r="U419" s="34">
        <f>U$284</f>
        <v>9.6666263368083483E-2</v>
      </c>
      <c r="W419" s="34">
        <f>W$284</f>
        <v>13.008895359255774</v>
      </c>
      <c r="X419" s="34">
        <f>X$284</f>
        <v>0.57413864505210133</v>
      </c>
      <c r="Y419" s="34">
        <f>Y$284</f>
        <v>2.2461657448536575E-2</v>
      </c>
      <c r="AA419" s="34">
        <f>AA$284</f>
        <v>10.170542502205262</v>
      </c>
      <c r="AB419" s="34">
        <f>AB$284</f>
        <v>1.2423954389794929</v>
      </c>
      <c r="AC419" s="34">
        <f>AC$284</f>
        <v>9.6666263368083483E-2</v>
      </c>
      <c r="AE419" s="34">
        <f>AE$284</f>
        <v>10.170542502205262</v>
      </c>
      <c r="AF419" s="34">
        <f>AF$284</f>
        <v>1.2423954389794929</v>
      </c>
      <c r="AG419" s="34">
        <f>AG$284</f>
        <v>9.6666263368083483E-2</v>
      </c>
      <c r="AI419" s="34">
        <f>AI$284</f>
        <v>10.170542502205262</v>
      </c>
      <c r="AJ419" s="34">
        <f>AJ$284</f>
        <v>1.2423954389794929</v>
      </c>
      <c r="AK419" s="34">
        <f>AK$284</f>
        <v>9.6666263368083483E-2</v>
      </c>
      <c r="AL419" s="10"/>
    </row>
    <row r="421" spans="1:38" ht="21" customHeight="1" x14ac:dyDescent="0.3">
      <c r="A421" s="1" t="s">
        <v>664</v>
      </c>
    </row>
    <row r="422" spans="1:38" x14ac:dyDescent="0.25">
      <c r="A422" s="2" t="s">
        <v>356</v>
      </c>
    </row>
    <row r="423" spans="1:38" x14ac:dyDescent="0.25">
      <c r="A423" s="11" t="s">
        <v>665</v>
      </c>
    </row>
    <row r="424" spans="1:38" x14ac:dyDescent="0.25">
      <c r="A424" s="2" t="s">
        <v>638</v>
      </c>
    </row>
    <row r="426" spans="1:38" x14ac:dyDescent="0.25">
      <c r="B426" s="12" t="s">
        <v>324</v>
      </c>
      <c r="C426" s="12" t="s">
        <v>325</v>
      </c>
      <c r="D426" s="12" t="s">
        <v>326</v>
      </c>
    </row>
    <row r="427" spans="1:38" x14ac:dyDescent="0.25">
      <c r="A427" s="3" t="s">
        <v>177</v>
      </c>
      <c r="B427" s="35">
        <f>B$201</f>
        <v>0</v>
      </c>
      <c r="C427" s="35">
        <f>C$201</f>
        <v>0</v>
      </c>
      <c r="D427" s="35">
        <f>D$201</f>
        <v>0</v>
      </c>
      <c r="E427" s="10"/>
    </row>
    <row r="428" spans="1:38" x14ac:dyDescent="0.25">
      <c r="A428" s="3" t="s">
        <v>178</v>
      </c>
      <c r="B428" s="35">
        <f>B$202</f>
        <v>0.10780475755986631</v>
      </c>
      <c r="C428" s="35">
        <f>C$202</f>
        <v>0.41955225395620543</v>
      </c>
      <c r="D428" s="35">
        <f>D$202</f>
        <v>0.47264298848392827</v>
      </c>
      <c r="E428" s="10"/>
    </row>
    <row r="430" spans="1:38" ht="21" customHeight="1" x14ac:dyDescent="0.3">
      <c r="A430" s="1" t="s">
        <v>666</v>
      </c>
    </row>
    <row r="431" spans="1:38" x14ac:dyDescent="0.25">
      <c r="A431" s="2" t="s">
        <v>356</v>
      </c>
    </row>
    <row r="432" spans="1:38" x14ac:dyDescent="0.25">
      <c r="A432" s="11" t="s">
        <v>667</v>
      </c>
    </row>
    <row r="433" spans="1:11" x14ac:dyDescent="0.25">
      <c r="A433" s="11" t="s">
        <v>668</v>
      </c>
    </row>
    <row r="434" spans="1:11" x14ac:dyDescent="0.25">
      <c r="A434" s="2" t="s">
        <v>369</v>
      </c>
    </row>
    <row r="436" spans="1:11" x14ac:dyDescent="0.25">
      <c r="B436" s="12" t="s">
        <v>139</v>
      </c>
      <c r="C436" s="12" t="s">
        <v>140</v>
      </c>
      <c r="D436" s="12" t="s">
        <v>141</v>
      </c>
      <c r="E436" s="12" t="s">
        <v>142</v>
      </c>
      <c r="F436" s="12" t="s">
        <v>143</v>
      </c>
      <c r="G436" s="12" t="s">
        <v>148</v>
      </c>
      <c r="H436" s="12" t="s">
        <v>144</v>
      </c>
      <c r="I436" s="12" t="s">
        <v>145</v>
      </c>
      <c r="J436" s="12" t="s">
        <v>146</v>
      </c>
    </row>
    <row r="437" spans="1:11" x14ac:dyDescent="0.25">
      <c r="A437" s="3" t="s">
        <v>177</v>
      </c>
      <c r="B437" s="33">
        <f>SUMPRODUCT($C418:$E418,$B427:$D427)</f>
        <v>0</v>
      </c>
      <c r="C437" s="33">
        <f>SUMPRODUCT($G418:$I418,$B427:$D427)</f>
        <v>0</v>
      </c>
      <c r="D437" s="33">
        <f>SUMPRODUCT($K418:$M418,$B427:$D427)</f>
        <v>0</v>
      </c>
      <c r="E437" s="33">
        <f>SUMPRODUCT($O418:$Q418,$B427:$D427)</f>
        <v>0</v>
      </c>
      <c r="F437" s="33">
        <f>SUMPRODUCT($S418:$U418,$B427:$D427)</f>
        <v>0</v>
      </c>
      <c r="G437" s="33">
        <f>SUMPRODUCT($W418:$Y418,$B427:$D427)</f>
        <v>0</v>
      </c>
      <c r="H437" s="33">
        <f>SUMPRODUCT($AA418:$AC418,$B427:$D427)</f>
        <v>0</v>
      </c>
      <c r="I437" s="33">
        <f>SUMPRODUCT($AE418:$AG418,$B427:$D427)</f>
        <v>0</v>
      </c>
      <c r="J437" s="33">
        <f>SUMPRODUCT($AI418:$AK418,$B427:$D427)</f>
        <v>0</v>
      </c>
      <c r="K437" s="10"/>
    </row>
    <row r="438" spans="1:11" x14ac:dyDescent="0.25">
      <c r="A438" s="3" t="s">
        <v>178</v>
      </c>
      <c r="B438" s="33">
        <f>SUMPRODUCT($C419:$E419,$B428:$D428)</f>
        <v>1.6254323312231351</v>
      </c>
      <c r="C438" s="33">
        <f>SUMPRODUCT($G419:$I419,$B428:$D428)</f>
        <v>1.653918317843988</v>
      </c>
      <c r="D438" s="33">
        <f>SUMPRODUCT($K419:$M419,$B428:$D428)</f>
        <v>1.653918317843988</v>
      </c>
      <c r="E438" s="33">
        <f>SUMPRODUCT($O419:$Q419,$B428:$D428)</f>
        <v>1.6633713070351752</v>
      </c>
      <c r="F438" s="33">
        <f>SUMPRODUCT($S419:$U419,$B428:$D428)</f>
        <v>1.6633713070351752</v>
      </c>
      <c r="G438" s="33">
        <f>SUMPRODUCT($W419:$Y419,$B428:$D428)</f>
        <v>1.653918317843988</v>
      </c>
      <c r="H438" s="33">
        <f>SUMPRODUCT($AA419:$AC419,$B428:$D428)</f>
        <v>1.6633713070351752</v>
      </c>
      <c r="I438" s="33">
        <f>SUMPRODUCT($AE419:$AG419,$B428:$D428)</f>
        <v>1.6633713070351752</v>
      </c>
      <c r="J438" s="33">
        <f>SUMPRODUCT($AI419:$AK419,$B428:$D428)</f>
        <v>1.6633713070351752</v>
      </c>
      <c r="K438" s="10"/>
    </row>
    <row r="440" spans="1:11" ht="21" customHeight="1" x14ac:dyDescent="0.3">
      <c r="A440" s="1" t="s">
        <v>669</v>
      </c>
    </row>
    <row r="441" spans="1:11" x14ac:dyDescent="0.25">
      <c r="A441" s="2" t="s">
        <v>356</v>
      </c>
    </row>
    <row r="442" spans="1:11" x14ac:dyDescent="0.25">
      <c r="A442" s="11" t="s">
        <v>670</v>
      </c>
    </row>
    <row r="443" spans="1:11" x14ac:dyDescent="0.25">
      <c r="A443" s="11" t="s">
        <v>671</v>
      </c>
    </row>
    <row r="444" spans="1:11" x14ac:dyDescent="0.25">
      <c r="A444" s="11" t="s">
        <v>672</v>
      </c>
    </row>
    <row r="445" spans="1:11" x14ac:dyDescent="0.25">
      <c r="A445" s="11" t="s">
        <v>673</v>
      </c>
    </row>
    <row r="446" spans="1:11" x14ac:dyDescent="0.25">
      <c r="A446" s="11" t="s">
        <v>674</v>
      </c>
    </row>
    <row r="447" spans="1:11" x14ac:dyDescent="0.25">
      <c r="A447" s="11" t="s">
        <v>675</v>
      </c>
    </row>
    <row r="448" spans="1:11" x14ac:dyDescent="0.25">
      <c r="A448" s="2" t="s">
        <v>676</v>
      </c>
    </row>
    <row r="450" spans="1:11" x14ac:dyDescent="0.25">
      <c r="B450" s="12" t="s">
        <v>139</v>
      </c>
      <c r="C450" s="12" t="s">
        <v>140</v>
      </c>
      <c r="D450" s="12" t="s">
        <v>141</v>
      </c>
      <c r="E450" s="12" t="s">
        <v>142</v>
      </c>
      <c r="F450" s="12" t="s">
        <v>143</v>
      </c>
      <c r="G450" s="12" t="s">
        <v>148</v>
      </c>
      <c r="H450" s="12" t="s">
        <v>144</v>
      </c>
      <c r="I450" s="12" t="s">
        <v>145</v>
      </c>
      <c r="J450" s="12" t="s">
        <v>146</v>
      </c>
    </row>
    <row r="451" spans="1:11" x14ac:dyDescent="0.25">
      <c r="A451" s="3" t="s">
        <v>677</v>
      </c>
      <c r="B451" s="33">
        <f t="shared" ref="B451:J451" si="0">($B307*B326+$B335*B363+$B372*B400)/($B307+$B335+$B372)</f>
        <v>1.8501098542722492</v>
      </c>
      <c r="C451" s="33">
        <f t="shared" si="0"/>
        <v>1.8047335019549615</v>
      </c>
      <c r="D451" s="33">
        <f t="shared" si="0"/>
        <v>1.8047335019549615</v>
      </c>
      <c r="E451" s="33">
        <f t="shared" si="0"/>
        <v>1.7213971473241769</v>
      </c>
      <c r="F451" s="33">
        <f t="shared" si="0"/>
        <v>1.7213971473241769</v>
      </c>
      <c r="G451" s="33">
        <f t="shared" si="0"/>
        <v>1.8047335019549615</v>
      </c>
      <c r="H451" s="33">
        <f t="shared" si="0"/>
        <v>1.7213971473241769</v>
      </c>
      <c r="I451" s="33">
        <f t="shared" si="0"/>
        <v>1.7213971473241769</v>
      </c>
      <c r="J451" s="33">
        <f t="shared" si="0"/>
        <v>1.7213971473241769</v>
      </c>
      <c r="K451" s="10"/>
    </row>
    <row r="452" spans="1:11" x14ac:dyDescent="0.25">
      <c r="A452" s="3" t="s">
        <v>678</v>
      </c>
      <c r="B452" s="33">
        <f t="shared" ref="B452:J452" si="1">($B308*B327+$B336*B364+$B373*B401)/($B308+$B336+$B373)</f>
        <v>1.5911962243236717</v>
      </c>
      <c r="C452" s="33">
        <f t="shared" si="1"/>
        <v>1.6404691011130019</v>
      </c>
      <c r="D452" s="33">
        <f t="shared" si="1"/>
        <v>1.6404691011130019</v>
      </c>
      <c r="E452" s="33">
        <f t="shared" si="1"/>
        <v>1.6718662062104388</v>
      </c>
      <c r="F452" s="33">
        <f t="shared" si="1"/>
        <v>1.6718662062104388</v>
      </c>
      <c r="G452" s="33">
        <f t="shared" si="1"/>
        <v>1.6404691011130019</v>
      </c>
      <c r="H452" s="33">
        <f t="shared" si="1"/>
        <v>1.6718662062104388</v>
      </c>
      <c r="I452" s="33">
        <f t="shared" si="1"/>
        <v>1.6718662062104388</v>
      </c>
      <c r="J452" s="33">
        <f t="shared" si="1"/>
        <v>1.6718662062104388</v>
      </c>
      <c r="K452" s="10"/>
    </row>
    <row r="454" spans="1:11" ht="21" customHeight="1" x14ac:dyDescent="0.3">
      <c r="A454" s="1" t="s">
        <v>679</v>
      </c>
    </row>
    <row r="455" spans="1:11" x14ac:dyDescent="0.25">
      <c r="A455" s="2" t="s">
        <v>356</v>
      </c>
    </row>
    <row r="456" spans="1:11" x14ac:dyDescent="0.25">
      <c r="A456" s="11" t="s">
        <v>670</v>
      </c>
    </row>
    <row r="457" spans="1:11" x14ac:dyDescent="0.25">
      <c r="A457" s="11" t="s">
        <v>645</v>
      </c>
    </row>
    <row r="458" spans="1:11" x14ac:dyDescent="0.25">
      <c r="A458" s="11" t="s">
        <v>672</v>
      </c>
    </row>
    <row r="459" spans="1:11" x14ac:dyDescent="0.25">
      <c r="A459" s="11" t="s">
        <v>680</v>
      </c>
    </row>
    <row r="460" spans="1:11" x14ac:dyDescent="0.25">
      <c r="A460" s="11" t="s">
        <v>674</v>
      </c>
    </row>
    <row r="461" spans="1:11" x14ac:dyDescent="0.25">
      <c r="A461" s="11" t="s">
        <v>681</v>
      </c>
    </row>
    <row r="462" spans="1:11" x14ac:dyDescent="0.25">
      <c r="A462" s="2" t="s">
        <v>676</v>
      </c>
    </row>
    <row r="464" spans="1:11" x14ac:dyDescent="0.25">
      <c r="B464" s="12" t="s">
        <v>324</v>
      </c>
      <c r="C464" s="12" t="s">
        <v>325</v>
      </c>
      <c r="D464" s="12" t="s">
        <v>326</v>
      </c>
    </row>
    <row r="465" spans="1:11" x14ac:dyDescent="0.25">
      <c r="A465" s="3" t="s">
        <v>177</v>
      </c>
      <c r="B465" s="35">
        <f t="shared" ref="B465:D466" si="2">($B307*B316+$B335*B353+$B372*B390)/($B307+$B335+$B372)</f>
        <v>0.12945610543454783</v>
      </c>
      <c r="C465" s="35">
        <f t="shared" si="2"/>
        <v>0.36027197230122299</v>
      </c>
      <c r="D465" s="35">
        <f t="shared" si="2"/>
        <v>0.51027192226422913</v>
      </c>
      <c r="E465" s="10"/>
    </row>
    <row r="466" spans="1:11" x14ac:dyDescent="0.25">
      <c r="A466" s="3" t="s">
        <v>178</v>
      </c>
      <c r="B466" s="35">
        <f t="shared" si="2"/>
        <v>0.10818140662658146</v>
      </c>
      <c r="C466" s="35">
        <f t="shared" si="2"/>
        <v>0.4596208528529015</v>
      </c>
      <c r="D466" s="35">
        <f t="shared" si="2"/>
        <v>0.43219774052051702</v>
      </c>
      <c r="E466" s="10"/>
    </row>
    <row r="468" spans="1:11" ht="21" customHeight="1" x14ac:dyDescent="0.3">
      <c r="A468" s="1" t="s">
        <v>682</v>
      </c>
    </row>
    <row r="469" spans="1:11" x14ac:dyDescent="0.25">
      <c r="A469" s="2" t="s">
        <v>356</v>
      </c>
    </row>
    <row r="470" spans="1:11" x14ac:dyDescent="0.25">
      <c r="A470" s="11" t="s">
        <v>667</v>
      </c>
    </row>
    <row r="471" spans="1:11" x14ac:dyDescent="0.25">
      <c r="A471" s="11" t="s">
        <v>683</v>
      </c>
    </row>
    <row r="472" spans="1:11" x14ac:dyDescent="0.25">
      <c r="A472" s="2" t="s">
        <v>369</v>
      </c>
    </row>
    <row r="474" spans="1:11" x14ac:dyDescent="0.25">
      <c r="B474" s="12" t="s">
        <v>139</v>
      </c>
      <c r="C474" s="12" t="s">
        <v>140</v>
      </c>
      <c r="D474" s="12" t="s">
        <v>141</v>
      </c>
      <c r="E474" s="12" t="s">
        <v>142</v>
      </c>
      <c r="F474" s="12" t="s">
        <v>143</v>
      </c>
      <c r="G474" s="12" t="s">
        <v>148</v>
      </c>
      <c r="H474" s="12" t="s">
        <v>144</v>
      </c>
      <c r="I474" s="12" t="s">
        <v>145</v>
      </c>
      <c r="J474" s="12" t="s">
        <v>146</v>
      </c>
    </row>
    <row r="475" spans="1:11" x14ac:dyDescent="0.25">
      <c r="A475" s="3" t="s">
        <v>177</v>
      </c>
      <c r="B475" s="33">
        <f>SUMPRODUCT($C418:$E418,$B465:$D465)</f>
        <v>1.4434100546197024</v>
      </c>
      <c r="C475" s="33">
        <f>SUMPRODUCT($G418:$I418,$B465:$D465)</f>
        <v>1.4084310882101676</v>
      </c>
      <c r="D475" s="33">
        <f>SUMPRODUCT($K418:$M418,$B465:$D465)</f>
        <v>1.4084310882101676</v>
      </c>
      <c r="E475" s="33">
        <f>SUMPRODUCT($O418:$Q418,$B465:$D465)</f>
        <v>1.3426707999067833</v>
      </c>
      <c r="F475" s="33">
        <f>SUMPRODUCT($S418:$U418,$B465:$D465)</f>
        <v>1.3426707999067833</v>
      </c>
      <c r="G475" s="33">
        <f>SUMPRODUCT($W418:$Y418,$B465:$D465)</f>
        <v>1.4084310882101676</v>
      </c>
      <c r="H475" s="33">
        <f>SUMPRODUCT($AA418:$AC418,$B465:$D465)</f>
        <v>1.3426707999067833</v>
      </c>
      <c r="I475" s="33">
        <f>SUMPRODUCT($AE418:$AG418,$B465:$D465)</f>
        <v>1.3426707999067833</v>
      </c>
      <c r="J475" s="33">
        <f>SUMPRODUCT($AI418:$AK418,$B465:$D465)</f>
        <v>1.3426707999067833</v>
      </c>
      <c r="K475" s="10"/>
    </row>
    <row r="476" spans="1:11" x14ac:dyDescent="0.25">
      <c r="A476" s="3" t="s">
        <v>178</v>
      </c>
      <c r="B476" s="33">
        <f>SUMPRODUCT($C419:$E419,$B466:$D466)</f>
        <v>1.6294606498763777</v>
      </c>
      <c r="C476" s="33">
        <f>SUMPRODUCT($G419:$I419,$B466:$D466)</f>
        <v>1.6809145699145569</v>
      </c>
      <c r="D476" s="33">
        <f>SUMPRODUCT($K419:$M419,$B466:$D466)</f>
        <v>1.6809145699145569</v>
      </c>
      <c r="E476" s="33">
        <f>SUMPRODUCT($O419:$Q419,$B466:$D466)</f>
        <v>1.7130733859005529</v>
      </c>
      <c r="F476" s="33">
        <f>SUMPRODUCT($S419:$U419,$B466:$D466)</f>
        <v>1.7130733859005529</v>
      </c>
      <c r="G476" s="33">
        <f>SUMPRODUCT($W419:$Y419,$B466:$D466)</f>
        <v>1.6809145699145569</v>
      </c>
      <c r="H476" s="33">
        <f>SUMPRODUCT($AA419:$AC419,$B466:$D466)</f>
        <v>1.7130733859005529</v>
      </c>
      <c r="I476" s="33">
        <f>SUMPRODUCT($AE419:$AG419,$B466:$D466)</f>
        <v>1.7130733859005529</v>
      </c>
      <c r="J476" s="33">
        <f>SUMPRODUCT($AI419:$AK419,$B466:$D466)</f>
        <v>1.7130733859005529</v>
      </c>
      <c r="K476" s="10"/>
    </row>
    <row r="478" spans="1:11" ht="21" customHeight="1" x14ac:dyDescent="0.3">
      <c r="A478" s="1" t="s">
        <v>684</v>
      </c>
    </row>
    <row r="479" spans="1:11" x14ac:dyDescent="0.25">
      <c r="A479" s="2" t="s">
        <v>356</v>
      </c>
    </row>
    <row r="480" spans="1:11" x14ac:dyDescent="0.25">
      <c r="A480" s="11" t="s">
        <v>685</v>
      </c>
    </row>
    <row r="481" spans="1:11" x14ac:dyDescent="0.25">
      <c r="A481" s="11" t="s">
        <v>686</v>
      </c>
    </row>
    <row r="482" spans="1:11" x14ac:dyDescent="0.25">
      <c r="A482" s="2" t="s">
        <v>436</v>
      </c>
    </row>
    <row r="484" spans="1:11" x14ac:dyDescent="0.25">
      <c r="B484" s="12" t="s">
        <v>139</v>
      </c>
      <c r="C484" s="12" t="s">
        <v>140</v>
      </c>
      <c r="D484" s="12" t="s">
        <v>141</v>
      </c>
      <c r="E484" s="12" t="s">
        <v>142</v>
      </c>
      <c r="F484" s="12" t="s">
        <v>143</v>
      </c>
      <c r="G484" s="12" t="s">
        <v>148</v>
      </c>
      <c r="H484" s="12" t="s">
        <v>144</v>
      </c>
      <c r="I484" s="12" t="s">
        <v>145</v>
      </c>
      <c r="J484" s="12" t="s">
        <v>146</v>
      </c>
    </row>
    <row r="485" spans="1:11" x14ac:dyDescent="0.25">
      <c r="A485" s="3" t="s">
        <v>677</v>
      </c>
      <c r="B485" s="33">
        <f t="shared" ref="B485:J485" si="3">B451/B475</f>
        <v>1.2817631748863636</v>
      </c>
      <c r="C485" s="33">
        <f t="shared" si="3"/>
        <v>1.2813786326233501</v>
      </c>
      <c r="D485" s="33">
        <f t="shared" si="3"/>
        <v>1.2813786326233501</v>
      </c>
      <c r="E485" s="33">
        <f t="shared" si="3"/>
        <v>1.2820694003650688</v>
      </c>
      <c r="F485" s="33">
        <f t="shared" si="3"/>
        <v>1.2820694003650688</v>
      </c>
      <c r="G485" s="33">
        <f t="shared" si="3"/>
        <v>1.2813786326233501</v>
      </c>
      <c r="H485" s="33">
        <f t="shared" si="3"/>
        <v>1.2820694003650688</v>
      </c>
      <c r="I485" s="33">
        <f t="shared" si="3"/>
        <v>1.2820694003650688</v>
      </c>
      <c r="J485" s="33">
        <f t="shared" si="3"/>
        <v>1.2820694003650688</v>
      </c>
      <c r="K485" s="10"/>
    </row>
    <row r="486" spans="1:11" x14ac:dyDescent="0.25">
      <c r="A486" s="3" t="s">
        <v>678</v>
      </c>
      <c r="B486" s="33">
        <f t="shared" ref="B486:J486" si="4">B452/B476</f>
        <v>0.97651712205777474</v>
      </c>
      <c r="C486" s="33">
        <f t="shared" si="4"/>
        <v>0.97593841500010858</v>
      </c>
      <c r="D486" s="33">
        <f t="shared" si="4"/>
        <v>0.97593841500010858</v>
      </c>
      <c r="E486" s="33">
        <f t="shared" si="4"/>
        <v>0.97594546735167931</v>
      </c>
      <c r="F486" s="33">
        <f t="shared" si="4"/>
        <v>0.97594546735167931</v>
      </c>
      <c r="G486" s="33">
        <f t="shared" si="4"/>
        <v>0.97593841500010858</v>
      </c>
      <c r="H486" s="33">
        <f t="shared" si="4"/>
        <v>0.97594546735167931</v>
      </c>
      <c r="I486" s="33">
        <f t="shared" si="4"/>
        <v>0.97594546735167931</v>
      </c>
      <c r="J486" s="33">
        <f t="shared" si="4"/>
        <v>0.97594546735167931</v>
      </c>
      <c r="K486" s="10"/>
    </row>
    <row r="488" spans="1:11" ht="21" customHeight="1" x14ac:dyDescent="0.3">
      <c r="A488" s="1" t="s">
        <v>687</v>
      </c>
    </row>
    <row r="489" spans="1:11" x14ac:dyDescent="0.25">
      <c r="A489" s="2" t="s">
        <v>356</v>
      </c>
    </row>
    <row r="490" spans="1:11" x14ac:dyDescent="0.25">
      <c r="A490" s="11" t="s">
        <v>670</v>
      </c>
    </row>
    <row r="491" spans="1:11" x14ac:dyDescent="0.25">
      <c r="A491" s="11" t="s">
        <v>671</v>
      </c>
    </row>
    <row r="492" spans="1:11" x14ac:dyDescent="0.25">
      <c r="A492" s="11" t="s">
        <v>672</v>
      </c>
    </row>
    <row r="493" spans="1:11" x14ac:dyDescent="0.25">
      <c r="A493" s="11" t="s">
        <v>673</v>
      </c>
    </row>
    <row r="494" spans="1:11" x14ac:dyDescent="0.25">
      <c r="A494" s="11" t="s">
        <v>674</v>
      </c>
    </row>
    <row r="495" spans="1:11" x14ac:dyDescent="0.25">
      <c r="A495" s="11" t="s">
        <v>675</v>
      </c>
    </row>
    <row r="496" spans="1:11" x14ac:dyDescent="0.25">
      <c r="A496" s="11" t="s">
        <v>688</v>
      </c>
    </row>
    <row r="497" spans="1:38" x14ac:dyDescent="0.25">
      <c r="A497" s="11" t="s">
        <v>689</v>
      </c>
    </row>
    <row r="498" spans="1:38" x14ac:dyDescent="0.25">
      <c r="A498" s="11" t="s">
        <v>690</v>
      </c>
    </row>
    <row r="499" spans="1:38" x14ac:dyDescent="0.25">
      <c r="A499" s="2" t="s">
        <v>691</v>
      </c>
    </row>
    <row r="501" spans="1:38" x14ac:dyDescent="0.25">
      <c r="B501" s="12" t="s">
        <v>139</v>
      </c>
      <c r="C501" s="12" t="s">
        <v>140</v>
      </c>
      <c r="D501" s="12" t="s">
        <v>141</v>
      </c>
      <c r="E501" s="12" t="s">
        <v>142</v>
      </c>
      <c r="F501" s="12" t="s">
        <v>143</v>
      </c>
      <c r="G501" s="12" t="s">
        <v>148</v>
      </c>
      <c r="H501" s="12" t="s">
        <v>144</v>
      </c>
      <c r="I501" s="12" t="s">
        <v>145</v>
      </c>
      <c r="J501" s="12" t="s">
        <v>146</v>
      </c>
    </row>
    <row r="502" spans="1:38" x14ac:dyDescent="0.25">
      <c r="A502" s="3" t="s">
        <v>677</v>
      </c>
      <c r="B502" s="33">
        <f t="shared" ref="B502:J502" si="5">($B307*B326+$B335*B363+$B372*B400+$B409*B437)/($B307*B326+$B335*B363+$B372*B400+$B409*B437*B485)</f>
        <v>1</v>
      </c>
      <c r="C502" s="33">
        <f t="shared" si="5"/>
        <v>1</v>
      </c>
      <c r="D502" s="33">
        <f t="shared" si="5"/>
        <v>1</v>
      </c>
      <c r="E502" s="33">
        <f t="shared" si="5"/>
        <v>1</v>
      </c>
      <c r="F502" s="33">
        <f t="shared" si="5"/>
        <v>1</v>
      </c>
      <c r="G502" s="33">
        <f t="shared" si="5"/>
        <v>1</v>
      </c>
      <c r="H502" s="33">
        <f t="shared" si="5"/>
        <v>1</v>
      </c>
      <c r="I502" s="33">
        <f t="shared" si="5"/>
        <v>1</v>
      </c>
      <c r="J502" s="33">
        <f t="shared" si="5"/>
        <v>1</v>
      </c>
      <c r="K502" s="10"/>
    </row>
    <row r="503" spans="1:38" x14ac:dyDescent="0.25">
      <c r="A503" s="3" t="s">
        <v>678</v>
      </c>
      <c r="B503" s="33">
        <f t="shared" ref="B503:J503" si="6">($B308*B327+$B336*B364+$B373*B401+$B410*B438)/($B308*B327+$B336*B364+$B373*B401+$B410*B438*B486)</f>
        <v>1.0011130578581589</v>
      </c>
      <c r="C503" s="33">
        <f t="shared" si="6"/>
        <v>1.0011263293701036</v>
      </c>
      <c r="D503" s="33">
        <f t="shared" si="6"/>
        <v>1.0011263293701036</v>
      </c>
      <c r="E503" s="33">
        <f t="shared" si="6"/>
        <v>1.0011118368079264</v>
      </c>
      <c r="F503" s="33">
        <f t="shared" si="6"/>
        <v>1.0011118368079264</v>
      </c>
      <c r="G503" s="33">
        <f t="shared" si="6"/>
        <v>1.0011263293701036</v>
      </c>
      <c r="H503" s="33">
        <f t="shared" si="6"/>
        <v>1.0011118368079264</v>
      </c>
      <c r="I503" s="33">
        <f t="shared" si="6"/>
        <v>1.0011118368079264</v>
      </c>
      <c r="J503" s="33">
        <f t="shared" si="6"/>
        <v>1.0011118368079264</v>
      </c>
      <c r="K503" s="10"/>
    </row>
    <row r="505" spans="1:38" ht="21" customHeight="1" x14ac:dyDescent="0.3">
      <c r="A505" s="1" t="s">
        <v>692</v>
      </c>
    </row>
    <row r="506" spans="1:38" x14ac:dyDescent="0.25">
      <c r="A506" s="2" t="s">
        <v>356</v>
      </c>
    </row>
    <row r="507" spans="1:38" x14ac:dyDescent="0.25">
      <c r="A507" s="11" t="s">
        <v>644</v>
      </c>
    </row>
    <row r="508" spans="1:38" x14ac:dyDescent="0.25">
      <c r="A508" s="11" t="s">
        <v>693</v>
      </c>
    </row>
    <row r="509" spans="1:38" x14ac:dyDescent="0.25">
      <c r="A509" s="2" t="s">
        <v>694</v>
      </c>
    </row>
    <row r="511" spans="1:38" x14ac:dyDescent="0.25">
      <c r="B511" s="24" t="s">
        <v>139</v>
      </c>
      <c r="C511" s="12" t="s">
        <v>324</v>
      </c>
      <c r="D511" s="12" t="s">
        <v>325</v>
      </c>
      <c r="E511" s="12" t="s">
        <v>326</v>
      </c>
      <c r="F511" s="24" t="s">
        <v>140</v>
      </c>
      <c r="G511" s="12" t="s">
        <v>324</v>
      </c>
      <c r="H511" s="12" t="s">
        <v>325</v>
      </c>
      <c r="I511" s="12" t="s">
        <v>326</v>
      </c>
      <c r="J511" s="24" t="s">
        <v>141</v>
      </c>
      <c r="K511" s="12" t="s">
        <v>324</v>
      </c>
      <c r="L511" s="12" t="s">
        <v>325</v>
      </c>
      <c r="M511" s="12" t="s">
        <v>326</v>
      </c>
      <c r="N511" s="24" t="s">
        <v>142</v>
      </c>
      <c r="O511" s="12" t="s">
        <v>324</v>
      </c>
      <c r="P511" s="12" t="s">
        <v>325</v>
      </c>
      <c r="Q511" s="12" t="s">
        <v>326</v>
      </c>
      <c r="R511" s="24" t="s">
        <v>143</v>
      </c>
      <c r="S511" s="12" t="s">
        <v>324</v>
      </c>
      <c r="T511" s="12" t="s">
        <v>325</v>
      </c>
      <c r="U511" s="12" t="s">
        <v>326</v>
      </c>
      <c r="V511" s="24" t="s">
        <v>148</v>
      </c>
      <c r="W511" s="12" t="s">
        <v>324</v>
      </c>
      <c r="X511" s="12" t="s">
        <v>325</v>
      </c>
      <c r="Y511" s="12" t="s">
        <v>326</v>
      </c>
      <c r="Z511" s="24" t="s">
        <v>144</v>
      </c>
      <c r="AA511" s="12" t="s">
        <v>324</v>
      </c>
      <c r="AB511" s="12" t="s">
        <v>325</v>
      </c>
      <c r="AC511" s="12" t="s">
        <v>326</v>
      </c>
      <c r="AD511" s="24" t="s">
        <v>145</v>
      </c>
      <c r="AE511" s="12" t="s">
        <v>324</v>
      </c>
      <c r="AF511" s="12" t="s">
        <v>325</v>
      </c>
      <c r="AG511" s="12" t="s">
        <v>326</v>
      </c>
      <c r="AH511" s="24" t="s">
        <v>146</v>
      </c>
      <c r="AI511" s="12" t="s">
        <v>324</v>
      </c>
      <c r="AJ511" s="12" t="s">
        <v>325</v>
      </c>
      <c r="AK511" s="12" t="s">
        <v>326</v>
      </c>
    </row>
    <row r="512" spans="1:38" x14ac:dyDescent="0.25">
      <c r="A512" s="3" t="s">
        <v>171</v>
      </c>
      <c r="C512" s="33">
        <f t="shared" ref="C512:E513" si="7">C298*$B502</f>
        <v>13.155249169767304</v>
      </c>
      <c r="D512" s="33">
        <f t="shared" si="7"/>
        <v>0</v>
      </c>
      <c r="E512" s="33">
        <f t="shared" si="7"/>
        <v>3.460596432503589E-2</v>
      </c>
      <c r="G512" s="33">
        <f t="shared" ref="G512:I513" si="8">G298*$C502</f>
        <v>11.481235976587605</v>
      </c>
      <c r="H512" s="33">
        <f t="shared" si="8"/>
        <v>0.50671644940485994</v>
      </c>
      <c r="I512" s="33">
        <f t="shared" si="8"/>
        <v>1.9823942192635065E-2</v>
      </c>
      <c r="K512" s="33">
        <f t="shared" ref="K512:M513" si="9">K298*$D502</f>
        <v>11.481235976587605</v>
      </c>
      <c r="L512" s="33">
        <f t="shared" si="9"/>
        <v>0.50671644940485994</v>
      </c>
      <c r="M512" s="33">
        <f t="shared" si="9"/>
        <v>1.9823942192635065E-2</v>
      </c>
      <c r="O512" s="33">
        <f t="shared" ref="O512:Q513" si="10">O298*$E502</f>
        <v>8.9761963066795456</v>
      </c>
      <c r="P512" s="33">
        <f t="shared" si="10"/>
        <v>1.0964985740323261</v>
      </c>
      <c r="Q512" s="33">
        <f t="shared" si="10"/>
        <v>8.5314559772692783E-2</v>
      </c>
      <c r="S512" s="33">
        <f t="shared" ref="S512:U513" si="11">S298*$F502</f>
        <v>8.9761963066795456</v>
      </c>
      <c r="T512" s="33">
        <f t="shared" si="11"/>
        <v>1.0964985740323261</v>
      </c>
      <c r="U512" s="33">
        <f t="shared" si="11"/>
        <v>8.5314559772692783E-2</v>
      </c>
      <c r="W512" s="33">
        <f t="shared" ref="W512:Y513" si="12">W298*$G502</f>
        <v>11.481235976587605</v>
      </c>
      <c r="X512" s="33">
        <f t="shared" si="12"/>
        <v>0.50671644940485994</v>
      </c>
      <c r="Y512" s="33">
        <f t="shared" si="12"/>
        <v>1.9823942192635065E-2</v>
      </c>
      <c r="AA512" s="33">
        <f t="shared" ref="AA512:AC513" si="13">AA298*$H502</f>
        <v>8.9761963066795456</v>
      </c>
      <c r="AB512" s="33">
        <f t="shared" si="13"/>
        <v>1.0964985740323261</v>
      </c>
      <c r="AC512" s="33">
        <f t="shared" si="13"/>
        <v>8.5314559772692783E-2</v>
      </c>
      <c r="AE512" s="33">
        <f t="shared" ref="AE512:AG513" si="14">AE298*$I502</f>
        <v>8.9761963066795456</v>
      </c>
      <c r="AF512" s="33">
        <f t="shared" si="14"/>
        <v>1.0964985740323261</v>
      </c>
      <c r="AG512" s="33">
        <f t="shared" si="14"/>
        <v>8.5314559772692783E-2</v>
      </c>
      <c r="AI512" s="33">
        <f t="shared" ref="AI512:AK513" si="15">AI298*$J502</f>
        <v>8.9761963066795456</v>
      </c>
      <c r="AJ512" s="33">
        <f t="shared" si="15"/>
        <v>1.0964985740323261</v>
      </c>
      <c r="AK512" s="33">
        <f t="shared" si="15"/>
        <v>8.5314559772692783E-2</v>
      </c>
      <c r="AL512" s="10"/>
    </row>
    <row r="513" spans="1:38" x14ac:dyDescent="0.25">
      <c r="A513" s="3" t="s">
        <v>173</v>
      </c>
      <c r="C513" s="33">
        <f t="shared" si="7"/>
        <v>13.362184097450816</v>
      </c>
      <c r="D513" s="33">
        <f t="shared" si="7"/>
        <v>0</v>
      </c>
      <c r="E513" s="33">
        <f t="shared" si="7"/>
        <v>3.5150323662712063E-2</v>
      </c>
      <c r="G513" s="33">
        <f t="shared" si="8"/>
        <v>11.661992911179075</v>
      </c>
      <c r="H513" s="33">
        <f t="shared" si="8"/>
        <v>0.51469403233132116</v>
      </c>
      <c r="I513" s="33">
        <f t="shared" si="8"/>
        <v>2.0136044045568516E-2</v>
      </c>
      <c r="K513" s="33">
        <f t="shared" si="9"/>
        <v>11.661992911179075</v>
      </c>
      <c r="L513" s="33">
        <f t="shared" si="9"/>
        <v>0.51469403233132116</v>
      </c>
      <c r="M513" s="33">
        <f t="shared" si="9"/>
        <v>2.0136044045568516E-2</v>
      </c>
      <c r="O513" s="33">
        <f t="shared" si="10"/>
        <v>9.1173827044250295</v>
      </c>
      <c r="P513" s="33">
        <f t="shared" si="10"/>
        <v>1.1137453764095742</v>
      </c>
      <c r="Q513" s="33">
        <f t="shared" si="10"/>
        <v>8.6656470639836461E-2</v>
      </c>
      <c r="S513" s="33">
        <f t="shared" si="11"/>
        <v>9.1173827044250295</v>
      </c>
      <c r="T513" s="33">
        <f t="shared" si="11"/>
        <v>1.1137453764095742</v>
      </c>
      <c r="U513" s="33">
        <f t="shared" si="11"/>
        <v>8.6656470639836461E-2</v>
      </c>
      <c r="W513" s="33">
        <f t="shared" si="12"/>
        <v>11.661992911179075</v>
      </c>
      <c r="X513" s="33">
        <f t="shared" si="12"/>
        <v>0.51469403233132116</v>
      </c>
      <c r="Y513" s="33">
        <f t="shared" si="12"/>
        <v>2.0136044045568516E-2</v>
      </c>
      <c r="AA513" s="33">
        <f t="shared" si="13"/>
        <v>9.1173827044250295</v>
      </c>
      <c r="AB513" s="33">
        <f t="shared" si="13"/>
        <v>1.1137453764095742</v>
      </c>
      <c r="AC513" s="33">
        <f t="shared" si="13"/>
        <v>8.6656470639836461E-2</v>
      </c>
      <c r="AE513" s="33">
        <f t="shared" si="14"/>
        <v>9.1173827044250295</v>
      </c>
      <c r="AF513" s="33">
        <f t="shared" si="14"/>
        <v>1.1137453764095742</v>
      </c>
      <c r="AG513" s="33">
        <f t="shared" si="14"/>
        <v>8.6656470639836461E-2</v>
      </c>
      <c r="AI513" s="33">
        <f t="shared" si="15"/>
        <v>9.1173827044250295</v>
      </c>
      <c r="AJ513" s="33">
        <f t="shared" si="15"/>
        <v>1.1137453764095742</v>
      </c>
      <c r="AK513" s="33">
        <f t="shared" si="15"/>
        <v>8.6656470639836461E-2</v>
      </c>
      <c r="AL513" s="10"/>
    </row>
    <row r="515" spans="1:38" ht="21" customHeight="1" x14ac:dyDescent="0.3">
      <c r="A515" s="1" t="s">
        <v>695</v>
      </c>
    </row>
    <row r="516" spans="1:38" x14ac:dyDescent="0.25">
      <c r="A516" s="2" t="s">
        <v>356</v>
      </c>
    </row>
    <row r="517" spans="1:38" x14ac:dyDescent="0.25">
      <c r="A517" s="11" t="s">
        <v>652</v>
      </c>
    </row>
    <row r="518" spans="1:38" x14ac:dyDescent="0.25">
      <c r="A518" s="11" t="s">
        <v>693</v>
      </c>
    </row>
    <row r="519" spans="1:38" x14ac:dyDescent="0.25">
      <c r="A519" s="2" t="s">
        <v>694</v>
      </c>
    </row>
    <row r="521" spans="1:38" x14ac:dyDescent="0.25">
      <c r="B521" s="24" t="s">
        <v>139</v>
      </c>
      <c r="C521" s="12" t="s">
        <v>324</v>
      </c>
      <c r="D521" s="12" t="s">
        <v>325</v>
      </c>
      <c r="E521" s="12" t="s">
        <v>326</v>
      </c>
      <c r="F521" s="24" t="s">
        <v>140</v>
      </c>
      <c r="G521" s="12" t="s">
        <v>324</v>
      </c>
      <c r="H521" s="12" t="s">
        <v>325</v>
      </c>
      <c r="I521" s="12" t="s">
        <v>326</v>
      </c>
      <c r="J521" s="24" t="s">
        <v>141</v>
      </c>
      <c r="K521" s="12" t="s">
        <v>324</v>
      </c>
      <c r="L521" s="12" t="s">
        <v>325</v>
      </c>
      <c r="M521" s="12" t="s">
        <v>326</v>
      </c>
      <c r="N521" s="24" t="s">
        <v>142</v>
      </c>
      <c r="O521" s="12" t="s">
        <v>324</v>
      </c>
      <c r="P521" s="12" t="s">
        <v>325</v>
      </c>
      <c r="Q521" s="12" t="s">
        <v>326</v>
      </c>
      <c r="R521" s="24" t="s">
        <v>143</v>
      </c>
      <c r="S521" s="12" t="s">
        <v>324</v>
      </c>
      <c r="T521" s="12" t="s">
        <v>325</v>
      </c>
      <c r="U521" s="12" t="s">
        <v>326</v>
      </c>
      <c r="V521" s="24" t="s">
        <v>148</v>
      </c>
      <c r="W521" s="12" t="s">
        <v>324</v>
      </c>
      <c r="X521" s="12" t="s">
        <v>325</v>
      </c>
      <c r="Y521" s="12" t="s">
        <v>326</v>
      </c>
      <c r="Z521" s="24" t="s">
        <v>144</v>
      </c>
      <c r="AA521" s="12" t="s">
        <v>324</v>
      </c>
      <c r="AB521" s="12" t="s">
        <v>325</v>
      </c>
      <c r="AC521" s="12" t="s">
        <v>326</v>
      </c>
      <c r="AD521" s="24" t="s">
        <v>145</v>
      </c>
      <c r="AE521" s="12" t="s">
        <v>324</v>
      </c>
      <c r="AF521" s="12" t="s">
        <v>325</v>
      </c>
      <c r="AG521" s="12" t="s">
        <v>326</v>
      </c>
      <c r="AH521" s="24" t="s">
        <v>146</v>
      </c>
      <c r="AI521" s="12" t="s">
        <v>324</v>
      </c>
      <c r="AJ521" s="12" t="s">
        <v>325</v>
      </c>
      <c r="AK521" s="12" t="s">
        <v>326</v>
      </c>
    </row>
    <row r="522" spans="1:38" x14ac:dyDescent="0.25">
      <c r="A522" s="3" t="s">
        <v>172</v>
      </c>
      <c r="C522" s="33">
        <f t="shared" ref="C522:E523" si="16">C344*$B502</f>
        <v>16.124404602396357</v>
      </c>
      <c r="D522" s="33">
        <f t="shared" si="16"/>
        <v>0</v>
      </c>
      <c r="E522" s="33">
        <f t="shared" si="16"/>
        <v>4.241657176021723E-2</v>
      </c>
      <c r="G522" s="33">
        <f t="shared" ref="G522:I523" si="17">G344*$C502</f>
        <v>14.072564634316423</v>
      </c>
      <c r="H522" s="33">
        <f t="shared" si="17"/>
        <v>0.62108295657908785</v>
      </c>
      <c r="I522" s="33">
        <f t="shared" si="17"/>
        <v>2.4298229596681851E-2</v>
      </c>
      <c r="K522" s="33">
        <f t="shared" ref="K522:M523" si="18">K344*$D502</f>
        <v>14.072564634316423</v>
      </c>
      <c r="L522" s="33">
        <f t="shared" si="18"/>
        <v>0.62108295657908785</v>
      </c>
      <c r="M522" s="33">
        <f t="shared" si="18"/>
        <v>2.4298229596681851E-2</v>
      </c>
      <c r="O522" s="33">
        <f t="shared" ref="O522:Q523" si="19">O344*$E502</f>
        <v>11.002134522245392</v>
      </c>
      <c r="P522" s="33">
        <f t="shared" si="19"/>
        <v>1.3439796103809281</v>
      </c>
      <c r="Q522" s="33">
        <f t="shared" si="19"/>
        <v>0.10457015769884956</v>
      </c>
      <c r="S522" s="33">
        <f t="shared" ref="S522:U523" si="20">S344*$F502</f>
        <v>11.002134522245392</v>
      </c>
      <c r="T522" s="33">
        <f t="shared" si="20"/>
        <v>1.3439796103809281</v>
      </c>
      <c r="U522" s="33">
        <f t="shared" si="20"/>
        <v>0.10457015769884956</v>
      </c>
      <c r="W522" s="33">
        <f t="shared" ref="W522:Y523" si="21">W344*$G502</f>
        <v>14.072564634316423</v>
      </c>
      <c r="X522" s="33">
        <f t="shared" si="21"/>
        <v>0.62108295657908785</v>
      </c>
      <c r="Y522" s="33">
        <f t="shared" si="21"/>
        <v>2.4298229596681851E-2</v>
      </c>
      <c r="AA522" s="33">
        <f t="shared" ref="AA522:AC523" si="22">AA344*$H502</f>
        <v>11.002134522245392</v>
      </c>
      <c r="AB522" s="33">
        <f t="shared" si="22"/>
        <v>1.3439796103809281</v>
      </c>
      <c r="AC522" s="33">
        <f t="shared" si="22"/>
        <v>0.10457015769884956</v>
      </c>
      <c r="AE522" s="33">
        <f t="shared" ref="AE522:AG523" si="23">AE344*$I502</f>
        <v>11.002134522245392</v>
      </c>
      <c r="AF522" s="33">
        <f t="shared" si="23"/>
        <v>1.3439796103809281</v>
      </c>
      <c r="AG522" s="33">
        <f t="shared" si="23"/>
        <v>0.10457015769884956</v>
      </c>
      <c r="AI522" s="33">
        <f t="shared" ref="AI522:AK523" si="24">AI344*$J502</f>
        <v>11.002134522245392</v>
      </c>
      <c r="AJ522" s="33">
        <f t="shared" si="24"/>
        <v>1.3439796103809281</v>
      </c>
      <c r="AK522" s="33">
        <f t="shared" si="24"/>
        <v>0.10457015769884956</v>
      </c>
      <c r="AL522" s="10"/>
    </row>
    <row r="523" spans="1:38" x14ac:dyDescent="0.25">
      <c r="A523" s="3" t="s">
        <v>174</v>
      </c>
      <c r="C523" s="33">
        <f t="shared" si="16"/>
        <v>15.474190457971307</v>
      </c>
      <c r="D523" s="33">
        <f t="shared" si="16"/>
        <v>0</v>
      </c>
      <c r="E523" s="33">
        <f t="shared" si="16"/>
        <v>4.0706130004593298E-2</v>
      </c>
      <c r="G523" s="33">
        <f t="shared" si="17"/>
        <v>13.505269655843442</v>
      </c>
      <c r="H523" s="33">
        <f t="shared" si="17"/>
        <v>0.59604578306891709</v>
      </c>
      <c r="I523" s="33">
        <f t="shared" si="17"/>
        <v>2.3318716338496633E-2</v>
      </c>
      <c r="K523" s="33">
        <f t="shared" si="18"/>
        <v>13.505269655843442</v>
      </c>
      <c r="L523" s="33">
        <f t="shared" si="18"/>
        <v>0.59604578306891709</v>
      </c>
      <c r="M523" s="33">
        <f t="shared" si="18"/>
        <v>2.3318716338496633E-2</v>
      </c>
      <c r="O523" s="33">
        <f t="shared" si="19"/>
        <v>10.558462255687818</v>
      </c>
      <c r="P523" s="33">
        <f t="shared" si="19"/>
        <v>1.2897822654257987</v>
      </c>
      <c r="Q523" s="33">
        <f t="shared" si="19"/>
        <v>0.10035325971539692</v>
      </c>
      <c r="S523" s="33">
        <f t="shared" si="20"/>
        <v>10.558462255687818</v>
      </c>
      <c r="T523" s="33">
        <f t="shared" si="20"/>
        <v>1.2897822654257987</v>
      </c>
      <c r="U523" s="33">
        <f t="shared" si="20"/>
        <v>0.10035325971539692</v>
      </c>
      <c r="W523" s="33">
        <f t="shared" si="21"/>
        <v>13.505269655843442</v>
      </c>
      <c r="X523" s="33">
        <f t="shared" si="21"/>
        <v>0.59604578306891709</v>
      </c>
      <c r="Y523" s="33">
        <f t="shared" si="21"/>
        <v>2.3318716338496633E-2</v>
      </c>
      <c r="AA523" s="33">
        <f t="shared" si="22"/>
        <v>10.558462255687818</v>
      </c>
      <c r="AB523" s="33">
        <f t="shared" si="22"/>
        <v>1.2897822654257987</v>
      </c>
      <c r="AC523" s="33">
        <f t="shared" si="22"/>
        <v>0.10035325971539692</v>
      </c>
      <c r="AE523" s="33">
        <f t="shared" si="23"/>
        <v>10.558462255687818</v>
      </c>
      <c r="AF523" s="33">
        <f t="shared" si="23"/>
        <v>1.2897822654257987</v>
      </c>
      <c r="AG523" s="33">
        <f t="shared" si="23"/>
        <v>0.10035325971539692</v>
      </c>
      <c r="AI523" s="33">
        <f t="shared" si="24"/>
        <v>10.558462255687818</v>
      </c>
      <c r="AJ523" s="33">
        <f t="shared" si="24"/>
        <v>1.2897822654257987</v>
      </c>
      <c r="AK523" s="33">
        <f t="shared" si="24"/>
        <v>0.10035325971539692</v>
      </c>
      <c r="AL523" s="10"/>
    </row>
    <row r="525" spans="1:38" ht="21" customHeight="1" x14ac:dyDescent="0.3">
      <c r="A525" s="1" t="s">
        <v>696</v>
      </c>
    </row>
    <row r="526" spans="1:38" x14ac:dyDescent="0.25">
      <c r="A526" s="2" t="s">
        <v>356</v>
      </c>
    </row>
    <row r="527" spans="1:38" x14ac:dyDescent="0.25">
      <c r="A527" s="11" t="s">
        <v>659</v>
      </c>
    </row>
    <row r="528" spans="1:38" x14ac:dyDescent="0.25">
      <c r="A528" s="11" t="s">
        <v>693</v>
      </c>
    </row>
    <row r="529" spans="1:38" x14ac:dyDescent="0.25">
      <c r="A529" s="2" t="s">
        <v>694</v>
      </c>
    </row>
    <row r="531" spans="1:38" x14ac:dyDescent="0.25">
      <c r="B531" s="24" t="s">
        <v>139</v>
      </c>
      <c r="C531" s="12" t="s">
        <v>324</v>
      </c>
      <c r="D531" s="12" t="s">
        <v>325</v>
      </c>
      <c r="E531" s="12" t="s">
        <v>326</v>
      </c>
      <c r="F531" s="24" t="s">
        <v>140</v>
      </c>
      <c r="G531" s="12" t="s">
        <v>324</v>
      </c>
      <c r="H531" s="12" t="s">
        <v>325</v>
      </c>
      <c r="I531" s="12" t="s">
        <v>326</v>
      </c>
      <c r="J531" s="24" t="s">
        <v>141</v>
      </c>
      <c r="K531" s="12" t="s">
        <v>324</v>
      </c>
      <c r="L531" s="12" t="s">
        <v>325</v>
      </c>
      <c r="M531" s="12" t="s">
        <v>326</v>
      </c>
      <c r="N531" s="24" t="s">
        <v>142</v>
      </c>
      <c r="O531" s="12" t="s">
        <v>324</v>
      </c>
      <c r="P531" s="12" t="s">
        <v>325</v>
      </c>
      <c r="Q531" s="12" t="s">
        <v>326</v>
      </c>
      <c r="R531" s="24" t="s">
        <v>143</v>
      </c>
      <c r="S531" s="12" t="s">
        <v>324</v>
      </c>
      <c r="T531" s="12" t="s">
        <v>325</v>
      </c>
      <c r="U531" s="12" t="s">
        <v>326</v>
      </c>
      <c r="V531" s="24" t="s">
        <v>148</v>
      </c>
      <c r="W531" s="12" t="s">
        <v>324</v>
      </c>
      <c r="X531" s="12" t="s">
        <v>325</v>
      </c>
      <c r="Y531" s="12" t="s">
        <v>326</v>
      </c>
      <c r="Z531" s="24" t="s">
        <v>144</v>
      </c>
      <c r="AA531" s="12" t="s">
        <v>324</v>
      </c>
      <c r="AB531" s="12" t="s">
        <v>325</v>
      </c>
      <c r="AC531" s="12" t="s">
        <v>326</v>
      </c>
      <c r="AD531" s="24" t="s">
        <v>145</v>
      </c>
      <c r="AE531" s="12" t="s">
        <v>324</v>
      </c>
      <c r="AF531" s="12" t="s">
        <v>325</v>
      </c>
      <c r="AG531" s="12" t="s">
        <v>326</v>
      </c>
      <c r="AH531" s="24" t="s">
        <v>146</v>
      </c>
      <c r="AI531" s="12" t="s">
        <v>324</v>
      </c>
      <c r="AJ531" s="12" t="s">
        <v>325</v>
      </c>
      <c r="AK531" s="12" t="s">
        <v>326</v>
      </c>
    </row>
    <row r="532" spans="1:38" x14ac:dyDescent="0.25">
      <c r="A532" s="3" t="s">
        <v>211</v>
      </c>
      <c r="C532" s="33">
        <f t="shared" ref="C532:E533" si="25">C381*$B502</f>
        <v>11.035378564342917</v>
      </c>
      <c r="D532" s="33">
        <f t="shared" si="25"/>
        <v>0</v>
      </c>
      <c r="E532" s="33">
        <f t="shared" si="25"/>
        <v>2.9029470440480602E-2</v>
      </c>
      <c r="G532" s="33">
        <f t="shared" ref="G532:I533" si="26">G381*$C502</f>
        <v>9.6311201523550274</v>
      </c>
      <c r="H532" s="33">
        <f t="shared" si="26"/>
        <v>0.4250628605966007</v>
      </c>
      <c r="I532" s="33">
        <f t="shared" si="26"/>
        <v>1.662946128273508E-2</v>
      </c>
      <c r="K532" s="33">
        <f t="shared" ref="K532:M533" si="27">K381*$D502</f>
        <v>9.6311201523550274</v>
      </c>
      <c r="L532" s="33">
        <f t="shared" si="27"/>
        <v>0.4250628605966007</v>
      </c>
      <c r="M532" s="33">
        <f t="shared" si="27"/>
        <v>1.662946128273508E-2</v>
      </c>
      <c r="O532" s="33">
        <f t="shared" ref="O532:Q533" si="28">O381*$E502</f>
        <v>7.5297490023761897</v>
      </c>
      <c r="P532" s="33">
        <f t="shared" si="28"/>
        <v>0.91980598037756123</v>
      </c>
      <c r="Q532" s="33">
        <f t="shared" si="28"/>
        <v>7.1566752707777112E-2</v>
      </c>
      <c r="S532" s="33">
        <f t="shared" ref="S532:U533" si="29">S381*$F502</f>
        <v>7.5297490023761897</v>
      </c>
      <c r="T532" s="33">
        <f t="shared" si="29"/>
        <v>0.91980598037756123</v>
      </c>
      <c r="U532" s="33">
        <f t="shared" si="29"/>
        <v>7.1566752707777112E-2</v>
      </c>
      <c r="W532" s="33">
        <f t="shared" ref="W532:Y533" si="30">W381*$G502</f>
        <v>9.6311201523550274</v>
      </c>
      <c r="X532" s="33">
        <f t="shared" si="30"/>
        <v>0.4250628605966007</v>
      </c>
      <c r="Y532" s="33">
        <f t="shared" si="30"/>
        <v>1.662946128273508E-2</v>
      </c>
      <c r="AA532" s="33">
        <f t="shared" ref="AA532:AC533" si="31">AA381*$H502</f>
        <v>7.5297490023761897</v>
      </c>
      <c r="AB532" s="33">
        <f t="shared" si="31"/>
        <v>0.91980598037756123</v>
      </c>
      <c r="AC532" s="33">
        <f t="shared" si="31"/>
        <v>7.1566752707777112E-2</v>
      </c>
      <c r="AE532" s="33">
        <f t="shared" ref="AE532:AG533" si="32">AE381*$I502</f>
        <v>7.5297490023761897</v>
      </c>
      <c r="AF532" s="33">
        <f t="shared" si="32"/>
        <v>0.91980598037756123</v>
      </c>
      <c r="AG532" s="33">
        <f t="shared" si="32"/>
        <v>7.1566752707777112E-2</v>
      </c>
      <c r="AI532" s="33">
        <f t="shared" ref="AI532:AK533" si="33">AI381*$J502</f>
        <v>7.5297490023761897</v>
      </c>
      <c r="AJ532" s="33">
        <f t="shared" si="33"/>
        <v>0.91980598037756123</v>
      </c>
      <c r="AK532" s="33">
        <f t="shared" si="33"/>
        <v>7.1566752707777112E-2</v>
      </c>
      <c r="AL532" s="10"/>
    </row>
    <row r="533" spans="1:38" x14ac:dyDescent="0.25">
      <c r="A533" s="3" t="s">
        <v>212</v>
      </c>
      <c r="C533" s="33">
        <f t="shared" si="25"/>
        <v>11.047661579171717</v>
      </c>
      <c r="D533" s="33">
        <f t="shared" si="25"/>
        <v>0</v>
      </c>
      <c r="E533" s="33">
        <f t="shared" si="25"/>
        <v>2.9061781920672568E-2</v>
      </c>
      <c r="G533" s="33">
        <f t="shared" si="26"/>
        <v>9.6419679658496218</v>
      </c>
      <c r="H533" s="33">
        <f t="shared" si="26"/>
        <v>0.4255416213806309</v>
      </c>
      <c r="I533" s="33">
        <f t="shared" si="26"/>
        <v>1.6648191533386824E-2</v>
      </c>
      <c r="K533" s="33">
        <f t="shared" si="27"/>
        <v>9.6419679658496218</v>
      </c>
      <c r="L533" s="33">
        <f t="shared" si="27"/>
        <v>0.4255416213806309</v>
      </c>
      <c r="M533" s="33">
        <f t="shared" si="27"/>
        <v>1.6648191533386824E-2</v>
      </c>
      <c r="O533" s="33">
        <f t="shared" si="28"/>
        <v>7.5381208544714786</v>
      </c>
      <c r="P533" s="33">
        <f t="shared" si="28"/>
        <v>0.9208286545226958</v>
      </c>
      <c r="Q533" s="33">
        <f t="shared" si="28"/>
        <v>7.1646323257661376E-2</v>
      </c>
      <c r="S533" s="33">
        <f t="shared" si="29"/>
        <v>7.5381208544714786</v>
      </c>
      <c r="T533" s="33">
        <f t="shared" si="29"/>
        <v>0.9208286545226958</v>
      </c>
      <c r="U533" s="33">
        <f t="shared" si="29"/>
        <v>7.1646323257661376E-2</v>
      </c>
      <c r="W533" s="33">
        <f t="shared" si="30"/>
        <v>9.6419679658496218</v>
      </c>
      <c r="X533" s="33">
        <f t="shared" si="30"/>
        <v>0.4255416213806309</v>
      </c>
      <c r="Y533" s="33">
        <f t="shared" si="30"/>
        <v>1.6648191533386824E-2</v>
      </c>
      <c r="AA533" s="33">
        <f t="shared" si="31"/>
        <v>7.5381208544714786</v>
      </c>
      <c r="AB533" s="33">
        <f t="shared" si="31"/>
        <v>0.9208286545226958</v>
      </c>
      <c r="AC533" s="33">
        <f t="shared" si="31"/>
        <v>7.1646323257661376E-2</v>
      </c>
      <c r="AE533" s="33">
        <f t="shared" si="32"/>
        <v>7.5381208544714786</v>
      </c>
      <c r="AF533" s="33">
        <f t="shared" si="32"/>
        <v>0.9208286545226958</v>
      </c>
      <c r="AG533" s="33">
        <f t="shared" si="32"/>
        <v>7.1646323257661376E-2</v>
      </c>
      <c r="AI533" s="33">
        <f t="shared" si="33"/>
        <v>7.5381208544714786</v>
      </c>
      <c r="AJ533" s="33">
        <f t="shared" si="33"/>
        <v>0.9208286545226958</v>
      </c>
      <c r="AK533" s="33">
        <f t="shared" si="33"/>
        <v>7.1646323257661376E-2</v>
      </c>
      <c r="AL533" s="10"/>
    </row>
    <row r="535" spans="1:38" ht="21" customHeight="1" x14ac:dyDescent="0.3">
      <c r="A535" s="1" t="s">
        <v>697</v>
      </c>
    </row>
    <row r="536" spans="1:38" x14ac:dyDescent="0.25">
      <c r="A536" s="2" t="s">
        <v>356</v>
      </c>
    </row>
    <row r="537" spans="1:38" x14ac:dyDescent="0.25">
      <c r="A537" s="11" t="s">
        <v>667</v>
      </c>
    </row>
    <row r="538" spans="1:38" x14ac:dyDescent="0.25">
      <c r="A538" s="11" t="s">
        <v>693</v>
      </c>
    </row>
    <row r="539" spans="1:38" x14ac:dyDescent="0.25">
      <c r="A539" s="11" t="s">
        <v>698</v>
      </c>
    </row>
    <row r="540" spans="1:38" x14ac:dyDescent="0.25">
      <c r="A540" s="2" t="s">
        <v>699</v>
      </c>
    </row>
    <row r="542" spans="1:38" x14ac:dyDescent="0.25">
      <c r="B542" s="24" t="s">
        <v>139</v>
      </c>
      <c r="C542" s="12" t="s">
        <v>324</v>
      </c>
      <c r="D542" s="12" t="s">
        <v>325</v>
      </c>
      <c r="E542" s="12" t="s">
        <v>326</v>
      </c>
      <c r="F542" s="24" t="s">
        <v>140</v>
      </c>
      <c r="G542" s="12" t="s">
        <v>324</v>
      </c>
      <c r="H542" s="12" t="s">
        <v>325</v>
      </c>
      <c r="I542" s="12" t="s">
        <v>326</v>
      </c>
      <c r="J542" s="24" t="s">
        <v>141</v>
      </c>
      <c r="K542" s="12" t="s">
        <v>324</v>
      </c>
      <c r="L542" s="12" t="s">
        <v>325</v>
      </c>
      <c r="M542" s="12" t="s">
        <v>326</v>
      </c>
      <c r="N542" s="24" t="s">
        <v>142</v>
      </c>
      <c r="O542" s="12" t="s">
        <v>324</v>
      </c>
      <c r="P542" s="12" t="s">
        <v>325</v>
      </c>
      <c r="Q542" s="12" t="s">
        <v>326</v>
      </c>
      <c r="R542" s="24" t="s">
        <v>143</v>
      </c>
      <c r="S542" s="12" t="s">
        <v>324</v>
      </c>
      <c r="T542" s="12" t="s">
        <v>325</v>
      </c>
      <c r="U542" s="12" t="s">
        <v>326</v>
      </c>
      <c r="V542" s="24" t="s">
        <v>148</v>
      </c>
      <c r="W542" s="12" t="s">
        <v>324</v>
      </c>
      <c r="X542" s="12" t="s">
        <v>325</v>
      </c>
      <c r="Y542" s="12" t="s">
        <v>326</v>
      </c>
      <c r="Z542" s="24" t="s">
        <v>144</v>
      </c>
      <c r="AA542" s="12" t="s">
        <v>324</v>
      </c>
      <c r="AB542" s="12" t="s">
        <v>325</v>
      </c>
      <c r="AC542" s="12" t="s">
        <v>326</v>
      </c>
      <c r="AD542" s="24" t="s">
        <v>145</v>
      </c>
      <c r="AE542" s="12" t="s">
        <v>324</v>
      </c>
      <c r="AF542" s="12" t="s">
        <v>325</v>
      </c>
      <c r="AG542" s="12" t="s">
        <v>326</v>
      </c>
      <c r="AH542" s="24" t="s">
        <v>146</v>
      </c>
      <c r="AI542" s="12" t="s">
        <v>324</v>
      </c>
      <c r="AJ542" s="12" t="s">
        <v>325</v>
      </c>
      <c r="AK542" s="12" t="s">
        <v>326</v>
      </c>
    </row>
    <row r="543" spans="1:38" x14ac:dyDescent="0.25">
      <c r="A543" s="3" t="s">
        <v>177</v>
      </c>
      <c r="C543" s="33">
        <f t="shared" ref="C543:E544" si="34">C418*$B502*$B485</f>
        <v>14.144741864705098</v>
      </c>
      <c r="D543" s="33">
        <f t="shared" si="34"/>
        <v>0</v>
      </c>
      <c r="E543" s="33">
        <f t="shared" si="34"/>
        <v>3.7208906197060257E-2</v>
      </c>
      <c r="G543" s="33">
        <f t="shared" ref="G543:I544" si="35">G418*$C502*$C485</f>
        <v>12.341111571455876</v>
      </c>
      <c r="H543" s="33">
        <f t="shared" si="35"/>
        <v>0.54466646709024191</v>
      </c>
      <c r="I543" s="33">
        <f t="shared" si="35"/>
        <v>2.1308636359734019E-2</v>
      </c>
      <c r="K543" s="33">
        <f t="shared" ref="K543:M544" si="36">K418*$D502*$D485</f>
        <v>12.341111571455876</v>
      </c>
      <c r="L543" s="33">
        <f t="shared" si="36"/>
        <v>0.54466646709024191</v>
      </c>
      <c r="M543" s="33">
        <f t="shared" si="36"/>
        <v>2.1308636359734019E-2</v>
      </c>
      <c r="O543" s="33">
        <f t="shared" ref="O543:Q544" si="37">O418*$E502*$E485</f>
        <v>9.653660788375916</v>
      </c>
      <c r="P543" s="33">
        <f t="shared" si="37"/>
        <v>1.1792551017148643</v>
      </c>
      <c r="Q543" s="33">
        <f t="shared" si="37"/>
        <v>9.1753543730134959E-2</v>
      </c>
      <c r="S543" s="33">
        <f t="shared" ref="S543:U544" si="38">S418*$F502*$F485</f>
        <v>9.653660788375916</v>
      </c>
      <c r="T543" s="33">
        <f t="shared" si="38"/>
        <v>1.1792551017148643</v>
      </c>
      <c r="U543" s="33">
        <f t="shared" si="38"/>
        <v>9.1753543730134959E-2</v>
      </c>
      <c r="W543" s="33">
        <f t="shared" ref="W543:Y544" si="39">W418*$G502*$G485</f>
        <v>12.341111571455876</v>
      </c>
      <c r="X543" s="33">
        <f t="shared" si="39"/>
        <v>0.54466646709024191</v>
      </c>
      <c r="Y543" s="33">
        <f t="shared" si="39"/>
        <v>2.1308636359734019E-2</v>
      </c>
      <c r="AA543" s="33">
        <f t="shared" ref="AA543:AC544" si="40">AA418*$H502*$H485</f>
        <v>9.653660788375916</v>
      </c>
      <c r="AB543" s="33">
        <f t="shared" si="40"/>
        <v>1.1792551017148643</v>
      </c>
      <c r="AC543" s="33">
        <f t="shared" si="40"/>
        <v>9.1753543730134959E-2</v>
      </c>
      <c r="AE543" s="33">
        <f t="shared" ref="AE543:AG544" si="41">AE418*$I502*$I485</f>
        <v>9.653660788375916</v>
      </c>
      <c r="AF543" s="33">
        <f t="shared" si="41"/>
        <v>1.1792551017148643</v>
      </c>
      <c r="AG543" s="33">
        <f t="shared" si="41"/>
        <v>9.1753543730134959E-2</v>
      </c>
      <c r="AI543" s="33">
        <f t="shared" ref="AI543:AK544" si="42">AI418*$J502*$J485</f>
        <v>9.653660788375916</v>
      </c>
      <c r="AJ543" s="33">
        <f t="shared" si="42"/>
        <v>1.1792551017148643</v>
      </c>
      <c r="AK543" s="33">
        <f t="shared" si="42"/>
        <v>9.1753543730134959E-2</v>
      </c>
      <c r="AL543" s="10"/>
    </row>
    <row r="544" spans="1:38" x14ac:dyDescent="0.25">
      <c r="A544" s="3" t="s">
        <v>178</v>
      </c>
      <c r="C544" s="33">
        <f t="shared" si="34"/>
        <v>14.571821548016372</v>
      </c>
      <c r="D544" s="33">
        <f t="shared" si="34"/>
        <v>0</v>
      </c>
      <c r="E544" s="33">
        <f t="shared" si="34"/>
        <v>3.833237441069038E-2</v>
      </c>
      <c r="G544" s="33">
        <f t="shared" si="35"/>
        <v>12.710180461146155</v>
      </c>
      <c r="H544" s="33">
        <f t="shared" si="35"/>
        <v>0.56095506857452526</v>
      </c>
      <c r="I544" s="33">
        <f t="shared" si="35"/>
        <v>2.1945884853645271E-2</v>
      </c>
      <c r="K544" s="33">
        <f t="shared" si="36"/>
        <v>12.710180461146155</v>
      </c>
      <c r="L544" s="33">
        <f t="shared" si="36"/>
        <v>0.56095506857452526</v>
      </c>
      <c r="M544" s="33">
        <f t="shared" si="36"/>
        <v>2.1945884853645271E-2</v>
      </c>
      <c r="O544" s="33">
        <f t="shared" si="37"/>
        <v>9.9369308307868227</v>
      </c>
      <c r="P544" s="33">
        <f t="shared" si="37"/>
        <v>1.213858310797814</v>
      </c>
      <c r="Q544" s="33">
        <f t="shared" si="37"/>
        <v>9.4445893377957932E-2</v>
      </c>
      <c r="S544" s="33">
        <f t="shared" si="38"/>
        <v>9.9369308307868227</v>
      </c>
      <c r="T544" s="33">
        <f t="shared" si="38"/>
        <v>1.213858310797814</v>
      </c>
      <c r="U544" s="33">
        <f t="shared" si="38"/>
        <v>9.4445893377957932E-2</v>
      </c>
      <c r="W544" s="33">
        <f t="shared" si="39"/>
        <v>12.710180461146155</v>
      </c>
      <c r="X544" s="33">
        <f t="shared" si="39"/>
        <v>0.56095506857452526</v>
      </c>
      <c r="Y544" s="33">
        <f t="shared" si="39"/>
        <v>2.1945884853645271E-2</v>
      </c>
      <c r="AA544" s="33">
        <f t="shared" si="40"/>
        <v>9.9369308307868227</v>
      </c>
      <c r="AB544" s="33">
        <f t="shared" si="40"/>
        <v>1.213858310797814</v>
      </c>
      <c r="AC544" s="33">
        <f t="shared" si="40"/>
        <v>9.4445893377957932E-2</v>
      </c>
      <c r="AE544" s="33">
        <f t="shared" si="41"/>
        <v>9.9369308307868227</v>
      </c>
      <c r="AF544" s="33">
        <f t="shared" si="41"/>
        <v>1.213858310797814</v>
      </c>
      <c r="AG544" s="33">
        <f t="shared" si="41"/>
        <v>9.4445893377957932E-2</v>
      </c>
      <c r="AI544" s="33">
        <f t="shared" si="42"/>
        <v>9.9369308307868227</v>
      </c>
      <c r="AJ544" s="33">
        <f t="shared" si="42"/>
        <v>1.213858310797814</v>
      </c>
      <c r="AK544" s="33">
        <f t="shared" si="42"/>
        <v>9.4445893377957932E-2</v>
      </c>
      <c r="AL544" s="10"/>
    </row>
    <row r="546" spans="1:38" ht="21" customHeight="1" x14ac:dyDescent="0.3">
      <c r="A546" s="1" t="s">
        <v>700</v>
      </c>
    </row>
    <row r="547" spans="1:38" x14ac:dyDescent="0.25">
      <c r="A547" s="2" t="s">
        <v>356</v>
      </c>
    </row>
    <row r="548" spans="1:38" x14ac:dyDescent="0.25">
      <c r="A548" s="11" t="s">
        <v>701</v>
      </c>
    </row>
    <row r="549" spans="1:38" x14ac:dyDescent="0.25">
      <c r="A549" s="11" t="s">
        <v>702</v>
      </c>
    </row>
    <row r="550" spans="1:38" x14ac:dyDescent="0.25">
      <c r="A550" s="11" t="s">
        <v>703</v>
      </c>
    </row>
    <row r="551" spans="1:38" x14ac:dyDescent="0.25">
      <c r="A551" s="11" t="s">
        <v>704</v>
      </c>
    </row>
    <row r="552" spans="1:38" x14ac:dyDescent="0.25">
      <c r="A552" s="11" t="s">
        <v>705</v>
      </c>
    </row>
    <row r="553" spans="1:38" x14ac:dyDescent="0.25">
      <c r="A553" s="2" t="s">
        <v>445</v>
      </c>
    </row>
    <row r="555" spans="1:38" x14ac:dyDescent="0.25">
      <c r="B555" s="24" t="s">
        <v>139</v>
      </c>
      <c r="C555" s="12" t="s">
        <v>324</v>
      </c>
      <c r="D555" s="12" t="s">
        <v>325</v>
      </c>
      <c r="E555" s="12" t="s">
        <v>326</v>
      </c>
      <c r="F555" s="24" t="s">
        <v>140</v>
      </c>
      <c r="G555" s="12" t="s">
        <v>324</v>
      </c>
      <c r="H555" s="12" t="s">
        <v>325</v>
      </c>
      <c r="I555" s="12" t="s">
        <v>326</v>
      </c>
      <c r="J555" s="24" t="s">
        <v>141</v>
      </c>
      <c r="K555" s="12" t="s">
        <v>324</v>
      </c>
      <c r="L555" s="12" t="s">
        <v>325</v>
      </c>
      <c r="M555" s="12" t="s">
        <v>326</v>
      </c>
      <c r="N555" s="24" t="s">
        <v>142</v>
      </c>
      <c r="O555" s="12" t="s">
        <v>324</v>
      </c>
      <c r="P555" s="12" t="s">
        <v>325</v>
      </c>
      <c r="Q555" s="12" t="s">
        <v>326</v>
      </c>
      <c r="R555" s="24" t="s">
        <v>143</v>
      </c>
      <c r="S555" s="12" t="s">
        <v>324</v>
      </c>
      <c r="T555" s="12" t="s">
        <v>325</v>
      </c>
      <c r="U555" s="12" t="s">
        <v>326</v>
      </c>
      <c r="V555" s="24" t="s">
        <v>148</v>
      </c>
      <c r="W555" s="12" t="s">
        <v>324</v>
      </c>
      <c r="X555" s="12" t="s">
        <v>325</v>
      </c>
      <c r="Y555" s="12" t="s">
        <v>326</v>
      </c>
      <c r="Z555" s="24" t="s">
        <v>144</v>
      </c>
      <c r="AA555" s="12" t="s">
        <v>324</v>
      </c>
      <c r="AB555" s="12" t="s">
        <v>325</v>
      </c>
      <c r="AC555" s="12" t="s">
        <v>326</v>
      </c>
      <c r="AD555" s="24" t="s">
        <v>145</v>
      </c>
      <c r="AE555" s="12" t="s">
        <v>324</v>
      </c>
      <c r="AF555" s="12" t="s">
        <v>325</v>
      </c>
      <c r="AG555" s="12" t="s">
        <v>326</v>
      </c>
      <c r="AH555" s="24" t="s">
        <v>146</v>
      </c>
      <c r="AI555" s="12" t="s">
        <v>324</v>
      </c>
      <c r="AJ555" s="12" t="s">
        <v>325</v>
      </c>
      <c r="AK555" s="12" t="s">
        <v>326</v>
      </c>
    </row>
    <row r="556" spans="1:38" x14ac:dyDescent="0.25">
      <c r="A556" s="3" t="s">
        <v>171</v>
      </c>
      <c r="C556" s="34">
        <f>C$512</f>
        <v>13.155249169767304</v>
      </c>
      <c r="D556" s="34">
        <f>D$512</f>
        <v>0</v>
      </c>
      <c r="E556" s="34">
        <f>E$512</f>
        <v>3.460596432503589E-2</v>
      </c>
      <c r="G556" s="34">
        <f>G$512</f>
        <v>11.481235976587605</v>
      </c>
      <c r="H556" s="34">
        <f>H$512</f>
        <v>0.50671644940485994</v>
      </c>
      <c r="I556" s="34">
        <f>I$512</f>
        <v>1.9823942192635065E-2</v>
      </c>
      <c r="K556" s="34">
        <f>K$512</f>
        <v>11.481235976587605</v>
      </c>
      <c r="L556" s="34">
        <f>L$512</f>
        <v>0.50671644940485994</v>
      </c>
      <c r="M556" s="34">
        <f>M$512</f>
        <v>1.9823942192635065E-2</v>
      </c>
      <c r="O556" s="34">
        <f>O$512</f>
        <v>8.9761963066795456</v>
      </c>
      <c r="P556" s="34">
        <f>P$512</f>
        <v>1.0964985740323261</v>
      </c>
      <c r="Q556" s="34">
        <f>Q$512</f>
        <v>8.5314559772692783E-2</v>
      </c>
      <c r="S556" s="34">
        <f>S$512</f>
        <v>8.9761963066795456</v>
      </c>
      <c r="T556" s="34">
        <f>T$512</f>
        <v>1.0964985740323261</v>
      </c>
      <c r="U556" s="34">
        <f>U$512</f>
        <v>8.5314559772692783E-2</v>
      </c>
      <c r="W556" s="34">
        <f>W$512</f>
        <v>11.481235976587605</v>
      </c>
      <c r="X556" s="34">
        <f>X$512</f>
        <v>0.50671644940485994</v>
      </c>
      <c r="Y556" s="34">
        <f>Y$512</f>
        <v>1.9823942192635065E-2</v>
      </c>
      <c r="AA556" s="34">
        <f>AA$512</f>
        <v>8.9761963066795456</v>
      </c>
      <c r="AB556" s="34">
        <f>AB$512</f>
        <v>1.0964985740323261</v>
      </c>
      <c r="AC556" s="34">
        <f>AC$512</f>
        <v>8.5314559772692783E-2</v>
      </c>
      <c r="AE556" s="34">
        <f>AE$512</f>
        <v>8.9761963066795456</v>
      </c>
      <c r="AF556" s="34">
        <f>AF$512</f>
        <v>1.0964985740323261</v>
      </c>
      <c r="AG556" s="34">
        <f>AG$512</f>
        <v>8.5314559772692783E-2</v>
      </c>
      <c r="AI556" s="34">
        <f>AI$512</f>
        <v>8.9761963066795456</v>
      </c>
      <c r="AJ556" s="34">
        <f>AJ$512</f>
        <v>1.0964985740323261</v>
      </c>
      <c r="AK556" s="34">
        <f>AK$512</f>
        <v>8.5314559772692783E-2</v>
      </c>
      <c r="AL556" s="10"/>
    </row>
    <row r="557" spans="1:38" x14ac:dyDescent="0.25">
      <c r="A557" s="3" t="s">
        <v>172</v>
      </c>
      <c r="C557" s="34">
        <f>C$522</f>
        <v>16.124404602396357</v>
      </c>
      <c r="D557" s="34">
        <f>D$522</f>
        <v>0</v>
      </c>
      <c r="E557" s="34">
        <f>E$522</f>
        <v>4.241657176021723E-2</v>
      </c>
      <c r="G557" s="34">
        <f>G$522</f>
        <v>14.072564634316423</v>
      </c>
      <c r="H557" s="34">
        <f>H$522</f>
        <v>0.62108295657908785</v>
      </c>
      <c r="I557" s="34">
        <f>I$522</f>
        <v>2.4298229596681851E-2</v>
      </c>
      <c r="K557" s="34">
        <f>K$522</f>
        <v>14.072564634316423</v>
      </c>
      <c r="L557" s="34">
        <f>L$522</f>
        <v>0.62108295657908785</v>
      </c>
      <c r="M557" s="34">
        <f>M$522</f>
        <v>2.4298229596681851E-2</v>
      </c>
      <c r="O557" s="34">
        <f>O$522</f>
        <v>11.002134522245392</v>
      </c>
      <c r="P557" s="34">
        <f>P$522</f>
        <v>1.3439796103809281</v>
      </c>
      <c r="Q557" s="34">
        <f>Q$522</f>
        <v>0.10457015769884956</v>
      </c>
      <c r="S557" s="34">
        <f>S$522</f>
        <v>11.002134522245392</v>
      </c>
      <c r="T557" s="34">
        <f>T$522</f>
        <v>1.3439796103809281</v>
      </c>
      <c r="U557" s="34">
        <f>U$522</f>
        <v>0.10457015769884956</v>
      </c>
      <c r="W557" s="34">
        <f>W$522</f>
        <v>14.072564634316423</v>
      </c>
      <c r="X557" s="34">
        <f>X$522</f>
        <v>0.62108295657908785</v>
      </c>
      <c r="Y557" s="34">
        <f>Y$522</f>
        <v>2.4298229596681851E-2</v>
      </c>
      <c r="AA557" s="34">
        <f>AA$522</f>
        <v>11.002134522245392</v>
      </c>
      <c r="AB557" s="34">
        <f>AB$522</f>
        <v>1.3439796103809281</v>
      </c>
      <c r="AC557" s="34">
        <f>AC$522</f>
        <v>0.10457015769884956</v>
      </c>
      <c r="AE557" s="34">
        <f>AE$522</f>
        <v>11.002134522245392</v>
      </c>
      <c r="AF557" s="34">
        <f>AF$522</f>
        <v>1.3439796103809281</v>
      </c>
      <c r="AG557" s="34">
        <f>AG$522</f>
        <v>0.10457015769884956</v>
      </c>
      <c r="AI557" s="34">
        <f>AI$522</f>
        <v>11.002134522245392</v>
      </c>
      <c r="AJ557" s="34">
        <f>AJ$522</f>
        <v>1.3439796103809281</v>
      </c>
      <c r="AK557" s="34">
        <f>AK$522</f>
        <v>0.10457015769884956</v>
      </c>
      <c r="AL557" s="10"/>
    </row>
    <row r="558" spans="1:38" x14ac:dyDescent="0.25">
      <c r="A558" s="3" t="s">
        <v>211</v>
      </c>
      <c r="C558" s="34">
        <f>C$532</f>
        <v>11.035378564342917</v>
      </c>
      <c r="D558" s="34">
        <f>D$532</f>
        <v>0</v>
      </c>
      <c r="E558" s="34">
        <f>E$532</f>
        <v>2.9029470440480602E-2</v>
      </c>
      <c r="G558" s="34">
        <f>G$532</f>
        <v>9.6311201523550274</v>
      </c>
      <c r="H558" s="34">
        <f>H$532</f>
        <v>0.4250628605966007</v>
      </c>
      <c r="I558" s="34">
        <f>I$532</f>
        <v>1.662946128273508E-2</v>
      </c>
      <c r="K558" s="34">
        <f>K$532</f>
        <v>9.6311201523550274</v>
      </c>
      <c r="L558" s="34">
        <f>L$532</f>
        <v>0.4250628605966007</v>
      </c>
      <c r="M558" s="34">
        <f>M$532</f>
        <v>1.662946128273508E-2</v>
      </c>
      <c r="O558" s="34">
        <f>O$532</f>
        <v>7.5297490023761897</v>
      </c>
      <c r="P558" s="34">
        <f>P$532</f>
        <v>0.91980598037756123</v>
      </c>
      <c r="Q558" s="34">
        <f>Q$532</f>
        <v>7.1566752707777112E-2</v>
      </c>
      <c r="S558" s="34">
        <f>S$532</f>
        <v>7.5297490023761897</v>
      </c>
      <c r="T558" s="34">
        <f>T$532</f>
        <v>0.91980598037756123</v>
      </c>
      <c r="U558" s="34">
        <f>U$532</f>
        <v>7.1566752707777112E-2</v>
      </c>
      <c r="W558" s="34">
        <f>W$532</f>
        <v>9.6311201523550274</v>
      </c>
      <c r="X558" s="34">
        <f>X$532</f>
        <v>0.4250628605966007</v>
      </c>
      <c r="Y558" s="34">
        <f>Y$532</f>
        <v>1.662946128273508E-2</v>
      </c>
      <c r="AA558" s="34">
        <f>AA$532</f>
        <v>7.5297490023761897</v>
      </c>
      <c r="AB558" s="34">
        <f>AB$532</f>
        <v>0.91980598037756123</v>
      </c>
      <c r="AC558" s="34">
        <f>AC$532</f>
        <v>7.1566752707777112E-2</v>
      </c>
      <c r="AE558" s="34">
        <f>AE$532</f>
        <v>7.5297490023761897</v>
      </c>
      <c r="AF558" s="34">
        <f>AF$532</f>
        <v>0.91980598037756123</v>
      </c>
      <c r="AG558" s="34">
        <f>AG$532</f>
        <v>7.1566752707777112E-2</v>
      </c>
      <c r="AI558" s="34">
        <f>AI$532</f>
        <v>7.5297490023761897</v>
      </c>
      <c r="AJ558" s="34">
        <f>AJ$532</f>
        <v>0.91980598037756123</v>
      </c>
      <c r="AK558" s="34">
        <f>AK$532</f>
        <v>7.1566752707777112E-2</v>
      </c>
      <c r="AL558" s="10"/>
    </row>
    <row r="559" spans="1:38" x14ac:dyDescent="0.25">
      <c r="A559" s="3" t="s">
        <v>173</v>
      </c>
      <c r="C559" s="34">
        <f>C$513</f>
        <v>13.362184097450816</v>
      </c>
      <c r="D559" s="34">
        <f>D$513</f>
        <v>0</v>
      </c>
      <c r="E559" s="34">
        <f>E$513</f>
        <v>3.5150323662712063E-2</v>
      </c>
      <c r="G559" s="34">
        <f>G$513</f>
        <v>11.661992911179075</v>
      </c>
      <c r="H559" s="34">
        <f>H$513</f>
        <v>0.51469403233132116</v>
      </c>
      <c r="I559" s="34">
        <f>I$513</f>
        <v>2.0136044045568516E-2</v>
      </c>
      <c r="K559" s="34">
        <f>K$513</f>
        <v>11.661992911179075</v>
      </c>
      <c r="L559" s="34">
        <f>L$513</f>
        <v>0.51469403233132116</v>
      </c>
      <c r="M559" s="34">
        <f>M$513</f>
        <v>2.0136044045568516E-2</v>
      </c>
      <c r="O559" s="34">
        <f>O$513</f>
        <v>9.1173827044250295</v>
      </c>
      <c r="P559" s="34">
        <f>P$513</f>
        <v>1.1137453764095742</v>
      </c>
      <c r="Q559" s="34">
        <f>Q$513</f>
        <v>8.6656470639836461E-2</v>
      </c>
      <c r="S559" s="34">
        <f>S$513</f>
        <v>9.1173827044250295</v>
      </c>
      <c r="T559" s="34">
        <f>T$513</f>
        <v>1.1137453764095742</v>
      </c>
      <c r="U559" s="34">
        <f>U$513</f>
        <v>8.6656470639836461E-2</v>
      </c>
      <c r="W559" s="34">
        <f>W$513</f>
        <v>11.661992911179075</v>
      </c>
      <c r="X559" s="34">
        <f>X$513</f>
        <v>0.51469403233132116</v>
      </c>
      <c r="Y559" s="34">
        <f>Y$513</f>
        <v>2.0136044045568516E-2</v>
      </c>
      <c r="AA559" s="34">
        <f>AA$513</f>
        <v>9.1173827044250295</v>
      </c>
      <c r="AB559" s="34">
        <f>AB$513</f>
        <v>1.1137453764095742</v>
      </c>
      <c r="AC559" s="34">
        <f>AC$513</f>
        <v>8.6656470639836461E-2</v>
      </c>
      <c r="AE559" s="34">
        <f>AE$513</f>
        <v>9.1173827044250295</v>
      </c>
      <c r="AF559" s="34">
        <f>AF$513</f>
        <v>1.1137453764095742</v>
      </c>
      <c r="AG559" s="34">
        <f>AG$513</f>
        <v>8.6656470639836461E-2</v>
      </c>
      <c r="AI559" s="34">
        <f>AI$513</f>
        <v>9.1173827044250295</v>
      </c>
      <c r="AJ559" s="34">
        <f>AJ$513</f>
        <v>1.1137453764095742</v>
      </c>
      <c r="AK559" s="34">
        <f>AK$513</f>
        <v>8.6656470639836461E-2</v>
      </c>
      <c r="AL559" s="10"/>
    </row>
    <row r="560" spans="1:38" x14ac:dyDescent="0.25">
      <c r="A560" s="3" t="s">
        <v>174</v>
      </c>
      <c r="C560" s="34">
        <f>C$523</f>
        <v>15.474190457971307</v>
      </c>
      <c r="D560" s="34">
        <f>D$523</f>
        <v>0</v>
      </c>
      <c r="E560" s="34">
        <f>E$523</f>
        <v>4.0706130004593298E-2</v>
      </c>
      <c r="G560" s="34">
        <f>G$523</f>
        <v>13.505269655843442</v>
      </c>
      <c r="H560" s="34">
        <f>H$523</f>
        <v>0.59604578306891709</v>
      </c>
      <c r="I560" s="34">
        <f>I$523</f>
        <v>2.3318716338496633E-2</v>
      </c>
      <c r="K560" s="34">
        <f>K$523</f>
        <v>13.505269655843442</v>
      </c>
      <c r="L560" s="34">
        <f>L$523</f>
        <v>0.59604578306891709</v>
      </c>
      <c r="M560" s="34">
        <f>M$523</f>
        <v>2.3318716338496633E-2</v>
      </c>
      <c r="O560" s="34">
        <f>O$523</f>
        <v>10.558462255687818</v>
      </c>
      <c r="P560" s="34">
        <f>P$523</f>
        <v>1.2897822654257987</v>
      </c>
      <c r="Q560" s="34">
        <f>Q$523</f>
        <v>0.10035325971539692</v>
      </c>
      <c r="S560" s="34">
        <f>S$523</f>
        <v>10.558462255687818</v>
      </c>
      <c r="T560" s="34">
        <f>T$523</f>
        <v>1.2897822654257987</v>
      </c>
      <c r="U560" s="34">
        <f>U$523</f>
        <v>0.10035325971539692</v>
      </c>
      <c r="W560" s="34">
        <f>W$523</f>
        <v>13.505269655843442</v>
      </c>
      <c r="X560" s="34">
        <f>X$523</f>
        <v>0.59604578306891709</v>
      </c>
      <c r="Y560" s="34">
        <f>Y$523</f>
        <v>2.3318716338496633E-2</v>
      </c>
      <c r="AA560" s="34">
        <f>AA$523</f>
        <v>10.558462255687818</v>
      </c>
      <c r="AB560" s="34">
        <f>AB$523</f>
        <v>1.2897822654257987</v>
      </c>
      <c r="AC560" s="34">
        <f>AC$523</f>
        <v>0.10035325971539692</v>
      </c>
      <c r="AE560" s="34">
        <f>AE$523</f>
        <v>10.558462255687818</v>
      </c>
      <c r="AF560" s="34">
        <f>AF$523</f>
        <v>1.2897822654257987</v>
      </c>
      <c r="AG560" s="34">
        <f>AG$523</f>
        <v>0.10035325971539692</v>
      </c>
      <c r="AI560" s="34">
        <f>AI$523</f>
        <v>10.558462255687818</v>
      </c>
      <c r="AJ560" s="34">
        <f>AJ$523</f>
        <v>1.2897822654257987</v>
      </c>
      <c r="AK560" s="34">
        <f>AK$523</f>
        <v>0.10035325971539692</v>
      </c>
      <c r="AL560" s="10"/>
    </row>
    <row r="561" spans="1:38" x14ac:dyDescent="0.25">
      <c r="A561" s="3" t="s">
        <v>212</v>
      </c>
      <c r="C561" s="34">
        <f>C$533</f>
        <v>11.047661579171717</v>
      </c>
      <c r="D561" s="34">
        <f>D$533</f>
        <v>0</v>
      </c>
      <c r="E561" s="34">
        <f>E$533</f>
        <v>2.9061781920672568E-2</v>
      </c>
      <c r="G561" s="34">
        <f>G$533</f>
        <v>9.6419679658496218</v>
      </c>
      <c r="H561" s="34">
        <f>H$533</f>
        <v>0.4255416213806309</v>
      </c>
      <c r="I561" s="34">
        <f>I$533</f>
        <v>1.6648191533386824E-2</v>
      </c>
      <c r="K561" s="34">
        <f>K$533</f>
        <v>9.6419679658496218</v>
      </c>
      <c r="L561" s="34">
        <f>L$533</f>
        <v>0.4255416213806309</v>
      </c>
      <c r="M561" s="34">
        <f>M$533</f>
        <v>1.6648191533386824E-2</v>
      </c>
      <c r="O561" s="34">
        <f>O$533</f>
        <v>7.5381208544714786</v>
      </c>
      <c r="P561" s="34">
        <f>P$533</f>
        <v>0.9208286545226958</v>
      </c>
      <c r="Q561" s="34">
        <f>Q$533</f>
        <v>7.1646323257661376E-2</v>
      </c>
      <c r="S561" s="34">
        <f>S$533</f>
        <v>7.5381208544714786</v>
      </c>
      <c r="T561" s="34">
        <f>T$533</f>
        <v>0.9208286545226958</v>
      </c>
      <c r="U561" s="34">
        <f>U$533</f>
        <v>7.1646323257661376E-2</v>
      </c>
      <c r="W561" s="34">
        <f>W$533</f>
        <v>9.6419679658496218</v>
      </c>
      <c r="X561" s="34">
        <f>X$533</f>
        <v>0.4255416213806309</v>
      </c>
      <c r="Y561" s="34">
        <f>Y$533</f>
        <v>1.6648191533386824E-2</v>
      </c>
      <c r="AA561" s="34">
        <f>AA$533</f>
        <v>7.5381208544714786</v>
      </c>
      <c r="AB561" s="34">
        <f>AB$533</f>
        <v>0.9208286545226958</v>
      </c>
      <c r="AC561" s="34">
        <f>AC$533</f>
        <v>7.1646323257661376E-2</v>
      </c>
      <c r="AE561" s="34">
        <f>AE$533</f>
        <v>7.5381208544714786</v>
      </c>
      <c r="AF561" s="34">
        <f>AF$533</f>
        <v>0.9208286545226958</v>
      </c>
      <c r="AG561" s="34">
        <f>AG$533</f>
        <v>7.1646323257661376E-2</v>
      </c>
      <c r="AI561" s="34">
        <f>AI$533</f>
        <v>7.5381208544714786</v>
      </c>
      <c r="AJ561" s="34">
        <f>AJ$533</f>
        <v>0.9208286545226958</v>
      </c>
      <c r="AK561" s="34">
        <f>AK$533</f>
        <v>7.1646323257661376E-2</v>
      </c>
      <c r="AL561" s="10"/>
    </row>
    <row r="562" spans="1:38" x14ac:dyDescent="0.25">
      <c r="A562" s="3" t="s">
        <v>175</v>
      </c>
      <c r="C562" s="34">
        <f t="shared" ref="C562:E564" si="43">C280</f>
        <v>11.035378564342917</v>
      </c>
      <c r="D562" s="34">
        <f t="shared" si="43"/>
        <v>0</v>
      </c>
      <c r="E562" s="34">
        <f t="shared" si="43"/>
        <v>2.9029470440480602E-2</v>
      </c>
      <c r="G562" s="34">
        <f t="shared" ref="G562:I564" si="44">G280</f>
        <v>9.6311201523550274</v>
      </c>
      <c r="H562" s="34">
        <f t="shared" si="44"/>
        <v>0.4250628605966007</v>
      </c>
      <c r="I562" s="34">
        <f t="shared" si="44"/>
        <v>1.662946128273508E-2</v>
      </c>
      <c r="K562" s="34">
        <f t="shared" ref="K562:M564" si="45">K280</f>
        <v>9.6311201523550274</v>
      </c>
      <c r="L562" s="34">
        <f t="shared" si="45"/>
        <v>0.4250628605966007</v>
      </c>
      <c r="M562" s="34">
        <f t="shared" si="45"/>
        <v>1.662946128273508E-2</v>
      </c>
      <c r="O562" s="34">
        <f t="shared" ref="O562:Q564" si="46">O280</f>
        <v>7.5297490023761897</v>
      </c>
      <c r="P562" s="34">
        <f t="shared" si="46"/>
        <v>0.91980598037756123</v>
      </c>
      <c r="Q562" s="34">
        <f t="shared" si="46"/>
        <v>7.1566752707777112E-2</v>
      </c>
      <c r="S562" s="34">
        <f t="shared" ref="S562:U564" si="47">S280</f>
        <v>7.5297490023761897</v>
      </c>
      <c r="T562" s="34">
        <f t="shared" si="47"/>
        <v>0.91980598037756123</v>
      </c>
      <c r="U562" s="34">
        <f t="shared" si="47"/>
        <v>7.1566752707777112E-2</v>
      </c>
      <c r="W562" s="34">
        <f t="shared" ref="W562:Y564" si="48">W280</f>
        <v>9.6311201523550274</v>
      </c>
      <c r="X562" s="34">
        <f t="shared" si="48"/>
        <v>0.4250628605966007</v>
      </c>
      <c r="Y562" s="34">
        <f t="shared" si="48"/>
        <v>1.662946128273508E-2</v>
      </c>
      <c r="AA562" s="34">
        <f t="shared" ref="AA562:AC564" si="49">AA280</f>
        <v>7.5297490023761897</v>
      </c>
      <c r="AB562" s="34">
        <f t="shared" si="49"/>
        <v>0.91980598037756123</v>
      </c>
      <c r="AC562" s="34">
        <f t="shared" si="49"/>
        <v>7.1566752707777112E-2</v>
      </c>
      <c r="AE562" s="34">
        <f t="shared" ref="AE562:AG564" si="50">AE280</f>
        <v>7.5297490023761897</v>
      </c>
      <c r="AF562" s="34">
        <f t="shared" si="50"/>
        <v>0.91980598037756123</v>
      </c>
      <c r="AG562" s="34">
        <f t="shared" si="50"/>
        <v>7.1566752707777112E-2</v>
      </c>
      <c r="AI562" s="34">
        <f t="shared" ref="AI562:AK564" si="51">AI280</f>
        <v>7.5297490023761897</v>
      </c>
      <c r="AJ562" s="34">
        <f t="shared" si="51"/>
        <v>0.91980598037756123</v>
      </c>
      <c r="AK562" s="34">
        <f t="shared" si="51"/>
        <v>7.1566752707777112E-2</v>
      </c>
      <c r="AL562" s="10"/>
    </row>
    <row r="563" spans="1:38" x14ac:dyDescent="0.25">
      <c r="A563" s="3" t="s">
        <v>176</v>
      </c>
      <c r="C563" s="34">
        <f t="shared" si="43"/>
        <v>11.035378564342917</v>
      </c>
      <c r="D563" s="34">
        <f t="shared" si="43"/>
        <v>0</v>
      </c>
      <c r="E563" s="34">
        <f t="shared" si="43"/>
        <v>2.9029470440480602E-2</v>
      </c>
      <c r="G563" s="34">
        <f t="shared" si="44"/>
        <v>9.6311201523550274</v>
      </c>
      <c r="H563" s="34">
        <f t="shared" si="44"/>
        <v>0.4250628605966007</v>
      </c>
      <c r="I563" s="34">
        <f t="shared" si="44"/>
        <v>1.662946128273508E-2</v>
      </c>
      <c r="K563" s="34">
        <f t="shared" si="45"/>
        <v>9.6311201523550274</v>
      </c>
      <c r="L563" s="34">
        <f t="shared" si="45"/>
        <v>0.4250628605966007</v>
      </c>
      <c r="M563" s="34">
        <f t="shared" si="45"/>
        <v>1.662946128273508E-2</v>
      </c>
      <c r="O563" s="34">
        <f t="shared" si="46"/>
        <v>7.5297490023761897</v>
      </c>
      <c r="P563" s="34">
        <f t="shared" si="46"/>
        <v>0.91980598037756123</v>
      </c>
      <c r="Q563" s="34">
        <f t="shared" si="46"/>
        <v>7.1566752707777112E-2</v>
      </c>
      <c r="S563" s="34">
        <f t="shared" si="47"/>
        <v>7.5297490023761897</v>
      </c>
      <c r="T563" s="34">
        <f t="shared" si="47"/>
        <v>0.91980598037756123</v>
      </c>
      <c r="U563" s="34">
        <f t="shared" si="47"/>
        <v>7.1566752707777112E-2</v>
      </c>
      <c r="W563" s="34">
        <f t="shared" si="48"/>
        <v>9.6311201523550274</v>
      </c>
      <c r="X563" s="34">
        <f t="shared" si="48"/>
        <v>0.4250628605966007</v>
      </c>
      <c r="Y563" s="34">
        <f t="shared" si="48"/>
        <v>1.662946128273508E-2</v>
      </c>
      <c r="AA563" s="34">
        <f t="shared" si="49"/>
        <v>7.5297490023761897</v>
      </c>
      <c r="AB563" s="34">
        <f t="shared" si="49"/>
        <v>0.91980598037756123</v>
      </c>
      <c r="AC563" s="34">
        <f t="shared" si="49"/>
        <v>7.1566752707777112E-2</v>
      </c>
      <c r="AE563" s="34">
        <f t="shared" si="50"/>
        <v>7.5297490023761897</v>
      </c>
      <c r="AF563" s="34">
        <f t="shared" si="50"/>
        <v>0.91980598037756123</v>
      </c>
      <c r="AG563" s="34">
        <f t="shared" si="50"/>
        <v>7.1566752707777112E-2</v>
      </c>
      <c r="AI563" s="34">
        <f t="shared" si="51"/>
        <v>7.5297490023761897</v>
      </c>
      <c r="AJ563" s="34">
        <f t="shared" si="51"/>
        <v>0.91980598037756123</v>
      </c>
      <c r="AK563" s="34">
        <f t="shared" si="51"/>
        <v>7.1566752707777112E-2</v>
      </c>
      <c r="AL563" s="10"/>
    </row>
    <row r="564" spans="1:38" x14ac:dyDescent="0.25">
      <c r="A564" s="3" t="s">
        <v>192</v>
      </c>
      <c r="C564" s="34">
        <f t="shared" si="43"/>
        <v>11.035378564342917</v>
      </c>
      <c r="D564" s="34">
        <f t="shared" si="43"/>
        <v>0</v>
      </c>
      <c r="E564" s="34">
        <f t="shared" si="43"/>
        <v>2.9029470440480602E-2</v>
      </c>
      <c r="G564" s="34">
        <f t="shared" si="44"/>
        <v>9.6311201523550274</v>
      </c>
      <c r="H564" s="34">
        <f t="shared" si="44"/>
        <v>0.4250628605966007</v>
      </c>
      <c r="I564" s="34">
        <f t="shared" si="44"/>
        <v>1.662946128273508E-2</v>
      </c>
      <c r="K564" s="34">
        <f t="shared" si="45"/>
        <v>9.6311201523550274</v>
      </c>
      <c r="L564" s="34">
        <f t="shared" si="45"/>
        <v>0.4250628605966007</v>
      </c>
      <c r="M564" s="34">
        <f t="shared" si="45"/>
        <v>1.662946128273508E-2</v>
      </c>
      <c r="O564" s="34">
        <f t="shared" si="46"/>
        <v>7.5297490023761897</v>
      </c>
      <c r="P564" s="34">
        <f t="shared" si="46"/>
        <v>0.91980598037756123</v>
      </c>
      <c r="Q564" s="34">
        <f t="shared" si="46"/>
        <v>7.1566752707777112E-2</v>
      </c>
      <c r="S564" s="34">
        <f t="shared" si="47"/>
        <v>7.5297490023761897</v>
      </c>
      <c r="T564" s="34">
        <f t="shared" si="47"/>
        <v>0.91980598037756123</v>
      </c>
      <c r="U564" s="34">
        <f t="shared" si="47"/>
        <v>7.1566752707777112E-2</v>
      </c>
      <c r="W564" s="34">
        <f t="shared" si="48"/>
        <v>9.6311201523550274</v>
      </c>
      <c r="X564" s="34">
        <f t="shared" si="48"/>
        <v>0.4250628605966007</v>
      </c>
      <c r="Y564" s="34">
        <f t="shared" si="48"/>
        <v>1.662946128273508E-2</v>
      </c>
      <c r="AA564" s="34">
        <f t="shared" si="49"/>
        <v>7.5297490023761897</v>
      </c>
      <c r="AB564" s="34">
        <f t="shared" si="49"/>
        <v>0.91980598037756123</v>
      </c>
      <c r="AC564" s="34">
        <f t="shared" si="49"/>
        <v>7.1566752707777112E-2</v>
      </c>
      <c r="AE564" s="34">
        <f t="shared" si="50"/>
        <v>7.5297490023761897</v>
      </c>
      <c r="AF564" s="34">
        <f t="shared" si="50"/>
        <v>0.91980598037756123</v>
      </c>
      <c r="AG564" s="34">
        <f t="shared" si="50"/>
        <v>7.1566752707777112E-2</v>
      </c>
      <c r="AI564" s="34">
        <f t="shared" si="51"/>
        <v>7.5297490023761897</v>
      </c>
      <c r="AJ564" s="34">
        <f t="shared" si="51"/>
        <v>0.91980598037756123</v>
      </c>
      <c r="AK564" s="34">
        <f t="shared" si="51"/>
        <v>7.1566752707777112E-2</v>
      </c>
      <c r="AL564" s="10"/>
    </row>
    <row r="565" spans="1:38" x14ac:dyDescent="0.25">
      <c r="A565" s="3" t="s">
        <v>177</v>
      </c>
      <c r="C565" s="34">
        <f>C$543</f>
        <v>14.144741864705098</v>
      </c>
      <c r="D565" s="34">
        <f>D$543</f>
        <v>0</v>
      </c>
      <c r="E565" s="34">
        <f>E$543</f>
        <v>3.7208906197060257E-2</v>
      </c>
      <c r="G565" s="34">
        <f>G$543</f>
        <v>12.341111571455876</v>
      </c>
      <c r="H565" s="34">
        <f>H$543</f>
        <v>0.54466646709024191</v>
      </c>
      <c r="I565" s="34">
        <f>I$543</f>
        <v>2.1308636359734019E-2</v>
      </c>
      <c r="K565" s="34">
        <f>K$543</f>
        <v>12.341111571455876</v>
      </c>
      <c r="L565" s="34">
        <f>L$543</f>
        <v>0.54466646709024191</v>
      </c>
      <c r="M565" s="34">
        <f>M$543</f>
        <v>2.1308636359734019E-2</v>
      </c>
      <c r="O565" s="34">
        <f>O$543</f>
        <v>9.653660788375916</v>
      </c>
      <c r="P565" s="34">
        <f>P$543</f>
        <v>1.1792551017148643</v>
      </c>
      <c r="Q565" s="34">
        <f>Q$543</f>
        <v>9.1753543730134959E-2</v>
      </c>
      <c r="S565" s="34">
        <f>S$543</f>
        <v>9.653660788375916</v>
      </c>
      <c r="T565" s="34">
        <f>T$543</f>
        <v>1.1792551017148643</v>
      </c>
      <c r="U565" s="34">
        <f>U$543</f>
        <v>9.1753543730134959E-2</v>
      </c>
      <c r="W565" s="34">
        <f>W$543</f>
        <v>12.341111571455876</v>
      </c>
      <c r="X565" s="34">
        <f>X$543</f>
        <v>0.54466646709024191</v>
      </c>
      <c r="Y565" s="34">
        <f>Y$543</f>
        <v>2.1308636359734019E-2</v>
      </c>
      <c r="AA565" s="34">
        <f>AA$543</f>
        <v>9.653660788375916</v>
      </c>
      <c r="AB565" s="34">
        <f>AB$543</f>
        <v>1.1792551017148643</v>
      </c>
      <c r="AC565" s="34">
        <f>AC$543</f>
        <v>9.1753543730134959E-2</v>
      </c>
      <c r="AE565" s="34">
        <f>AE$543</f>
        <v>9.653660788375916</v>
      </c>
      <c r="AF565" s="34">
        <f>AF$543</f>
        <v>1.1792551017148643</v>
      </c>
      <c r="AG565" s="34">
        <f>AG$543</f>
        <v>9.1753543730134959E-2</v>
      </c>
      <c r="AI565" s="34">
        <f>AI$543</f>
        <v>9.653660788375916</v>
      </c>
      <c r="AJ565" s="34">
        <f>AJ$543</f>
        <v>1.1792551017148643</v>
      </c>
      <c r="AK565" s="34">
        <f>AK$543</f>
        <v>9.1753543730134959E-2</v>
      </c>
      <c r="AL565" s="10"/>
    </row>
    <row r="566" spans="1:38" x14ac:dyDescent="0.25">
      <c r="A566" s="3" t="s">
        <v>178</v>
      </c>
      <c r="C566" s="34">
        <f>C$544</f>
        <v>14.571821548016372</v>
      </c>
      <c r="D566" s="34">
        <f>D$544</f>
        <v>0</v>
      </c>
      <c r="E566" s="34">
        <f>E$544</f>
        <v>3.833237441069038E-2</v>
      </c>
      <c r="G566" s="34">
        <f>G$544</f>
        <v>12.710180461146155</v>
      </c>
      <c r="H566" s="34">
        <f>H$544</f>
        <v>0.56095506857452526</v>
      </c>
      <c r="I566" s="34">
        <f>I$544</f>
        <v>2.1945884853645271E-2</v>
      </c>
      <c r="K566" s="34">
        <f>K$544</f>
        <v>12.710180461146155</v>
      </c>
      <c r="L566" s="34">
        <f>L$544</f>
        <v>0.56095506857452526</v>
      </c>
      <c r="M566" s="34">
        <f>M$544</f>
        <v>2.1945884853645271E-2</v>
      </c>
      <c r="O566" s="34">
        <f>O$544</f>
        <v>9.9369308307868227</v>
      </c>
      <c r="P566" s="34">
        <f>P$544</f>
        <v>1.213858310797814</v>
      </c>
      <c r="Q566" s="34">
        <f>Q$544</f>
        <v>9.4445893377957932E-2</v>
      </c>
      <c r="S566" s="34">
        <f>S$544</f>
        <v>9.9369308307868227</v>
      </c>
      <c r="T566" s="34">
        <f>T$544</f>
        <v>1.213858310797814</v>
      </c>
      <c r="U566" s="34">
        <f>U$544</f>
        <v>9.4445893377957932E-2</v>
      </c>
      <c r="W566" s="34">
        <f>W$544</f>
        <v>12.710180461146155</v>
      </c>
      <c r="X566" s="34">
        <f>X$544</f>
        <v>0.56095506857452526</v>
      </c>
      <c r="Y566" s="34">
        <f>Y$544</f>
        <v>2.1945884853645271E-2</v>
      </c>
      <c r="AA566" s="34">
        <f>AA$544</f>
        <v>9.9369308307868227</v>
      </c>
      <c r="AB566" s="34">
        <f>AB$544</f>
        <v>1.213858310797814</v>
      </c>
      <c r="AC566" s="34">
        <f>AC$544</f>
        <v>9.4445893377957932E-2</v>
      </c>
      <c r="AE566" s="34">
        <f>AE$544</f>
        <v>9.9369308307868227</v>
      </c>
      <c r="AF566" s="34">
        <f>AF$544</f>
        <v>1.213858310797814</v>
      </c>
      <c r="AG566" s="34">
        <f>AG$544</f>
        <v>9.4445893377957932E-2</v>
      </c>
      <c r="AI566" s="34">
        <f>AI$544</f>
        <v>9.9369308307868227</v>
      </c>
      <c r="AJ566" s="34">
        <f>AJ$544</f>
        <v>1.213858310797814</v>
      </c>
      <c r="AK566" s="34">
        <f>AK$544</f>
        <v>9.4445893377957932E-2</v>
      </c>
      <c r="AL566" s="10"/>
    </row>
    <row r="567" spans="1:38" x14ac:dyDescent="0.25">
      <c r="A567" s="3" t="s">
        <v>179</v>
      </c>
      <c r="C567" s="34">
        <f t="shared" ref="C567:E572" si="52">C285</f>
        <v>13.475506403099624</v>
      </c>
      <c r="D567" s="34">
        <f t="shared" si="52"/>
        <v>0</v>
      </c>
      <c r="E567" s="34">
        <f t="shared" si="52"/>
        <v>3.5448427303008442E-2</v>
      </c>
      <c r="G567" s="34">
        <f t="shared" ref="G567:I572" si="53">G285</f>
        <v>11.760740288641811</v>
      </c>
      <c r="H567" s="34">
        <f t="shared" si="53"/>
        <v>0.5190521798859915</v>
      </c>
      <c r="I567" s="34">
        <f t="shared" si="53"/>
        <v>2.0306545053167997E-2</v>
      </c>
      <c r="K567" s="34">
        <f t="shared" ref="K567:M572" si="54">K285</f>
        <v>11.760740288641811</v>
      </c>
      <c r="L567" s="34">
        <f t="shared" si="54"/>
        <v>0.5190521798859915</v>
      </c>
      <c r="M567" s="34">
        <f t="shared" si="54"/>
        <v>2.0306545053167997E-2</v>
      </c>
      <c r="O567" s="34">
        <f t="shared" ref="O567:Q572" si="55">O285</f>
        <v>9.1947168195126636</v>
      </c>
      <c r="P567" s="34">
        <f t="shared" si="55"/>
        <v>1.1231922227151239</v>
      </c>
      <c r="Q567" s="34">
        <f t="shared" si="55"/>
        <v>8.739149533834964E-2</v>
      </c>
      <c r="S567" s="34">
        <f t="shared" ref="S567:U572" si="56">S285</f>
        <v>9.1947168195126636</v>
      </c>
      <c r="T567" s="34">
        <f t="shared" si="56"/>
        <v>1.1231922227151239</v>
      </c>
      <c r="U567" s="34">
        <f t="shared" si="56"/>
        <v>8.739149533834964E-2</v>
      </c>
      <c r="W567" s="34">
        <f t="shared" ref="W567:Y572" si="57">W285</f>
        <v>11.760740288641811</v>
      </c>
      <c r="X567" s="34">
        <f t="shared" si="57"/>
        <v>0.5190521798859915</v>
      </c>
      <c r="Y567" s="34">
        <f t="shared" si="57"/>
        <v>2.0306545053167997E-2</v>
      </c>
      <c r="AA567" s="34">
        <f t="shared" ref="AA567:AC572" si="58">AA285</f>
        <v>9.1947168195126636</v>
      </c>
      <c r="AB567" s="34">
        <f t="shared" si="58"/>
        <v>1.1231922227151239</v>
      </c>
      <c r="AC567" s="34">
        <f t="shared" si="58"/>
        <v>8.739149533834964E-2</v>
      </c>
      <c r="AE567" s="34">
        <f t="shared" ref="AE567:AG572" si="59">AE285</f>
        <v>9.1947168195126636</v>
      </c>
      <c r="AF567" s="34">
        <f t="shared" si="59"/>
        <v>1.1231922227151239</v>
      </c>
      <c r="AG567" s="34">
        <f t="shared" si="59"/>
        <v>8.739149533834964E-2</v>
      </c>
      <c r="AI567" s="34">
        <f t="shared" ref="AI567:AK572" si="60">AI285</f>
        <v>9.1947168195126636</v>
      </c>
      <c r="AJ567" s="34">
        <f t="shared" si="60"/>
        <v>1.1231922227151239</v>
      </c>
      <c r="AK567" s="34">
        <f t="shared" si="60"/>
        <v>8.739149533834964E-2</v>
      </c>
      <c r="AL567" s="10"/>
    </row>
    <row r="568" spans="1:38" x14ac:dyDescent="0.25">
      <c r="A568" s="3" t="s">
        <v>180</v>
      </c>
      <c r="C568" s="34">
        <f t="shared" si="52"/>
        <v>13.56803720007858</v>
      </c>
      <c r="D568" s="34">
        <f t="shared" si="52"/>
        <v>0</v>
      </c>
      <c r="E568" s="34">
        <f t="shared" si="52"/>
        <v>3.5691837170651219E-2</v>
      </c>
      <c r="G568" s="34">
        <f t="shared" si="53"/>
        <v>11.841496487289771</v>
      </c>
      <c r="H568" s="34">
        <f t="shared" si="53"/>
        <v>0.52261629914368912</v>
      </c>
      <c r="I568" s="34">
        <f t="shared" si="53"/>
        <v>2.0445981801699133E-2</v>
      </c>
      <c r="K568" s="34">
        <f t="shared" si="54"/>
        <v>11.841496487289771</v>
      </c>
      <c r="L568" s="34">
        <f t="shared" si="54"/>
        <v>0.52261629914368912</v>
      </c>
      <c r="M568" s="34">
        <f t="shared" si="54"/>
        <v>2.0445981801699133E-2</v>
      </c>
      <c r="O568" s="34">
        <f t="shared" si="55"/>
        <v>9.2578531833609006</v>
      </c>
      <c r="P568" s="34">
        <f t="shared" si="55"/>
        <v>1.1309047248222421</v>
      </c>
      <c r="Q568" s="34">
        <f t="shared" si="55"/>
        <v>8.799157703256931E-2</v>
      </c>
      <c r="S568" s="34">
        <f t="shared" si="56"/>
        <v>9.2578531833609006</v>
      </c>
      <c r="T568" s="34">
        <f t="shared" si="56"/>
        <v>1.1309047248222421</v>
      </c>
      <c r="U568" s="34">
        <f t="shared" si="56"/>
        <v>8.799157703256931E-2</v>
      </c>
      <c r="W568" s="34">
        <f t="shared" si="57"/>
        <v>11.841496487289771</v>
      </c>
      <c r="X568" s="34">
        <f t="shared" si="57"/>
        <v>0.52261629914368912</v>
      </c>
      <c r="Y568" s="34">
        <f t="shared" si="57"/>
        <v>2.0445981801699133E-2</v>
      </c>
      <c r="AA568" s="34">
        <f t="shared" si="58"/>
        <v>9.2578531833609006</v>
      </c>
      <c r="AB568" s="34">
        <f t="shared" si="58"/>
        <v>1.1309047248222421</v>
      </c>
      <c r="AC568" s="34">
        <f t="shared" si="58"/>
        <v>8.799157703256931E-2</v>
      </c>
      <c r="AE568" s="34">
        <f t="shared" si="59"/>
        <v>9.2578531833609006</v>
      </c>
      <c r="AF568" s="34">
        <f t="shared" si="59"/>
        <v>1.1309047248222421</v>
      </c>
      <c r="AG568" s="34">
        <f t="shared" si="59"/>
        <v>8.799157703256931E-2</v>
      </c>
      <c r="AI568" s="34">
        <f t="shared" si="60"/>
        <v>9.2578531833609006</v>
      </c>
      <c r="AJ568" s="34">
        <f t="shared" si="60"/>
        <v>1.1309047248222421</v>
      </c>
      <c r="AK568" s="34">
        <f t="shared" si="60"/>
        <v>8.799157703256931E-2</v>
      </c>
      <c r="AL568" s="10"/>
    </row>
    <row r="569" spans="1:38" x14ac:dyDescent="0.25">
      <c r="A569" s="3" t="s">
        <v>193</v>
      </c>
      <c r="C569" s="34">
        <f t="shared" si="52"/>
        <v>12.03512979059413</v>
      </c>
      <c r="D569" s="34">
        <f t="shared" si="52"/>
        <v>0</v>
      </c>
      <c r="E569" s="34">
        <f t="shared" si="52"/>
        <v>3.1659398222393706E-2</v>
      </c>
      <c r="G569" s="34">
        <f t="shared" si="53"/>
        <v>10.503652447132994</v>
      </c>
      <c r="H569" s="34">
        <f t="shared" si="53"/>
        <v>0.46357147302321955</v>
      </c>
      <c r="I569" s="34">
        <f t="shared" si="53"/>
        <v>1.8136008993117264E-2</v>
      </c>
      <c r="K569" s="34">
        <f t="shared" si="54"/>
        <v>10.503652447132994</v>
      </c>
      <c r="L569" s="34">
        <f t="shared" si="54"/>
        <v>0.46357147302321955</v>
      </c>
      <c r="M569" s="34">
        <f t="shared" si="54"/>
        <v>1.8136008993117264E-2</v>
      </c>
      <c r="O569" s="34">
        <f t="shared" si="55"/>
        <v>8.2119073673654253</v>
      </c>
      <c r="P569" s="34">
        <f t="shared" si="55"/>
        <v>1.0031358952902192</v>
      </c>
      <c r="Q569" s="34">
        <f t="shared" si="55"/>
        <v>7.8050349836887245E-2</v>
      </c>
      <c r="S569" s="34">
        <f t="shared" si="56"/>
        <v>8.2119073673654253</v>
      </c>
      <c r="T569" s="34">
        <f t="shared" si="56"/>
        <v>1.0031358952902192</v>
      </c>
      <c r="U569" s="34">
        <f t="shared" si="56"/>
        <v>7.8050349836887245E-2</v>
      </c>
      <c r="W569" s="34">
        <f t="shared" si="57"/>
        <v>10.503652447132994</v>
      </c>
      <c r="X569" s="34">
        <f t="shared" si="57"/>
        <v>0.46357147302321955</v>
      </c>
      <c r="Y569" s="34">
        <f t="shared" si="57"/>
        <v>1.8136008993117264E-2</v>
      </c>
      <c r="AA569" s="34">
        <f t="shared" si="58"/>
        <v>8.2119073673654253</v>
      </c>
      <c r="AB569" s="34">
        <f t="shared" si="58"/>
        <v>1.0031358952902192</v>
      </c>
      <c r="AC569" s="34">
        <f t="shared" si="58"/>
        <v>7.8050349836887245E-2</v>
      </c>
      <c r="AE569" s="34">
        <f t="shared" si="59"/>
        <v>8.2119073673654253</v>
      </c>
      <c r="AF569" s="34">
        <f t="shared" si="59"/>
        <v>1.0031358952902192</v>
      </c>
      <c r="AG569" s="34">
        <f t="shared" si="59"/>
        <v>7.8050349836887245E-2</v>
      </c>
      <c r="AI569" s="34">
        <f t="shared" si="60"/>
        <v>8.2119073673654253</v>
      </c>
      <c r="AJ569" s="34">
        <f t="shared" si="60"/>
        <v>1.0031358952902192</v>
      </c>
      <c r="AK569" s="34">
        <f t="shared" si="60"/>
        <v>7.8050349836887245E-2</v>
      </c>
      <c r="AL569" s="10"/>
    </row>
    <row r="570" spans="1:38" x14ac:dyDescent="0.25">
      <c r="A570" s="3" t="s">
        <v>184</v>
      </c>
      <c r="C570" s="34">
        <f t="shared" si="52"/>
        <v>-11.035378564342917</v>
      </c>
      <c r="D570" s="34">
        <f t="shared" si="52"/>
        <v>0</v>
      </c>
      <c r="E570" s="34">
        <f t="shared" si="52"/>
        <v>-2.9029470440480602E-2</v>
      </c>
      <c r="G570" s="34">
        <f t="shared" si="53"/>
        <v>-9.6311201523550274</v>
      </c>
      <c r="H570" s="34">
        <f t="shared" si="53"/>
        <v>-0.4250628605966007</v>
      </c>
      <c r="I570" s="34">
        <f t="shared" si="53"/>
        <v>-1.662946128273508E-2</v>
      </c>
      <c r="K570" s="34">
        <f t="shared" si="54"/>
        <v>-9.6311201523550274</v>
      </c>
      <c r="L570" s="34">
        <f t="shared" si="54"/>
        <v>-0.4250628605966007</v>
      </c>
      <c r="M570" s="34">
        <f t="shared" si="54"/>
        <v>-1.662946128273508E-2</v>
      </c>
      <c r="O570" s="34">
        <f t="shared" si="55"/>
        <v>-7.5297490023761897</v>
      </c>
      <c r="P570" s="34">
        <f t="shared" si="55"/>
        <v>-0.91980598037756123</v>
      </c>
      <c r="Q570" s="34">
        <f t="shared" si="55"/>
        <v>-7.1566752707777112E-2</v>
      </c>
      <c r="S570" s="34">
        <f t="shared" si="56"/>
        <v>-7.5297490023761897</v>
      </c>
      <c r="T570" s="34">
        <f t="shared" si="56"/>
        <v>-0.91980598037756123</v>
      </c>
      <c r="U570" s="34">
        <f t="shared" si="56"/>
        <v>-7.1566752707777112E-2</v>
      </c>
      <c r="W570" s="34">
        <f t="shared" si="57"/>
        <v>-9.6311201523550274</v>
      </c>
      <c r="X570" s="34">
        <f t="shared" si="57"/>
        <v>-0.4250628605966007</v>
      </c>
      <c r="Y570" s="34">
        <f t="shared" si="57"/>
        <v>-1.662946128273508E-2</v>
      </c>
      <c r="AA570" s="34">
        <f t="shared" si="58"/>
        <v>-7.5297490023761897</v>
      </c>
      <c r="AB570" s="34">
        <f t="shared" si="58"/>
        <v>-0.91980598037756123</v>
      </c>
      <c r="AC570" s="34">
        <f t="shared" si="58"/>
        <v>-7.1566752707777112E-2</v>
      </c>
      <c r="AE570" s="34">
        <f t="shared" si="59"/>
        <v>-7.5297490023761897</v>
      </c>
      <c r="AF570" s="34">
        <f t="shared" si="59"/>
        <v>-0.91980598037756123</v>
      </c>
      <c r="AG570" s="34">
        <f t="shared" si="59"/>
        <v>-7.1566752707777112E-2</v>
      </c>
      <c r="AI570" s="34">
        <f t="shared" si="60"/>
        <v>-7.5297490023761897</v>
      </c>
      <c r="AJ570" s="34">
        <f t="shared" si="60"/>
        <v>-0.91980598037756123</v>
      </c>
      <c r="AK570" s="34">
        <f t="shared" si="60"/>
        <v>-7.1566752707777112E-2</v>
      </c>
      <c r="AL570" s="10"/>
    </row>
    <row r="571" spans="1:38" x14ac:dyDescent="0.25">
      <c r="A571" s="3" t="s">
        <v>186</v>
      </c>
      <c r="C571" s="34">
        <f t="shared" si="52"/>
        <v>-11.035378564342917</v>
      </c>
      <c r="D571" s="34">
        <f t="shared" si="52"/>
        <v>0</v>
      </c>
      <c r="E571" s="34">
        <f t="shared" si="52"/>
        <v>-2.9029470440480602E-2</v>
      </c>
      <c r="G571" s="34">
        <f t="shared" si="53"/>
        <v>-9.6311201523550274</v>
      </c>
      <c r="H571" s="34">
        <f t="shared" si="53"/>
        <v>-0.4250628605966007</v>
      </c>
      <c r="I571" s="34">
        <f t="shared" si="53"/>
        <v>-1.662946128273508E-2</v>
      </c>
      <c r="K571" s="34">
        <f t="shared" si="54"/>
        <v>-9.6311201523550274</v>
      </c>
      <c r="L571" s="34">
        <f t="shared" si="54"/>
        <v>-0.4250628605966007</v>
      </c>
      <c r="M571" s="34">
        <f t="shared" si="54"/>
        <v>-1.662946128273508E-2</v>
      </c>
      <c r="O571" s="34">
        <f t="shared" si="55"/>
        <v>-7.5297490023761897</v>
      </c>
      <c r="P571" s="34">
        <f t="shared" si="55"/>
        <v>-0.91980598037756123</v>
      </c>
      <c r="Q571" s="34">
        <f t="shared" si="55"/>
        <v>-7.1566752707777112E-2</v>
      </c>
      <c r="S571" s="34">
        <f t="shared" si="56"/>
        <v>-7.5297490023761897</v>
      </c>
      <c r="T571" s="34">
        <f t="shared" si="56"/>
        <v>-0.91980598037756123</v>
      </c>
      <c r="U571" s="34">
        <f t="shared" si="56"/>
        <v>-7.1566752707777112E-2</v>
      </c>
      <c r="W571" s="34">
        <f t="shared" si="57"/>
        <v>-9.6311201523550274</v>
      </c>
      <c r="X571" s="34">
        <f t="shared" si="57"/>
        <v>-0.4250628605966007</v>
      </c>
      <c r="Y571" s="34">
        <f t="shared" si="57"/>
        <v>-1.662946128273508E-2</v>
      </c>
      <c r="AA571" s="34">
        <f t="shared" si="58"/>
        <v>-7.5297490023761897</v>
      </c>
      <c r="AB571" s="34">
        <f t="shared" si="58"/>
        <v>-0.91980598037756123</v>
      </c>
      <c r="AC571" s="34">
        <f t="shared" si="58"/>
        <v>-7.1566752707777112E-2</v>
      </c>
      <c r="AE571" s="34">
        <f t="shared" si="59"/>
        <v>-7.5297490023761897</v>
      </c>
      <c r="AF571" s="34">
        <f t="shared" si="59"/>
        <v>-0.91980598037756123</v>
      </c>
      <c r="AG571" s="34">
        <f t="shared" si="59"/>
        <v>-7.1566752707777112E-2</v>
      </c>
      <c r="AI571" s="34">
        <f t="shared" si="60"/>
        <v>-7.5297490023761897</v>
      </c>
      <c r="AJ571" s="34">
        <f t="shared" si="60"/>
        <v>-0.91980598037756123</v>
      </c>
      <c r="AK571" s="34">
        <f t="shared" si="60"/>
        <v>-7.1566752707777112E-2</v>
      </c>
      <c r="AL571" s="10"/>
    </row>
    <row r="572" spans="1:38" x14ac:dyDescent="0.25">
      <c r="A572" s="3" t="s">
        <v>195</v>
      </c>
      <c r="C572" s="34">
        <f t="shared" si="52"/>
        <v>-11.035378564342917</v>
      </c>
      <c r="D572" s="34">
        <f t="shared" si="52"/>
        <v>0</v>
      </c>
      <c r="E572" s="34">
        <f t="shared" si="52"/>
        <v>-2.9029470440480602E-2</v>
      </c>
      <c r="G572" s="34">
        <f t="shared" si="53"/>
        <v>-9.6311201523550274</v>
      </c>
      <c r="H572" s="34">
        <f t="shared" si="53"/>
        <v>-0.4250628605966007</v>
      </c>
      <c r="I572" s="34">
        <f t="shared" si="53"/>
        <v>-1.662946128273508E-2</v>
      </c>
      <c r="K572" s="34">
        <f t="shared" si="54"/>
        <v>-9.6311201523550274</v>
      </c>
      <c r="L572" s="34">
        <f t="shared" si="54"/>
        <v>-0.4250628605966007</v>
      </c>
      <c r="M572" s="34">
        <f t="shared" si="54"/>
        <v>-1.662946128273508E-2</v>
      </c>
      <c r="O572" s="34">
        <f t="shared" si="55"/>
        <v>-7.5297490023761897</v>
      </c>
      <c r="P572" s="34">
        <f t="shared" si="55"/>
        <v>-0.91980598037756123</v>
      </c>
      <c r="Q572" s="34">
        <f t="shared" si="55"/>
        <v>-7.1566752707777112E-2</v>
      </c>
      <c r="S572" s="34">
        <f t="shared" si="56"/>
        <v>-7.5297490023761897</v>
      </c>
      <c r="T572" s="34">
        <f t="shared" si="56"/>
        <v>-0.91980598037756123</v>
      </c>
      <c r="U572" s="34">
        <f t="shared" si="56"/>
        <v>-7.1566752707777112E-2</v>
      </c>
      <c r="W572" s="34">
        <f t="shared" si="57"/>
        <v>-9.6311201523550274</v>
      </c>
      <c r="X572" s="34">
        <f t="shared" si="57"/>
        <v>-0.4250628605966007</v>
      </c>
      <c r="Y572" s="34">
        <f t="shared" si="57"/>
        <v>-1.662946128273508E-2</v>
      </c>
      <c r="AA572" s="34">
        <f t="shared" si="58"/>
        <v>-7.5297490023761897</v>
      </c>
      <c r="AB572" s="34">
        <f t="shared" si="58"/>
        <v>-0.91980598037756123</v>
      </c>
      <c r="AC572" s="34">
        <f t="shared" si="58"/>
        <v>-7.1566752707777112E-2</v>
      </c>
      <c r="AE572" s="34">
        <f t="shared" si="59"/>
        <v>-7.5297490023761897</v>
      </c>
      <c r="AF572" s="34">
        <f t="shared" si="59"/>
        <v>-0.91980598037756123</v>
      </c>
      <c r="AG572" s="34">
        <f t="shared" si="59"/>
        <v>-7.1566752707777112E-2</v>
      </c>
      <c r="AI572" s="34">
        <f t="shared" si="60"/>
        <v>-7.5297490023761897</v>
      </c>
      <c r="AJ572" s="34">
        <f t="shared" si="60"/>
        <v>-0.91980598037756123</v>
      </c>
      <c r="AK572" s="34">
        <f t="shared" si="60"/>
        <v>-7.1566752707777112E-2</v>
      </c>
      <c r="AL572" s="10"/>
    </row>
    <row r="574" spans="1:38" ht="21" customHeight="1" x14ac:dyDescent="0.3">
      <c r="A574" s="1" t="s">
        <v>706</v>
      </c>
    </row>
    <row r="575" spans="1:38" x14ac:dyDescent="0.25">
      <c r="A575" s="2" t="s">
        <v>356</v>
      </c>
    </row>
    <row r="576" spans="1:38" x14ac:dyDescent="0.25">
      <c r="A576" s="11" t="s">
        <v>707</v>
      </c>
    </row>
    <row r="577" spans="1:11" x14ac:dyDescent="0.25">
      <c r="A577" s="11" t="s">
        <v>708</v>
      </c>
    </row>
    <row r="578" spans="1:11" x14ac:dyDescent="0.25">
      <c r="A578" s="2" t="s">
        <v>369</v>
      </c>
    </row>
    <row r="580" spans="1:11" x14ac:dyDescent="0.25">
      <c r="B580" s="12" t="s">
        <v>139</v>
      </c>
      <c r="C580" s="12" t="s">
        <v>140</v>
      </c>
      <c r="D580" s="12" t="s">
        <v>141</v>
      </c>
      <c r="E580" s="12" t="s">
        <v>142</v>
      </c>
      <c r="F580" s="12" t="s">
        <v>143</v>
      </c>
      <c r="G580" s="12" t="s">
        <v>148</v>
      </c>
      <c r="H580" s="12" t="s">
        <v>144</v>
      </c>
      <c r="I580" s="12" t="s">
        <v>145</v>
      </c>
      <c r="J580" s="12" t="s">
        <v>146</v>
      </c>
    </row>
    <row r="581" spans="1:11" x14ac:dyDescent="0.25">
      <c r="A581" s="3" t="s">
        <v>171</v>
      </c>
      <c r="B581" s="33">
        <f t="shared" ref="B581:B597" si="61">SUMPRODUCT($C556:$E556,$B43:$D43)</f>
        <v>2.0112000738858278</v>
      </c>
      <c r="C581" s="33">
        <f t="shared" ref="C581:C597" si="62">SUMPRODUCT($G556:$I556,$B43:$D43)</f>
        <v>1.9629445104151337</v>
      </c>
      <c r="D581" s="33">
        <f t="shared" ref="D581:D597" si="63">SUMPRODUCT($K556:$M556,$B43:$D43)</f>
        <v>1.9629445104151337</v>
      </c>
      <c r="E581" s="33">
        <f t="shared" ref="E581:E597" si="64">SUMPRODUCT($O556:$Q556,$B43:$D43)</f>
        <v>1.8578395573461295</v>
      </c>
      <c r="F581" s="33">
        <f t="shared" ref="F581:F597" si="65">SUMPRODUCT($S556:$U556,$B43:$D43)</f>
        <v>1.8578395573461295</v>
      </c>
      <c r="G581" s="33">
        <f t="shared" ref="G581:G597" si="66">SUMPRODUCT($W556:$Y556,$B43:$D43)</f>
        <v>1.9629445104151337</v>
      </c>
      <c r="H581" s="33">
        <f t="shared" ref="H581:H597" si="67">SUMPRODUCT($AA556:$AC556,$B43:$D43)</f>
        <v>1.8578395573461295</v>
      </c>
      <c r="I581" s="33">
        <f t="shared" ref="I581:I597" si="68">SUMPRODUCT($AE556:$AG556,$B43:$D43)</f>
        <v>1.8578395573461295</v>
      </c>
      <c r="J581" s="33">
        <f t="shared" ref="J581:J597" si="69">SUMPRODUCT($AI556:$AK556,$B43:$D43)</f>
        <v>1.8578395573461295</v>
      </c>
      <c r="K581" s="10"/>
    </row>
    <row r="582" spans="1:11" x14ac:dyDescent="0.25">
      <c r="A582" s="3" t="s">
        <v>172</v>
      </c>
      <c r="B582" s="33">
        <f t="shared" si="61"/>
        <v>2.4353212661345163</v>
      </c>
      <c r="C582" s="33">
        <f t="shared" si="62"/>
        <v>2.3777968100323745</v>
      </c>
      <c r="D582" s="33">
        <f t="shared" si="63"/>
        <v>2.3777968100323745</v>
      </c>
      <c r="E582" s="33">
        <f t="shared" si="64"/>
        <v>2.2526607716710352</v>
      </c>
      <c r="F582" s="33">
        <f t="shared" si="65"/>
        <v>2.2526607716710352</v>
      </c>
      <c r="G582" s="33">
        <f t="shared" si="66"/>
        <v>2.3777968100323745</v>
      </c>
      <c r="H582" s="33">
        <f t="shared" si="67"/>
        <v>2.2526607716710352</v>
      </c>
      <c r="I582" s="33">
        <f t="shared" si="68"/>
        <v>2.2526607716710352</v>
      </c>
      <c r="J582" s="33">
        <f t="shared" si="69"/>
        <v>2.2526607716710352</v>
      </c>
      <c r="K582" s="10"/>
    </row>
    <row r="583" spans="1:11" x14ac:dyDescent="0.25">
      <c r="A583" s="3" t="s">
        <v>211</v>
      </c>
      <c r="B583" s="33">
        <f t="shared" si="61"/>
        <v>0.51581775683943654</v>
      </c>
      <c r="C583" s="33">
        <f t="shared" si="62"/>
        <v>0.57974541098648058</v>
      </c>
      <c r="D583" s="33">
        <f t="shared" si="63"/>
        <v>0.57974541098648058</v>
      </c>
      <c r="E583" s="33">
        <f t="shared" si="64"/>
        <v>0.67730415363259411</v>
      </c>
      <c r="F583" s="33">
        <f t="shared" si="65"/>
        <v>0.67730415363259411</v>
      </c>
      <c r="G583" s="33">
        <f t="shared" si="66"/>
        <v>0.57974541098648058</v>
      </c>
      <c r="H583" s="33">
        <f t="shared" si="67"/>
        <v>0.67730415363259411</v>
      </c>
      <c r="I583" s="33">
        <f t="shared" si="68"/>
        <v>0.67730415363259411</v>
      </c>
      <c r="J583" s="33">
        <f t="shared" si="69"/>
        <v>0.67730415363259411</v>
      </c>
      <c r="K583" s="10"/>
    </row>
    <row r="584" spans="1:11" x14ac:dyDescent="0.25">
      <c r="A584" s="3" t="s">
        <v>173</v>
      </c>
      <c r="B584" s="33">
        <f t="shared" si="61"/>
        <v>1.7733281756811494</v>
      </c>
      <c r="C584" s="33">
        <f t="shared" si="62"/>
        <v>1.84649804863558</v>
      </c>
      <c r="D584" s="33">
        <f t="shared" si="63"/>
        <v>1.84649804863558</v>
      </c>
      <c r="E584" s="33">
        <f t="shared" si="64"/>
        <v>1.8806581767536816</v>
      </c>
      <c r="F584" s="33">
        <f t="shared" si="65"/>
        <v>1.8806581767536816</v>
      </c>
      <c r="G584" s="33">
        <f t="shared" si="66"/>
        <v>1.84649804863558</v>
      </c>
      <c r="H584" s="33">
        <f t="shared" si="67"/>
        <v>1.8806581767536816</v>
      </c>
      <c r="I584" s="33">
        <f t="shared" si="68"/>
        <v>1.8806581767536816</v>
      </c>
      <c r="J584" s="33">
        <f t="shared" si="69"/>
        <v>1.8806581767536816</v>
      </c>
      <c r="K584" s="10"/>
    </row>
    <row r="585" spans="1:11" x14ac:dyDescent="0.25">
      <c r="A585" s="3" t="s">
        <v>174</v>
      </c>
      <c r="B585" s="33">
        <f t="shared" si="61"/>
        <v>1.9580881096976981</v>
      </c>
      <c r="C585" s="33">
        <f t="shared" si="62"/>
        <v>2.0114990771123895</v>
      </c>
      <c r="D585" s="33">
        <f t="shared" si="63"/>
        <v>2.0114990771123895</v>
      </c>
      <c r="E585" s="33">
        <f t="shared" si="64"/>
        <v>2.0263403825799622</v>
      </c>
      <c r="F585" s="33">
        <f t="shared" si="65"/>
        <v>2.0263403825799622</v>
      </c>
      <c r="G585" s="33">
        <f t="shared" si="66"/>
        <v>2.0114990771123895</v>
      </c>
      <c r="H585" s="33">
        <f t="shared" si="67"/>
        <v>2.0263403825799622</v>
      </c>
      <c r="I585" s="33">
        <f t="shared" si="68"/>
        <v>2.0263403825799622</v>
      </c>
      <c r="J585" s="33">
        <f t="shared" si="69"/>
        <v>2.0263403825799622</v>
      </c>
      <c r="K585" s="10"/>
    </row>
    <row r="586" spans="1:11" x14ac:dyDescent="0.25">
      <c r="A586" s="3" t="s">
        <v>212</v>
      </c>
      <c r="B586" s="33">
        <f t="shared" si="61"/>
        <v>0.20965827119991673</v>
      </c>
      <c r="C586" s="33">
        <f t="shared" si="62"/>
        <v>0.25564776332742511</v>
      </c>
      <c r="D586" s="33">
        <f t="shared" si="63"/>
        <v>0.25564776332742511</v>
      </c>
      <c r="E586" s="33">
        <f t="shared" si="64"/>
        <v>0.35656008125790373</v>
      </c>
      <c r="F586" s="33">
        <f t="shared" si="65"/>
        <v>0.35656008125790373</v>
      </c>
      <c r="G586" s="33">
        <f t="shared" si="66"/>
        <v>0.25564776332742511</v>
      </c>
      <c r="H586" s="33">
        <f t="shared" si="67"/>
        <v>0.35656008125790373</v>
      </c>
      <c r="I586" s="33">
        <f t="shared" si="68"/>
        <v>0.35656008125790373</v>
      </c>
      <c r="J586" s="33">
        <f t="shared" si="69"/>
        <v>0.35656008125790373</v>
      </c>
      <c r="K586" s="10"/>
    </row>
    <row r="587" spans="1:11" x14ac:dyDescent="0.25">
      <c r="A587" s="3" t="s">
        <v>175</v>
      </c>
      <c r="B587" s="33">
        <f t="shared" si="61"/>
        <v>1.5021306357517583</v>
      </c>
      <c r="C587" s="33">
        <f t="shared" si="62"/>
        <v>1.5322609240107756</v>
      </c>
      <c r="D587" s="33">
        <f t="shared" si="63"/>
        <v>1.5322609240107756</v>
      </c>
      <c r="E587" s="33">
        <f t="shared" si="64"/>
        <v>1.5275860597855906</v>
      </c>
      <c r="F587" s="33">
        <f t="shared" si="65"/>
        <v>1.5275860597855906</v>
      </c>
      <c r="G587" s="33">
        <f t="shared" si="66"/>
        <v>1.5322609240107756</v>
      </c>
      <c r="H587" s="33">
        <f t="shared" si="67"/>
        <v>1.5275860597855906</v>
      </c>
      <c r="I587" s="33">
        <f t="shared" si="68"/>
        <v>1.5275860597855906</v>
      </c>
      <c r="J587" s="33">
        <f t="shared" si="69"/>
        <v>1.5275860597855906</v>
      </c>
      <c r="K587" s="10"/>
    </row>
    <row r="588" spans="1:11" x14ac:dyDescent="0.25">
      <c r="A588" s="3" t="s">
        <v>176</v>
      </c>
      <c r="B588" s="33">
        <f t="shared" si="61"/>
        <v>1.4865050892320077</v>
      </c>
      <c r="C588" s="33">
        <f t="shared" si="62"/>
        <v>1.5191703997036134</v>
      </c>
      <c r="D588" s="33">
        <f t="shared" si="63"/>
        <v>1.5191703997036134</v>
      </c>
      <c r="E588" s="33">
        <f t="shared" si="64"/>
        <v>1.5181162568135591</v>
      </c>
      <c r="F588" s="33">
        <f t="shared" si="65"/>
        <v>1.5181162568135591</v>
      </c>
      <c r="G588" s="33">
        <f t="shared" si="66"/>
        <v>1.5191703997036134</v>
      </c>
      <c r="H588" s="33">
        <f t="shared" si="67"/>
        <v>1.5181162568135591</v>
      </c>
      <c r="I588" s="33">
        <f t="shared" si="68"/>
        <v>1.5181162568135591</v>
      </c>
      <c r="J588" s="33">
        <f t="shared" si="69"/>
        <v>1.5181162568135591</v>
      </c>
      <c r="K588" s="10"/>
    </row>
    <row r="589" spans="1:11" x14ac:dyDescent="0.25">
      <c r="A589" s="3" t="s">
        <v>192</v>
      </c>
      <c r="B589" s="33">
        <f t="shared" si="61"/>
        <v>1.4872276947335155</v>
      </c>
      <c r="C589" s="33">
        <f t="shared" si="62"/>
        <v>1.5245068477344912</v>
      </c>
      <c r="D589" s="33">
        <f t="shared" si="63"/>
        <v>1.5245068477344912</v>
      </c>
      <c r="E589" s="33">
        <f t="shared" si="64"/>
        <v>1.528019902234139</v>
      </c>
      <c r="F589" s="33">
        <f t="shared" si="65"/>
        <v>1.528019902234139</v>
      </c>
      <c r="G589" s="33">
        <f t="shared" si="66"/>
        <v>1.5245068477344912</v>
      </c>
      <c r="H589" s="33">
        <f t="shared" si="67"/>
        <v>1.528019902234139</v>
      </c>
      <c r="I589" s="33">
        <f t="shared" si="68"/>
        <v>1.528019902234139</v>
      </c>
      <c r="J589" s="33">
        <f t="shared" si="69"/>
        <v>1.528019902234139</v>
      </c>
      <c r="K589" s="10"/>
    </row>
    <row r="590" spans="1:11" x14ac:dyDescent="0.25">
      <c r="A590" s="3" t="s">
        <v>177</v>
      </c>
      <c r="B590" s="33">
        <f t="shared" si="61"/>
        <v>14.144741864705098</v>
      </c>
      <c r="C590" s="33">
        <f t="shared" si="62"/>
        <v>12.341111571455876</v>
      </c>
      <c r="D590" s="33">
        <f t="shared" si="63"/>
        <v>12.341111571455876</v>
      </c>
      <c r="E590" s="33">
        <f t="shared" si="64"/>
        <v>9.653660788375916</v>
      </c>
      <c r="F590" s="33">
        <f t="shared" si="65"/>
        <v>9.653660788375916</v>
      </c>
      <c r="G590" s="33">
        <f t="shared" si="66"/>
        <v>12.341111571455876</v>
      </c>
      <c r="H590" s="33">
        <f t="shared" si="67"/>
        <v>9.653660788375916</v>
      </c>
      <c r="I590" s="33">
        <f t="shared" si="68"/>
        <v>9.653660788375916</v>
      </c>
      <c r="J590" s="33">
        <f t="shared" si="69"/>
        <v>9.653660788375916</v>
      </c>
      <c r="K590" s="10"/>
    </row>
    <row r="591" spans="1:11" x14ac:dyDescent="0.25">
      <c r="A591" s="3" t="s">
        <v>178</v>
      </c>
      <c r="B591" s="33">
        <f t="shared" si="61"/>
        <v>14.571821548016372</v>
      </c>
      <c r="C591" s="33">
        <f t="shared" si="62"/>
        <v>12.710180461146155</v>
      </c>
      <c r="D591" s="33">
        <f t="shared" si="63"/>
        <v>12.710180461146155</v>
      </c>
      <c r="E591" s="33">
        <f t="shared" si="64"/>
        <v>9.9369308307868227</v>
      </c>
      <c r="F591" s="33">
        <f t="shared" si="65"/>
        <v>9.9369308307868227</v>
      </c>
      <c r="G591" s="33">
        <f t="shared" si="66"/>
        <v>12.710180461146155</v>
      </c>
      <c r="H591" s="33">
        <f t="shared" si="67"/>
        <v>9.9369308307868227</v>
      </c>
      <c r="I591" s="33">
        <f t="shared" si="68"/>
        <v>9.9369308307868227</v>
      </c>
      <c r="J591" s="33">
        <f t="shared" si="69"/>
        <v>9.9369308307868227</v>
      </c>
      <c r="K591" s="10"/>
    </row>
    <row r="592" spans="1:11" x14ac:dyDescent="0.25">
      <c r="A592" s="3" t="s">
        <v>179</v>
      </c>
      <c r="B592" s="33">
        <f t="shared" si="61"/>
        <v>13.475506403099624</v>
      </c>
      <c r="C592" s="33">
        <f t="shared" si="62"/>
        <v>11.760740288641811</v>
      </c>
      <c r="D592" s="33">
        <f t="shared" si="63"/>
        <v>11.760740288641811</v>
      </c>
      <c r="E592" s="33">
        <f t="shared" si="64"/>
        <v>9.1947168195126636</v>
      </c>
      <c r="F592" s="33">
        <f t="shared" si="65"/>
        <v>9.1947168195126636</v>
      </c>
      <c r="G592" s="33">
        <f t="shared" si="66"/>
        <v>11.760740288641811</v>
      </c>
      <c r="H592" s="33">
        <f t="shared" si="67"/>
        <v>9.1947168195126636</v>
      </c>
      <c r="I592" s="33">
        <f t="shared" si="68"/>
        <v>9.1947168195126636</v>
      </c>
      <c r="J592" s="33">
        <f t="shared" si="69"/>
        <v>9.1947168195126636</v>
      </c>
      <c r="K592" s="10"/>
    </row>
    <row r="593" spans="1:11" x14ac:dyDescent="0.25">
      <c r="A593" s="3" t="s">
        <v>180</v>
      </c>
      <c r="B593" s="33">
        <f t="shared" si="61"/>
        <v>13.56803720007858</v>
      </c>
      <c r="C593" s="33">
        <f t="shared" si="62"/>
        <v>11.841496487289771</v>
      </c>
      <c r="D593" s="33">
        <f t="shared" si="63"/>
        <v>11.841496487289771</v>
      </c>
      <c r="E593" s="33">
        <f t="shared" si="64"/>
        <v>9.2578531833609006</v>
      </c>
      <c r="F593" s="33">
        <f t="shared" si="65"/>
        <v>9.2578531833609006</v>
      </c>
      <c r="G593" s="33">
        <f t="shared" si="66"/>
        <v>11.841496487289771</v>
      </c>
      <c r="H593" s="33">
        <f t="shared" si="67"/>
        <v>9.2578531833609006</v>
      </c>
      <c r="I593" s="33">
        <f t="shared" si="68"/>
        <v>9.2578531833609006</v>
      </c>
      <c r="J593" s="33">
        <f t="shared" si="69"/>
        <v>9.2578531833609006</v>
      </c>
      <c r="K593" s="10"/>
    </row>
    <row r="594" spans="1:11" x14ac:dyDescent="0.25">
      <c r="A594" s="3" t="s">
        <v>193</v>
      </c>
      <c r="B594" s="33">
        <f t="shared" si="61"/>
        <v>12.03512979059413</v>
      </c>
      <c r="C594" s="33">
        <f t="shared" si="62"/>
        <v>10.503652447132994</v>
      </c>
      <c r="D594" s="33">
        <f t="shared" si="63"/>
        <v>10.503652447132994</v>
      </c>
      <c r="E594" s="33">
        <f t="shared" si="64"/>
        <v>8.2119073673654253</v>
      </c>
      <c r="F594" s="33">
        <f t="shared" si="65"/>
        <v>8.2119073673654253</v>
      </c>
      <c r="G594" s="33">
        <f t="shared" si="66"/>
        <v>10.503652447132994</v>
      </c>
      <c r="H594" s="33">
        <f t="shared" si="67"/>
        <v>8.2119073673654253</v>
      </c>
      <c r="I594" s="33">
        <f t="shared" si="68"/>
        <v>8.2119073673654253</v>
      </c>
      <c r="J594" s="33">
        <f t="shared" si="69"/>
        <v>8.2119073673654253</v>
      </c>
      <c r="K594" s="10"/>
    </row>
    <row r="595" spans="1:11" x14ac:dyDescent="0.25">
      <c r="A595" s="3" t="s">
        <v>184</v>
      </c>
      <c r="B595" s="33">
        <f t="shared" si="61"/>
        <v>-11.035378564342917</v>
      </c>
      <c r="C595" s="33">
        <f t="shared" si="62"/>
        <v>-9.6311201523550274</v>
      </c>
      <c r="D595" s="33">
        <f t="shared" si="63"/>
        <v>-9.6311201523550274</v>
      </c>
      <c r="E595" s="33">
        <f t="shared" si="64"/>
        <v>-7.5297490023761897</v>
      </c>
      <c r="F595" s="33">
        <f t="shared" si="65"/>
        <v>-7.5297490023761897</v>
      </c>
      <c r="G595" s="33">
        <f t="shared" si="66"/>
        <v>-9.6311201523550274</v>
      </c>
      <c r="H595" s="33">
        <f t="shared" si="67"/>
        <v>-7.5297490023761897</v>
      </c>
      <c r="I595" s="33">
        <f t="shared" si="68"/>
        <v>-7.5297490023761897</v>
      </c>
      <c r="J595" s="33">
        <f t="shared" si="69"/>
        <v>-7.5297490023761897</v>
      </c>
      <c r="K595" s="10"/>
    </row>
    <row r="596" spans="1:11" x14ac:dyDescent="0.25">
      <c r="A596" s="3" t="s">
        <v>186</v>
      </c>
      <c r="B596" s="33">
        <f t="shared" si="61"/>
        <v>-11.035378564342917</v>
      </c>
      <c r="C596" s="33">
        <f t="shared" si="62"/>
        <v>-9.6311201523550274</v>
      </c>
      <c r="D596" s="33">
        <f t="shared" si="63"/>
        <v>-9.6311201523550274</v>
      </c>
      <c r="E596" s="33">
        <f t="shared" si="64"/>
        <v>-7.5297490023761897</v>
      </c>
      <c r="F596" s="33">
        <f t="shared" si="65"/>
        <v>-7.5297490023761897</v>
      </c>
      <c r="G596" s="33">
        <f t="shared" si="66"/>
        <v>-9.6311201523550274</v>
      </c>
      <c r="H596" s="33">
        <f t="shared" si="67"/>
        <v>-7.5297490023761897</v>
      </c>
      <c r="I596" s="33">
        <f t="shared" si="68"/>
        <v>-7.5297490023761897</v>
      </c>
      <c r="J596" s="33">
        <f t="shared" si="69"/>
        <v>-7.5297490023761897</v>
      </c>
      <c r="K596" s="10"/>
    </row>
    <row r="597" spans="1:11" x14ac:dyDescent="0.25">
      <c r="A597" s="3" t="s">
        <v>195</v>
      </c>
      <c r="B597" s="33">
        <f t="shared" si="61"/>
        <v>-11.035378564342917</v>
      </c>
      <c r="C597" s="33">
        <f t="shared" si="62"/>
        <v>-9.6311201523550274</v>
      </c>
      <c r="D597" s="33">
        <f t="shared" si="63"/>
        <v>-9.6311201523550274</v>
      </c>
      <c r="E597" s="33">
        <f t="shared" si="64"/>
        <v>-7.5297490023761897</v>
      </c>
      <c r="F597" s="33">
        <f t="shared" si="65"/>
        <v>-7.5297490023761897</v>
      </c>
      <c r="G597" s="33">
        <f t="shared" si="66"/>
        <v>-9.6311201523550274</v>
      </c>
      <c r="H597" s="33">
        <f t="shared" si="67"/>
        <v>-7.5297490023761897</v>
      </c>
      <c r="I597" s="33">
        <f t="shared" si="68"/>
        <v>-7.5297490023761897</v>
      </c>
      <c r="J597" s="33">
        <f t="shared" si="69"/>
        <v>-7.5297490023761897</v>
      </c>
      <c r="K597" s="10"/>
    </row>
    <row r="599" spans="1:11" ht="21" customHeight="1" x14ac:dyDescent="0.3">
      <c r="A599" s="1" t="s">
        <v>709</v>
      </c>
    </row>
    <row r="600" spans="1:11" x14ac:dyDescent="0.25">
      <c r="A600" s="2" t="s">
        <v>356</v>
      </c>
    </row>
    <row r="601" spans="1:11" x14ac:dyDescent="0.25">
      <c r="A601" s="11" t="s">
        <v>707</v>
      </c>
    </row>
    <row r="602" spans="1:11" x14ac:dyDescent="0.25">
      <c r="A602" s="11" t="s">
        <v>710</v>
      </c>
    </row>
    <row r="603" spans="1:11" x14ac:dyDescent="0.25">
      <c r="A603" s="2" t="s">
        <v>369</v>
      </c>
    </row>
    <row r="605" spans="1:11" x14ac:dyDescent="0.25">
      <c r="B605" s="12" t="s">
        <v>139</v>
      </c>
      <c r="C605" s="12" t="s">
        <v>140</v>
      </c>
      <c r="D605" s="12" t="s">
        <v>141</v>
      </c>
      <c r="E605" s="12" t="s">
        <v>142</v>
      </c>
      <c r="F605" s="12" t="s">
        <v>143</v>
      </c>
      <c r="G605" s="12" t="s">
        <v>148</v>
      </c>
      <c r="H605" s="12" t="s">
        <v>144</v>
      </c>
      <c r="I605" s="12" t="s">
        <v>145</v>
      </c>
      <c r="J605" s="12" t="s">
        <v>146</v>
      </c>
    </row>
    <row r="606" spans="1:11" x14ac:dyDescent="0.25">
      <c r="A606" s="3" t="s">
        <v>172</v>
      </c>
      <c r="B606" s="33">
        <f>SUMPRODUCT($C$557:$E$557,$B85:$D85)</f>
        <v>4.241657176021723E-2</v>
      </c>
      <c r="C606" s="33">
        <f>SUMPRODUCT($G$557:$I$557,$B85:$D85)</f>
        <v>2.4298229596681851E-2</v>
      </c>
      <c r="D606" s="33">
        <f>SUMPRODUCT($K$557:$M$557,$B85:$D85)</f>
        <v>2.4298229596681851E-2</v>
      </c>
      <c r="E606" s="33">
        <f>SUMPRODUCT($O$557:$Q$557,$B85:$D85)</f>
        <v>0.10457015769884956</v>
      </c>
      <c r="F606" s="33">
        <f>SUMPRODUCT($S$557:$U$557,$B85:$D85)</f>
        <v>0.10457015769884956</v>
      </c>
      <c r="G606" s="33">
        <f>SUMPRODUCT($W$557:$Y$557,$B85:$D85)</f>
        <v>2.4298229596681851E-2</v>
      </c>
      <c r="H606" s="33">
        <f>SUMPRODUCT($AA$557:$AC$557,$B85:$D85)</f>
        <v>0.10457015769884956</v>
      </c>
      <c r="I606" s="33">
        <f>SUMPRODUCT($AE$557:$AG$557,$B85:$D85)</f>
        <v>0.10457015769884956</v>
      </c>
      <c r="J606" s="33">
        <f>SUMPRODUCT($AI$557:$AK$557,$B85:$D85)</f>
        <v>0.10457015769884956</v>
      </c>
      <c r="K606" s="10"/>
    </row>
    <row r="607" spans="1:11" x14ac:dyDescent="0.25">
      <c r="A607" s="3" t="s">
        <v>174</v>
      </c>
      <c r="B607" s="33">
        <f>SUMPRODUCT($C$560:$E$560,$B86:$D86)</f>
        <v>4.0706130004593298E-2</v>
      </c>
      <c r="C607" s="33">
        <f>SUMPRODUCT($G$560:$I$560,$B86:$D86)</f>
        <v>2.3318716338496633E-2</v>
      </c>
      <c r="D607" s="33">
        <f>SUMPRODUCT($K$560:$M$560,$B86:$D86)</f>
        <v>2.3318716338496633E-2</v>
      </c>
      <c r="E607" s="33">
        <f>SUMPRODUCT($O$560:$Q$560,$B86:$D86)</f>
        <v>0.10035325971539692</v>
      </c>
      <c r="F607" s="33">
        <f>SUMPRODUCT($S$560:$U$560,$B86:$D86)</f>
        <v>0.10035325971539692</v>
      </c>
      <c r="G607" s="33">
        <f>SUMPRODUCT($W$560:$Y$560,$B86:$D86)</f>
        <v>2.3318716338496633E-2</v>
      </c>
      <c r="H607" s="33">
        <f>SUMPRODUCT($AA$560:$AC$560,$B86:$D86)</f>
        <v>0.10035325971539692</v>
      </c>
      <c r="I607" s="33">
        <f>SUMPRODUCT($AE$560:$AG$560,$B86:$D86)</f>
        <v>0.10035325971539692</v>
      </c>
      <c r="J607" s="33">
        <f>SUMPRODUCT($AI$560:$AK$560,$B86:$D86)</f>
        <v>0.10035325971539692</v>
      </c>
      <c r="K607" s="10"/>
    </row>
    <row r="608" spans="1:11" x14ac:dyDescent="0.25">
      <c r="A608" s="3" t="s">
        <v>175</v>
      </c>
      <c r="B608" s="33">
        <f>SUMPRODUCT($C$562:$E$562,$B87:$D87)</f>
        <v>2.9029470440480602E-2</v>
      </c>
      <c r="C608" s="33">
        <f>SUMPRODUCT($G$562:$I$562,$B87:$D87)</f>
        <v>1.662946128273508E-2</v>
      </c>
      <c r="D608" s="33">
        <f>SUMPRODUCT($K$562:$M$562,$B87:$D87)</f>
        <v>1.662946128273508E-2</v>
      </c>
      <c r="E608" s="33">
        <f>SUMPRODUCT($O$562:$Q$562,$B87:$D87)</f>
        <v>7.1566752707777112E-2</v>
      </c>
      <c r="F608" s="33">
        <f>SUMPRODUCT($S$562:$U$562,$B87:$D87)</f>
        <v>7.1566752707777112E-2</v>
      </c>
      <c r="G608" s="33">
        <f>SUMPRODUCT($W$562:$Y$562,$B87:$D87)</f>
        <v>1.662946128273508E-2</v>
      </c>
      <c r="H608" s="33">
        <f>SUMPRODUCT($AA$562:$AC$562,$B87:$D87)</f>
        <v>7.1566752707777112E-2</v>
      </c>
      <c r="I608" s="33">
        <f>SUMPRODUCT($AE$562:$AG$562,$B87:$D87)</f>
        <v>7.1566752707777112E-2</v>
      </c>
      <c r="J608" s="33">
        <f>SUMPRODUCT($AI$562:$AK$562,$B87:$D87)</f>
        <v>7.1566752707777112E-2</v>
      </c>
      <c r="K608" s="10"/>
    </row>
    <row r="609" spans="1:11" x14ac:dyDescent="0.25">
      <c r="A609" s="3" t="s">
        <v>176</v>
      </c>
      <c r="B609" s="33">
        <f>SUMPRODUCT($C$563:$E$563,$B88:$D88)</f>
        <v>2.9029470440480602E-2</v>
      </c>
      <c r="C609" s="33">
        <f>SUMPRODUCT($G$563:$I$563,$B88:$D88)</f>
        <v>1.662946128273508E-2</v>
      </c>
      <c r="D609" s="33">
        <f>SUMPRODUCT($K$563:$M$563,$B88:$D88)</f>
        <v>1.662946128273508E-2</v>
      </c>
      <c r="E609" s="33">
        <f>SUMPRODUCT($O$563:$Q$563,$B88:$D88)</f>
        <v>7.1566752707777112E-2</v>
      </c>
      <c r="F609" s="33">
        <f>SUMPRODUCT($S$563:$U$563,$B88:$D88)</f>
        <v>7.1566752707777112E-2</v>
      </c>
      <c r="G609" s="33">
        <f>SUMPRODUCT($W$563:$Y$563,$B88:$D88)</f>
        <v>1.662946128273508E-2</v>
      </c>
      <c r="H609" s="33">
        <f>SUMPRODUCT($AA$563:$AC$563,$B88:$D88)</f>
        <v>7.1566752707777112E-2</v>
      </c>
      <c r="I609" s="33">
        <f>SUMPRODUCT($AE$563:$AG$563,$B88:$D88)</f>
        <v>7.1566752707777112E-2</v>
      </c>
      <c r="J609" s="33">
        <f>SUMPRODUCT($AI$563:$AK$563,$B88:$D88)</f>
        <v>7.1566752707777112E-2</v>
      </c>
      <c r="K609" s="10"/>
    </row>
    <row r="610" spans="1:11" x14ac:dyDescent="0.25">
      <c r="A610" s="3" t="s">
        <v>192</v>
      </c>
      <c r="B610" s="33">
        <f>SUMPRODUCT($C$564:$E$564,$B89:$D89)</f>
        <v>2.9029470440480602E-2</v>
      </c>
      <c r="C610" s="33">
        <f>SUMPRODUCT($G$564:$I$564,$B89:$D89)</f>
        <v>1.662946128273508E-2</v>
      </c>
      <c r="D610" s="33">
        <f>SUMPRODUCT($K$564:$M$564,$B89:$D89)</f>
        <v>1.662946128273508E-2</v>
      </c>
      <c r="E610" s="33">
        <f>SUMPRODUCT($O$564:$Q$564,$B89:$D89)</f>
        <v>7.1566752707777112E-2</v>
      </c>
      <c r="F610" s="33">
        <f>SUMPRODUCT($S$564:$U$564,$B89:$D89)</f>
        <v>7.1566752707777112E-2</v>
      </c>
      <c r="G610" s="33">
        <f>SUMPRODUCT($W$564:$Y$564,$B89:$D89)</f>
        <v>1.662946128273508E-2</v>
      </c>
      <c r="H610" s="33">
        <f>SUMPRODUCT($AA$564:$AC$564,$B89:$D89)</f>
        <v>7.1566752707777112E-2</v>
      </c>
      <c r="I610" s="33">
        <f>SUMPRODUCT($AE$564:$AG$564,$B89:$D89)</f>
        <v>7.1566752707777112E-2</v>
      </c>
      <c r="J610" s="33">
        <f>SUMPRODUCT($AI$564:$AK$564,$B89:$D89)</f>
        <v>7.1566752707777112E-2</v>
      </c>
      <c r="K610" s="10"/>
    </row>
    <row r="611" spans="1:11" x14ac:dyDescent="0.25">
      <c r="A611" s="3" t="s">
        <v>177</v>
      </c>
      <c r="B611" s="33">
        <f>SUMPRODUCT($C$565:$E$565,$B90:$D90)</f>
        <v>0</v>
      </c>
      <c r="C611" s="33">
        <f>SUMPRODUCT($G$565:$I$565,$B90:$D90)</f>
        <v>0.54466646709024191</v>
      </c>
      <c r="D611" s="33">
        <f>SUMPRODUCT($K$565:$M$565,$B90:$D90)</f>
        <v>0.54466646709024191</v>
      </c>
      <c r="E611" s="33">
        <f>SUMPRODUCT($O$565:$Q$565,$B90:$D90)</f>
        <v>1.1792551017148643</v>
      </c>
      <c r="F611" s="33">
        <f>SUMPRODUCT($S$565:$U$565,$B90:$D90)</f>
        <v>1.1792551017148643</v>
      </c>
      <c r="G611" s="33">
        <f>SUMPRODUCT($W$565:$Y$565,$B90:$D90)</f>
        <v>0.54466646709024191</v>
      </c>
      <c r="H611" s="33">
        <f>SUMPRODUCT($AA$565:$AC$565,$B90:$D90)</f>
        <v>1.1792551017148643</v>
      </c>
      <c r="I611" s="33">
        <f>SUMPRODUCT($AE$565:$AG$565,$B90:$D90)</f>
        <v>1.1792551017148643</v>
      </c>
      <c r="J611" s="33">
        <f>SUMPRODUCT($AI$565:$AK$565,$B90:$D90)</f>
        <v>1.1792551017148643</v>
      </c>
      <c r="K611" s="10"/>
    </row>
    <row r="612" spans="1:11" x14ac:dyDescent="0.25">
      <c r="A612" s="3" t="s">
        <v>178</v>
      </c>
      <c r="B612" s="33">
        <f>SUMPRODUCT($C$566:$E$566,$B91:$D91)</f>
        <v>0</v>
      </c>
      <c r="C612" s="33">
        <f>SUMPRODUCT($G$566:$I$566,$B91:$D91)</f>
        <v>0.56095506857452526</v>
      </c>
      <c r="D612" s="33">
        <f>SUMPRODUCT($K$566:$M$566,$B91:$D91)</f>
        <v>0.56095506857452526</v>
      </c>
      <c r="E612" s="33">
        <f>SUMPRODUCT($O$566:$Q$566,$B91:$D91)</f>
        <v>1.213858310797814</v>
      </c>
      <c r="F612" s="33">
        <f>SUMPRODUCT($S$566:$U$566,$B91:$D91)</f>
        <v>1.213858310797814</v>
      </c>
      <c r="G612" s="33">
        <f>SUMPRODUCT($W$566:$Y$566,$B91:$D91)</f>
        <v>0.56095506857452526</v>
      </c>
      <c r="H612" s="33">
        <f>SUMPRODUCT($AA$566:$AC$566,$B91:$D91)</f>
        <v>1.213858310797814</v>
      </c>
      <c r="I612" s="33">
        <f>SUMPRODUCT($AE$566:$AG$566,$B91:$D91)</f>
        <v>1.213858310797814</v>
      </c>
      <c r="J612" s="33">
        <f>SUMPRODUCT($AI$566:$AK$566,$B91:$D91)</f>
        <v>1.213858310797814</v>
      </c>
      <c r="K612" s="10"/>
    </row>
    <row r="613" spans="1:11" x14ac:dyDescent="0.25">
      <c r="A613" s="3" t="s">
        <v>179</v>
      </c>
      <c r="B613" s="33">
        <f>SUMPRODUCT($C$567:$E$567,$B92:$D92)</f>
        <v>0</v>
      </c>
      <c r="C613" s="33">
        <f>SUMPRODUCT($G$567:$I$567,$B92:$D92)</f>
        <v>0.5190521798859915</v>
      </c>
      <c r="D613" s="33">
        <f>SUMPRODUCT($K$567:$M$567,$B92:$D92)</f>
        <v>0.5190521798859915</v>
      </c>
      <c r="E613" s="33">
        <f>SUMPRODUCT($O$567:$Q$567,$B92:$D92)</f>
        <v>1.1231922227151239</v>
      </c>
      <c r="F613" s="33">
        <f>SUMPRODUCT($S$567:$U$567,$B92:$D92)</f>
        <v>1.1231922227151239</v>
      </c>
      <c r="G613" s="33">
        <f>SUMPRODUCT($W$567:$Y$567,$B92:$D92)</f>
        <v>0.5190521798859915</v>
      </c>
      <c r="H613" s="33">
        <f>SUMPRODUCT($AA$567:$AC$567,$B92:$D92)</f>
        <v>1.1231922227151239</v>
      </c>
      <c r="I613" s="33">
        <f>SUMPRODUCT($AE$567:$AG$567,$B92:$D92)</f>
        <v>1.1231922227151239</v>
      </c>
      <c r="J613" s="33">
        <f>SUMPRODUCT($AI$567:$AK$567,$B92:$D92)</f>
        <v>1.1231922227151239</v>
      </c>
      <c r="K613" s="10"/>
    </row>
    <row r="614" spans="1:11" x14ac:dyDescent="0.25">
      <c r="A614" s="3" t="s">
        <v>180</v>
      </c>
      <c r="B614" s="33">
        <f>SUMPRODUCT($C$568:$E$568,$B93:$D93)</f>
        <v>0</v>
      </c>
      <c r="C614" s="33">
        <f>SUMPRODUCT($G$568:$I$568,$B93:$D93)</f>
        <v>0.52261629914368912</v>
      </c>
      <c r="D614" s="33">
        <f>SUMPRODUCT($K$568:$M$568,$B93:$D93)</f>
        <v>0.52261629914368912</v>
      </c>
      <c r="E614" s="33">
        <f>SUMPRODUCT($O$568:$Q$568,$B93:$D93)</f>
        <v>1.1309047248222421</v>
      </c>
      <c r="F614" s="33">
        <f>SUMPRODUCT($S$568:$U$568,$B93:$D93)</f>
        <v>1.1309047248222421</v>
      </c>
      <c r="G614" s="33">
        <f>SUMPRODUCT($W$568:$Y$568,$B93:$D93)</f>
        <v>0.52261629914368912</v>
      </c>
      <c r="H614" s="33">
        <f>SUMPRODUCT($AA$568:$AC$568,$B93:$D93)</f>
        <v>1.1309047248222421</v>
      </c>
      <c r="I614" s="33">
        <f>SUMPRODUCT($AE$568:$AG$568,$B93:$D93)</f>
        <v>1.1309047248222421</v>
      </c>
      <c r="J614" s="33">
        <f>SUMPRODUCT($AI$568:$AK$568,$B93:$D93)</f>
        <v>1.1309047248222421</v>
      </c>
      <c r="K614" s="10"/>
    </row>
    <row r="615" spans="1:11" x14ac:dyDescent="0.25">
      <c r="A615" s="3" t="s">
        <v>193</v>
      </c>
      <c r="B615" s="33">
        <f>SUMPRODUCT($C$569:$E$569,$B94:$D94)</f>
        <v>0</v>
      </c>
      <c r="C615" s="33">
        <f>SUMPRODUCT($G$569:$I$569,$B94:$D94)</f>
        <v>0.46357147302321955</v>
      </c>
      <c r="D615" s="33">
        <f>SUMPRODUCT($K$569:$M$569,$B94:$D94)</f>
        <v>0.46357147302321955</v>
      </c>
      <c r="E615" s="33">
        <f>SUMPRODUCT($O$569:$Q$569,$B94:$D94)</f>
        <v>1.0031358952902192</v>
      </c>
      <c r="F615" s="33">
        <f>SUMPRODUCT($S$569:$U$569,$B94:$D94)</f>
        <v>1.0031358952902192</v>
      </c>
      <c r="G615" s="33">
        <f>SUMPRODUCT($W$569:$Y$569,$B94:$D94)</f>
        <v>0.46357147302321955</v>
      </c>
      <c r="H615" s="33">
        <f>SUMPRODUCT($AA$569:$AC$569,$B94:$D94)</f>
        <v>1.0031358952902192</v>
      </c>
      <c r="I615" s="33">
        <f>SUMPRODUCT($AE$569:$AG$569,$B94:$D94)</f>
        <v>1.0031358952902192</v>
      </c>
      <c r="J615" s="33">
        <f>SUMPRODUCT($AI$569:$AK$569,$B94:$D94)</f>
        <v>1.0031358952902192</v>
      </c>
      <c r="K615" s="10"/>
    </row>
    <row r="616" spans="1:11" x14ac:dyDescent="0.25">
      <c r="A616" s="3" t="s">
        <v>184</v>
      </c>
      <c r="B616" s="33">
        <f>SUMPRODUCT($C$570:$E$570,$B95:$D95)</f>
        <v>0</v>
      </c>
      <c r="C616" s="33">
        <f>SUMPRODUCT($G$570:$I$570,$B95:$D95)</f>
        <v>-0.4250628605966007</v>
      </c>
      <c r="D616" s="33">
        <f>SUMPRODUCT($K$570:$M$570,$B95:$D95)</f>
        <v>-0.4250628605966007</v>
      </c>
      <c r="E616" s="33">
        <f>SUMPRODUCT($O$570:$Q$570,$B95:$D95)</f>
        <v>-0.91980598037756123</v>
      </c>
      <c r="F616" s="33">
        <f>SUMPRODUCT($S$570:$U$570,$B95:$D95)</f>
        <v>-0.91980598037756123</v>
      </c>
      <c r="G616" s="33">
        <f>SUMPRODUCT($W$570:$Y$570,$B95:$D95)</f>
        <v>-0.4250628605966007</v>
      </c>
      <c r="H616" s="33">
        <f>SUMPRODUCT($AA$570:$AC$570,$B95:$D95)</f>
        <v>-0.91980598037756123</v>
      </c>
      <c r="I616" s="33">
        <f>SUMPRODUCT($AE$570:$AG$570,$B95:$D95)</f>
        <v>-0.91980598037756123</v>
      </c>
      <c r="J616" s="33">
        <f>SUMPRODUCT($AI$570:$AK$570,$B95:$D95)</f>
        <v>-0.91980598037756123</v>
      </c>
      <c r="K616" s="10"/>
    </row>
    <row r="617" spans="1:11" x14ac:dyDescent="0.25">
      <c r="A617" s="3" t="s">
        <v>186</v>
      </c>
      <c r="B617" s="33">
        <f>SUMPRODUCT($C$571:$E$571,$B96:$D96)</f>
        <v>0</v>
      </c>
      <c r="C617" s="33">
        <f>SUMPRODUCT($G$571:$I$571,$B96:$D96)</f>
        <v>-0.4250628605966007</v>
      </c>
      <c r="D617" s="33">
        <f>SUMPRODUCT($K$571:$M$571,$B96:$D96)</f>
        <v>-0.4250628605966007</v>
      </c>
      <c r="E617" s="33">
        <f>SUMPRODUCT($O$571:$Q$571,$B96:$D96)</f>
        <v>-0.91980598037756123</v>
      </c>
      <c r="F617" s="33">
        <f>SUMPRODUCT($S$571:$U$571,$B96:$D96)</f>
        <v>-0.91980598037756123</v>
      </c>
      <c r="G617" s="33">
        <f>SUMPRODUCT($W$571:$Y$571,$B96:$D96)</f>
        <v>-0.4250628605966007</v>
      </c>
      <c r="H617" s="33">
        <f>SUMPRODUCT($AA$571:$AC$571,$B96:$D96)</f>
        <v>-0.91980598037756123</v>
      </c>
      <c r="I617" s="33">
        <f>SUMPRODUCT($AE$571:$AG$571,$B96:$D96)</f>
        <v>-0.91980598037756123</v>
      </c>
      <c r="J617" s="33">
        <f>SUMPRODUCT($AI$571:$AK$571,$B96:$D96)</f>
        <v>-0.91980598037756123</v>
      </c>
      <c r="K617" s="10"/>
    </row>
    <row r="618" spans="1:11" x14ac:dyDescent="0.25">
      <c r="A618" s="3" t="s">
        <v>195</v>
      </c>
      <c r="B618" s="33">
        <f>SUMPRODUCT($C$572:$E$572,$B97:$D97)</f>
        <v>0</v>
      </c>
      <c r="C618" s="33">
        <f>SUMPRODUCT($G$572:$I$572,$B97:$D97)</f>
        <v>-0.4250628605966007</v>
      </c>
      <c r="D618" s="33">
        <f>SUMPRODUCT($K$572:$M$572,$B97:$D97)</f>
        <v>-0.4250628605966007</v>
      </c>
      <c r="E618" s="33">
        <f>SUMPRODUCT($O$572:$Q$572,$B97:$D97)</f>
        <v>-0.91980598037756123</v>
      </c>
      <c r="F618" s="33">
        <f>SUMPRODUCT($S$572:$U$572,$B97:$D97)</f>
        <v>-0.91980598037756123</v>
      </c>
      <c r="G618" s="33">
        <f>SUMPRODUCT($W$572:$Y$572,$B97:$D97)</f>
        <v>-0.4250628605966007</v>
      </c>
      <c r="H618" s="33">
        <f>SUMPRODUCT($AA$572:$AC$572,$B97:$D97)</f>
        <v>-0.91980598037756123</v>
      </c>
      <c r="I618" s="33">
        <f>SUMPRODUCT($AE$572:$AG$572,$B97:$D97)</f>
        <v>-0.91980598037756123</v>
      </c>
      <c r="J618" s="33">
        <f>SUMPRODUCT($AI$572:$AK$572,$B97:$D97)</f>
        <v>-0.91980598037756123</v>
      </c>
      <c r="K618" s="10"/>
    </row>
    <row r="620" spans="1:11" ht="21" customHeight="1" x14ac:dyDescent="0.3">
      <c r="A620" s="1" t="s">
        <v>711</v>
      </c>
    </row>
    <row r="621" spans="1:11" x14ac:dyDescent="0.25">
      <c r="A621" s="2" t="s">
        <v>356</v>
      </c>
    </row>
    <row r="622" spans="1:11" x14ac:dyDescent="0.25">
      <c r="A622" s="11" t="s">
        <v>707</v>
      </c>
    </row>
    <row r="623" spans="1:11" x14ac:dyDescent="0.25">
      <c r="A623" s="11" t="s">
        <v>712</v>
      </c>
    </row>
    <row r="624" spans="1:11" x14ac:dyDescent="0.25">
      <c r="A624" s="2" t="s">
        <v>369</v>
      </c>
    </row>
    <row r="626" spans="1:11" x14ac:dyDescent="0.25">
      <c r="B626" s="12" t="s">
        <v>139</v>
      </c>
      <c r="C626" s="12" t="s">
        <v>140</v>
      </c>
      <c r="D626" s="12" t="s">
        <v>141</v>
      </c>
      <c r="E626" s="12" t="s">
        <v>142</v>
      </c>
      <c r="F626" s="12" t="s">
        <v>143</v>
      </c>
      <c r="G626" s="12" t="s">
        <v>148</v>
      </c>
      <c r="H626" s="12" t="s">
        <v>144</v>
      </c>
      <c r="I626" s="12" t="s">
        <v>145</v>
      </c>
      <c r="J626" s="12" t="s">
        <v>146</v>
      </c>
    </row>
    <row r="627" spans="1:11" x14ac:dyDescent="0.25">
      <c r="A627" s="3" t="s">
        <v>177</v>
      </c>
      <c r="B627" s="33">
        <f>SUMPRODUCT($C$565:$E$565,$B102:$D102)</f>
        <v>3.7208906197060257E-2</v>
      </c>
      <c r="C627" s="33">
        <f>SUMPRODUCT($G$565:$I$565,$B102:$D102)</f>
        <v>2.1308636359734019E-2</v>
      </c>
      <c r="D627" s="33">
        <f>SUMPRODUCT($K$565:$M$565,$B102:$D102)</f>
        <v>2.1308636359734019E-2</v>
      </c>
      <c r="E627" s="33">
        <f>SUMPRODUCT($O$565:$Q$565,$B102:$D102)</f>
        <v>9.1753543730134959E-2</v>
      </c>
      <c r="F627" s="33">
        <f>SUMPRODUCT($S$565:$U$565,$B102:$D102)</f>
        <v>9.1753543730134959E-2</v>
      </c>
      <c r="G627" s="33">
        <f>SUMPRODUCT($W$565:$Y$565,$B102:$D102)</f>
        <v>2.1308636359734019E-2</v>
      </c>
      <c r="H627" s="33">
        <f>SUMPRODUCT($AA$565:$AC$565,$B102:$D102)</f>
        <v>9.1753543730134959E-2</v>
      </c>
      <c r="I627" s="33">
        <f>SUMPRODUCT($AE$565:$AG$565,$B102:$D102)</f>
        <v>9.1753543730134959E-2</v>
      </c>
      <c r="J627" s="33">
        <f>SUMPRODUCT($AI$565:$AK$565,$B102:$D102)</f>
        <v>9.1753543730134959E-2</v>
      </c>
      <c r="K627" s="10"/>
    </row>
    <row r="628" spans="1:11" x14ac:dyDescent="0.25">
      <c r="A628" s="3" t="s">
        <v>178</v>
      </c>
      <c r="B628" s="33">
        <f>SUMPRODUCT($C$566:$E$566,$B103:$D103)</f>
        <v>3.833237441069038E-2</v>
      </c>
      <c r="C628" s="33">
        <f>SUMPRODUCT($G$566:$I$566,$B103:$D103)</f>
        <v>2.1945884853645271E-2</v>
      </c>
      <c r="D628" s="33">
        <f>SUMPRODUCT($K$566:$M$566,$B103:$D103)</f>
        <v>2.1945884853645271E-2</v>
      </c>
      <c r="E628" s="33">
        <f>SUMPRODUCT($O$566:$Q$566,$B103:$D103)</f>
        <v>9.4445893377957932E-2</v>
      </c>
      <c r="F628" s="33">
        <f>SUMPRODUCT($S$566:$U$566,$B103:$D103)</f>
        <v>9.4445893377957932E-2</v>
      </c>
      <c r="G628" s="33">
        <f>SUMPRODUCT($W$566:$Y$566,$B103:$D103)</f>
        <v>2.1945884853645271E-2</v>
      </c>
      <c r="H628" s="33">
        <f>SUMPRODUCT($AA$566:$AC$566,$B103:$D103)</f>
        <v>9.4445893377957932E-2</v>
      </c>
      <c r="I628" s="33">
        <f>SUMPRODUCT($AE$566:$AG$566,$B103:$D103)</f>
        <v>9.4445893377957932E-2</v>
      </c>
      <c r="J628" s="33">
        <f>SUMPRODUCT($AI$566:$AK$566,$B103:$D103)</f>
        <v>9.4445893377957932E-2</v>
      </c>
      <c r="K628" s="10"/>
    </row>
    <row r="629" spans="1:11" x14ac:dyDescent="0.25">
      <c r="A629" s="3" t="s">
        <v>179</v>
      </c>
      <c r="B629" s="33">
        <f>SUMPRODUCT($C$567:$E$567,$B104:$D104)</f>
        <v>3.5448427303008442E-2</v>
      </c>
      <c r="C629" s="33">
        <f>SUMPRODUCT($G$567:$I$567,$B104:$D104)</f>
        <v>2.0306545053167997E-2</v>
      </c>
      <c r="D629" s="33">
        <f>SUMPRODUCT($K$567:$M$567,$B104:$D104)</f>
        <v>2.0306545053167997E-2</v>
      </c>
      <c r="E629" s="33">
        <f>SUMPRODUCT($O$567:$Q$567,$B104:$D104)</f>
        <v>8.739149533834964E-2</v>
      </c>
      <c r="F629" s="33">
        <f>SUMPRODUCT($S$567:$U$567,$B104:$D104)</f>
        <v>8.739149533834964E-2</v>
      </c>
      <c r="G629" s="33">
        <f>SUMPRODUCT($W$567:$Y$567,$B104:$D104)</f>
        <v>2.0306545053167997E-2</v>
      </c>
      <c r="H629" s="33">
        <f>SUMPRODUCT($AA$567:$AC$567,$B104:$D104)</f>
        <v>8.739149533834964E-2</v>
      </c>
      <c r="I629" s="33">
        <f>SUMPRODUCT($AE$567:$AG$567,$B104:$D104)</f>
        <v>8.739149533834964E-2</v>
      </c>
      <c r="J629" s="33">
        <f>SUMPRODUCT($AI$567:$AK$567,$B104:$D104)</f>
        <v>8.739149533834964E-2</v>
      </c>
      <c r="K629" s="10"/>
    </row>
    <row r="630" spans="1:11" x14ac:dyDescent="0.25">
      <c r="A630" s="3" t="s">
        <v>180</v>
      </c>
      <c r="B630" s="33">
        <f>SUMPRODUCT($C$568:$E$568,$B105:$D105)</f>
        <v>3.5691837170651219E-2</v>
      </c>
      <c r="C630" s="33">
        <f>SUMPRODUCT($G$568:$I$568,$B105:$D105)</f>
        <v>2.0445981801699133E-2</v>
      </c>
      <c r="D630" s="33">
        <f>SUMPRODUCT($K$568:$M$568,$B105:$D105)</f>
        <v>2.0445981801699133E-2</v>
      </c>
      <c r="E630" s="33">
        <f>SUMPRODUCT($O$568:$Q$568,$B105:$D105)</f>
        <v>8.799157703256931E-2</v>
      </c>
      <c r="F630" s="33">
        <f>SUMPRODUCT($S$568:$U$568,$B105:$D105)</f>
        <v>8.799157703256931E-2</v>
      </c>
      <c r="G630" s="33">
        <f>SUMPRODUCT($W$568:$Y$568,$B105:$D105)</f>
        <v>2.0445981801699133E-2</v>
      </c>
      <c r="H630" s="33">
        <f>SUMPRODUCT($AA$568:$AC$568,$B105:$D105)</f>
        <v>8.799157703256931E-2</v>
      </c>
      <c r="I630" s="33">
        <f>SUMPRODUCT($AE$568:$AG$568,$B105:$D105)</f>
        <v>8.799157703256931E-2</v>
      </c>
      <c r="J630" s="33">
        <f>SUMPRODUCT($AI$568:$AK$568,$B105:$D105)</f>
        <v>8.799157703256931E-2</v>
      </c>
      <c r="K630" s="10"/>
    </row>
    <row r="631" spans="1:11" x14ac:dyDescent="0.25">
      <c r="A631" s="3" t="s">
        <v>193</v>
      </c>
      <c r="B631" s="33">
        <f>SUMPRODUCT($C$569:$E$569,$B106:$D106)</f>
        <v>3.1659398222393706E-2</v>
      </c>
      <c r="C631" s="33">
        <f>SUMPRODUCT($G$569:$I$569,$B106:$D106)</f>
        <v>1.8136008993117264E-2</v>
      </c>
      <c r="D631" s="33">
        <f>SUMPRODUCT($K$569:$M$569,$B106:$D106)</f>
        <v>1.8136008993117264E-2</v>
      </c>
      <c r="E631" s="33">
        <f>SUMPRODUCT($O$569:$Q$569,$B106:$D106)</f>
        <v>7.8050349836887245E-2</v>
      </c>
      <c r="F631" s="33">
        <f>SUMPRODUCT($S$569:$U$569,$B106:$D106)</f>
        <v>7.8050349836887245E-2</v>
      </c>
      <c r="G631" s="33">
        <f>SUMPRODUCT($W$569:$Y$569,$B106:$D106)</f>
        <v>1.8136008993117264E-2</v>
      </c>
      <c r="H631" s="33">
        <f>SUMPRODUCT($AA$569:$AC$569,$B106:$D106)</f>
        <v>7.8050349836887245E-2</v>
      </c>
      <c r="I631" s="33">
        <f>SUMPRODUCT($AE$569:$AG$569,$B106:$D106)</f>
        <v>7.8050349836887245E-2</v>
      </c>
      <c r="J631" s="33">
        <f>SUMPRODUCT($AI$569:$AK$569,$B106:$D106)</f>
        <v>7.8050349836887245E-2</v>
      </c>
      <c r="K631" s="10"/>
    </row>
    <row r="632" spans="1:11" x14ac:dyDescent="0.25">
      <c r="A632" s="3" t="s">
        <v>184</v>
      </c>
      <c r="B632" s="33">
        <f>SUMPRODUCT($C$570:$E$570,$B107:$D107)</f>
        <v>-2.9029470440480602E-2</v>
      </c>
      <c r="C632" s="33">
        <f>SUMPRODUCT($G$570:$I$570,$B107:$D107)</f>
        <v>-1.662946128273508E-2</v>
      </c>
      <c r="D632" s="33">
        <f>SUMPRODUCT($K$570:$M$570,$B107:$D107)</f>
        <v>-1.662946128273508E-2</v>
      </c>
      <c r="E632" s="33">
        <f>SUMPRODUCT($O$570:$Q$570,$B107:$D107)</f>
        <v>-7.1566752707777112E-2</v>
      </c>
      <c r="F632" s="33">
        <f>SUMPRODUCT($S$570:$U$570,$B107:$D107)</f>
        <v>-7.1566752707777112E-2</v>
      </c>
      <c r="G632" s="33">
        <f>SUMPRODUCT($W$570:$Y$570,$B107:$D107)</f>
        <v>-1.662946128273508E-2</v>
      </c>
      <c r="H632" s="33">
        <f>SUMPRODUCT($AA$570:$AC$570,$B107:$D107)</f>
        <v>-7.1566752707777112E-2</v>
      </c>
      <c r="I632" s="33">
        <f>SUMPRODUCT($AE$570:$AG$570,$B107:$D107)</f>
        <v>-7.1566752707777112E-2</v>
      </c>
      <c r="J632" s="33">
        <f>SUMPRODUCT($AI$570:$AK$570,$B107:$D107)</f>
        <v>-7.1566752707777112E-2</v>
      </c>
      <c r="K632" s="10"/>
    </row>
    <row r="633" spans="1:11" x14ac:dyDescent="0.25">
      <c r="A633" s="3" t="s">
        <v>186</v>
      </c>
      <c r="B633" s="33">
        <f>SUMPRODUCT($C$571:$E$571,$B108:$D108)</f>
        <v>-2.9029470440480602E-2</v>
      </c>
      <c r="C633" s="33">
        <f>SUMPRODUCT($G$571:$I$571,$B108:$D108)</f>
        <v>-1.662946128273508E-2</v>
      </c>
      <c r="D633" s="33">
        <f>SUMPRODUCT($K$571:$M$571,$B108:$D108)</f>
        <v>-1.662946128273508E-2</v>
      </c>
      <c r="E633" s="33">
        <f>SUMPRODUCT($O$571:$Q$571,$B108:$D108)</f>
        <v>-7.1566752707777112E-2</v>
      </c>
      <c r="F633" s="33">
        <f>SUMPRODUCT($S$571:$U$571,$B108:$D108)</f>
        <v>-7.1566752707777112E-2</v>
      </c>
      <c r="G633" s="33">
        <f>SUMPRODUCT($W$571:$Y$571,$B108:$D108)</f>
        <v>-1.662946128273508E-2</v>
      </c>
      <c r="H633" s="33">
        <f>SUMPRODUCT($AA$571:$AC$571,$B108:$D108)</f>
        <v>-7.1566752707777112E-2</v>
      </c>
      <c r="I633" s="33">
        <f>SUMPRODUCT($AE$571:$AG$571,$B108:$D108)</f>
        <v>-7.1566752707777112E-2</v>
      </c>
      <c r="J633" s="33">
        <f>SUMPRODUCT($AI$571:$AK$571,$B108:$D108)</f>
        <v>-7.1566752707777112E-2</v>
      </c>
      <c r="K633" s="10"/>
    </row>
    <row r="634" spans="1:11" x14ac:dyDescent="0.25">
      <c r="A634" s="3" t="s">
        <v>195</v>
      </c>
      <c r="B634" s="33">
        <f>SUMPRODUCT($C$572:$E$572,$B109:$D109)</f>
        <v>-2.9029470440480602E-2</v>
      </c>
      <c r="C634" s="33">
        <f>SUMPRODUCT($G$572:$I$572,$B109:$D109)</f>
        <v>-1.662946128273508E-2</v>
      </c>
      <c r="D634" s="33">
        <f>SUMPRODUCT($K$572:$M$572,$B109:$D109)</f>
        <v>-1.662946128273508E-2</v>
      </c>
      <c r="E634" s="33">
        <f>SUMPRODUCT($O$572:$Q$572,$B109:$D109)</f>
        <v>-7.1566752707777112E-2</v>
      </c>
      <c r="F634" s="33">
        <f>SUMPRODUCT($S$572:$U$572,$B109:$D109)</f>
        <v>-7.1566752707777112E-2</v>
      </c>
      <c r="G634" s="33">
        <f>SUMPRODUCT($W$572:$Y$572,$B109:$D109)</f>
        <v>-1.662946128273508E-2</v>
      </c>
      <c r="H634" s="33">
        <f>SUMPRODUCT($AA$572:$AC$572,$B109:$D109)</f>
        <v>-7.1566752707777112E-2</v>
      </c>
      <c r="I634" s="33">
        <f>SUMPRODUCT($AE$572:$AG$572,$B109:$D109)</f>
        <v>-7.1566752707777112E-2</v>
      </c>
      <c r="J634" s="33">
        <f>SUMPRODUCT($AI$572:$AK$572,$B109:$D109)</f>
        <v>-7.1566752707777112E-2</v>
      </c>
      <c r="K634" s="10"/>
    </row>
    <row r="636" spans="1:11" ht="21" customHeight="1" x14ac:dyDescent="0.3">
      <c r="A636" s="1" t="s">
        <v>713</v>
      </c>
    </row>
    <row r="637" spans="1:11" x14ac:dyDescent="0.25">
      <c r="A637" s="2" t="s">
        <v>356</v>
      </c>
    </row>
    <row r="638" spans="1:11" x14ac:dyDescent="0.25">
      <c r="A638" s="11" t="s">
        <v>714</v>
      </c>
    </row>
    <row r="639" spans="1:11" x14ac:dyDescent="0.25">
      <c r="A639" s="11" t="s">
        <v>547</v>
      </c>
    </row>
    <row r="640" spans="1:11" x14ac:dyDescent="0.25">
      <c r="A640" s="11" t="s">
        <v>715</v>
      </c>
    </row>
    <row r="641" spans="1:6" x14ac:dyDescent="0.25">
      <c r="A641" s="29" t="s">
        <v>359</v>
      </c>
      <c r="B641" s="29" t="s">
        <v>490</v>
      </c>
      <c r="C641" s="29" t="s">
        <v>489</v>
      </c>
      <c r="D641" s="29"/>
      <c r="E641" s="29"/>
    </row>
    <row r="642" spans="1:6" x14ac:dyDescent="0.25">
      <c r="A642" s="29" t="s">
        <v>362</v>
      </c>
      <c r="B642" s="29" t="s">
        <v>540</v>
      </c>
      <c r="C642" s="29" t="s">
        <v>549</v>
      </c>
      <c r="D642" s="29"/>
      <c r="E642" s="29"/>
    </row>
    <row r="644" spans="1:6" ht="30" x14ac:dyDescent="0.25">
      <c r="C644" s="27" t="s">
        <v>716</v>
      </c>
      <c r="D644" s="27"/>
      <c r="E644" s="27"/>
    </row>
    <row r="645" spans="1:6" x14ac:dyDescent="0.25">
      <c r="B645" s="12" t="s">
        <v>550</v>
      </c>
      <c r="C645" s="12" t="s">
        <v>329</v>
      </c>
      <c r="D645" s="12" t="s">
        <v>330</v>
      </c>
      <c r="E645" s="12" t="s">
        <v>326</v>
      </c>
    </row>
    <row r="646" spans="1:6" ht="30" x14ac:dyDescent="0.25">
      <c r="A646" s="3" t="s">
        <v>717</v>
      </c>
      <c r="B646" s="38">
        <f>SUM(Input!$B341:$D341)</f>
        <v>8760</v>
      </c>
      <c r="C646" s="38">
        <f>Input!B341*24*Input!$F58/$B646</f>
        <v>258</v>
      </c>
      <c r="D646" s="38">
        <f>Input!C341*24*Input!$F58/$B646</f>
        <v>3252</v>
      </c>
      <c r="E646" s="38">
        <f>Input!D341*24*Input!$F58/$B646</f>
        <v>5250</v>
      </c>
      <c r="F646" s="10"/>
    </row>
    <row r="648" spans="1:6" ht="21" customHeight="1" x14ac:dyDescent="0.3">
      <c r="A648" s="1" t="s">
        <v>718</v>
      </c>
    </row>
    <row r="649" spans="1:6" x14ac:dyDescent="0.25">
      <c r="A649" s="2" t="s">
        <v>356</v>
      </c>
    </row>
    <row r="650" spans="1:6" x14ac:dyDescent="0.25">
      <c r="A650" s="11" t="s">
        <v>719</v>
      </c>
    </row>
    <row r="651" spans="1:6" x14ac:dyDescent="0.25">
      <c r="A651" s="11" t="s">
        <v>720</v>
      </c>
    </row>
    <row r="652" spans="1:6" x14ac:dyDescent="0.25">
      <c r="A652" s="11" t="s">
        <v>721</v>
      </c>
    </row>
    <row r="653" spans="1:6" x14ac:dyDescent="0.25">
      <c r="A653" s="11" t="s">
        <v>557</v>
      </c>
    </row>
    <row r="654" spans="1:6" x14ac:dyDescent="0.25">
      <c r="A654" s="29" t="s">
        <v>359</v>
      </c>
      <c r="B654" s="29" t="s">
        <v>490</v>
      </c>
      <c r="C654" s="29" t="s">
        <v>489</v>
      </c>
      <c r="D654" s="29"/>
      <c r="E654" s="29"/>
    </row>
    <row r="655" spans="1:6" x14ac:dyDescent="0.25">
      <c r="A655" s="29" t="s">
        <v>362</v>
      </c>
      <c r="B655" s="29" t="s">
        <v>540</v>
      </c>
      <c r="C655" s="29" t="s">
        <v>558</v>
      </c>
      <c r="D655" s="29"/>
      <c r="E655" s="29"/>
    </row>
    <row r="657" spans="1:6" ht="30" x14ac:dyDescent="0.25">
      <c r="C657" s="27" t="s">
        <v>722</v>
      </c>
      <c r="D657" s="27"/>
      <c r="E657" s="27"/>
    </row>
    <row r="658" spans="1:6" x14ac:dyDescent="0.25">
      <c r="B658" s="12" t="s">
        <v>559</v>
      </c>
      <c r="C658" s="12" t="s">
        <v>329</v>
      </c>
      <c r="D658" s="12" t="s">
        <v>330</v>
      </c>
      <c r="E658" s="12" t="s">
        <v>326</v>
      </c>
    </row>
    <row r="659" spans="1:6" x14ac:dyDescent="0.25">
      <c r="A659" s="3" t="s">
        <v>213</v>
      </c>
      <c r="B659" s="35">
        <f>SUM(Input!$B331:$D331)</f>
        <v>1</v>
      </c>
      <c r="C659" s="35">
        <f>IF($B659,Input!B331/$B659,C$646/Input!$F$58/24)</f>
        <v>2.9337899543378995E-2</v>
      </c>
      <c r="D659" s="35">
        <f>IF($B659,Input!C331/$B659,D$646/Input!$F$58/24)</f>
        <v>0.37237442922374431</v>
      </c>
      <c r="E659" s="35">
        <f>IF($B659,Input!D331/$B659,E$646/Input!$F$58/24)</f>
        <v>0.59828767123287674</v>
      </c>
      <c r="F659" s="10"/>
    </row>
    <row r="660" spans="1:6" x14ac:dyDescent="0.25">
      <c r="A660" s="3" t="s">
        <v>214</v>
      </c>
      <c r="B660" s="35">
        <f>SUM(Input!$B332:$D332)</f>
        <v>1</v>
      </c>
      <c r="C660" s="35">
        <f>IF($B660,Input!B332/$B660,C$646/Input!$F$58/24)</f>
        <v>4.9474083998010586E-2</v>
      </c>
      <c r="D660" s="35">
        <f>IF($B660,Input!C332/$B660,D$646/Input!$F$58/24)</f>
        <v>8.916622669344576E-2</v>
      </c>
      <c r="E660" s="35">
        <f>IF($B660,Input!D332/$B660,E$646/Input!$F$58/24)</f>
        <v>0.86135968930854367</v>
      </c>
      <c r="F660" s="10"/>
    </row>
    <row r="661" spans="1:6" x14ac:dyDescent="0.25">
      <c r="A661" s="3" t="s">
        <v>215</v>
      </c>
      <c r="B661" s="35">
        <f>SUM(Input!$B333:$D333)</f>
        <v>1</v>
      </c>
      <c r="C661" s="35">
        <f>IF($B661,Input!B333/$B661,C$646/Input!$F$58/24)</f>
        <v>8.99870184446908E-2</v>
      </c>
      <c r="D661" s="35">
        <f>IF($B661,Input!C333/$B661,D$646/Input!$F$58/24)</f>
        <v>0.15413944608086702</v>
      </c>
      <c r="E661" s="35">
        <f>IF($B661,Input!D333/$B661,E$646/Input!$F$58/24)</f>
        <v>0.75587353547444225</v>
      </c>
      <c r="F661" s="10"/>
    </row>
    <row r="662" spans="1:6" x14ac:dyDescent="0.25">
      <c r="A662" s="3" t="s">
        <v>216</v>
      </c>
      <c r="B662" s="35">
        <f>SUM(Input!$B334:$D334)</f>
        <v>1</v>
      </c>
      <c r="C662" s="35">
        <f>IF($B662,Input!B334/$B662,C$646/Input!$F$58/24)</f>
        <v>9.5948033573188957E-3</v>
      </c>
      <c r="D662" s="35">
        <f>IF($B662,Input!C334/$B662,D$646/Input!$F$58/24)</f>
        <v>0.6347847105654707</v>
      </c>
      <c r="E662" s="35">
        <f>IF($B662,Input!D334/$B662,E$646/Input!$F$58/24)</f>
        <v>0.35562048607721053</v>
      </c>
      <c r="F662" s="10"/>
    </row>
    <row r="664" spans="1:6" ht="21" customHeight="1" x14ac:dyDescent="0.3">
      <c r="A664" s="1" t="s">
        <v>723</v>
      </c>
    </row>
    <row r="665" spans="1:6" x14ac:dyDescent="0.25">
      <c r="A665" s="2" t="s">
        <v>356</v>
      </c>
    </row>
    <row r="666" spans="1:6" x14ac:dyDescent="0.25">
      <c r="A666" s="11" t="s">
        <v>724</v>
      </c>
    </row>
    <row r="667" spans="1:6" x14ac:dyDescent="0.25">
      <c r="A667" s="2" t="s">
        <v>725</v>
      </c>
    </row>
    <row r="668" spans="1:6" x14ac:dyDescent="0.25">
      <c r="A668" s="2" t="s">
        <v>374</v>
      </c>
    </row>
    <row r="670" spans="1:6" x14ac:dyDescent="0.25">
      <c r="B670" s="12" t="s">
        <v>329</v>
      </c>
      <c r="C670" s="12" t="s">
        <v>330</v>
      </c>
      <c r="D670" s="12" t="s">
        <v>326</v>
      </c>
    </row>
    <row r="671" spans="1:6" x14ac:dyDescent="0.25">
      <c r="A671" s="3" t="s">
        <v>213</v>
      </c>
      <c r="B671" s="37">
        <f>C$659</f>
        <v>2.9337899543378995E-2</v>
      </c>
      <c r="C671" s="37">
        <f>D$659</f>
        <v>0.37237442922374431</v>
      </c>
      <c r="D671" s="37">
        <f>E$659</f>
        <v>0.59828767123287674</v>
      </c>
      <c r="E671" s="10"/>
    </row>
    <row r="672" spans="1:6" x14ac:dyDescent="0.25">
      <c r="A672" s="3" t="s">
        <v>214</v>
      </c>
      <c r="B672" s="37">
        <f>C$660</f>
        <v>4.9474083998010586E-2</v>
      </c>
      <c r="C672" s="37">
        <f>D$660</f>
        <v>8.916622669344576E-2</v>
      </c>
      <c r="D672" s="37">
        <f>E$660</f>
        <v>0.86135968930854367</v>
      </c>
      <c r="E672" s="10"/>
    </row>
    <row r="673" spans="1:5" x14ac:dyDescent="0.25">
      <c r="A673" s="3" t="s">
        <v>215</v>
      </c>
      <c r="B673" s="37">
        <f>C$661</f>
        <v>8.99870184446908E-2</v>
      </c>
      <c r="C673" s="37">
        <f>D$661</f>
        <v>0.15413944608086702</v>
      </c>
      <c r="D673" s="37">
        <f>E$661</f>
        <v>0.75587353547444225</v>
      </c>
      <c r="E673" s="10"/>
    </row>
    <row r="674" spans="1:5" x14ac:dyDescent="0.25">
      <c r="A674" s="3" t="s">
        <v>216</v>
      </c>
      <c r="B674" s="37">
        <f>C$662</f>
        <v>9.5948033573188957E-3</v>
      </c>
      <c r="C674" s="37">
        <f>D$662</f>
        <v>0.6347847105654707</v>
      </c>
      <c r="D674" s="37">
        <f>E$662</f>
        <v>0.35562048607721053</v>
      </c>
      <c r="E674" s="10"/>
    </row>
    <row r="675" spans="1:5" x14ac:dyDescent="0.25">
      <c r="A675" s="3" t="s">
        <v>217</v>
      </c>
      <c r="B675" s="36">
        <v>1</v>
      </c>
      <c r="C675" s="36">
        <v>0</v>
      </c>
      <c r="D675" s="36">
        <v>0</v>
      </c>
      <c r="E675" s="10"/>
    </row>
    <row r="677" spans="1:5" ht="21" customHeight="1" x14ac:dyDescent="0.3">
      <c r="A677" s="1" t="s">
        <v>726</v>
      </c>
    </row>
    <row r="679" spans="1:5" x14ac:dyDescent="0.25">
      <c r="B679" s="12" t="s">
        <v>329</v>
      </c>
      <c r="C679" s="12" t="s">
        <v>330</v>
      </c>
      <c r="D679" s="12" t="s">
        <v>326</v>
      </c>
    </row>
    <row r="680" spans="1:5" x14ac:dyDescent="0.25">
      <c r="A680" s="3" t="s">
        <v>217</v>
      </c>
      <c r="B680" s="36">
        <v>0</v>
      </c>
      <c r="C680" s="36">
        <v>1</v>
      </c>
      <c r="D680" s="36">
        <v>0</v>
      </c>
      <c r="E680" s="10"/>
    </row>
    <row r="682" spans="1:5" ht="21" customHeight="1" x14ac:dyDescent="0.3">
      <c r="A682" s="1" t="s">
        <v>727</v>
      </c>
    </row>
    <row r="684" spans="1:5" x14ac:dyDescent="0.25">
      <c r="B684" s="12" t="s">
        <v>329</v>
      </c>
      <c r="C684" s="12" t="s">
        <v>330</v>
      </c>
      <c r="D684" s="12" t="s">
        <v>326</v>
      </c>
    </row>
    <row r="685" spans="1:5" x14ac:dyDescent="0.25">
      <c r="A685" s="3" t="s">
        <v>217</v>
      </c>
      <c r="B685" s="36">
        <v>0</v>
      </c>
      <c r="C685" s="36">
        <v>0</v>
      </c>
      <c r="D685" s="36">
        <v>1</v>
      </c>
      <c r="E685" s="10"/>
    </row>
    <row r="687" spans="1:5" ht="21" customHeight="1" x14ac:dyDescent="0.3">
      <c r="A687" s="1" t="s">
        <v>728</v>
      </c>
    </row>
    <row r="688" spans="1:5" x14ac:dyDescent="0.25">
      <c r="A688" s="2" t="s">
        <v>356</v>
      </c>
    </row>
    <row r="689" spans="1:6" x14ac:dyDescent="0.25">
      <c r="A689" s="11" t="s">
        <v>579</v>
      </c>
    </row>
    <row r="690" spans="1:6" x14ac:dyDescent="0.25">
      <c r="A690" s="11" t="s">
        <v>580</v>
      </c>
    </row>
    <row r="691" spans="1:6" x14ac:dyDescent="0.25">
      <c r="A691" s="11" t="s">
        <v>729</v>
      </c>
    </row>
    <row r="692" spans="1:6" x14ac:dyDescent="0.25">
      <c r="A692" s="11" t="s">
        <v>730</v>
      </c>
    </row>
    <row r="693" spans="1:6" x14ac:dyDescent="0.25">
      <c r="A693" s="11" t="s">
        <v>731</v>
      </c>
    </row>
    <row r="694" spans="1:6" x14ac:dyDescent="0.25">
      <c r="A694" s="11" t="s">
        <v>584</v>
      </c>
    </row>
    <row r="695" spans="1:6" x14ac:dyDescent="0.25">
      <c r="A695" s="29" t="s">
        <v>359</v>
      </c>
      <c r="B695" s="29" t="s">
        <v>489</v>
      </c>
      <c r="C695" s="29"/>
      <c r="D695" s="29"/>
      <c r="E695" s="29" t="s">
        <v>489</v>
      </c>
    </row>
    <row r="696" spans="1:6" ht="30" x14ac:dyDescent="0.25">
      <c r="A696" s="29" t="s">
        <v>362</v>
      </c>
      <c r="B696" s="29" t="s">
        <v>585</v>
      </c>
      <c r="C696" s="29"/>
      <c r="D696" s="29"/>
      <c r="E696" s="29" t="s">
        <v>586</v>
      </c>
    </row>
    <row r="698" spans="1:6" ht="30" x14ac:dyDescent="0.25">
      <c r="B698" s="27" t="s">
        <v>732</v>
      </c>
      <c r="C698" s="27"/>
      <c r="D698" s="27"/>
    </row>
    <row r="699" spans="1:6" ht="60" x14ac:dyDescent="0.25">
      <c r="B699" s="12" t="s">
        <v>329</v>
      </c>
      <c r="C699" s="12" t="s">
        <v>330</v>
      </c>
      <c r="D699" s="12" t="s">
        <v>326</v>
      </c>
      <c r="E699" s="12" t="s">
        <v>733</v>
      </c>
    </row>
    <row r="700" spans="1:6" x14ac:dyDescent="0.25">
      <c r="A700" s="3" t="s">
        <v>213</v>
      </c>
      <c r="B700" s="35">
        <f>IF($B$133&gt;0,(Loads!$B$316*B$671)/$B$133,0)</f>
        <v>2.9337899543378995E-2</v>
      </c>
      <c r="C700" s="35">
        <f>IF($B$133&gt;0,(Loads!$B$316*C$671)/$B$133,0)</f>
        <v>0.37237442922374431</v>
      </c>
      <c r="D700" s="35">
        <f>IF($B$133&gt;0,(Loads!$B$316*D$671)/$B$133,0)</f>
        <v>0.59828767123287674</v>
      </c>
      <c r="E700" s="33">
        <f>IF($C$646&gt;0,$B700*Input!$F$58*24/$C$646,0)</f>
        <v>0.99612403100775193</v>
      </c>
      <c r="F700" s="10"/>
    </row>
    <row r="701" spans="1:6" x14ac:dyDescent="0.25">
      <c r="A701" s="3" t="s">
        <v>214</v>
      </c>
      <c r="B701" s="35">
        <f>IF($B$134&gt;0,(Loads!$B$317*B$672)/$B$134,0)</f>
        <v>4.9474083998010586E-2</v>
      </c>
      <c r="C701" s="35">
        <f>IF($B$134&gt;0,(Loads!$B$317*C$672)/$B$134,0)</f>
        <v>8.9166226693445774E-2</v>
      </c>
      <c r="D701" s="35">
        <f>IF($B$134&gt;0,(Loads!$B$317*D$672)/$B$134,0)</f>
        <v>0.86135968930854379</v>
      </c>
      <c r="E701" s="33">
        <f>IF($C$646&gt;0,$B701*Input!$F$58*24/$C$646,0)</f>
        <v>1.6798177357464059</v>
      </c>
      <c r="F701" s="10"/>
    </row>
    <row r="702" spans="1:6" x14ac:dyDescent="0.25">
      <c r="A702" s="3" t="s">
        <v>215</v>
      </c>
      <c r="B702" s="35">
        <f>IF($B$135&gt;0,(Loads!$B$318*B$673)/$B$135,0)</f>
        <v>8.99870184446908E-2</v>
      </c>
      <c r="C702" s="35">
        <f>IF($B$135&gt;0,(Loads!$B$318*C$673)/$B$135,0)</f>
        <v>0.15413944608086702</v>
      </c>
      <c r="D702" s="35">
        <f>IF($B$135&gt;0,(Loads!$B$318*D$673)/$B$135,0)</f>
        <v>0.75587353547444225</v>
      </c>
      <c r="E702" s="33">
        <f>IF($C$646&gt;0,$B702*Input!$F$58*24/$C$646,0)</f>
        <v>3.0553731844011294</v>
      </c>
      <c r="F702" s="10"/>
    </row>
    <row r="703" spans="1:6" x14ac:dyDescent="0.25">
      <c r="A703" s="3" t="s">
        <v>216</v>
      </c>
      <c r="B703" s="35">
        <f>IF($B$136&gt;0,(Loads!$B$319*B$674)/$B$136,0)</f>
        <v>9.5948033573188957E-3</v>
      </c>
      <c r="C703" s="35">
        <f>IF($B$136&gt;0,(Loads!$B$319*C$674)/$B$136,0)</f>
        <v>0.6347847105654707</v>
      </c>
      <c r="D703" s="35">
        <f>IF($B$136&gt;0,(Loads!$B$319*D$674)/$B$136,0)</f>
        <v>0.35562048607721053</v>
      </c>
      <c r="E703" s="33">
        <f>IF($C$646&gt;0,$B703*Input!$F$58*24/$C$646,0)</f>
        <v>0.32577704422524623</v>
      </c>
      <c r="F703" s="10"/>
    </row>
    <row r="705" spans="1:5" ht="21" customHeight="1" x14ac:dyDescent="0.3">
      <c r="A705" s="1" t="s">
        <v>734</v>
      </c>
    </row>
    <row r="706" spans="1:5" x14ac:dyDescent="0.25">
      <c r="A706" s="2" t="s">
        <v>356</v>
      </c>
    </row>
    <row r="707" spans="1:5" x14ac:dyDescent="0.25">
      <c r="A707" s="11" t="s">
        <v>579</v>
      </c>
    </row>
    <row r="708" spans="1:5" x14ac:dyDescent="0.25">
      <c r="A708" s="11" t="s">
        <v>580</v>
      </c>
    </row>
    <row r="709" spans="1:5" x14ac:dyDescent="0.25">
      <c r="A709" s="11" t="s">
        <v>729</v>
      </c>
    </row>
    <row r="710" spans="1:5" x14ac:dyDescent="0.25">
      <c r="A710" s="11" t="s">
        <v>590</v>
      </c>
    </row>
    <row r="711" spans="1:5" x14ac:dyDescent="0.25">
      <c r="A711" s="11" t="s">
        <v>735</v>
      </c>
    </row>
    <row r="712" spans="1:5" x14ac:dyDescent="0.25">
      <c r="A712" s="11" t="s">
        <v>600</v>
      </c>
    </row>
    <row r="713" spans="1:5" x14ac:dyDescent="0.25">
      <c r="A713" s="11" t="s">
        <v>736</v>
      </c>
    </row>
    <row r="714" spans="1:5" x14ac:dyDescent="0.25">
      <c r="A714" s="11" t="s">
        <v>737</v>
      </c>
    </row>
    <row r="715" spans="1:5" x14ac:dyDescent="0.25">
      <c r="A715" s="11" t="s">
        <v>738</v>
      </c>
    </row>
    <row r="716" spans="1:5" x14ac:dyDescent="0.25">
      <c r="A716" s="11" t="s">
        <v>604</v>
      </c>
    </row>
    <row r="717" spans="1:5" x14ac:dyDescent="0.25">
      <c r="A717" s="29" t="s">
        <v>359</v>
      </c>
      <c r="B717" s="29" t="s">
        <v>489</v>
      </c>
      <c r="C717" s="29"/>
      <c r="D717" s="29"/>
      <c r="E717" s="29" t="s">
        <v>489</v>
      </c>
    </row>
    <row r="718" spans="1:5" ht="30" x14ac:dyDescent="0.25">
      <c r="A718" s="29" t="s">
        <v>362</v>
      </c>
      <c r="B718" s="29" t="s">
        <v>605</v>
      </c>
      <c r="C718" s="29"/>
      <c r="D718" s="29"/>
      <c r="E718" s="29" t="s">
        <v>606</v>
      </c>
    </row>
    <row r="720" spans="1:5" ht="30" x14ac:dyDescent="0.25">
      <c r="B720" s="27" t="s">
        <v>739</v>
      </c>
      <c r="C720" s="27"/>
      <c r="D720" s="27"/>
    </row>
    <row r="721" spans="1:6" ht="60" x14ac:dyDescent="0.25">
      <c r="B721" s="12" t="s">
        <v>329</v>
      </c>
      <c r="C721" s="12" t="s">
        <v>330</v>
      </c>
      <c r="D721" s="12" t="s">
        <v>326</v>
      </c>
      <c r="E721" s="12" t="s">
        <v>740</v>
      </c>
    </row>
    <row r="722" spans="1:6" x14ac:dyDescent="0.25">
      <c r="A722" s="3" t="s">
        <v>217</v>
      </c>
      <c r="B722" s="35">
        <f>IF($B$137&gt;0,(Loads!$B$320*B$675+Loads!$C$320*B$680+Loads!$D$320*B$685)/$B$137,0)</f>
        <v>5.3428535016359441E-2</v>
      </c>
      <c r="C722" s="35">
        <f>IF($B$137&gt;0,(Loads!$B$320*C$675+Loads!$C$320*C$680+Loads!$D$320*C$685)/$B$137,0)</f>
        <v>0.12265788122074195</v>
      </c>
      <c r="D722" s="35">
        <f>IF($B$137&gt;0,(Loads!$B$320*D$675+Loads!$C$320*D$680+Loads!$D$320*D$685)/$B$137,0)</f>
        <v>0.82391358376289869</v>
      </c>
      <c r="E722" s="33">
        <f>IF($C$646&gt;0,$B722*Input!$F$58*24/$C$646,0)</f>
        <v>1.814085142415925</v>
      </c>
      <c r="F722" s="10"/>
    </row>
    <row r="724" spans="1:6" ht="21" customHeight="1" x14ac:dyDescent="0.3">
      <c r="A724" s="1" t="s">
        <v>741</v>
      </c>
    </row>
    <row r="725" spans="1:6" x14ac:dyDescent="0.25">
      <c r="A725" s="2" t="s">
        <v>356</v>
      </c>
    </row>
    <row r="726" spans="1:6" x14ac:dyDescent="0.25">
      <c r="A726" s="11" t="s">
        <v>742</v>
      </c>
    </row>
    <row r="727" spans="1:6" x14ac:dyDescent="0.25">
      <c r="A727" s="11" t="s">
        <v>743</v>
      </c>
    </row>
    <row r="728" spans="1:6" x14ac:dyDescent="0.25">
      <c r="A728" s="11" t="s">
        <v>744</v>
      </c>
    </row>
    <row r="729" spans="1:6" x14ac:dyDescent="0.25">
      <c r="A729" s="11" t="s">
        <v>745</v>
      </c>
    </row>
    <row r="730" spans="1:6" x14ac:dyDescent="0.25">
      <c r="A730" s="11" t="s">
        <v>746</v>
      </c>
    </row>
    <row r="731" spans="1:6" x14ac:dyDescent="0.25">
      <c r="A731" s="11" t="s">
        <v>747</v>
      </c>
    </row>
    <row r="732" spans="1:6" x14ac:dyDescent="0.25">
      <c r="A732" s="29" t="s">
        <v>359</v>
      </c>
      <c r="B732" s="29" t="s">
        <v>523</v>
      </c>
      <c r="C732" s="29" t="s">
        <v>489</v>
      </c>
      <c r="D732" s="29" t="s">
        <v>489</v>
      </c>
    </row>
    <row r="733" spans="1:6" ht="30" x14ac:dyDescent="0.25">
      <c r="A733" s="29" t="s">
        <v>362</v>
      </c>
      <c r="B733" s="29" t="s">
        <v>748</v>
      </c>
      <c r="C733" s="29" t="s">
        <v>749</v>
      </c>
      <c r="D733" s="29" t="s">
        <v>750</v>
      </c>
    </row>
    <row r="735" spans="1:6" ht="45" x14ac:dyDescent="0.25">
      <c r="B735" s="12" t="s">
        <v>751</v>
      </c>
      <c r="C735" s="12" t="s">
        <v>752</v>
      </c>
      <c r="D735" s="12" t="s">
        <v>753</v>
      </c>
    </row>
    <row r="736" spans="1:6" x14ac:dyDescent="0.25">
      <c r="A736" s="3" t="s">
        <v>213</v>
      </c>
      <c r="B736" s="34">
        <f>E$700</f>
        <v>0.99612403100775193</v>
      </c>
      <c r="C736" s="17">
        <f>B736*$B$133/24/Input!$F$58*1000</f>
        <v>5770.3440317505674</v>
      </c>
      <c r="D736" s="17">
        <f>Loads!B$60*B$133/24/Input!F$58*1000</f>
        <v>5792.7967322632157</v>
      </c>
      <c r="E736" s="10"/>
    </row>
    <row r="737" spans="1:5" x14ac:dyDescent="0.25">
      <c r="A737" s="3" t="s">
        <v>214</v>
      </c>
      <c r="B737" s="34">
        <f>E$701</f>
        <v>1.6798177357464059</v>
      </c>
      <c r="C737" s="17">
        <f>B737*$B$134/24/Input!$F$58*1000</f>
        <v>4473.4670595779608</v>
      </c>
      <c r="D737" s="17">
        <f>Loads!B$61*B$134/24/Input!F$58*1000</f>
        <v>5637.8973365637776</v>
      </c>
      <c r="E737" s="10"/>
    </row>
    <row r="738" spans="1:5" x14ac:dyDescent="0.25">
      <c r="A738" s="3" t="s">
        <v>215</v>
      </c>
      <c r="B738" s="34">
        <f>E$702</f>
        <v>3.0553731844011294</v>
      </c>
      <c r="C738" s="17">
        <f>B738*$B$135/24/Input!$F$58*1000</f>
        <v>124.24794583735768</v>
      </c>
      <c r="D738" s="17">
        <f>Loads!B$62*B$135/24/Input!F$58*1000</f>
        <v>168.90637804261354</v>
      </c>
      <c r="E738" s="10"/>
    </row>
    <row r="739" spans="1:5" x14ac:dyDescent="0.25">
      <c r="A739" s="3" t="s">
        <v>216</v>
      </c>
      <c r="B739" s="34">
        <f>E$703</f>
        <v>0.32577704422524623</v>
      </c>
      <c r="C739" s="17">
        <f>B739*$B$136/24/Input!$F$58*1000</f>
        <v>309.31575482290378</v>
      </c>
      <c r="D739" s="17">
        <f>Loads!B$63*B$136/24/Input!F$58*1000</f>
        <v>9.3833349392198002</v>
      </c>
      <c r="E739" s="10"/>
    </row>
    <row r="740" spans="1:5" x14ac:dyDescent="0.25">
      <c r="A740" s="3" t="s">
        <v>217</v>
      </c>
      <c r="B740" s="34">
        <f>E$722</f>
        <v>1.814085142415925</v>
      </c>
      <c r="C740" s="17">
        <f>B740*$B$137/24/Input!$F$58*1000</f>
        <v>49986.311741785365</v>
      </c>
      <c r="D740" s="17">
        <f>Loads!B$64*B$137/24/Input!F$58*1000</f>
        <v>58612.10294165388</v>
      </c>
      <c r="E740" s="10"/>
    </row>
    <row r="742" spans="1:5" ht="21" customHeight="1" x14ac:dyDescent="0.3">
      <c r="A742" s="1" t="s">
        <v>754</v>
      </c>
    </row>
    <row r="743" spans="1:5" x14ac:dyDescent="0.25">
      <c r="A743" s="2" t="s">
        <v>356</v>
      </c>
    </row>
    <row r="744" spans="1:5" x14ac:dyDescent="0.25">
      <c r="A744" s="11" t="s">
        <v>755</v>
      </c>
    </row>
    <row r="745" spans="1:5" x14ac:dyDescent="0.25">
      <c r="A745" s="11" t="s">
        <v>756</v>
      </c>
    </row>
    <row r="746" spans="1:5" x14ac:dyDescent="0.25">
      <c r="A746" s="2" t="s">
        <v>757</v>
      </c>
    </row>
    <row r="748" spans="1:5" ht="45" x14ac:dyDescent="0.25">
      <c r="B748" s="12" t="s">
        <v>758</v>
      </c>
    </row>
    <row r="749" spans="1:5" x14ac:dyDescent="0.25">
      <c r="A749" s="3" t="s">
        <v>758</v>
      </c>
      <c r="B749" s="33">
        <f>IF(SUM($C$736:$C$740),SUM($D$736:$D$740)/SUM($C$736:$C$740),0)</f>
        <v>1.1575473027734231</v>
      </c>
      <c r="C749" s="10"/>
    </row>
    <row r="751" spans="1:5" ht="21" customHeight="1" x14ac:dyDescent="0.3">
      <c r="A751" s="1" t="s">
        <v>759</v>
      </c>
    </row>
    <row r="752" spans="1:5" x14ac:dyDescent="0.25">
      <c r="A752" s="2" t="s">
        <v>356</v>
      </c>
    </row>
    <row r="753" spans="1:8" x14ac:dyDescent="0.25">
      <c r="A753" s="11" t="s">
        <v>628</v>
      </c>
    </row>
    <row r="754" spans="1:8" x14ac:dyDescent="0.25">
      <c r="A754" s="11" t="s">
        <v>760</v>
      </c>
    </row>
    <row r="755" spans="1:8" x14ac:dyDescent="0.25">
      <c r="A755" s="11" t="s">
        <v>409</v>
      </c>
    </row>
    <row r="756" spans="1:8" x14ac:dyDescent="0.25">
      <c r="A756" s="11" t="s">
        <v>582</v>
      </c>
    </row>
    <row r="757" spans="1:8" x14ac:dyDescent="0.25">
      <c r="A757" s="11" t="s">
        <v>761</v>
      </c>
    </row>
    <row r="758" spans="1:8" x14ac:dyDescent="0.25">
      <c r="A758" s="11" t="s">
        <v>762</v>
      </c>
    </row>
    <row r="759" spans="1:8" x14ac:dyDescent="0.25">
      <c r="A759" s="11" t="s">
        <v>763</v>
      </c>
    </row>
    <row r="760" spans="1:8" x14ac:dyDescent="0.25">
      <c r="A760" s="11" t="s">
        <v>737</v>
      </c>
    </row>
    <row r="761" spans="1:8" x14ac:dyDescent="0.25">
      <c r="A761" s="11" t="s">
        <v>764</v>
      </c>
    </row>
    <row r="762" spans="1:8" x14ac:dyDescent="0.25">
      <c r="A762" s="11" t="s">
        <v>765</v>
      </c>
    </row>
    <row r="763" spans="1:8" x14ac:dyDescent="0.25">
      <c r="A763" s="29" t="s">
        <v>359</v>
      </c>
      <c r="B763" s="29" t="s">
        <v>418</v>
      </c>
      <c r="C763" s="29" t="s">
        <v>418</v>
      </c>
      <c r="D763" s="29" t="s">
        <v>418</v>
      </c>
      <c r="E763" s="29" t="s">
        <v>489</v>
      </c>
      <c r="F763" s="29" t="s">
        <v>489</v>
      </c>
      <c r="G763" s="29" t="s">
        <v>489</v>
      </c>
    </row>
    <row r="764" spans="1:8" ht="45" x14ac:dyDescent="0.25">
      <c r="A764" s="29" t="s">
        <v>362</v>
      </c>
      <c r="B764" s="29" t="s">
        <v>420</v>
      </c>
      <c r="C764" s="29" t="s">
        <v>420</v>
      </c>
      <c r="D764" s="29" t="s">
        <v>420</v>
      </c>
      <c r="E764" s="29" t="s">
        <v>766</v>
      </c>
      <c r="F764" s="29" t="s">
        <v>767</v>
      </c>
      <c r="G764" s="29" t="s">
        <v>768</v>
      </c>
    </row>
    <row r="766" spans="1:8" ht="30" x14ac:dyDescent="0.25">
      <c r="B766" s="12" t="s">
        <v>769</v>
      </c>
      <c r="C766" s="12" t="s">
        <v>770</v>
      </c>
      <c r="D766" s="12" t="s">
        <v>771</v>
      </c>
      <c r="E766" s="12" t="s">
        <v>772</v>
      </c>
      <c r="F766" s="12" t="s">
        <v>773</v>
      </c>
      <c r="G766" s="12" t="s">
        <v>339</v>
      </c>
    </row>
    <row r="767" spans="1:8" x14ac:dyDescent="0.25">
      <c r="A767" s="3" t="s">
        <v>139</v>
      </c>
      <c r="B767" s="37">
        <f t="shared" ref="B767:B775" si="70">$C247</f>
        <v>0.98260220093464345</v>
      </c>
      <c r="C767" s="37">
        <f t="shared" ref="C767:C775" si="71">$D247</f>
        <v>0</v>
      </c>
      <c r="D767" s="37">
        <f t="shared" ref="D767:D775" si="72">$E247</f>
        <v>1.7397799065356524E-2</v>
      </c>
      <c r="E767" s="33">
        <f>C767*24*Input!$F$58/$D$13</f>
        <v>0</v>
      </c>
      <c r="F767" s="35">
        <f>IF(Input!$E355,MAX(0,$C767+$B767-Input!$E355),$E767*$D$646/Input!$F$58/24)</f>
        <v>0</v>
      </c>
      <c r="G767" s="35">
        <f t="shared" ref="G767:G775" si="73">1-$F767-$D767</f>
        <v>0.98260220093464345</v>
      </c>
      <c r="H767" s="10"/>
    </row>
    <row r="768" spans="1:8" x14ac:dyDescent="0.25">
      <c r="A768" s="3" t="s">
        <v>140</v>
      </c>
      <c r="B768" s="37">
        <f t="shared" si="70"/>
        <v>0.85756549301791341</v>
      </c>
      <c r="C768" s="37">
        <f t="shared" si="71"/>
        <v>0.13246822025442007</v>
      </c>
      <c r="D768" s="37">
        <f t="shared" si="72"/>
        <v>9.9662867276665724E-3</v>
      </c>
      <c r="E768" s="33">
        <f>C768*24*Input!$F$58/$D$13</f>
        <v>0.4250628605966007</v>
      </c>
      <c r="F768" s="35">
        <f>IF(Input!$E356,MAX(0,$C768+$B768-Input!$E356),$E768*$D$646/Input!$F$58/24)</f>
        <v>0.13328679579958158</v>
      </c>
      <c r="G768" s="35">
        <f t="shared" si="73"/>
        <v>0.85674691747275189</v>
      </c>
      <c r="H768" s="10"/>
    </row>
    <row r="769" spans="1:8" x14ac:dyDescent="0.25">
      <c r="A769" s="3" t="s">
        <v>141</v>
      </c>
      <c r="B769" s="37">
        <f t="shared" si="70"/>
        <v>0.85756549301791341</v>
      </c>
      <c r="C769" s="37">
        <f t="shared" si="71"/>
        <v>0.13246822025442007</v>
      </c>
      <c r="D769" s="37">
        <f t="shared" si="72"/>
        <v>9.9662867276665724E-3</v>
      </c>
      <c r="E769" s="33">
        <f>C769*24*Input!$F$58/$D$13</f>
        <v>0.4250628605966007</v>
      </c>
      <c r="F769" s="35">
        <f>IF(Input!$E357,MAX(0,$C769+$B769-Input!$E357),$E769*$D$646/Input!$F$58/24)</f>
        <v>0.13328679579958158</v>
      </c>
      <c r="G769" s="35">
        <f t="shared" si="73"/>
        <v>0.85674691747275189</v>
      </c>
      <c r="H769" s="10"/>
    </row>
    <row r="770" spans="1:8" x14ac:dyDescent="0.25">
      <c r="A770" s="3" t="s">
        <v>142</v>
      </c>
      <c r="B770" s="37">
        <f t="shared" si="70"/>
        <v>0.67045710295130456</v>
      </c>
      <c r="C770" s="37">
        <f t="shared" si="71"/>
        <v>0.28665186374780161</v>
      </c>
      <c r="D770" s="37">
        <f t="shared" si="72"/>
        <v>4.2891033300893812E-2</v>
      </c>
      <c r="E770" s="33">
        <f>C770*24*Input!$F$58/$D$13</f>
        <v>0.91980598037756123</v>
      </c>
      <c r="F770" s="35">
        <f>IF(Input!$E358,MAX(0,$C770+$B770-Input!$E358),$E770*$D$646/Input!$F$58/24)</f>
        <v>0.29282769689652377</v>
      </c>
      <c r="G770" s="35">
        <f t="shared" si="73"/>
        <v>0.6642812698025824</v>
      </c>
      <c r="H770" s="10"/>
    </row>
    <row r="771" spans="1:8" x14ac:dyDescent="0.25">
      <c r="A771" s="3" t="s">
        <v>143</v>
      </c>
      <c r="B771" s="37">
        <f t="shared" si="70"/>
        <v>0.67045710295130456</v>
      </c>
      <c r="C771" s="37">
        <f t="shared" si="71"/>
        <v>0.28665186374780161</v>
      </c>
      <c r="D771" s="37">
        <f t="shared" si="72"/>
        <v>4.2891033300893812E-2</v>
      </c>
      <c r="E771" s="33">
        <f>C771*24*Input!$F$58/$D$13</f>
        <v>0.91980598037756123</v>
      </c>
      <c r="F771" s="35">
        <f>IF(Input!$E359,MAX(0,$C771+$B771-Input!$E359),$E771*$D$646/Input!$F$58/24)</f>
        <v>0.29282769689652377</v>
      </c>
      <c r="G771" s="35">
        <f t="shared" si="73"/>
        <v>0.6642812698025824</v>
      </c>
      <c r="H771" s="10"/>
    </row>
    <row r="772" spans="1:8" x14ac:dyDescent="0.25">
      <c r="A772" s="3" t="s">
        <v>148</v>
      </c>
      <c r="B772" s="37">
        <f t="shared" si="70"/>
        <v>0.85756549301791341</v>
      </c>
      <c r="C772" s="37">
        <f t="shared" si="71"/>
        <v>0.13246822025442007</v>
      </c>
      <c r="D772" s="37">
        <f t="shared" si="72"/>
        <v>9.9662867276665724E-3</v>
      </c>
      <c r="E772" s="33">
        <f>C772*24*Input!$F$58/$D$13</f>
        <v>0.4250628605966007</v>
      </c>
      <c r="F772" s="35">
        <f>IF(Input!$E360,MAX(0,$C772+$B772-Input!$E360),$E772*$D$646/Input!$F$58/24)</f>
        <v>0.13328679579958158</v>
      </c>
      <c r="G772" s="35">
        <f t="shared" si="73"/>
        <v>0.85674691747275189</v>
      </c>
      <c r="H772" s="10"/>
    </row>
    <row r="773" spans="1:8" x14ac:dyDescent="0.25">
      <c r="A773" s="3" t="s">
        <v>144</v>
      </c>
      <c r="B773" s="37">
        <f t="shared" si="70"/>
        <v>0.67045710295130456</v>
      </c>
      <c r="C773" s="37">
        <f t="shared" si="71"/>
        <v>0.28665186374780161</v>
      </c>
      <c r="D773" s="37">
        <f t="shared" si="72"/>
        <v>4.2891033300893812E-2</v>
      </c>
      <c r="E773" s="33">
        <f>C773*24*Input!$F$58/$D$13</f>
        <v>0.91980598037756123</v>
      </c>
      <c r="F773" s="35">
        <f>IF(Input!$E361,MAX(0,$C773+$B773-Input!$E361),$E773*$D$646/Input!$F$58/24)</f>
        <v>0.29282769689652377</v>
      </c>
      <c r="G773" s="35">
        <f t="shared" si="73"/>
        <v>0.6642812698025824</v>
      </c>
      <c r="H773" s="10"/>
    </row>
    <row r="774" spans="1:8" x14ac:dyDescent="0.25">
      <c r="A774" s="3" t="s">
        <v>145</v>
      </c>
      <c r="B774" s="37">
        <f t="shared" si="70"/>
        <v>0.67045710295130456</v>
      </c>
      <c r="C774" s="37">
        <f t="shared" si="71"/>
        <v>0.28665186374780161</v>
      </c>
      <c r="D774" s="37">
        <f t="shared" si="72"/>
        <v>4.2891033300893812E-2</v>
      </c>
      <c r="E774" s="33">
        <f>C774*24*Input!$F$58/$D$13</f>
        <v>0.91980598037756123</v>
      </c>
      <c r="F774" s="35">
        <f>IF(Input!$E362,MAX(0,$C774+$B774-Input!$E362),$E774*$D$646/Input!$F$58/24)</f>
        <v>0.29282769689652377</v>
      </c>
      <c r="G774" s="35">
        <f t="shared" si="73"/>
        <v>0.6642812698025824</v>
      </c>
      <c r="H774" s="10"/>
    </row>
    <row r="775" spans="1:8" x14ac:dyDescent="0.25">
      <c r="A775" s="3" t="s">
        <v>146</v>
      </c>
      <c r="B775" s="37">
        <f t="shared" si="70"/>
        <v>0.67045710295130456</v>
      </c>
      <c r="C775" s="37">
        <f t="shared" si="71"/>
        <v>0.28665186374780161</v>
      </c>
      <c r="D775" s="37">
        <f t="shared" si="72"/>
        <v>4.2891033300893812E-2</v>
      </c>
      <c r="E775" s="33">
        <f>C775*24*Input!$F$58/$D$13</f>
        <v>0.91980598037756123</v>
      </c>
      <c r="F775" s="35">
        <f>IF(Input!$E363,MAX(0,$C775+$B775-Input!$E363),$E775*$D$646/Input!$F$58/24)</f>
        <v>0.29282769689652377</v>
      </c>
      <c r="G775" s="35">
        <f t="shared" si="73"/>
        <v>0.6642812698025824</v>
      </c>
      <c r="H775" s="10"/>
    </row>
    <row r="777" spans="1:8" ht="21" customHeight="1" x14ac:dyDescent="0.3">
      <c r="A777" s="1" t="s">
        <v>774</v>
      </c>
    </row>
    <row r="778" spans="1:8" x14ac:dyDescent="0.25">
      <c r="A778" s="2" t="s">
        <v>356</v>
      </c>
    </row>
    <row r="779" spans="1:8" x14ac:dyDescent="0.25">
      <c r="A779" s="11" t="s">
        <v>775</v>
      </c>
    </row>
    <row r="780" spans="1:8" x14ac:dyDescent="0.25">
      <c r="A780" s="11" t="s">
        <v>776</v>
      </c>
    </row>
    <row r="781" spans="1:8" x14ac:dyDescent="0.25">
      <c r="A781" s="11" t="s">
        <v>777</v>
      </c>
    </row>
    <row r="782" spans="1:8" x14ac:dyDescent="0.25">
      <c r="A782" s="2" t="s">
        <v>399</v>
      </c>
    </row>
    <row r="784" spans="1:8" x14ac:dyDescent="0.25">
      <c r="B784" s="12" t="s">
        <v>329</v>
      </c>
      <c r="C784" s="12" t="s">
        <v>330</v>
      </c>
      <c r="D784" s="12" t="s">
        <v>326</v>
      </c>
    </row>
    <row r="785" spans="1:37" x14ac:dyDescent="0.25">
      <c r="A785" s="3" t="s">
        <v>139</v>
      </c>
      <c r="B785" s="37">
        <f>$G$767</f>
        <v>0.98260220093464345</v>
      </c>
      <c r="C785" s="37">
        <f>$F$767</f>
        <v>0</v>
      </c>
      <c r="D785" s="37">
        <f>$D$767</f>
        <v>1.7397799065356524E-2</v>
      </c>
      <c r="E785" s="10"/>
    </row>
    <row r="786" spans="1:37" x14ac:dyDescent="0.25">
      <c r="A786" s="3" t="s">
        <v>140</v>
      </c>
      <c r="B786" s="37">
        <f>$G$768</f>
        <v>0.85674691747275189</v>
      </c>
      <c r="C786" s="37">
        <f>$F$768</f>
        <v>0.13328679579958158</v>
      </c>
      <c r="D786" s="37">
        <f>$D$768</f>
        <v>9.9662867276665724E-3</v>
      </c>
      <c r="E786" s="10"/>
    </row>
    <row r="787" spans="1:37" x14ac:dyDescent="0.25">
      <c r="A787" s="3" t="s">
        <v>141</v>
      </c>
      <c r="B787" s="37">
        <f>$G$769</f>
        <v>0.85674691747275189</v>
      </c>
      <c r="C787" s="37">
        <f>$F$769</f>
        <v>0.13328679579958158</v>
      </c>
      <c r="D787" s="37">
        <f>$D$769</f>
        <v>9.9662867276665724E-3</v>
      </c>
      <c r="E787" s="10"/>
    </row>
    <row r="788" spans="1:37" x14ac:dyDescent="0.25">
      <c r="A788" s="3" t="s">
        <v>142</v>
      </c>
      <c r="B788" s="37">
        <f>$G$770</f>
        <v>0.6642812698025824</v>
      </c>
      <c r="C788" s="37">
        <f>$F$770</f>
        <v>0.29282769689652377</v>
      </c>
      <c r="D788" s="37">
        <f>$D$770</f>
        <v>4.2891033300893812E-2</v>
      </c>
      <c r="E788" s="10"/>
    </row>
    <row r="789" spans="1:37" x14ac:dyDescent="0.25">
      <c r="A789" s="3" t="s">
        <v>143</v>
      </c>
      <c r="B789" s="37">
        <f>$G$771</f>
        <v>0.6642812698025824</v>
      </c>
      <c r="C789" s="37">
        <f>$F$771</f>
        <v>0.29282769689652377</v>
      </c>
      <c r="D789" s="37">
        <f>$D$771</f>
        <v>4.2891033300893812E-2</v>
      </c>
      <c r="E789" s="10"/>
    </row>
    <row r="790" spans="1:37" x14ac:dyDescent="0.25">
      <c r="A790" s="3" t="s">
        <v>148</v>
      </c>
      <c r="B790" s="37">
        <f>$G$772</f>
        <v>0.85674691747275189</v>
      </c>
      <c r="C790" s="37">
        <f>$F$772</f>
        <v>0.13328679579958158</v>
      </c>
      <c r="D790" s="37">
        <f>$D$772</f>
        <v>9.9662867276665724E-3</v>
      </c>
      <c r="E790" s="10"/>
    </row>
    <row r="791" spans="1:37" x14ac:dyDescent="0.25">
      <c r="A791" s="3" t="s">
        <v>144</v>
      </c>
      <c r="B791" s="37">
        <f>$G$773</f>
        <v>0.6642812698025824</v>
      </c>
      <c r="C791" s="37">
        <f>$F$773</f>
        <v>0.29282769689652377</v>
      </c>
      <c r="D791" s="37">
        <f>$D$773</f>
        <v>4.2891033300893812E-2</v>
      </c>
      <c r="E791" s="10"/>
    </row>
    <row r="792" spans="1:37" x14ac:dyDescent="0.25">
      <c r="A792" s="3" t="s">
        <v>145</v>
      </c>
      <c r="B792" s="37">
        <f>$G$774</f>
        <v>0.6642812698025824</v>
      </c>
      <c r="C792" s="37">
        <f>$F$774</f>
        <v>0.29282769689652377</v>
      </c>
      <c r="D792" s="37">
        <f>$D$774</f>
        <v>4.2891033300893812E-2</v>
      </c>
      <c r="E792" s="10"/>
    </row>
    <row r="793" spans="1:37" x14ac:dyDescent="0.25">
      <c r="A793" s="3" t="s">
        <v>146</v>
      </c>
      <c r="B793" s="37">
        <f>$G$775</f>
        <v>0.6642812698025824</v>
      </c>
      <c r="C793" s="37">
        <f>$F$775</f>
        <v>0.29282769689652377</v>
      </c>
      <c r="D793" s="37">
        <f>$D$775</f>
        <v>4.2891033300893812E-2</v>
      </c>
      <c r="E793" s="10"/>
    </row>
    <row r="795" spans="1:37" ht="21" customHeight="1" x14ac:dyDescent="0.3">
      <c r="A795" s="1" t="s">
        <v>778</v>
      </c>
    </row>
    <row r="796" spans="1:37" x14ac:dyDescent="0.25">
      <c r="A796" s="2" t="s">
        <v>356</v>
      </c>
    </row>
    <row r="797" spans="1:37" x14ac:dyDescent="0.25">
      <c r="A797" s="11" t="s">
        <v>779</v>
      </c>
    </row>
    <row r="798" spans="1:37" x14ac:dyDescent="0.25">
      <c r="A798" s="2" t="s">
        <v>629</v>
      </c>
    </row>
    <row r="800" spans="1:37" x14ac:dyDescent="0.25">
      <c r="B800" s="24" t="s">
        <v>139</v>
      </c>
      <c r="C800" s="12" t="s">
        <v>329</v>
      </c>
      <c r="D800" s="12" t="s">
        <v>330</v>
      </c>
      <c r="E800" s="12" t="s">
        <v>326</v>
      </c>
      <c r="F800" s="24" t="s">
        <v>140</v>
      </c>
      <c r="G800" s="12" t="s">
        <v>329</v>
      </c>
      <c r="H800" s="12" t="s">
        <v>330</v>
      </c>
      <c r="I800" s="12" t="s">
        <v>326</v>
      </c>
      <c r="J800" s="24" t="s">
        <v>141</v>
      </c>
      <c r="K800" s="12" t="s">
        <v>329</v>
      </c>
      <c r="L800" s="12" t="s">
        <v>330</v>
      </c>
      <c r="M800" s="12" t="s">
        <v>326</v>
      </c>
      <c r="N800" s="24" t="s">
        <v>142</v>
      </c>
      <c r="O800" s="12" t="s">
        <v>329</v>
      </c>
      <c r="P800" s="12" t="s">
        <v>330</v>
      </c>
      <c r="Q800" s="12" t="s">
        <v>326</v>
      </c>
      <c r="R800" s="24" t="s">
        <v>143</v>
      </c>
      <c r="S800" s="12" t="s">
        <v>329</v>
      </c>
      <c r="T800" s="12" t="s">
        <v>330</v>
      </c>
      <c r="U800" s="12" t="s">
        <v>326</v>
      </c>
      <c r="V800" s="24" t="s">
        <v>148</v>
      </c>
      <c r="W800" s="12" t="s">
        <v>329</v>
      </c>
      <c r="X800" s="12" t="s">
        <v>330</v>
      </c>
      <c r="Y800" s="12" t="s">
        <v>326</v>
      </c>
      <c r="Z800" s="24" t="s">
        <v>144</v>
      </c>
      <c r="AA800" s="12" t="s">
        <v>329</v>
      </c>
      <c r="AB800" s="12" t="s">
        <v>330</v>
      </c>
      <c r="AC800" s="12" t="s">
        <v>326</v>
      </c>
      <c r="AD800" s="24" t="s">
        <v>145</v>
      </c>
      <c r="AE800" s="12" t="s">
        <v>329</v>
      </c>
      <c r="AF800" s="12" t="s">
        <v>330</v>
      </c>
      <c r="AG800" s="12" t="s">
        <v>326</v>
      </c>
      <c r="AH800" s="24" t="s">
        <v>146</v>
      </c>
      <c r="AI800" s="12" t="s">
        <v>329</v>
      </c>
      <c r="AJ800" s="12" t="s">
        <v>330</v>
      </c>
      <c r="AK800" s="12" t="s">
        <v>326</v>
      </c>
    </row>
    <row r="801" spans="1:38" x14ac:dyDescent="0.25">
      <c r="A801" s="3" t="s">
        <v>630</v>
      </c>
      <c r="C801" s="37">
        <f>B$785</f>
        <v>0.98260220093464345</v>
      </c>
      <c r="D801" s="37">
        <f>C$785</f>
        <v>0</v>
      </c>
      <c r="E801" s="37">
        <f>D$785</f>
        <v>1.7397799065356524E-2</v>
      </c>
      <c r="G801" s="37">
        <f>B$786</f>
        <v>0.85674691747275189</v>
      </c>
      <c r="H801" s="37">
        <f>C$786</f>
        <v>0.13328679579958158</v>
      </c>
      <c r="I801" s="37">
        <f>D$786</f>
        <v>9.9662867276665724E-3</v>
      </c>
      <c r="K801" s="37">
        <f>B$787</f>
        <v>0.85674691747275189</v>
      </c>
      <c r="L801" s="37">
        <f>C$787</f>
        <v>0.13328679579958158</v>
      </c>
      <c r="M801" s="37">
        <f>D$787</f>
        <v>9.9662867276665724E-3</v>
      </c>
      <c r="O801" s="37">
        <f>B$788</f>
        <v>0.6642812698025824</v>
      </c>
      <c r="P801" s="37">
        <f>C$788</f>
        <v>0.29282769689652377</v>
      </c>
      <c r="Q801" s="37">
        <f>D$788</f>
        <v>4.2891033300893812E-2</v>
      </c>
      <c r="S801" s="37">
        <f>B$789</f>
        <v>0.6642812698025824</v>
      </c>
      <c r="T801" s="37">
        <f>C$789</f>
        <v>0.29282769689652377</v>
      </c>
      <c r="U801" s="37">
        <f>D$789</f>
        <v>4.2891033300893812E-2</v>
      </c>
      <c r="W801" s="37">
        <f>B$790</f>
        <v>0.85674691747275189</v>
      </c>
      <c r="X801" s="37">
        <f>C$790</f>
        <v>0.13328679579958158</v>
      </c>
      <c r="Y801" s="37">
        <f>D$790</f>
        <v>9.9662867276665724E-3</v>
      </c>
      <c r="AA801" s="37">
        <f>B$791</f>
        <v>0.6642812698025824</v>
      </c>
      <c r="AB801" s="37">
        <f>C$791</f>
        <v>0.29282769689652377</v>
      </c>
      <c r="AC801" s="37">
        <f>D$791</f>
        <v>4.2891033300893812E-2</v>
      </c>
      <c r="AE801" s="37">
        <f>B$792</f>
        <v>0.6642812698025824</v>
      </c>
      <c r="AF801" s="37">
        <f>C$792</f>
        <v>0.29282769689652377</v>
      </c>
      <c r="AG801" s="37">
        <f>D$792</f>
        <v>4.2891033300893812E-2</v>
      </c>
      <c r="AI801" s="37">
        <f>B$793</f>
        <v>0.6642812698025824</v>
      </c>
      <c r="AJ801" s="37">
        <f>C$793</f>
        <v>0.29282769689652377</v>
      </c>
      <c r="AK801" s="37">
        <f>D$793</f>
        <v>4.2891033300893812E-2</v>
      </c>
      <c r="AL801" s="10"/>
    </row>
    <row r="803" spans="1:38" ht="21" customHeight="1" x14ac:dyDescent="0.3">
      <c r="A803" s="1" t="s">
        <v>780</v>
      </c>
    </row>
    <row r="804" spans="1:38" x14ac:dyDescent="0.25">
      <c r="A804" s="2" t="s">
        <v>356</v>
      </c>
    </row>
    <row r="805" spans="1:38" x14ac:dyDescent="0.25">
      <c r="A805" s="11" t="s">
        <v>781</v>
      </c>
    </row>
    <row r="806" spans="1:38" x14ac:dyDescent="0.25">
      <c r="A806" s="11" t="s">
        <v>782</v>
      </c>
    </row>
    <row r="807" spans="1:38" x14ac:dyDescent="0.25">
      <c r="A807" s="11" t="s">
        <v>783</v>
      </c>
    </row>
    <row r="808" spans="1:38" x14ac:dyDescent="0.25">
      <c r="A808" s="11" t="s">
        <v>557</v>
      </c>
    </row>
    <row r="809" spans="1:38" x14ac:dyDescent="0.25">
      <c r="A809" s="2" t="s">
        <v>635</v>
      </c>
    </row>
    <row r="811" spans="1:38" x14ac:dyDescent="0.25">
      <c r="B811" s="24" t="s">
        <v>139</v>
      </c>
      <c r="C811" s="12" t="s">
        <v>329</v>
      </c>
      <c r="D811" s="12" t="s">
        <v>330</v>
      </c>
      <c r="E811" s="12" t="s">
        <v>326</v>
      </c>
      <c r="F811" s="24" t="s">
        <v>140</v>
      </c>
      <c r="G811" s="12" t="s">
        <v>329</v>
      </c>
      <c r="H811" s="12" t="s">
        <v>330</v>
      </c>
      <c r="I811" s="12" t="s">
        <v>326</v>
      </c>
      <c r="J811" s="24" t="s">
        <v>141</v>
      </c>
      <c r="K811" s="12" t="s">
        <v>329</v>
      </c>
      <c r="L811" s="12" t="s">
        <v>330</v>
      </c>
      <c r="M811" s="12" t="s">
        <v>326</v>
      </c>
      <c r="N811" s="24" t="s">
        <v>142</v>
      </c>
      <c r="O811" s="12" t="s">
        <v>329</v>
      </c>
      <c r="P811" s="12" t="s">
        <v>330</v>
      </c>
      <c r="Q811" s="12" t="s">
        <v>326</v>
      </c>
      <c r="R811" s="24" t="s">
        <v>143</v>
      </c>
      <c r="S811" s="12" t="s">
        <v>329</v>
      </c>
      <c r="T811" s="12" t="s">
        <v>330</v>
      </c>
      <c r="U811" s="12" t="s">
        <v>326</v>
      </c>
      <c r="V811" s="24" t="s">
        <v>148</v>
      </c>
      <c r="W811" s="12" t="s">
        <v>329</v>
      </c>
      <c r="X811" s="12" t="s">
        <v>330</v>
      </c>
      <c r="Y811" s="12" t="s">
        <v>326</v>
      </c>
      <c r="Z811" s="24" t="s">
        <v>144</v>
      </c>
      <c r="AA811" s="12" t="s">
        <v>329</v>
      </c>
      <c r="AB811" s="12" t="s">
        <v>330</v>
      </c>
      <c r="AC811" s="12" t="s">
        <v>326</v>
      </c>
      <c r="AD811" s="24" t="s">
        <v>145</v>
      </c>
      <c r="AE811" s="12" t="s">
        <v>329</v>
      </c>
      <c r="AF811" s="12" t="s">
        <v>330</v>
      </c>
      <c r="AG811" s="12" t="s">
        <v>326</v>
      </c>
      <c r="AH811" s="24" t="s">
        <v>146</v>
      </c>
      <c r="AI811" s="12" t="s">
        <v>329</v>
      </c>
      <c r="AJ811" s="12" t="s">
        <v>330</v>
      </c>
      <c r="AK811" s="12" t="s">
        <v>326</v>
      </c>
    </row>
    <row r="812" spans="1:38" ht="30" x14ac:dyDescent="0.25">
      <c r="A812" s="3" t="s">
        <v>784</v>
      </c>
      <c r="C812" s="33">
        <f>IF(C646&gt;0,$B749*C801*24*Input!$F58/C646,0)</f>
        <v>38.61898720909403</v>
      </c>
      <c r="D812" s="33">
        <f>IF(D646&gt;0,$B749*D801*24*Input!$F58/D646,0)</f>
        <v>0</v>
      </c>
      <c r="E812" s="33">
        <f>IF(E646&gt;0,$B749*E801*24*Input!$F58/E646,0)</f>
        <v>3.3602985209319133E-2</v>
      </c>
      <c r="G812" s="33">
        <f>IF(C646&gt;0,$B749*G801*24*Input!$F58/C646,0)</f>
        <v>33.672526090252127</v>
      </c>
      <c r="H812" s="33">
        <f>IF(D646&gt;0,$B749*H801*24*Input!$F58/D646,0)</f>
        <v>0.4156037373076602</v>
      </c>
      <c r="I812" s="33">
        <f>IF(E646&gt;0,$B749*I801*24*Input!$F58/E646,0)</f>
        <v>1.9249388054405063E-2</v>
      </c>
      <c r="K812" s="33">
        <f>IF(C646&gt;0,$B749*K801*24*Input!$F58/C646,0)</f>
        <v>33.672526090252127</v>
      </c>
      <c r="L812" s="33">
        <f>IF(D646&gt;0,$B749*L801*24*Input!$F58/D646,0)</f>
        <v>0.4156037373076602</v>
      </c>
      <c r="M812" s="33">
        <f>IF(E646&gt;0,$B749*M801*24*Input!$F58/E646,0)</f>
        <v>1.9249388054405063E-2</v>
      </c>
      <c r="O812" s="33">
        <f>IF(C646&gt;0,$B749*O801*24*Input!$F58/C646,0)</f>
        <v>26.108093221595588</v>
      </c>
      <c r="P812" s="33">
        <f>IF(D646&gt;0,$B749*P801*24*Input!$F58/D646,0)</f>
        <v>0.91307082961455699</v>
      </c>
      <c r="Q812" s="33">
        <f>IF(E646&gt;0,$B749*Q801*24*Input!$F58/E646,0)</f>
        <v>8.2841901565139958E-2</v>
      </c>
      <c r="S812" s="33">
        <f>IF(C646&gt;0,$B749*S801*24*Input!$F58/C646,0)</f>
        <v>26.108093221595588</v>
      </c>
      <c r="T812" s="33">
        <f>IF(D646&gt;0,$B749*T801*24*Input!$F58/D646,0)</f>
        <v>0.91307082961455699</v>
      </c>
      <c r="U812" s="33">
        <f>IF(E646&gt;0,$B749*U801*24*Input!$F58/E646,0)</f>
        <v>8.2841901565139958E-2</v>
      </c>
      <c r="W812" s="33">
        <f>IF(C646&gt;0,$B749*W801*24*Input!$F58/C646,0)</f>
        <v>33.672526090252127</v>
      </c>
      <c r="X812" s="33">
        <f>IF(D646&gt;0,$B749*X801*24*Input!$F58/D646,0)</f>
        <v>0.4156037373076602</v>
      </c>
      <c r="Y812" s="33">
        <f>IF(E646&gt;0,$B749*Y801*24*Input!$F58/E646,0)</f>
        <v>1.9249388054405063E-2</v>
      </c>
      <c r="AA812" s="33">
        <f>IF(C646&gt;0,$B749*AA801*24*Input!$F58/C646,0)</f>
        <v>26.108093221595588</v>
      </c>
      <c r="AB812" s="33">
        <f>IF(D646&gt;0,$B749*AB801*24*Input!$F58/D646,0)</f>
        <v>0.91307082961455699</v>
      </c>
      <c r="AC812" s="33">
        <f>IF(E646&gt;0,$B749*AC801*24*Input!$F58/E646,0)</f>
        <v>8.2841901565139958E-2</v>
      </c>
      <c r="AE812" s="33">
        <f>IF(C646&gt;0,$B749*AE801*24*Input!$F58/C646,0)</f>
        <v>26.108093221595588</v>
      </c>
      <c r="AF812" s="33">
        <f>IF(D646&gt;0,$B749*AF801*24*Input!$F58/D646,0)</f>
        <v>0.91307082961455699</v>
      </c>
      <c r="AG812" s="33">
        <f>IF(E646&gt;0,$B749*AG801*24*Input!$F58/E646,0)</f>
        <v>8.2841901565139958E-2</v>
      </c>
      <c r="AI812" s="33">
        <f>IF(C646&gt;0,$B749*AI801*24*Input!$F58/C646,0)</f>
        <v>26.108093221595588</v>
      </c>
      <c r="AJ812" s="33">
        <f>IF(D646&gt;0,$B749*AJ801*24*Input!$F58/D646,0)</f>
        <v>0.91307082961455699</v>
      </c>
      <c r="AK812" s="33">
        <f>IF(E646&gt;0,$B749*AK801*24*Input!$F58/E646,0)</f>
        <v>8.2841901565139958E-2</v>
      </c>
      <c r="AL812" s="10"/>
    </row>
    <row r="814" spans="1:38" ht="21" customHeight="1" x14ac:dyDescent="0.3">
      <c r="A814" s="1" t="s">
        <v>785</v>
      </c>
    </row>
    <row r="815" spans="1:38" x14ac:dyDescent="0.25">
      <c r="A815" s="2" t="s">
        <v>356</v>
      </c>
    </row>
    <row r="816" spans="1:38" x14ac:dyDescent="0.25">
      <c r="A816" s="11" t="s">
        <v>786</v>
      </c>
    </row>
    <row r="817" spans="1:11" x14ac:dyDescent="0.25">
      <c r="A817" s="11" t="s">
        <v>787</v>
      </c>
    </row>
    <row r="818" spans="1:11" x14ac:dyDescent="0.25">
      <c r="A818" s="2" t="s">
        <v>369</v>
      </c>
    </row>
    <row r="820" spans="1:11" x14ac:dyDescent="0.25">
      <c r="B820" s="12" t="s">
        <v>139</v>
      </c>
      <c r="C820" s="12" t="s">
        <v>140</v>
      </c>
      <c r="D820" s="12" t="s">
        <v>141</v>
      </c>
      <c r="E820" s="12" t="s">
        <v>142</v>
      </c>
      <c r="F820" s="12" t="s">
        <v>143</v>
      </c>
      <c r="G820" s="12" t="s">
        <v>148</v>
      </c>
      <c r="H820" s="12" t="s">
        <v>144</v>
      </c>
      <c r="I820" s="12" t="s">
        <v>145</v>
      </c>
      <c r="J820" s="12" t="s">
        <v>146</v>
      </c>
    </row>
    <row r="821" spans="1:11" x14ac:dyDescent="0.25">
      <c r="A821" s="3" t="s">
        <v>213</v>
      </c>
      <c r="B821" s="33">
        <f>SUMPRODUCT($C$812:$E$812,$B671:$D671)</f>
        <v>1.1531042189747953</v>
      </c>
      <c r="C821" s="33">
        <f>SUMPRODUCT($G$812:$I$812,$B671:$D671)</f>
        <v>1.1541580638225479</v>
      </c>
      <c r="D821" s="33">
        <f>SUMPRODUCT($K$812:$M$812,$B671:$D671)</f>
        <v>1.1541580638225479</v>
      </c>
      <c r="E821" s="33">
        <f>SUMPRODUCT($O$812:$Q$812,$B671:$D671)</f>
        <v>1.1555241335908275</v>
      </c>
      <c r="F821" s="33">
        <f>SUMPRODUCT($S$812:$U$812,$B671:$D671)</f>
        <v>1.1555241335908275</v>
      </c>
      <c r="G821" s="33">
        <f>SUMPRODUCT($W$812:$Y$812,$B671:$D671)</f>
        <v>1.1541580638225479</v>
      </c>
      <c r="H821" s="33">
        <f>SUMPRODUCT($AA$812:$AC$812,$B671:$D671)</f>
        <v>1.1555241335908275</v>
      </c>
      <c r="I821" s="33">
        <f>SUMPRODUCT($AE$812:$AG$812,$B671:$D671)</f>
        <v>1.1555241335908275</v>
      </c>
      <c r="J821" s="33">
        <f>SUMPRODUCT($AI$812:$AK$812,$B671:$D671)</f>
        <v>1.1555241335908275</v>
      </c>
      <c r="K821" s="10"/>
    </row>
    <row r="822" spans="1:11" x14ac:dyDescent="0.25">
      <c r="A822" s="3" t="s">
        <v>214</v>
      </c>
      <c r="B822" s="33">
        <f>SUMPRODUCT($C$812:$E$812,$B672:$D672)</f>
        <v>1.9395832740005532</v>
      </c>
      <c r="C822" s="33">
        <f>SUMPRODUCT($G$812:$I$812,$B672:$D672)</f>
        <v>1.7195558481836768</v>
      </c>
      <c r="D822" s="33">
        <f>SUMPRODUCT($K$812:$M$812,$B672:$D672)</f>
        <v>1.7195558481836768</v>
      </c>
      <c r="E822" s="33">
        <f>SUMPRODUCT($O$812:$Q$812,$B672:$D672)</f>
        <v>1.4444457522475731</v>
      </c>
      <c r="F822" s="33">
        <f>SUMPRODUCT($S$812:$U$812,$B672:$D672)</f>
        <v>1.4444457522475731</v>
      </c>
      <c r="G822" s="33">
        <f>SUMPRODUCT($W$812:$Y$812,$B672:$D672)</f>
        <v>1.7195558481836768</v>
      </c>
      <c r="H822" s="33">
        <f>SUMPRODUCT($AA$812:$AC$812,$B672:$D672)</f>
        <v>1.4444457522475731</v>
      </c>
      <c r="I822" s="33">
        <f>SUMPRODUCT($AE$812:$AG$812,$B672:$D672)</f>
        <v>1.4444457522475731</v>
      </c>
      <c r="J822" s="33">
        <f>SUMPRODUCT($AI$812:$AK$812,$B672:$D672)</f>
        <v>1.4444457522475731</v>
      </c>
      <c r="K822" s="10"/>
    </row>
    <row r="823" spans="1:11" x14ac:dyDescent="0.25">
      <c r="A823" s="3" t="s">
        <v>215</v>
      </c>
      <c r="B823" s="33">
        <f>SUMPRODUCT($C$812:$E$812,$B673:$D673)</f>
        <v>3.5006071215326862</v>
      </c>
      <c r="C823" s="33">
        <f>SUMPRODUCT($G$812:$I$812,$B673:$D673)</f>
        <v>3.1087012592249939</v>
      </c>
      <c r="D823" s="33">
        <f>SUMPRODUCT($K$812:$M$812,$B673:$D673)</f>
        <v>3.1087012592249939</v>
      </c>
      <c r="E823" s="33">
        <f>SUMPRODUCT($O$812:$Q$812,$B673:$D673)</f>
        <v>2.5527476992182825</v>
      </c>
      <c r="F823" s="33">
        <f>SUMPRODUCT($S$812:$U$812,$B673:$D673)</f>
        <v>2.5527476992182825</v>
      </c>
      <c r="G823" s="33">
        <f>SUMPRODUCT($W$812:$Y$812,$B673:$D673)</f>
        <v>3.1087012592249939</v>
      </c>
      <c r="H823" s="33">
        <f>SUMPRODUCT($AA$812:$AC$812,$B673:$D673)</f>
        <v>2.5527476992182825</v>
      </c>
      <c r="I823" s="33">
        <f>SUMPRODUCT($AE$812:$AG$812,$B673:$D673)</f>
        <v>2.5527476992182825</v>
      </c>
      <c r="J823" s="33">
        <f>SUMPRODUCT($AI$812:$AK$812,$B673:$D673)</f>
        <v>2.5527476992182825</v>
      </c>
      <c r="K823" s="10"/>
    </row>
    <row r="824" spans="1:11" x14ac:dyDescent="0.25">
      <c r="A824" s="3" t="s">
        <v>216</v>
      </c>
      <c r="B824" s="33">
        <f>SUMPRODUCT($C$812:$E$812,$B674:$D674)</f>
        <v>0.38249149806385424</v>
      </c>
      <c r="C824" s="33">
        <f>SUMPRODUCT($G$812:$I$812,$B674:$D674)</f>
        <v>0.59374564121352669</v>
      </c>
      <c r="D824" s="33">
        <f>SUMPRODUCT($K$812:$M$812,$B674:$D674)</f>
        <v>0.59374564121352669</v>
      </c>
      <c r="E824" s="33">
        <f>SUMPRODUCT($O$812:$Q$812,$B674:$D674)</f>
        <v>0.85956570010056632</v>
      </c>
      <c r="F824" s="33">
        <f>SUMPRODUCT($S$812:$U$812,$B674:$D674)</f>
        <v>0.85956570010056632</v>
      </c>
      <c r="G824" s="33">
        <f>SUMPRODUCT($W$812:$Y$812,$B674:$D674)</f>
        <v>0.59374564121352669</v>
      </c>
      <c r="H824" s="33">
        <f>SUMPRODUCT($AA$812:$AC$812,$B674:$D674)</f>
        <v>0.85956570010056632</v>
      </c>
      <c r="I824" s="33">
        <f>SUMPRODUCT($AE$812:$AG$812,$B674:$D674)</f>
        <v>0.85956570010056632</v>
      </c>
      <c r="J824" s="33">
        <f>SUMPRODUCT($AI$812:$AK$812,$B674:$D674)</f>
        <v>0.85956570010056632</v>
      </c>
      <c r="K824" s="10"/>
    </row>
    <row r="825" spans="1:11" x14ac:dyDescent="0.25">
      <c r="A825" s="3" t="s">
        <v>217</v>
      </c>
      <c r="B825" s="33">
        <f>SUMPRODUCT($C$812:$E$812,$B675:$D675)</f>
        <v>38.61898720909403</v>
      </c>
      <c r="C825" s="33">
        <f>SUMPRODUCT($G$812:$I$812,$B675:$D675)</f>
        <v>33.672526090252127</v>
      </c>
      <c r="D825" s="33">
        <f>SUMPRODUCT($K$812:$M$812,$B675:$D675)</f>
        <v>33.672526090252127</v>
      </c>
      <c r="E825" s="33">
        <f>SUMPRODUCT($O$812:$Q$812,$B675:$D675)</f>
        <v>26.108093221595588</v>
      </c>
      <c r="F825" s="33">
        <f>SUMPRODUCT($S$812:$U$812,$B675:$D675)</f>
        <v>26.108093221595588</v>
      </c>
      <c r="G825" s="33">
        <f>SUMPRODUCT($W$812:$Y$812,$B675:$D675)</f>
        <v>33.672526090252127</v>
      </c>
      <c r="H825" s="33">
        <f>SUMPRODUCT($AA$812:$AC$812,$B675:$D675)</f>
        <v>26.108093221595588</v>
      </c>
      <c r="I825" s="33">
        <f>SUMPRODUCT($AE$812:$AG$812,$B675:$D675)</f>
        <v>26.108093221595588</v>
      </c>
      <c r="J825" s="33">
        <f>SUMPRODUCT($AI$812:$AK$812,$B675:$D675)</f>
        <v>26.108093221595588</v>
      </c>
      <c r="K825" s="10"/>
    </row>
    <row r="827" spans="1:11" ht="21" customHeight="1" x14ac:dyDescent="0.3">
      <c r="A827" s="1" t="s">
        <v>788</v>
      </c>
    </row>
    <row r="828" spans="1:11" x14ac:dyDescent="0.25">
      <c r="A828" s="2" t="s">
        <v>356</v>
      </c>
    </row>
    <row r="829" spans="1:11" x14ac:dyDescent="0.25">
      <c r="A829" s="11" t="s">
        <v>786</v>
      </c>
    </row>
    <row r="830" spans="1:11" x14ac:dyDescent="0.25">
      <c r="A830" s="11" t="s">
        <v>789</v>
      </c>
    </row>
    <row r="831" spans="1:11" x14ac:dyDescent="0.25">
      <c r="A831" s="2" t="s">
        <v>369</v>
      </c>
    </row>
    <row r="833" spans="1:11" x14ac:dyDescent="0.25">
      <c r="B833" s="12" t="s">
        <v>139</v>
      </c>
      <c r="C833" s="12" t="s">
        <v>140</v>
      </c>
      <c r="D833" s="12" t="s">
        <v>141</v>
      </c>
      <c r="E833" s="12" t="s">
        <v>142</v>
      </c>
      <c r="F833" s="12" t="s">
        <v>143</v>
      </c>
      <c r="G833" s="12" t="s">
        <v>148</v>
      </c>
      <c r="H833" s="12" t="s">
        <v>144</v>
      </c>
      <c r="I833" s="12" t="s">
        <v>145</v>
      </c>
      <c r="J833" s="12" t="s">
        <v>146</v>
      </c>
    </row>
    <row r="834" spans="1:11" x14ac:dyDescent="0.25">
      <c r="A834" s="3" t="s">
        <v>217</v>
      </c>
      <c r="B834" s="33">
        <f>SUMPRODUCT($C$812:$E$812,$B680:$D680)</f>
        <v>0</v>
      </c>
      <c r="C834" s="33">
        <f>SUMPRODUCT($G$812:$I$812,$B680:$D680)</f>
        <v>0.4156037373076602</v>
      </c>
      <c r="D834" s="33">
        <f>SUMPRODUCT($K$812:$M$812,$B680:$D680)</f>
        <v>0.4156037373076602</v>
      </c>
      <c r="E834" s="33">
        <f>SUMPRODUCT($O$812:$Q$812,$B680:$D680)</f>
        <v>0.91307082961455699</v>
      </c>
      <c r="F834" s="33">
        <f>SUMPRODUCT($S$812:$U$812,$B680:$D680)</f>
        <v>0.91307082961455699</v>
      </c>
      <c r="G834" s="33">
        <f>SUMPRODUCT($W$812:$Y$812,$B680:$D680)</f>
        <v>0.4156037373076602</v>
      </c>
      <c r="H834" s="33">
        <f>SUMPRODUCT($AA$812:$AC$812,$B680:$D680)</f>
        <v>0.91307082961455699</v>
      </c>
      <c r="I834" s="33">
        <f>SUMPRODUCT($AE$812:$AG$812,$B680:$D680)</f>
        <v>0.91307082961455699</v>
      </c>
      <c r="J834" s="33">
        <f>SUMPRODUCT($AI$812:$AK$812,$B680:$D680)</f>
        <v>0.91307082961455699</v>
      </c>
      <c r="K834" s="10"/>
    </row>
    <row r="836" spans="1:11" ht="21" customHeight="1" x14ac:dyDescent="0.3">
      <c r="A836" s="1" t="s">
        <v>790</v>
      </c>
    </row>
    <row r="837" spans="1:11" x14ac:dyDescent="0.25">
      <c r="A837" s="2" t="s">
        <v>356</v>
      </c>
    </row>
    <row r="838" spans="1:11" x14ac:dyDescent="0.25">
      <c r="A838" s="11" t="s">
        <v>786</v>
      </c>
    </row>
    <row r="839" spans="1:11" x14ac:dyDescent="0.25">
      <c r="A839" s="11" t="s">
        <v>791</v>
      </c>
    </row>
    <row r="840" spans="1:11" x14ac:dyDescent="0.25">
      <c r="A840" s="2" t="s">
        <v>369</v>
      </c>
    </row>
    <row r="842" spans="1:11" x14ac:dyDescent="0.25">
      <c r="B842" s="12" t="s">
        <v>139</v>
      </c>
      <c r="C842" s="12" t="s">
        <v>140</v>
      </c>
      <c r="D842" s="12" t="s">
        <v>141</v>
      </c>
      <c r="E842" s="12" t="s">
        <v>142</v>
      </c>
      <c r="F842" s="12" t="s">
        <v>143</v>
      </c>
      <c r="G842" s="12" t="s">
        <v>148</v>
      </c>
      <c r="H842" s="12" t="s">
        <v>144</v>
      </c>
      <c r="I842" s="12" t="s">
        <v>145</v>
      </c>
      <c r="J842" s="12" t="s">
        <v>146</v>
      </c>
    </row>
    <row r="843" spans="1:11" x14ac:dyDescent="0.25">
      <c r="A843" s="3" t="s">
        <v>217</v>
      </c>
      <c r="B843" s="33">
        <f>SUMPRODUCT($C$812:$E$812,$B685:$D685)</f>
        <v>3.3602985209319133E-2</v>
      </c>
      <c r="C843" s="33">
        <f>SUMPRODUCT($G$812:$I$812,$B685:$D685)</f>
        <v>1.9249388054405063E-2</v>
      </c>
      <c r="D843" s="33">
        <f>SUMPRODUCT($K$812:$M$812,$B685:$D685)</f>
        <v>1.9249388054405063E-2</v>
      </c>
      <c r="E843" s="33">
        <f>SUMPRODUCT($O$812:$Q$812,$B685:$D685)</f>
        <v>8.2841901565139958E-2</v>
      </c>
      <c r="F843" s="33">
        <f>SUMPRODUCT($S$812:$U$812,$B685:$D685)</f>
        <v>8.2841901565139958E-2</v>
      </c>
      <c r="G843" s="33">
        <f>SUMPRODUCT($W$812:$Y$812,$B685:$D685)</f>
        <v>1.9249388054405063E-2</v>
      </c>
      <c r="H843" s="33">
        <f>SUMPRODUCT($AA$812:$AC$812,$B685:$D685)</f>
        <v>8.2841901565139958E-2</v>
      </c>
      <c r="I843" s="33">
        <f>SUMPRODUCT($AE$812:$AG$812,$B685:$D685)</f>
        <v>8.2841901565139958E-2</v>
      </c>
      <c r="J843" s="33">
        <f>SUMPRODUCT($AI$812:$AK$812,$B685:$D685)</f>
        <v>8.2841901565139958E-2</v>
      </c>
      <c r="K843" s="10"/>
    </row>
    <row r="845" spans="1:11" ht="21" customHeight="1" x14ac:dyDescent="0.3">
      <c r="A845" s="1" t="s">
        <v>792</v>
      </c>
    </row>
    <row r="846" spans="1:11" x14ac:dyDescent="0.25">
      <c r="A846" s="2" t="s">
        <v>356</v>
      </c>
    </row>
    <row r="847" spans="1:11" x14ac:dyDescent="0.25">
      <c r="A847" s="11" t="s">
        <v>793</v>
      </c>
    </row>
    <row r="848" spans="1:11" x14ac:dyDescent="0.25">
      <c r="A848" s="11" t="s">
        <v>794</v>
      </c>
    </row>
    <row r="849" spans="1:11" x14ac:dyDescent="0.25">
      <c r="A849" s="2" t="s">
        <v>374</v>
      </c>
    </row>
    <row r="851" spans="1:11" x14ac:dyDescent="0.25">
      <c r="B851" s="12" t="s">
        <v>139</v>
      </c>
      <c r="C851" s="12" t="s">
        <v>140</v>
      </c>
      <c r="D851" s="12" t="s">
        <v>141</v>
      </c>
      <c r="E851" s="12" t="s">
        <v>142</v>
      </c>
      <c r="F851" s="12" t="s">
        <v>143</v>
      </c>
      <c r="G851" s="12" t="s">
        <v>148</v>
      </c>
      <c r="H851" s="12" t="s">
        <v>144</v>
      </c>
      <c r="I851" s="12" t="s">
        <v>145</v>
      </c>
      <c r="J851" s="12" t="s">
        <v>146</v>
      </c>
    </row>
    <row r="852" spans="1:11" x14ac:dyDescent="0.25">
      <c r="A852" s="3" t="s">
        <v>171</v>
      </c>
      <c r="B852" s="34">
        <f>$B$581</f>
        <v>2.0112000738858278</v>
      </c>
      <c r="C852" s="34">
        <f>$C$581</f>
        <v>1.9629445104151337</v>
      </c>
      <c r="D852" s="34">
        <f>$D$581</f>
        <v>1.9629445104151337</v>
      </c>
      <c r="E852" s="34">
        <f>$E$581</f>
        <v>1.8578395573461295</v>
      </c>
      <c r="F852" s="34">
        <f>$F$581</f>
        <v>1.8578395573461295</v>
      </c>
      <c r="G852" s="34">
        <f>$G$581</f>
        <v>1.9629445104151337</v>
      </c>
      <c r="H852" s="34">
        <f>$H$581</f>
        <v>1.8578395573461295</v>
      </c>
      <c r="I852" s="34">
        <f>$I$581</f>
        <v>1.8578395573461295</v>
      </c>
      <c r="J852" s="34">
        <f>$J$581</f>
        <v>1.8578395573461295</v>
      </c>
      <c r="K852" s="10"/>
    </row>
    <row r="853" spans="1:11" x14ac:dyDescent="0.25">
      <c r="A853" s="3" t="s">
        <v>172</v>
      </c>
      <c r="B853" s="34">
        <f>$B$582</f>
        <v>2.4353212661345163</v>
      </c>
      <c r="C853" s="34">
        <f>$C$582</f>
        <v>2.3777968100323745</v>
      </c>
      <c r="D853" s="34">
        <f>$D$582</f>
        <v>2.3777968100323745</v>
      </c>
      <c r="E853" s="34">
        <f>$E$582</f>
        <v>2.2526607716710352</v>
      </c>
      <c r="F853" s="34">
        <f>$F$582</f>
        <v>2.2526607716710352</v>
      </c>
      <c r="G853" s="34">
        <f>$G$582</f>
        <v>2.3777968100323745</v>
      </c>
      <c r="H853" s="34">
        <f>$H$582</f>
        <v>2.2526607716710352</v>
      </c>
      <c r="I853" s="34">
        <f>$I$582</f>
        <v>2.2526607716710352</v>
      </c>
      <c r="J853" s="34">
        <f>$J$582</f>
        <v>2.2526607716710352</v>
      </c>
      <c r="K853" s="10"/>
    </row>
    <row r="854" spans="1:11" x14ac:dyDescent="0.25">
      <c r="A854" s="3" t="s">
        <v>211</v>
      </c>
      <c r="B854" s="34">
        <f>$B$583</f>
        <v>0.51581775683943654</v>
      </c>
      <c r="C854" s="34">
        <f>$C$583</f>
        <v>0.57974541098648058</v>
      </c>
      <c r="D854" s="34">
        <f>$D$583</f>
        <v>0.57974541098648058</v>
      </c>
      <c r="E854" s="34">
        <f>$E$583</f>
        <v>0.67730415363259411</v>
      </c>
      <c r="F854" s="34">
        <f>$F$583</f>
        <v>0.67730415363259411</v>
      </c>
      <c r="G854" s="34">
        <f>$G$583</f>
        <v>0.57974541098648058</v>
      </c>
      <c r="H854" s="34">
        <f>$H$583</f>
        <v>0.67730415363259411</v>
      </c>
      <c r="I854" s="34">
        <f>$I$583</f>
        <v>0.67730415363259411</v>
      </c>
      <c r="J854" s="34">
        <f>$J$583</f>
        <v>0.67730415363259411</v>
      </c>
      <c r="K854" s="10"/>
    </row>
    <row r="855" spans="1:11" x14ac:dyDescent="0.25">
      <c r="A855" s="3" t="s">
        <v>173</v>
      </c>
      <c r="B855" s="34">
        <f>$B$584</f>
        <v>1.7733281756811494</v>
      </c>
      <c r="C855" s="34">
        <f>$C$584</f>
        <v>1.84649804863558</v>
      </c>
      <c r="D855" s="34">
        <f>$D$584</f>
        <v>1.84649804863558</v>
      </c>
      <c r="E855" s="34">
        <f>$E$584</f>
        <v>1.8806581767536816</v>
      </c>
      <c r="F855" s="34">
        <f>$F$584</f>
        <v>1.8806581767536816</v>
      </c>
      <c r="G855" s="34">
        <f>$G$584</f>
        <v>1.84649804863558</v>
      </c>
      <c r="H855" s="34">
        <f>$H$584</f>
        <v>1.8806581767536816</v>
      </c>
      <c r="I855" s="34">
        <f>$I$584</f>
        <v>1.8806581767536816</v>
      </c>
      <c r="J855" s="34">
        <f>$J$584</f>
        <v>1.8806581767536816</v>
      </c>
      <c r="K855" s="10"/>
    </row>
    <row r="856" spans="1:11" x14ac:dyDescent="0.25">
      <c r="A856" s="3" t="s">
        <v>174</v>
      </c>
      <c r="B856" s="34">
        <f>$B$585</f>
        <v>1.9580881096976981</v>
      </c>
      <c r="C856" s="34">
        <f>$C$585</f>
        <v>2.0114990771123895</v>
      </c>
      <c r="D856" s="34">
        <f>$D$585</f>
        <v>2.0114990771123895</v>
      </c>
      <c r="E856" s="34">
        <f>$E$585</f>
        <v>2.0263403825799622</v>
      </c>
      <c r="F856" s="34">
        <f>$F$585</f>
        <v>2.0263403825799622</v>
      </c>
      <c r="G856" s="34">
        <f>$G$585</f>
        <v>2.0114990771123895</v>
      </c>
      <c r="H856" s="34">
        <f>$H$585</f>
        <v>2.0263403825799622</v>
      </c>
      <c r="I856" s="34">
        <f>$I$585</f>
        <v>2.0263403825799622</v>
      </c>
      <c r="J856" s="34">
        <f>$J$585</f>
        <v>2.0263403825799622</v>
      </c>
      <c r="K856" s="10"/>
    </row>
    <row r="857" spans="1:11" x14ac:dyDescent="0.25">
      <c r="A857" s="3" t="s">
        <v>212</v>
      </c>
      <c r="B857" s="34">
        <f>$B$586</f>
        <v>0.20965827119991673</v>
      </c>
      <c r="C857" s="34">
        <f>$C$586</f>
        <v>0.25564776332742511</v>
      </c>
      <c r="D857" s="34">
        <f>$D$586</f>
        <v>0.25564776332742511</v>
      </c>
      <c r="E857" s="34">
        <f>$E$586</f>
        <v>0.35656008125790373</v>
      </c>
      <c r="F857" s="34">
        <f>$F$586</f>
        <v>0.35656008125790373</v>
      </c>
      <c r="G857" s="34">
        <f>$G$586</f>
        <v>0.25564776332742511</v>
      </c>
      <c r="H857" s="34">
        <f>$H$586</f>
        <v>0.35656008125790373</v>
      </c>
      <c r="I857" s="34">
        <f>$I$586</f>
        <v>0.35656008125790373</v>
      </c>
      <c r="J857" s="34">
        <f>$J$586</f>
        <v>0.35656008125790373</v>
      </c>
      <c r="K857" s="10"/>
    </row>
    <row r="858" spans="1:11" x14ac:dyDescent="0.25">
      <c r="A858" s="3" t="s">
        <v>175</v>
      </c>
      <c r="B858" s="34">
        <f>$B$587</f>
        <v>1.5021306357517583</v>
      </c>
      <c r="C858" s="34">
        <f>$C$587</f>
        <v>1.5322609240107756</v>
      </c>
      <c r="D858" s="34">
        <f>$D$587</f>
        <v>1.5322609240107756</v>
      </c>
      <c r="E858" s="34">
        <f>$E$587</f>
        <v>1.5275860597855906</v>
      </c>
      <c r="F858" s="34">
        <f>$F$587</f>
        <v>1.5275860597855906</v>
      </c>
      <c r="G858" s="34">
        <f>$G$587</f>
        <v>1.5322609240107756</v>
      </c>
      <c r="H858" s="34">
        <f>$H$587</f>
        <v>1.5275860597855906</v>
      </c>
      <c r="I858" s="34">
        <f>$I$587</f>
        <v>1.5275860597855906</v>
      </c>
      <c r="J858" s="34">
        <f>$J$587</f>
        <v>1.5275860597855906</v>
      </c>
      <c r="K858" s="10"/>
    </row>
    <row r="859" spans="1:11" x14ac:dyDescent="0.25">
      <c r="A859" s="3" t="s">
        <v>176</v>
      </c>
      <c r="B859" s="34">
        <f>$B$588</f>
        <v>1.4865050892320077</v>
      </c>
      <c r="C859" s="34">
        <f>$C$588</f>
        <v>1.5191703997036134</v>
      </c>
      <c r="D859" s="34">
        <f>$D$588</f>
        <v>1.5191703997036134</v>
      </c>
      <c r="E859" s="34">
        <f>$E$588</f>
        <v>1.5181162568135591</v>
      </c>
      <c r="F859" s="34">
        <f>$F$588</f>
        <v>1.5181162568135591</v>
      </c>
      <c r="G859" s="34">
        <f>$G$588</f>
        <v>1.5191703997036134</v>
      </c>
      <c r="H859" s="34">
        <f>$H$588</f>
        <v>1.5181162568135591</v>
      </c>
      <c r="I859" s="34">
        <f>$I$588</f>
        <v>1.5181162568135591</v>
      </c>
      <c r="J859" s="34">
        <f>$J$588</f>
        <v>1.5181162568135591</v>
      </c>
      <c r="K859" s="10"/>
    </row>
    <row r="860" spans="1:11" x14ac:dyDescent="0.25">
      <c r="A860" s="3" t="s">
        <v>192</v>
      </c>
      <c r="B860" s="34">
        <f>$B$589</f>
        <v>1.4872276947335155</v>
      </c>
      <c r="C860" s="34">
        <f>$C$589</f>
        <v>1.5245068477344912</v>
      </c>
      <c r="D860" s="34">
        <f>$D$589</f>
        <v>1.5245068477344912</v>
      </c>
      <c r="E860" s="34">
        <f>$E$589</f>
        <v>1.528019902234139</v>
      </c>
      <c r="F860" s="34">
        <f>$F$589</f>
        <v>1.528019902234139</v>
      </c>
      <c r="G860" s="34">
        <f>$G$589</f>
        <v>1.5245068477344912</v>
      </c>
      <c r="H860" s="34">
        <f>$H$589</f>
        <v>1.528019902234139</v>
      </c>
      <c r="I860" s="34">
        <f>$I$589</f>
        <v>1.528019902234139</v>
      </c>
      <c r="J860" s="34">
        <f>$J$589</f>
        <v>1.528019902234139</v>
      </c>
      <c r="K860" s="10"/>
    </row>
    <row r="861" spans="1:11" x14ac:dyDescent="0.25">
      <c r="A861" s="3" t="s">
        <v>177</v>
      </c>
      <c r="B861" s="34">
        <f>$B$590</f>
        <v>14.144741864705098</v>
      </c>
      <c r="C861" s="34">
        <f>$C$590</f>
        <v>12.341111571455876</v>
      </c>
      <c r="D861" s="34">
        <f>$D$590</f>
        <v>12.341111571455876</v>
      </c>
      <c r="E861" s="34">
        <f>$E$590</f>
        <v>9.653660788375916</v>
      </c>
      <c r="F861" s="34">
        <f>$F$590</f>
        <v>9.653660788375916</v>
      </c>
      <c r="G861" s="34">
        <f>$G$590</f>
        <v>12.341111571455876</v>
      </c>
      <c r="H861" s="34">
        <f>$H$590</f>
        <v>9.653660788375916</v>
      </c>
      <c r="I861" s="34">
        <f>$I$590</f>
        <v>9.653660788375916</v>
      </c>
      <c r="J861" s="34">
        <f>$J$590</f>
        <v>9.653660788375916</v>
      </c>
      <c r="K861" s="10"/>
    </row>
    <row r="862" spans="1:11" x14ac:dyDescent="0.25">
      <c r="A862" s="3" t="s">
        <v>178</v>
      </c>
      <c r="B862" s="34">
        <f>$B$591</f>
        <v>14.571821548016372</v>
      </c>
      <c r="C862" s="34">
        <f>$C$591</f>
        <v>12.710180461146155</v>
      </c>
      <c r="D862" s="34">
        <f>$D$591</f>
        <v>12.710180461146155</v>
      </c>
      <c r="E862" s="34">
        <f>$E$591</f>
        <v>9.9369308307868227</v>
      </c>
      <c r="F862" s="34">
        <f>$F$591</f>
        <v>9.9369308307868227</v>
      </c>
      <c r="G862" s="34">
        <f>$G$591</f>
        <v>12.710180461146155</v>
      </c>
      <c r="H862" s="34">
        <f>$H$591</f>
        <v>9.9369308307868227</v>
      </c>
      <c r="I862" s="34">
        <f>$I$591</f>
        <v>9.9369308307868227</v>
      </c>
      <c r="J862" s="34">
        <f>$J$591</f>
        <v>9.9369308307868227</v>
      </c>
      <c r="K862" s="10"/>
    </row>
    <row r="863" spans="1:11" x14ac:dyDescent="0.25">
      <c r="A863" s="3" t="s">
        <v>179</v>
      </c>
      <c r="B863" s="34">
        <f>$B$592</f>
        <v>13.475506403099624</v>
      </c>
      <c r="C863" s="34">
        <f>$C$592</f>
        <v>11.760740288641811</v>
      </c>
      <c r="D863" s="34">
        <f>$D$592</f>
        <v>11.760740288641811</v>
      </c>
      <c r="E863" s="34">
        <f>$E$592</f>
        <v>9.1947168195126636</v>
      </c>
      <c r="F863" s="34">
        <f>$F$592</f>
        <v>9.1947168195126636</v>
      </c>
      <c r="G863" s="34">
        <f>$G$592</f>
        <v>11.760740288641811</v>
      </c>
      <c r="H863" s="34">
        <f>$H$592</f>
        <v>9.1947168195126636</v>
      </c>
      <c r="I863" s="34">
        <f>$I$592</f>
        <v>9.1947168195126636</v>
      </c>
      <c r="J863" s="34">
        <f>$J$592</f>
        <v>9.1947168195126636</v>
      </c>
      <c r="K863" s="10"/>
    </row>
    <row r="864" spans="1:11" x14ac:dyDescent="0.25">
      <c r="A864" s="3" t="s">
        <v>180</v>
      </c>
      <c r="B864" s="34">
        <f>$B$593</f>
        <v>13.56803720007858</v>
      </c>
      <c r="C864" s="34">
        <f>$C$593</f>
        <v>11.841496487289771</v>
      </c>
      <c r="D864" s="34">
        <f>$D$593</f>
        <v>11.841496487289771</v>
      </c>
      <c r="E864" s="34">
        <f>$E$593</f>
        <v>9.2578531833609006</v>
      </c>
      <c r="F864" s="34">
        <f>$F$593</f>
        <v>9.2578531833609006</v>
      </c>
      <c r="G864" s="34">
        <f>$G$593</f>
        <v>11.841496487289771</v>
      </c>
      <c r="H864" s="34">
        <f>$H$593</f>
        <v>9.2578531833609006</v>
      </c>
      <c r="I864" s="34">
        <f>$I$593</f>
        <v>9.2578531833609006</v>
      </c>
      <c r="J864" s="34">
        <f>$J$593</f>
        <v>9.2578531833609006</v>
      </c>
      <c r="K864" s="10"/>
    </row>
    <row r="865" spans="1:11" x14ac:dyDescent="0.25">
      <c r="A865" s="3" t="s">
        <v>193</v>
      </c>
      <c r="B865" s="34">
        <f>$B$594</f>
        <v>12.03512979059413</v>
      </c>
      <c r="C865" s="34">
        <f>$C$594</f>
        <v>10.503652447132994</v>
      </c>
      <c r="D865" s="34">
        <f>$D$594</f>
        <v>10.503652447132994</v>
      </c>
      <c r="E865" s="34">
        <f>$E$594</f>
        <v>8.2119073673654253</v>
      </c>
      <c r="F865" s="34">
        <f>$F$594</f>
        <v>8.2119073673654253</v>
      </c>
      <c r="G865" s="34">
        <f>$G$594</f>
        <v>10.503652447132994</v>
      </c>
      <c r="H865" s="34">
        <f>$H$594</f>
        <v>8.2119073673654253</v>
      </c>
      <c r="I865" s="34">
        <f>$I$594</f>
        <v>8.2119073673654253</v>
      </c>
      <c r="J865" s="34">
        <f>$J$594</f>
        <v>8.2119073673654253</v>
      </c>
      <c r="K865" s="10"/>
    </row>
    <row r="866" spans="1:11" x14ac:dyDescent="0.25">
      <c r="A866" s="3" t="s">
        <v>213</v>
      </c>
      <c r="B866" s="34">
        <f>$B$821</f>
        <v>1.1531042189747953</v>
      </c>
      <c r="C866" s="34">
        <f>$C$821</f>
        <v>1.1541580638225479</v>
      </c>
      <c r="D866" s="34">
        <f>$D$821</f>
        <v>1.1541580638225479</v>
      </c>
      <c r="E866" s="34">
        <f>$E$821</f>
        <v>1.1555241335908275</v>
      </c>
      <c r="F866" s="34">
        <f>$F$821</f>
        <v>1.1555241335908275</v>
      </c>
      <c r="G866" s="34">
        <f>$G$821</f>
        <v>1.1541580638225479</v>
      </c>
      <c r="H866" s="34">
        <f>$H$821</f>
        <v>1.1555241335908275</v>
      </c>
      <c r="I866" s="34">
        <f>$I$821</f>
        <v>1.1555241335908275</v>
      </c>
      <c r="J866" s="34">
        <f>$J$821</f>
        <v>1.1555241335908275</v>
      </c>
      <c r="K866" s="10"/>
    </row>
    <row r="867" spans="1:11" x14ac:dyDescent="0.25">
      <c r="A867" s="3" t="s">
        <v>214</v>
      </c>
      <c r="B867" s="34">
        <f>$B$822</f>
        <v>1.9395832740005532</v>
      </c>
      <c r="C867" s="34">
        <f>$C$822</f>
        <v>1.7195558481836768</v>
      </c>
      <c r="D867" s="34">
        <f>$D$822</f>
        <v>1.7195558481836768</v>
      </c>
      <c r="E867" s="34">
        <f>$E$822</f>
        <v>1.4444457522475731</v>
      </c>
      <c r="F867" s="34">
        <f>$F$822</f>
        <v>1.4444457522475731</v>
      </c>
      <c r="G867" s="34">
        <f>$G$822</f>
        <v>1.7195558481836768</v>
      </c>
      <c r="H867" s="34">
        <f>$H$822</f>
        <v>1.4444457522475731</v>
      </c>
      <c r="I867" s="34">
        <f>$I$822</f>
        <v>1.4444457522475731</v>
      </c>
      <c r="J867" s="34">
        <f>$J$822</f>
        <v>1.4444457522475731</v>
      </c>
      <c r="K867" s="10"/>
    </row>
    <row r="868" spans="1:11" x14ac:dyDescent="0.25">
      <c r="A868" s="3" t="s">
        <v>215</v>
      </c>
      <c r="B868" s="34">
        <f>$B$823</f>
        <v>3.5006071215326862</v>
      </c>
      <c r="C868" s="34">
        <f>$C$823</f>
        <v>3.1087012592249939</v>
      </c>
      <c r="D868" s="34">
        <f>$D$823</f>
        <v>3.1087012592249939</v>
      </c>
      <c r="E868" s="34">
        <f>$E$823</f>
        <v>2.5527476992182825</v>
      </c>
      <c r="F868" s="34">
        <f>$F$823</f>
        <v>2.5527476992182825</v>
      </c>
      <c r="G868" s="34">
        <f>$G$823</f>
        <v>3.1087012592249939</v>
      </c>
      <c r="H868" s="34">
        <f>$H$823</f>
        <v>2.5527476992182825</v>
      </c>
      <c r="I868" s="34">
        <f>$I$823</f>
        <v>2.5527476992182825</v>
      </c>
      <c r="J868" s="34">
        <f>$J$823</f>
        <v>2.5527476992182825</v>
      </c>
      <c r="K868" s="10"/>
    </row>
    <row r="869" spans="1:11" x14ac:dyDescent="0.25">
      <c r="A869" s="3" t="s">
        <v>216</v>
      </c>
      <c r="B869" s="34">
        <f>$B$824</f>
        <v>0.38249149806385424</v>
      </c>
      <c r="C869" s="34">
        <f>$C$824</f>
        <v>0.59374564121352669</v>
      </c>
      <c r="D869" s="34">
        <f>$D$824</f>
        <v>0.59374564121352669</v>
      </c>
      <c r="E869" s="34">
        <f>$E$824</f>
        <v>0.85956570010056632</v>
      </c>
      <c r="F869" s="34">
        <f>$F$824</f>
        <v>0.85956570010056632</v>
      </c>
      <c r="G869" s="34">
        <f>$G$824</f>
        <v>0.59374564121352669</v>
      </c>
      <c r="H869" s="34">
        <f>$H$824</f>
        <v>0.85956570010056632</v>
      </c>
      <c r="I869" s="34">
        <f>$I$824</f>
        <v>0.85956570010056632</v>
      </c>
      <c r="J869" s="34">
        <f>$J$824</f>
        <v>0.85956570010056632</v>
      </c>
      <c r="K869" s="10"/>
    </row>
    <row r="870" spans="1:11" x14ac:dyDescent="0.25">
      <c r="A870" s="3" t="s">
        <v>217</v>
      </c>
      <c r="B870" s="34">
        <f>$B$825</f>
        <v>38.61898720909403</v>
      </c>
      <c r="C870" s="34">
        <f>$C$825</f>
        <v>33.672526090252127</v>
      </c>
      <c r="D870" s="34">
        <f>$D$825</f>
        <v>33.672526090252127</v>
      </c>
      <c r="E870" s="34">
        <f>$E$825</f>
        <v>26.108093221595588</v>
      </c>
      <c r="F870" s="34">
        <f>$F$825</f>
        <v>26.108093221595588</v>
      </c>
      <c r="G870" s="34">
        <f>$G$825</f>
        <v>33.672526090252127</v>
      </c>
      <c r="H870" s="34">
        <f>$H$825</f>
        <v>26.108093221595588</v>
      </c>
      <c r="I870" s="34">
        <f>$I$825</f>
        <v>26.108093221595588</v>
      </c>
      <c r="J870" s="34">
        <f>$J$825</f>
        <v>26.108093221595588</v>
      </c>
      <c r="K870" s="10"/>
    </row>
    <row r="871" spans="1:11" x14ac:dyDescent="0.25">
      <c r="A871" s="3" t="s">
        <v>184</v>
      </c>
      <c r="B871" s="34">
        <f>$B$595</f>
        <v>-11.035378564342917</v>
      </c>
      <c r="C871" s="34">
        <f>$C$595</f>
        <v>-9.6311201523550274</v>
      </c>
      <c r="D871" s="34">
        <f>$D$595</f>
        <v>-9.6311201523550274</v>
      </c>
      <c r="E871" s="34">
        <f>$E$595</f>
        <v>-7.5297490023761897</v>
      </c>
      <c r="F871" s="34">
        <f>$F$595</f>
        <v>-7.5297490023761897</v>
      </c>
      <c r="G871" s="34">
        <f>$G$595</f>
        <v>-9.6311201523550274</v>
      </c>
      <c r="H871" s="34">
        <f>$H$595</f>
        <v>-7.5297490023761897</v>
      </c>
      <c r="I871" s="34">
        <f>$I$595</f>
        <v>-7.5297490023761897</v>
      </c>
      <c r="J871" s="34">
        <f>$J$595</f>
        <v>-7.5297490023761897</v>
      </c>
      <c r="K871" s="10"/>
    </row>
    <row r="872" spans="1:11" x14ac:dyDescent="0.25">
      <c r="A872" s="3" t="s">
        <v>186</v>
      </c>
      <c r="B872" s="34">
        <f>$B$596</f>
        <v>-11.035378564342917</v>
      </c>
      <c r="C872" s="34">
        <f>$C$596</f>
        <v>-9.6311201523550274</v>
      </c>
      <c r="D872" s="34">
        <f>$D$596</f>
        <v>-9.6311201523550274</v>
      </c>
      <c r="E872" s="34">
        <f>$E$596</f>
        <v>-7.5297490023761897</v>
      </c>
      <c r="F872" s="34">
        <f>$F$596</f>
        <v>-7.5297490023761897</v>
      </c>
      <c r="G872" s="34">
        <f>$G$596</f>
        <v>-9.6311201523550274</v>
      </c>
      <c r="H872" s="34">
        <f>$H$596</f>
        <v>-7.5297490023761897</v>
      </c>
      <c r="I872" s="34">
        <f>$I$596</f>
        <v>-7.5297490023761897</v>
      </c>
      <c r="J872" s="34">
        <f>$J$596</f>
        <v>-7.5297490023761897</v>
      </c>
      <c r="K872" s="10"/>
    </row>
    <row r="873" spans="1:11" x14ac:dyDescent="0.25">
      <c r="A873" s="3" t="s">
        <v>195</v>
      </c>
      <c r="B873" s="34">
        <f>$B$597</f>
        <v>-11.035378564342917</v>
      </c>
      <c r="C873" s="34">
        <f>$C$597</f>
        <v>-9.6311201523550274</v>
      </c>
      <c r="D873" s="34">
        <f>$D$597</f>
        <v>-9.6311201523550274</v>
      </c>
      <c r="E873" s="34">
        <f>$E$597</f>
        <v>-7.5297490023761897</v>
      </c>
      <c r="F873" s="34">
        <f>$F$597</f>
        <v>-7.5297490023761897</v>
      </c>
      <c r="G873" s="34">
        <f>$G$597</f>
        <v>-9.6311201523550274</v>
      </c>
      <c r="H873" s="34">
        <f>$H$597</f>
        <v>-7.5297490023761897</v>
      </c>
      <c r="I873" s="34">
        <f>$I$597</f>
        <v>-7.5297490023761897</v>
      </c>
      <c r="J873" s="34">
        <f>$J$597</f>
        <v>-7.5297490023761897</v>
      </c>
      <c r="K873" s="10"/>
    </row>
    <row r="875" spans="1:11" ht="21" customHeight="1" x14ac:dyDescent="0.3">
      <c r="A875" s="1" t="s">
        <v>795</v>
      </c>
    </row>
    <row r="876" spans="1:11" x14ac:dyDescent="0.25">
      <c r="A876" s="2" t="s">
        <v>356</v>
      </c>
    </row>
    <row r="877" spans="1:11" x14ac:dyDescent="0.25">
      <c r="A877" s="11" t="s">
        <v>796</v>
      </c>
    </row>
    <row r="878" spans="1:11" x14ac:dyDescent="0.25">
      <c r="A878" s="11" t="s">
        <v>797</v>
      </c>
    </row>
    <row r="879" spans="1:11" x14ac:dyDescent="0.25">
      <c r="A879" s="2" t="s">
        <v>374</v>
      </c>
    </row>
    <row r="881" spans="1:11" x14ac:dyDescent="0.25">
      <c r="B881" s="12" t="s">
        <v>139</v>
      </c>
      <c r="C881" s="12" t="s">
        <v>140</v>
      </c>
      <c r="D881" s="12" t="s">
        <v>141</v>
      </c>
      <c r="E881" s="12" t="s">
        <v>142</v>
      </c>
      <c r="F881" s="12" t="s">
        <v>143</v>
      </c>
      <c r="G881" s="12" t="s">
        <v>148</v>
      </c>
      <c r="H881" s="12" t="s">
        <v>144</v>
      </c>
      <c r="I881" s="12" t="s">
        <v>145</v>
      </c>
      <c r="J881" s="12" t="s">
        <v>146</v>
      </c>
    </row>
    <row r="882" spans="1:11" x14ac:dyDescent="0.25">
      <c r="A882" s="3" t="s">
        <v>172</v>
      </c>
      <c r="B882" s="34">
        <f>$B$606</f>
        <v>4.241657176021723E-2</v>
      </c>
      <c r="C882" s="34">
        <f>$C$606</f>
        <v>2.4298229596681851E-2</v>
      </c>
      <c r="D882" s="34">
        <f>$D$606</f>
        <v>2.4298229596681851E-2</v>
      </c>
      <c r="E882" s="34">
        <f>$E$606</f>
        <v>0.10457015769884956</v>
      </c>
      <c r="F882" s="34">
        <f>$F$606</f>
        <v>0.10457015769884956</v>
      </c>
      <c r="G882" s="34">
        <f>$G$606</f>
        <v>2.4298229596681851E-2</v>
      </c>
      <c r="H882" s="34">
        <f>$H$606</f>
        <v>0.10457015769884956</v>
      </c>
      <c r="I882" s="34">
        <f>$I$606</f>
        <v>0.10457015769884956</v>
      </c>
      <c r="J882" s="34">
        <f>$J$606</f>
        <v>0.10457015769884956</v>
      </c>
      <c r="K882" s="10"/>
    </row>
    <row r="883" spans="1:11" x14ac:dyDescent="0.25">
      <c r="A883" s="3" t="s">
        <v>174</v>
      </c>
      <c r="B883" s="34">
        <f>$B$607</f>
        <v>4.0706130004593298E-2</v>
      </c>
      <c r="C883" s="34">
        <f>$C$607</f>
        <v>2.3318716338496633E-2</v>
      </c>
      <c r="D883" s="34">
        <f>$D$607</f>
        <v>2.3318716338496633E-2</v>
      </c>
      <c r="E883" s="34">
        <f>$E$607</f>
        <v>0.10035325971539692</v>
      </c>
      <c r="F883" s="34">
        <f>$F$607</f>
        <v>0.10035325971539692</v>
      </c>
      <c r="G883" s="34">
        <f>$G$607</f>
        <v>2.3318716338496633E-2</v>
      </c>
      <c r="H883" s="34">
        <f>$H$607</f>
        <v>0.10035325971539692</v>
      </c>
      <c r="I883" s="34">
        <f>$I$607</f>
        <v>0.10035325971539692</v>
      </c>
      <c r="J883" s="34">
        <f>$J$607</f>
        <v>0.10035325971539692</v>
      </c>
      <c r="K883" s="10"/>
    </row>
    <row r="884" spans="1:11" x14ac:dyDescent="0.25">
      <c r="A884" s="3" t="s">
        <v>175</v>
      </c>
      <c r="B884" s="34">
        <f>$B$608</f>
        <v>2.9029470440480602E-2</v>
      </c>
      <c r="C884" s="34">
        <f>$C$608</f>
        <v>1.662946128273508E-2</v>
      </c>
      <c r="D884" s="34">
        <f>$D$608</f>
        <v>1.662946128273508E-2</v>
      </c>
      <c r="E884" s="34">
        <f>$E$608</f>
        <v>7.1566752707777112E-2</v>
      </c>
      <c r="F884" s="34">
        <f>$F$608</f>
        <v>7.1566752707777112E-2</v>
      </c>
      <c r="G884" s="34">
        <f>$G$608</f>
        <v>1.662946128273508E-2</v>
      </c>
      <c r="H884" s="34">
        <f>$H$608</f>
        <v>7.1566752707777112E-2</v>
      </c>
      <c r="I884" s="34">
        <f>$I$608</f>
        <v>7.1566752707777112E-2</v>
      </c>
      <c r="J884" s="34">
        <f>$J$608</f>
        <v>7.1566752707777112E-2</v>
      </c>
      <c r="K884" s="10"/>
    </row>
    <row r="885" spans="1:11" x14ac:dyDescent="0.25">
      <c r="A885" s="3" t="s">
        <v>176</v>
      </c>
      <c r="B885" s="34">
        <f>$B$609</f>
        <v>2.9029470440480602E-2</v>
      </c>
      <c r="C885" s="34">
        <f>$C$609</f>
        <v>1.662946128273508E-2</v>
      </c>
      <c r="D885" s="34">
        <f>$D$609</f>
        <v>1.662946128273508E-2</v>
      </c>
      <c r="E885" s="34">
        <f>$E$609</f>
        <v>7.1566752707777112E-2</v>
      </c>
      <c r="F885" s="34">
        <f>$F$609</f>
        <v>7.1566752707777112E-2</v>
      </c>
      <c r="G885" s="34">
        <f>$G$609</f>
        <v>1.662946128273508E-2</v>
      </c>
      <c r="H885" s="34">
        <f>$H$609</f>
        <v>7.1566752707777112E-2</v>
      </c>
      <c r="I885" s="34">
        <f>$I$609</f>
        <v>7.1566752707777112E-2</v>
      </c>
      <c r="J885" s="34">
        <f>$J$609</f>
        <v>7.1566752707777112E-2</v>
      </c>
      <c r="K885" s="10"/>
    </row>
    <row r="886" spans="1:11" x14ac:dyDescent="0.25">
      <c r="A886" s="3" t="s">
        <v>192</v>
      </c>
      <c r="B886" s="34">
        <f>$B$610</f>
        <v>2.9029470440480602E-2</v>
      </c>
      <c r="C886" s="34">
        <f>$C$610</f>
        <v>1.662946128273508E-2</v>
      </c>
      <c r="D886" s="34">
        <f>$D$610</f>
        <v>1.662946128273508E-2</v>
      </c>
      <c r="E886" s="34">
        <f>$E$610</f>
        <v>7.1566752707777112E-2</v>
      </c>
      <c r="F886" s="34">
        <f>$F$610</f>
        <v>7.1566752707777112E-2</v>
      </c>
      <c r="G886" s="34">
        <f>$G$610</f>
        <v>1.662946128273508E-2</v>
      </c>
      <c r="H886" s="34">
        <f>$H$610</f>
        <v>7.1566752707777112E-2</v>
      </c>
      <c r="I886" s="34">
        <f>$I$610</f>
        <v>7.1566752707777112E-2</v>
      </c>
      <c r="J886" s="34">
        <f>$J$610</f>
        <v>7.1566752707777112E-2</v>
      </c>
      <c r="K886" s="10"/>
    </row>
    <row r="887" spans="1:11" x14ac:dyDescent="0.25">
      <c r="A887" s="3" t="s">
        <v>177</v>
      </c>
      <c r="B887" s="34">
        <f>$B$611</f>
        <v>0</v>
      </c>
      <c r="C887" s="34">
        <f>$C$611</f>
        <v>0.54466646709024191</v>
      </c>
      <c r="D887" s="34">
        <f>$D$611</f>
        <v>0.54466646709024191</v>
      </c>
      <c r="E887" s="34">
        <f>$E$611</f>
        <v>1.1792551017148643</v>
      </c>
      <c r="F887" s="34">
        <f>$F$611</f>
        <v>1.1792551017148643</v>
      </c>
      <c r="G887" s="34">
        <f>$G$611</f>
        <v>0.54466646709024191</v>
      </c>
      <c r="H887" s="34">
        <f>$H$611</f>
        <v>1.1792551017148643</v>
      </c>
      <c r="I887" s="34">
        <f>$I$611</f>
        <v>1.1792551017148643</v>
      </c>
      <c r="J887" s="34">
        <f>$J$611</f>
        <v>1.1792551017148643</v>
      </c>
      <c r="K887" s="10"/>
    </row>
    <row r="888" spans="1:11" x14ac:dyDescent="0.25">
      <c r="A888" s="3" t="s">
        <v>178</v>
      </c>
      <c r="B888" s="34">
        <f>$B$612</f>
        <v>0</v>
      </c>
      <c r="C888" s="34">
        <f>$C$612</f>
        <v>0.56095506857452526</v>
      </c>
      <c r="D888" s="34">
        <f>$D$612</f>
        <v>0.56095506857452526</v>
      </c>
      <c r="E888" s="34">
        <f>$E$612</f>
        <v>1.213858310797814</v>
      </c>
      <c r="F888" s="34">
        <f>$F$612</f>
        <v>1.213858310797814</v>
      </c>
      <c r="G888" s="34">
        <f>$G$612</f>
        <v>0.56095506857452526</v>
      </c>
      <c r="H888" s="34">
        <f>$H$612</f>
        <v>1.213858310797814</v>
      </c>
      <c r="I888" s="34">
        <f>$I$612</f>
        <v>1.213858310797814</v>
      </c>
      <c r="J888" s="34">
        <f>$J$612</f>
        <v>1.213858310797814</v>
      </c>
      <c r="K888" s="10"/>
    </row>
    <row r="889" spans="1:11" x14ac:dyDescent="0.25">
      <c r="A889" s="3" t="s">
        <v>179</v>
      </c>
      <c r="B889" s="34">
        <f>$B$613</f>
        <v>0</v>
      </c>
      <c r="C889" s="34">
        <f>$C$613</f>
        <v>0.5190521798859915</v>
      </c>
      <c r="D889" s="34">
        <f>$D$613</f>
        <v>0.5190521798859915</v>
      </c>
      <c r="E889" s="34">
        <f>$E$613</f>
        <v>1.1231922227151239</v>
      </c>
      <c r="F889" s="34">
        <f>$F$613</f>
        <v>1.1231922227151239</v>
      </c>
      <c r="G889" s="34">
        <f>$G$613</f>
        <v>0.5190521798859915</v>
      </c>
      <c r="H889" s="34">
        <f>$H$613</f>
        <v>1.1231922227151239</v>
      </c>
      <c r="I889" s="34">
        <f>$I$613</f>
        <v>1.1231922227151239</v>
      </c>
      <c r="J889" s="34">
        <f>$J$613</f>
        <v>1.1231922227151239</v>
      </c>
      <c r="K889" s="10"/>
    </row>
    <row r="890" spans="1:11" x14ac:dyDescent="0.25">
      <c r="A890" s="3" t="s">
        <v>180</v>
      </c>
      <c r="B890" s="34">
        <f>$B$614</f>
        <v>0</v>
      </c>
      <c r="C890" s="34">
        <f>$C$614</f>
        <v>0.52261629914368912</v>
      </c>
      <c r="D890" s="34">
        <f>$D$614</f>
        <v>0.52261629914368912</v>
      </c>
      <c r="E890" s="34">
        <f>$E$614</f>
        <v>1.1309047248222421</v>
      </c>
      <c r="F890" s="34">
        <f>$F$614</f>
        <v>1.1309047248222421</v>
      </c>
      <c r="G890" s="34">
        <f>$G$614</f>
        <v>0.52261629914368912</v>
      </c>
      <c r="H890" s="34">
        <f>$H$614</f>
        <v>1.1309047248222421</v>
      </c>
      <c r="I890" s="34">
        <f>$I$614</f>
        <v>1.1309047248222421</v>
      </c>
      <c r="J890" s="34">
        <f>$J$614</f>
        <v>1.1309047248222421</v>
      </c>
      <c r="K890" s="10"/>
    </row>
    <row r="891" spans="1:11" x14ac:dyDescent="0.25">
      <c r="A891" s="3" t="s">
        <v>193</v>
      </c>
      <c r="B891" s="34">
        <f>$B$615</f>
        <v>0</v>
      </c>
      <c r="C891" s="34">
        <f>$C$615</f>
        <v>0.46357147302321955</v>
      </c>
      <c r="D891" s="34">
        <f>$D$615</f>
        <v>0.46357147302321955</v>
      </c>
      <c r="E891" s="34">
        <f>$E$615</f>
        <v>1.0031358952902192</v>
      </c>
      <c r="F891" s="34">
        <f>$F$615</f>
        <v>1.0031358952902192</v>
      </c>
      <c r="G891" s="34">
        <f>$G$615</f>
        <v>0.46357147302321955</v>
      </c>
      <c r="H891" s="34">
        <f>$H$615</f>
        <v>1.0031358952902192</v>
      </c>
      <c r="I891" s="34">
        <f>$I$615</f>
        <v>1.0031358952902192</v>
      </c>
      <c r="J891" s="34">
        <f>$J$615</f>
        <v>1.0031358952902192</v>
      </c>
      <c r="K891" s="10"/>
    </row>
    <row r="892" spans="1:11" x14ac:dyDescent="0.25">
      <c r="A892" s="3" t="s">
        <v>217</v>
      </c>
      <c r="B892" s="34">
        <f>$B$834</f>
        <v>0</v>
      </c>
      <c r="C892" s="34">
        <f>$C$834</f>
        <v>0.4156037373076602</v>
      </c>
      <c r="D892" s="34">
        <f>$D$834</f>
        <v>0.4156037373076602</v>
      </c>
      <c r="E892" s="34">
        <f>$E$834</f>
        <v>0.91307082961455699</v>
      </c>
      <c r="F892" s="34">
        <f>$F$834</f>
        <v>0.91307082961455699</v>
      </c>
      <c r="G892" s="34">
        <f>$G$834</f>
        <v>0.4156037373076602</v>
      </c>
      <c r="H892" s="34">
        <f>$H$834</f>
        <v>0.91307082961455699</v>
      </c>
      <c r="I892" s="34">
        <f>$I$834</f>
        <v>0.91307082961455699</v>
      </c>
      <c r="J892" s="34">
        <f>$J$834</f>
        <v>0.91307082961455699</v>
      </c>
      <c r="K892" s="10"/>
    </row>
    <row r="893" spans="1:11" x14ac:dyDescent="0.25">
      <c r="A893" s="3" t="s">
        <v>184</v>
      </c>
      <c r="B893" s="34">
        <f>$B$616</f>
        <v>0</v>
      </c>
      <c r="C893" s="34">
        <f>$C$616</f>
        <v>-0.4250628605966007</v>
      </c>
      <c r="D893" s="34">
        <f>$D$616</f>
        <v>-0.4250628605966007</v>
      </c>
      <c r="E893" s="34">
        <f>$E$616</f>
        <v>-0.91980598037756123</v>
      </c>
      <c r="F893" s="34">
        <f>$F$616</f>
        <v>-0.91980598037756123</v>
      </c>
      <c r="G893" s="34">
        <f>$G$616</f>
        <v>-0.4250628605966007</v>
      </c>
      <c r="H893" s="34">
        <f>$H$616</f>
        <v>-0.91980598037756123</v>
      </c>
      <c r="I893" s="34">
        <f>$I$616</f>
        <v>-0.91980598037756123</v>
      </c>
      <c r="J893" s="34">
        <f>$J$616</f>
        <v>-0.91980598037756123</v>
      </c>
      <c r="K893" s="10"/>
    </row>
    <row r="894" spans="1:11" x14ac:dyDescent="0.25">
      <c r="A894" s="3" t="s">
        <v>186</v>
      </c>
      <c r="B894" s="34">
        <f>$B$617</f>
        <v>0</v>
      </c>
      <c r="C894" s="34">
        <f>$C$617</f>
        <v>-0.4250628605966007</v>
      </c>
      <c r="D894" s="34">
        <f>$D$617</f>
        <v>-0.4250628605966007</v>
      </c>
      <c r="E894" s="34">
        <f>$E$617</f>
        <v>-0.91980598037756123</v>
      </c>
      <c r="F894" s="34">
        <f>$F$617</f>
        <v>-0.91980598037756123</v>
      </c>
      <c r="G894" s="34">
        <f>$G$617</f>
        <v>-0.4250628605966007</v>
      </c>
      <c r="H894" s="34">
        <f>$H$617</f>
        <v>-0.91980598037756123</v>
      </c>
      <c r="I894" s="34">
        <f>$I$617</f>
        <v>-0.91980598037756123</v>
      </c>
      <c r="J894" s="34">
        <f>$J$617</f>
        <v>-0.91980598037756123</v>
      </c>
      <c r="K894" s="10"/>
    </row>
    <row r="895" spans="1:11" x14ac:dyDescent="0.25">
      <c r="A895" s="3" t="s">
        <v>195</v>
      </c>
      <c r="B895" s="34">
        <f>$B$618</f>
        <v>0</v>
      </c>
      <c r="C895" s="34">
        <f>$C$618</f>
        <v>-0.4250628605966007</v>
      </c>
      <c r="D895" s="34">
        <f>$D$618</f>
        <v>-0.4250628605966007</v>
      </c>
      <c r="E895" s="34">
        <f>$E$618</f>
        <v>-0.91980598037756123</v>
      </c>
      <c r="F895" s="34">
        <f>$F$618</f>
        <v>-0.91980598037756123</v>
      </c>
      <c r="G895" s="34">
        <f>$G$618</f>
        <v>-0.4250628605966007</v>
      </c>
      <c r="H895" s="34">
        <f>$H$618</f>
        <v>-0.91980598037756123</v>
      </c>
      <c r="I895" s="34">
        <f>$I$618</f>
        <v>-0.91980598037756123</v>
      </c>
      <c r="J895" s="34">
        <f>$J$618</f>
        <v>-0.91980598037756123</v>
      </c>
      <c r="K895" s="10"/>
    </row>
    <row r="897" spans="1:11" ht="21" customHeight="1" x14ac:dyDescent="0.3">
      <c r="A897" s="1" t="s">
        <v>798</v>
      </c>
    </row>
    <row r="898" spans="1:11" x14ac:dyDescent="0.25">
      <c r="A898" s="2" t="s">
        <v>356</v>
      </c>
    </row>
    <row r="899" spans="1:11" x14ac:dyDescent="0.25">
      <c r="A899" s="11" t="s">
        <v>799</v>
      </c>
    </row>
    <row r="900" spans="1:11" x14ac:dyDescent="0.25">
      <c r="A900" s="11" t="s">
        <v>800</v>
      </c>
    </row>
    <row r="901" spans="1:11" x14ac:dyDescent="0.25">
      <c r="A901" s="2" t="s">
        <v>374</v>
      </c>
    </row>
    <row r="903" spans="1:11" x14ac:dyDescent="0.25">
      <c r="B903" s="12" t="s">
        <v>139</v>
      </c>
      <c r="C903" s="12" t="s">
        <v>140</v>
      </c>
      <c r="D903" s="12" t="s">
        <v>141</v>
      </c>
      <c r="E903" s="12" t="s">
        <v>142</v>
      </c>
      <c r="F903" s="12" t="s">
        <v>143</v>
      </c>
      <c r="G903" s="12" t="s">
        <v>148</v>
      </c>
      <c r="H903" s="12" t="s">
        <v>144</v>
      </c>
      <c r="I903" s="12" t="s">
        <v>145</v>
      </c>
      <c r="J903" s="12" t="s">
        <v>146</v>
      </c>
    </row>
    <row r="904" spans="1:11" x14ac:dyDescent="0.25">
      <c r="A904" s="3" t="s">
        <v>177</v>
      </c>
      <c r="B904" s="34">
        <f>$B$627</f>
        <v>3.7208906197060257E-2</v>
      </c>
      <c r="C904" s="34">
        <f>$C$627</f>
        <v>2.1308636359734019E-2</v>
      </c>
      <c r="D904" s="34">
        <f>$D$627</f>
        <v>2.1308636359734019E-2</v>
      </c>
      <c r="E904" s="34">
        <f>$E$627</f>
        <v>9.1753543730134959E-2</v>
      </c>
      <c r="F904" s="34">
        <f>$F$627</f>
        <v>9.1753543730134959E-2</v>
      </c>
      <c r="G904" s="34">
        <f>$G$627</f>
        <v>2.1308636359734019E-2</v>
      </c>
      <c r="H904" s="34">
        <f>$H$627</f>
        <v>9.1753543730134959E-2</v>
      </c>
      <c r="I904" s="34">
        <f>$I$627</f>
        <v>9.1753543730134959E-2</v>
      </c>
      <c r="J904" s="34">
        <f>$J$627</f>
        <v>9.1753543730134959E-2</v>
      </c>
      <c r="K904" s="10"/>
    </row>
    <row r="905" spans="1:11" x14ac:dyDescent="0.25">
      <c r="A905" s="3" t="s">
        <v>178</v>
      </c>
      <c r="B905" s="34">
        <f>$B$628</f>
        <v>3.833237441069038E-2</v>
      </c>
      <c r="C905" s="34">
        <f>$C$628</f>
        <v>2.1945884853645271E-2</v>
      </c>
      <c r="D905" s="34">
        <f>$D$628</f>
        <v>2.1945884853645271E-2</v>
      </c>
      <c r="E905" s="34">
        <f>$E$628</f>
        <v>9.4445893377957932E-2</v>
      </c>
      <c r="F905" s="34">
        <f>$F$628</f>
        <v>9.4445893377957932E-2</v>
      </c>
      <c r="G905" s="34">
        <f>$G$628</f>
        <v>2.1945884853645271E-2</v>
      </c>
      <c r="H905" s="34">
        <f>$H$628</f>
        <v>9.4445893377957932E-2</v>
      </c>
      <c r="I905" s="34">
        <f>$I$628</f>
        <v>9.4445893377957932E-2</v>
      </c>
      <c r="J905" s="34">
        <f>$J$628</f>
        <v>9.4445893377957932E-2</v>
      </c>
      <c r="K905" s="10"/>
    </row>
    <row r="906" spans="1:11" x14ac:dyDescent="0.25">
      <c r="A906" s="3" t="s">
        <v>179</v>
      </c>
      <c r="B906" s="34">
        <f>$B$629</f>
        <v>3.5448427303008442E-2</v>
      </c>
      <c r="C906" s="34">
        <f>$C$629</f>
        <v>2.0306545053167997E-2</v>
      </c>
      <c r="D906" s="34">
        <f>$D$629</f>
        <v>2.0306545053167997E-2</v>
      </c>
      <c r="E906" s="34">
        <f>$E$629</f>
        <v>8.739149533834964E-2</v>
      </c>
      <c r="F906" s="34">
        <f>$F$629</f>
        <v>8.739149533834964E-2</v>
      </c>
      <c r="G906" s="34">
        <f>$G$629</f>
        <v>2.0306545053167997E-2</v>
      </c>
      <c r="H906" s="34">
        <f>$H$629</f>
        <v>8.739149533834964E-2</v>
      </c>
      <c r="I906" s="34">
        <f>$I$629</f>
        <v>8.739149533834964E-2</v>
      </c>
      <c r="J906" s="34">
        <f>$J$629</f>
        <v>8.739149533834964E-2</v>
      </c>
      <c r="K906" s="10"/>
    </row>
    <row r="907" spans="1:11" x14ac:dyDescent="0.25">
      <c r="A907" s="3" t="s">
        <v>180</v>
      </c>
      <c r="B907" s="34">
        <f>$B$630</f>
        <v>3.5691837170651219E-2</v>
      </c>
      <c r="C907" s="34">
        <f>$C$630</f>
        <v>2.0445981801699133E-2</v>
      </c>
      <c r="D907" s="34">
        <f>$D$630</f>
        <v>2.0445981801699133E-2</v>
      </c>
      <c r="E907" s="34">
        <f>$E$630</f>
        <v>8.799157703256931E-2</v>
      </c>
      <c r="F907" s="34">
        <f>$F$630</f>
        <v>8.799157703256931E-2</v>
      </c>
      <c r="G907" s="34">
        <f>$G$630</f>
        <v>2.0445981801699133E-2</v>
      </c>
      <c r="H907" s="34">
        <f>$H$630</f>
        <v>8.799157703256931E-2</v>
      </c>
      <c r="I907" s="34">
        <f>$I$630</f>
        <v>8.799157703256931E-2</v>
      </c>
      <c r="J907" s="34">
        <f>$J$630</f>
        <v>8.799157703256931E-2</v>
      </c>
      <c r="K907" s="10"/>
    </row>
    <row r="908" spans="1:11" x14ac:dyDescent="0.25">
      <c r="A908" s="3" t="s">
        <v>193</v>
      </c>
      <c r="B908" s="34">
        <f>$B$631</f>
        <v>3.1659398222393706E-2</v>
      </c>
      <c r="C908" s="34">
        <f>$C$631</f>
        <v>1.8136008993117264E-2</v>
      </c>
      <c r="D908" s="34">
        <f>$D$631</f>
        <v>1.8136008993117264E-2</v>
      </c>
      <c r="E908" s="34">
        <f>$E$631</f>
        <v>7.8050349836887245E-2</v>
      </c>
      <c r="F908" s="34">
        <f>$F$631</f>
        <v>7.8050349836887245E-2</v>
      </c>
      <c r="G908" s="34">
        <f>$G$631</f>
        <v>1.8136008993117264E-2</v>
      </c>
      <c r="H908" s="34">
        <f>$H$631</f>
        <v>7.8050349836887245E-2</v>
      </c>
      <c r="I908" s="34">
        <f>$I$631</f>
        <v>7.8050349836887245E-2</v>
      </c>
      <c r="J908" s="34">
        <f>$J$631</f>
        <v>7.8050349836887245E-2</v>
      </c>
      <c r="K908" s="10"/>
    </row>
    <row r="909" spans="1:11" x14ac:dyDescent="0.25">
      <c r="A909" s="3" t="s">
        <v>217</v>
      </c>
      <c r="B909" s="34">
        <f>$B$843</f>
        <v>3.3602985209319133E-2</v>
      </c>
      <c r="C909" s="34">
        <f>$C$843</f>
        <v>1.9249388054405063E-2</v>
      </c>
      <c r="D909" s="34">
        <f>$D$843</f>
        <v>1.9249388054405063E-2</v>
      </c>
      <c r="E909" s="34">
        <f>$E$843</f>
        <v>8.2841901565139958E-2</v>
      </c>
      <c r="F909" s="34">
        <f>$F$843</f>
        <v>8.2841901565139958E-2</v>
      </c>
      <c r="G909" s="34">
        <f>$G$843</f>
        <v>1.9249388054405063E-2</v>
      </c>
      <c r="H909" s="34">
        <f>$H$843</f>
        <v>8.2841901565139958E-2</v>
      </c>
      <c r="I909" s="34">
        <f>$I$843</f>
        <v>8.2841901565139958E-2</v>
      </c>
      <c r="J909" s="34">
        <f>$J$843</f>
        <v>8.2841901565139958E-2</v>
      </c>
      <c r="K909" s="10"/>
    </row>
    <row r="910" spans="1:11" x14ac:dyDescent="0.25">
      <c r="A910" s="3" t="s">
        <v>184</v>
      </c>
      <c r="B910" s="34">
        <f>$B$632</f>
        <v>-2.9029470440480602E-2</v>
      </c>
      <c r="C910" s="34">
        <f>$C$632</f>
        <v>-1.662946128273508E-2</v>
      </c>
      <c r="D910" s="34">
        <f>$D$632</f>
        <v>-1.662946128273508E-2</v>
      </c>
      <c r="E910" s="34">
        <f>$E$632</f>
        <v>-7.1566752707777112E-2</v>
      </c>
      <c r="F910" s="34">
        <f>$F$632</f>
        <v>-7.1566752707777112E-2</v>
      </c>
      <c r="G910" s="34">
        <f>$G$632</f>
        <v>-1.662946128273508E-2</v>
      </c>
      <c r="H910" s="34">
        <f>$H$632</f>
        <v>-7.1566752707777112E-2</v>
      </c>
      <c r="I910" s="34">
        <f>$I$632</f>
        <v>-7.1566752707777112E-2</v>
      </c>
      <c r="J910" s="34">
        <f>$J$632</f>
        <v>-7.1566752707777112E-2</v>
      </c>
      <c r="K910" s="10"/>
    </row>
    <row r="911" spans="1:11" x14ac:dyDescent="0.25">
      <c r="A911" s="3" t="s">
        <v>186</v>
      </c>
      <c r="B911" s="34">
        <f>$B$633</f>
        <v>-2.9029470440480602E-2</v>
      </c>
      <c r="C911" s="34">
        <f>$C$633</f>
        <v>-1.662946128273508E-2</v>
      </c>
      <c r="D911" s="34">
        <f>$D$633</f>
        <v>-1.662946128273508E-2</v>
      </c>
      <c r="E911" s="34">
        <f>$E$633</f>
        <v>-7.1566752707777112E-2</v>
      </c>
      <c r="F911" s="34">
        <f>$F$633</f>
        <v>-7.1566752707777112E-2</v>
      </c>
      <c r="G911" s="34">
        <f>$G$633</f>
        <v>-1.662946128273508E-2</v>
      </c>
      <c r="H911" s="34">
        <f>$H$633</f>
        <v>-7.1566752707777112E-2</v>
      </c>
      <c r="I911" s="34">
        <f>$I$633</f>
        <v>-7.1566752707777112E-2</v>
      </c>
      <c r="J911" s="34">
        <f>$J$633</f>
        <v>-7.1566752707777112E-2</v>
      </c>
      <c r="K911" s="10"/>
    </row>
    <row r="912" spans="1:11" x14ac:dyDescent="0.25">
      <c r="A912" s="3" t="s">
        <v>195</v>
      </c>
      <c r="B912" s="34">
        <f>$B$634</f>
        <v>-2.9029470440480602E-2</v>
      </c>
      <c r="C912" s="34">
        <f>$C$634</f>
        <v>-1.662946128273508E-2</v>
      </c>
      <c r="D912" s="34">
        <f>$D$634</f>
        <v>-1.662946128273508E-2</v>
      </c>
      <c r="E912" s="34">
        <f>$E$634</f>
        <v>-7.1566752707777112E-2</v>
      </c>
      <c r="F912" s="34">
        <f>$F$634</f>
        <v>-7.1566752707777112E-2</v>
      </c>
      <c r="G912" s="34">
        <f>$G$634</f>
        <v>-1.662946128273508E-2</v>
      </c>
      <c r="H912" s="34">
        <f>$H$634</f>
        <v>-7.1566752707777112E-2</v>
      </c>
      <c r="I912" s="34">
        <f>$I$634</f>
        <v>-7.1566752707777112E-2</v>
      </c>
      <c r="J912" s="34">
        <f>$J$634</f>
        <v>-7.1566752707777112E-2</v>
      </c>
      <c r="K91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297" display="x1 = 2415. Single rate non half hourly pseudo timeband load coefficients"/>
    <hyperlink ref="A322" location="'Multi'!B315" display="x2 = 2417. Single rate non half hourly timeband use"/>
    <hyperlink ref="A331" location="'Multi'!B118" display="x1 = 2407. All units (MWh)"/>
    <hyperlink ref="A340" location="'Multi'!B273" display="x1 = 2414. Pseudo load coefficient by time band and network level"/>
    <hyperlink ref="A349" location="'Multi'!B177" display="x1 = 2409. Use of distribution time bands by units in demand forecast for two-rate tariffs (in Calculation of implied load coefficients for two-rate users)"/>
    <hyperlink ref="A358" location="'Multi'!B343" display="x1 = 2420. Multi rate non half hourly pseudo timeband load coefficients"/>
    <hyperlink ref="A359" location="'Multi'!B352" display="x2 = 2421. Multi rate non half hourly timeband use"/>
    <hyperlink ref="A368" location="'Multi'!B118" display="x1 = 2407. All units (MWh)"/>
    <hyperlink ref="A377" location="'Multi'!B273" display="x1 = 2414. Pseudo load coefficient by time band and network level"/>
    <hyperlink ref="A386" location="'Multi'!B42" display="x1 = 2403. Split of rate 1 units between distribution time bands"/>
    <hyperlink ref="A395" location="'Multi'!B380" display="x1 = 2424. Off-peak non half hourly pseudo timeband load coefficients"/>
    <hyperlink ref="A396" location="'Multi'!B389" display="x2 = 2425. Off-peak non half hourly timeband use"/>
    <hyperlink ref="A405" location="'Multi'!B118" display="x1 = 2407. All units (MWh)"/>
    <hyperlink ref="A414" location="'Multi'!B273" display="x1 = 2414. Pseudo load coefficient by time band and network level"/>
    <hyperlink ref="A423" location="'Multi'!B200" display="x1 = 2410. Use of distribution time bands by units in demand forecast for three-rate tariffs (in Calculation of implied load coefficients for three-rate users)"/>
    <hyperlink ref="A432" location="'Multi'!B417" display="x1 = 2428. Aggregated half hourly pseudo timeband load coefficients"/>
    <hyperlink ref="A433" location="'Multi'!B426" display="x2 = 2429. Aggregated half hourly timeband use"/>
    <hyperlink ref="A442" location="'Multi'!B306" display="x1 = 2416. Single rate non half hourly units (MWh)"/>
    <hyperlink ref="A443" location="'Multi'!B325" display="x2 = 2418. Single rate non half hourly tariff pseudo load coefficient"/>
    <hyperlink ref="A444" location="'Multi'!B334" display="x3 = 2419. Multi rate non half hourly units (MWh)"/>
    <hyperlink ref="A445" location="'Multi'!B362" display="x4 = 2422. Multi rate non half hourly tariff pseudo load coefficient"/>
    <hyperlink ref="A446" location="'Multi'!B371" display="x5 = 2423. Off-peak non half hourly units (MWh)"/>
    <hyperlink ref="A447" location="'Multi'!B399" display="x6 = 2426. Off-peak non half hourly tariff pseudo load coefficient"/>
    <hyperlink ref="A456" location="'Multi'!B306" display="x1 = 2416. Single rate non half hourly units (MWh)"/>
    <hyperlink ref="A457" location="'Multi'!B315" display="x2 = 2417. Single rate non half hourly timeband use"/>
    <hyperlink ref="A458" location="'Multi'!B334" display="x3 = 2419. Multi rate non half hourly units (MWh)"/>
    <hyperlink ref="A459" location="'Multi'!B352" display="x4 = 2421. Multi rate non half hourly timeband use"/>
    <hyperlink ref="A460" location="'Multi'!B371" display="x5 = 2423. Off-peak non half hourly units (MWh)"/>
    <hyperlink ref="A461" location="'Multi'!B389" display="x6 = 2425. Off-peak non half hourly timeband use"/>
    <hyperlink ref="A470" location="'Multi'!B417" display="x1 = 2428. Aggregated half hourly pseudo timeband load coefficients"/>
    <hyperlink ref="A471" location="'Multi'!B464" display="x2 = 2432. Average non half hourly timeband use"/>
    <hyperlink ref="A480" location="'Multi'!B450" display="x1 = 2431. Average non half hourly tariff pseudo load coefficient"/>
    <hyperlink ref="A481" location="'Multi'!B474" display="x2 = 2433. Aggregated half hourly tariff pseudo load coefficient using average non half hourly unit mix"/>
    <hyperlink ref="A490" location="'Multi'!B306" display="x1 = 2416. Single rate non half hourly units (MWh)"/>
    <hyperlink ref="A491" location="'Multi'!B325" display="x2 = 2418. Single rate non half hourly tariff pseudo load coefficient"/>
    <hyperlink ref="A492" location="'Multi'!B334" display="x3 = 2419. Multi rate non half hourly units (MWh)"/>
    <hyperlink ref="A493" location="'Multi'!B362" display="x4 = 2422. Multi rate non half hourly tariff pseudo load coefficient"/>
    <hyperlink ref="A494" location="'Multi'!B371" display="x5 = 2423. Off-peak non half hourly units (MWh)"/>
    <hyperlink ref="A495" location="'Multi'!B399" display="x6 = 2426. Off-peak non half hourly tariff pseudo load coefficient"/>
    <hyperlink ref="A496" location="'Multi'!B408" display="x7 = 2427. Aggregated half hourly units (MWh)"/>
    <hyperlink ref="A497" location="'Multi'!B436" display="x8 = 2430. Aggregated half hourly tariff pseudo load coefficient"/>
    <hyperlink ref="A498" location="'Multi'!B484" display="x9 = 2434. Relative correction factor for aggregated half hourly tariff"/>
    <hyperlink ref="A507" location="'Multi'!B297" display="x1 = 2415. Single rate non half hourly pseudo timeband load coefficients"/>
    <hyperlink ref="A508" location="'Multi'!B501" display="x2 = 2435. Correction factor for non half hourly tariffs"/>
    <hyperlink ref="A517" location="'Multi'!B343" display="x1 = 2420. Multi rate non half hourly pseudo timeband load coefficients"/>
    <hyperlink ref="A518" location="'Multi'!B501" display="x2 = 2435. Correction factor for non half hourly tariffs"/>
    <hyperlink ref="A527" location="'Multi'!B380" display="x1 = 2424. Off-peak non half hourly pseudo timeband load coefficients"/>
    <hyperlink ref="A528" location="'Multi'!B501" display="x2 = 2435. Correction factor for non half hourly tariffs"/>
    <hyperlink ref="A537" location="'Multi'!B417" display="x1 = 2428. Aggregated half hourly pseudo timeband load coefficients"/>
    <hyperlink ref="A538" location="'Multi'!B501" display="x2 = 2435. Correction factor for non half hourly tariffs"/>
    <hyperlink ref="A539" location="'Multi'!B484" display="x3 = 2434. Relative correction factor for aggregated half hourly tariff"/>
    <hyperlink ref="A548" location="'Multi'!B511" display="x1 = 2436. Single rate non half hourly corrected pseudo timeband load coefficient"/>
    <hyperlink ref="A549" location="'Multi'!B521" display="x2 = 2437. Multi rate non half hourly corrected pseudo timeband load coefficient"/>
    <hyperlink ref="A550" location="'Multi'!B531" display="x3 = 2438. Off-peak non half hourly corrected pseudo timeband load coefficient"/>
    <hyperlink ref="A551" location="'Multi'!B542" display="x4 = 2439. Aggregated half hourly corrected pseudo timeband load coefficient"/>
    <hyperlink ref="A552" location="'Multi'!B273" display="x5 = 2414. Pseudo load coefficient by time band and network level"/>
    <hyperlink ref="A576" location="'Multi'!B555" display="x1 = 2440. Pseudo load coefficient by time band and network level (equalised)"/>
    <hyperlink ref="A577" location="'Multi'!B42" display="x2 = 2403. Split of rate 1 units between distribution time bands"/>
    <hyperlink ref="A601" location="'Multi'!B555" display="x1 = 2440. Pseudo load coefficient by time band and network level (equalised)"/>
    <hyperlink ref="A602" location="'Multi'!B84" display="x2 = 2405. Split of rate 2 units between distribution time bands"/>
    <hyperlink ref="A622" location="'Multi'!B555" display="x1 = 2440. Pseudo load coefficient by time band and network level (equalised)"/>
    <hyperlink ref="A623" location="'Multi'!B101" display="x2 = 2406. Split of rate 3 units between distribution time bands (default)"/>
    <hyperlink ref="A638" location="'Input'!B340" display="x1 = 1066. Typical annual hours by special distribution time band"/>
    <hyperlink ref="A639" location="'Input'!F57" display="x2 = 1010. Days in the charging year (in Financial and general assumptions)"/>
    <hyperlink ref="A640" location="'Multi'!B645" display="x3 = Total hours in the year according to special time band hours input data (in Adjust annual hours by special distribution time band to match days in year)"/>
    <hyperlink ref="A650" location="'Input'!B330" display="x1 = 1064. Average split of rate 1 units by special distribution time band"/>
    <hyperlink ref="A651" location="'Multi'!B658" display="x2 = Total split (in Normalisation of split of rate 1 units by special time band)"/>
    <hyperlink ref="A652" location="'Multi'!C645" display="x3 = 2444. Annual hours by special distribution time band (reconciled to days in year) (in Adjust annual hours by special distribution time band to match days in year)"/>
    <hyperlink ref="A653" location="'Input'!F57" display="x4 = 1010. Days in the charging year (in Financial and general assumptions)"/>
    <hyperlink ref="A666" location="'Multi'!C658" display="x1 = 2445. Normalised split of rate 1 units by special distribution time band (in Normalisation of split of rate 1 units by special time band)"/>
    <hyperlink ref="A689" location="'Multi'!B118" display="x1 = 2407. All units (MWh)"/>
    <hyperlink ref="A690" location="'Loads'!B301" display="x2 = 2305. Rate 1 units (MWh) (in Equivalent volume for each end user)"/>
    <hyperlink ref="A691" location="'Multi'!B670" display="x3 = 2446. Split of rate 1 units between special distribution time bands"/>
    <hyperlink ref="A692" location="'Multi'!C645" display="x4 = 2444. Annual hours by special distribution time band (reconciled to days in year) (in Adjust annual hours by special distribution time band to match days in year)"/>
    <hyperlink ref="A693" location="'Multi'!B699" display="x5 = Use of special distribution time bands by units in demand forecast for one-rate tariffs (in Calculation of implied special load coefficients for one-rate users)"/>
    <hyperlink ref="A694" location="'Input'!F57" display="x6 = 1010. Days in the charging year (in Financial and general assumptions)"/>
    <hyperlink ref="A707" location="'Multi'!B118" display="x1 = 2407. All units (MWh)"/>
    <hyperlink ref="A708" location="'Loads'!B301" display="x2 = 2305. Rate 1 units (MWh) (in Equivalent volume for each end user)"/>
    <hyperlink ref="A709" location="'Multi'!B670" display="x3 = 2446. Split of rate 1 units between special distribution time bands"/>
    <hyperlink ref="A710" location="'Loads'!C301" display="x4 = 2305. Rate 2 units (MWh) (in Equivalent volume for each end user)"/>
    <hyperlink ref="A711" location="'Multi'!B679" display="x5 = 2447. Split of rate 2 units between special distribution time bands (default)"/>
    <hyperlink ref="A712" location="'Loads'!D301" display="x6 = 2305. Rate 3 units (MWh) (in Equivalent volume for each end user)"/>
    <hyperlink ref="A713" location="'Multi'!B684" display="x7 = 2448. Split of rate 3 units between special distribution time bands (default)"/>
    <hyperlink ref="A714" location="'Multi'!C645" display="x8 = 2444. Annual hours by special distribution time band (reconciled to days in year) (in Adjust annual hours by special distribution time band to match days in year)"/>
    <hyperlink ref="A715" location="'Multi'!B721" display="x9 = Use of special distribution time bands by units in demand forecast for three-rate tariffs (in Calculation of implied special load coefficients for three-rate users)"/>
    <hyperlink ref="A716" location="'Input'!F57" display="x10 = 1010. Days in the charging year (in Financial and general assumptions)"/>
    <hyperlink ref="A726" location="'Multi'!E699" display="x1 = 2449. Peak band special load coefficient for one-rate tariffs (in Calculation of implied special load coefficients for one-rate users)"/>
    <hyperlink ref="A727" location="'Multi'!E721" display="x2 = 2450. Peak band special load coefficient for three-rate tariffs (in Calculation of implied special load coefficients for three-rate users)"/>
    <hyperlink ref="A728" location="'Multi'!B735" display="x3 = Peak band special load coefficient (in Estimated contributions to peak demand)"/>
    <hyperlink ref="A729" location="'Multi'!B118" display="x4 = 2407. All units (MWh)"/>
    <hyperlink ref="A730" location="'Input'!F57" display="x5 = 1010. Days in the charging year (in Financial and general assumptions)"/>
    <hyperlink ref="A731" location="'Loads'!B45" display="x6 = 2302. Load coefficient"/>
    <hyperlink ref="A744" location="'Multi'!C735" display="x1 = 2451. Contribution to peak band kW (in Estimated contributions to peak demand)"/>
    <hyperlink ref="A745" location="'Multi'!D735" display="x2 = 2451. Contribution to system-peak-time kW (in Estimated contributions to peak demand)"/>
    <hyperlink ref="A753" location="'Multi'!C246" display="x1 = 2412. Normalised peaking probabilities (in Normalisation of peaking probabilities)"/>
    <hyperlink ref="A754" location="'Multi'!C766" display="x2 = Amber peaking probabilities (in Calculation of special peaking probabilities)"/>
    <hyperlink ref="A755" location="'Input'!F57" display="x3 = 1010. Days in the charging year (in Financial and general assumptions)"/>
    <hyperlink ref="A756" location="'Multi'!C12" display="x4 = 2401. Annual hours by distribution time band (reconciled to days in year) (in Adjust annual hours by distribution time band to match days in year)"/>
    <hyperlink ref="A757" location="'Input'!E354" display="x5 = 1069. Black peaking probabilities (in Peaking probabilities by network level)"/>
    <hyperlink ref="A758" location="'Multi'!B766" display="x6 = Red peaking probabilities (in Calculation of special peaking probabilities)"/>
    <hyperlink ref="A759" location="'Multi'!E766" display="x7 = Amber peaking rates (in Calculation of special peaking probabilities)"/>
    <hyperlink ref="A760" location="'Multi'!C645" display="x8 = 2444. Annual hours by special distribution time band (reconciled to days in year) (in Adjust annual hours by special distribution time band to match days in year)"/>
    <hyperlink ref="A761" location="'Multi'!F766" display="x9 = Yellow peaking probabilities (in Calculation of special peaking probabilities)"/>
    <hyperlink ref="A762" location="'Multi'!D766" display="x10 = Green peaking probabilities (in Calculation of special peaking probabilities)"/>
    <hyperlink ref="A779" location="'Multi'!D766" display="x1 = 2453. Green peaking probabilities (in Calculation of special peaking probabilities)"/>
    <hyperlink ref="A780" location="'Multi'!F766" display="x2 = 2453. Yellow peaking probabilities (in Calculation of special peaking probabilities)"/>
    <hyperlink ref="A781" location="'Multi'!G766" display="x3 = 2453. Black peaking probabilities (in Calculation of special peaking probabilities)"/>
    <hyperlink ref="A797" location="'Multi'!B784" display="x1 = 2454. Special peaking probabilities by network level"/>
    <hyperlink ref="A805" location="'Multi'!C645" display="x1 = 2444. Annual hours by special distribution time band (reconciled to days in year) (in Adjust annual hours by special distribution time band to match days in year)"/>
    <hyperlink ref="A806" location="'Multi'!B748" display="x2 = 2452. Load coefficient correction factor for the group"/>
    <hyperlink ref="A807" location="'Multi'!B800" display="x3 = 2455. Special peaking probabilities by network level (reshaped)"/>
    <hyperlink ref="A808" location="'Input'!F57" display="x4 = 1010. Days in the charging year (in Financial and general assumptions)"/>
    <hyperlink ref="A816" location="'Multi'!B811" display="x1 = 2456. Pseudo load coefficient by special time band and network level"/>
    <hyperlink ref="A817" location="'Multi'!B670" display="x2 = 2446. Split of rate 1 units between special distribution time bands"/>
    <hyperlink ref="A829" location="'Multi'!B811" display="x1 = 2456. Pseudo load coefficient by special time band and network level"/>
    <hyperlink ref="A830" location="'Multi'!B679" display="x2 = 2447. Split of rate 2 units between special distribution time bands (default)"/>
    <hyperlink ref="A838" location="'Multi'!B811" display="x1 = 2456. Pseudo load coefficient by special time band and network level"/>
    <hyperlink ref="A839" location="'Multi'!B684" display="x2 = 2448. Split of rate 3 units between special distribution time bands (default)"/>
    <hyperlink ref="A847" location="'Multi'!B580" display="x1 = 2441. Unit rate 1 pseudo load coefficient by network level"/>
    <hyperlink ref="A848" location="'Multi'!B820" display="x2 = 2457. Unit rate 1 pseudo load coefficient by network level (special)"/>
    <hyperlink ref="A877" location="'Multi'!B605" display="x1 = 2442. Unit rate 2 pseudo load coefficient by network level"/>
    <hyperlink ref="A878" location="'Multi'!B833" display="x2 = 2458. Unit rate 2 pseudo load coefficient by network level (special)"/>
    <hyperlink ref="A899" location="'Multi'!B626" display="x1 = 2443. Unit rate 3 pseudo load coefficient by network level"/>
    <hyperlink ref="A900" location="'Multi'!B84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20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East Midlands in April 17 (Final)</v>
      </c>
    </row>
    <row r="3" spans="1:11" ht="21" customHeight="1" x14ac:dyDescent="0.3">
      <c r="A3" s="1" t="s">
        <v>801</v>
      </c>
    </row>
    <row r="4" spans="1:11" x14ac:dyDescent="0.25">
      <c r="A4" s="2" t="s">
        <v>356</v>
      </c>
    </row>
    <row r="5" spans="1:11" x14ac:dyDescent="0.25">
      <c r="A5" s="11" t="s">
        <v>573</v>
      </c>
    </row>
    <row r="6" spans="1:11" x14ac:dyDescent="0.25">
      <c r="A6" s="11" t="s">
        <v>802</v>
      </c>
    </row>
    <row r="7" spans="1:11" x14ac:dyDescent="0.25">
      <c r="A7" s="11" t="s">
        <v>803</v>
      </c>
    </row>
    <row r="8" spans="1:11" x14ac:dyDescent="0.25">
      <c r="A8" s="11" t="s">
        <v>557</v>
      </c>
    </row>
    <row r="9" spans="1:11" x14ac:dyDescent="0.25">
      <c r="A9" s="2" t="s">
        <v>804</v>
      </c>
    </row>
    <row r="11" spans="1:11" x14ac:dyDescent="0.25">
      <c r="B11" s="12" t="s">
        <v>139</v>
      </c>
      <c r="C11" s="12" t="s">
        <v>140</v>
      </c>
      <c r="D11" s="12" t="s">
        <v>141</v>
      </c>
      <c r="E11" s="12" t="s">
        <v>142</v>
      </c>
      <c r="F11" s="12" t="s">
        <v>143</v>
      </c>
      <c r="G11" s="12" t="s">
        <v>148</v>
      </c>
      <c r="H11" s="12" t="s">
        <v>144</v>
      </c>
      <c r="I11" s="12" t="s">
        <v>145</v>
      </c>
      <c r="J11" s="12" t="s">
        <v>146</v>
      </c>
    </row>
    <row r="12" spans="1:11" x14ac:dyDescent="0.25">
      <c r="A12" s="3" t="s">
        <v>171</v>
      </c>
      <c r="B12" s="17">
        <f>(Loads!$B$302*Multi!B$852)*LAFs!B$237/(24*Input!$F$58)*1000</f>
        <v>1309793.0073530765</v>
      </c>
      <c r="C12" s="17">
        <f>(Loads!$B$302*Multi!C$852)*LAFs!C$237/(24*Input!$F$58)*1000</f>
        <v>1275814.9666809363</v>
      </c>
      <c r="D12" s="17">
        <f>(Loads!$B$302*Multi!D$852)*LAFs!D$237/(24*Input!$F$58)*1000</f>
        <v>1174212.9251512131</v>
      </c>
      <c r="E12" s="17">
        <f>(Loads!$B$302*Multi!E$852)*LAFs!E$237/(24*Input!$F$58)*1000</f>
        <v>1108039.2282593546</v>
      </c>
      <c r="F12" s="17">
        <f>(Loads!$B$302*Multi!F$852)*LAFs!F$237/(24*Input!$F$58)*1000</f>
        <v>1099331.6508270609</v>
      </c>
      <c r="G12" s="17">
        <f>(Loads!$B$302*Multi!G$852)*LAFs!G$237/(24*Input!$F$58)*1000</f>
        <v>94237.898808474027</v>
      </c>
      <c r="H12" s="17">
        <f>(Loads!$B$302*Multi!H$852)*LAFs!H$237/(24*Input!$F$58)*1000</f>
        <v>1170132.5438281465</v>
      </c>
      <c r="I12" s="17">
        <f>(Loads!$B$302*Multi!I$852)*LAFs!I$237/(24*Input!$F$58)*1000</f>
        <v>1149019.0411379901</v>
      </c>
      <c r="J12" s="17">
        <f>(Loads!$B$302*Multi!J$852)*LAFs!J$237/(24*Input!$F$58)*1000</f>
        <v>1106968.9389920435</v>
      </c>
      <c r="K12" s="10"/>
    </row>
    <row r="13" spans="1:11" x14ac:dyDescent="0.25">
      <c r="A13" s="3" t="s">
        <v>211</v>
      </c>
      <c r="B13" s="17">
        <f>(Loads!$B$304*Multi!B$854)*LAFs!B$239/(24*Input!$F$58)*1000</f>
        <v>8125.1326939182245</v>
      </c>
      <c r="C13" s="17">
        <f>(Loads!$B$304*Multi!C$854)*LAFs!C$239/(24*Input!$F$58)*1000</f>
        <v>9113.8897764961603</v>
      </c>
      <c r="D13" s="17">
        <f>(Loads!$B$304*Multi!D$854)*LAFs!D$239/(24*Input!$F$58)*1000</f>
        <v>8388.0871861896157</v>
      </c>
      <c r="E13" s="17">
        <f>(Loads!$B$304*Multi!E$854)*LAFs!E$239/(24*Input!$F$58)*1000</f>
        <v>9770.514914126552</v>
      </c>
      <c r="F13" s="17">
        <f>(Loads!$B$304*Multi!F$854)*LAFs!F$239/(24*Input!$F$58)*1000</f>
        <v>9693.7328715793901</v>
      </c>
      <c r="G13" s="17">
        <f>(Loads!$B$304*Multi!G$854)*LAFs!G$239/(24*Input!$F$58)*1000</f>
        <v>673.19622746189634</v>
      </c>
      <c r="H13" s="17">
        <f>(Loads!$B$304*Multi!H$854)*LAFs!H$239/(24*Input!$F$58)*1000</f>
        <v>10318.043963964892</v>
      </c>
      <c r="I13" s="17">
        <f>(Loads!$B$304*Multi!I$854)*LAFs!I$239/(24*Input!$F$58)*1000</f>
        <v>10131.868431851564</v>
      </c>
      <c r="J13" s="17">
        <f>(Loads!$B$304*Multi!J$854)*LAFs!J$239/(24*Input!$F$58)*1000</f>
        <v>9761.0772724059461</v>
      </c>
      <c r="K13" s="10"/>
    </row>
    <row r="14" spans="1:11" x14ac:dyDescent="0.25">
      <c r="A14" s="3" t="s">
        <v>173</v>
      </c>
      <c r="B14" s="17">
        <f>(Loads!$B$305*Multi!B$855)*LAFs!B$240/(24*Input!$F$58)*1000</f>
        <v>247328.24061660131</v>
      </c>
      <c r="C14" s="17">
        <f>(Loads!$B$305*Multi!C$855)*LAFs!C$240/(24*Input!$F$58)*1000</f>
        <v>257019.29333347068</v>
      </c>
      <c r="D14" s="17">
        <f>(Loads!$B$305*Multi!D$855)*LAFs!D$240/(24*Input!$F$58)*1000</f>
        <v>236551.05491552615</v>
      </c>
      <c r="E14" s="17">
        <f>(Loads!$B$305*Multi!E$855)*LAFs!E$240/(24*Input!$F$58)*1000</f>
        <v>240211.61298143305</v>
      </c>
      <c r="F14" s="17">
        <f>(Loads!$B$305*Multi!F$855)*LAFs!F$240/(24*Input!$F$58)*1000</f>
        <v>238323.89893049846</v>
      </c>
      <c r="G14" s="17">
        <f>(Loads!$B$305*Multi!G$855)*LAFs!G$240/(24*Input!$F$58)*1000</f>
        <v>18984.69510825424</v>
      </c>
      <c r="H14" s="17">
        <f>(Loads!$B$305*Multi!H$855)*LAFs!H$240/(24*Input!$F$58)*1000</f>
        <v>253672.81102184529</v>
      </c>
      <c r="I14" s="17">
        <f>(Loads!$B$305*Multi!I$855)*LAFs!I$240/(24*Input!$F$58)*1000</f>
        <v>249095.61880017858</v>
      </c>
      <c r="J14" s="17">
        <f>(Loads!$B$305*Multi!J$855)*LAFs!J$240/(24*Input!$F$58)*1000</f>
        <v>239979.58517528643</v>
      </c>
      <c r="K14" s="10"/>
    </row>
    <row r="15" spans="1:11" x14ac:dyDescent="0.25">
      <c r="A15" s="3" t="s">
        <v>212</v>
      </c>
      <c r="B15" s="17">
        <f>(Loads!$B$307*Multi!B$857)*LAFs!B$242/(24*Input!$F$58)*1000</f>
        <v>110.71721243088535</v>
      </c>
      <c r="C15" s="17">
        <f>(Loads!$B$307*Multi!C$857)*LAFs!C$242/(24*Input!$F$58)*1000</f>
        <v>134.73406670359321</v>
      </c>
      <c r="D15" s="17">
        <f>(Loads!$B$307*Multi!D$857)*LAFs!D$242/(24*Input!$F$58)*1000</f>
        <v>124.00425352676561</v>
      </c>
      <c r="E15" s="17">
        <f>(Loads!$B$307*Multi!E$857)*LAFs!E$242/(24*Input!$F$58)*1000</f>
        <v>172.43896271867584</v>
      </c>
      <c r="F15" s="17">
        <f>(Loads!$B$307*Multi!F$857)*LAFs!F$242/(24*Input!$F$58)*1000</f>
        <v>171.08384316882376</v>
      </c>
      <c r="G15" s="17">
        <f>(Loads!$B$307*Multi!G$857)*LAFs!G$242/(24*Input!$F$58)*1000</f>
        <v>9.9521134926791976</v>
      </c>
      <c r="H15" s="17">
        <f>(Loads!$B$307*Multi!H$857)*LAFs!H$242/(24*Input!$F$58)*1000</f>
        <v>182.10225500595914</v>
      </c>
      <c r="I15" s="17">
        <f>(Loads!$B$307*Multi!I$857)*LAFs!I$242/(24*Input!$F$58)*1000</f>
        <v>178.81645933158759</v>
      </c>
      <c r="J15" s="17">
        <f>(Loads!$B$307*Multi!J$857)*LAFs!J$242/(24*Input!$F$58)*1000</f>
        <v>172.27239860582046</v>
      </c>
      <c r="K15" s="10"/>
    </row>
    <row r="16" spans="1:11" x14ac:dyDescent="0.25">
      <c r="A16" s="3" t="s">
        <v>213</v>
      </c>
      <c r="B16" s="17">
        <f>(Loads!$B$316*Multi!B$866)*LAFs!B$251/(24*Input!$F$58)*1000</f>
        <v>7300.9102983382809</v>
      </c>
      <c r="C16" s="17">
        <f>(Loads!$B$316*Multi!C$866)*LAFs!C$251/(24*Input!$F$58)*1000</f>
        <v>7292.9967517612367</v>
      </c>
      <c r="D16" s="17">
        <f>(Loads!$B$316*Multi!D$866)*LAFs!D$251/(24*Input!$F$58)*1000</f>
        <v>6712.2045693523205</v>
      </c>
      <c r="E16" s="17">
        <f>(Loads!$B$316*Multi!E$866)*LAFs!E$251/(24*Input!$F$58)*1000</f>
        <v>6700.1883437002734</v>
      </c>
      <c r="F16" s="17">
        <f>(Loads!$B$316*Multi!F$866)*LAFs!F$251/(24*Input!$F$58)*1000</f>
        <v>6647.534604260587</v>
      </c>
      <c r="G16" s="17">
        <f>(Loads!$B$316*Multi!G$866)*LAFs!G$251/(24*Input!$F$58)*1000</f>
        <v>538.69621210901175</v>
      </c>
      <c r="H16" s="17">
        <f>(Loads!$B$316*Multi!H$866)*LAFs!H$251/(24*Input!$F$58)*1000</f>
        <v>7075.6596253888183</v>
      </c>
      <c r="I16" s="17">
        <f>(Loads!$B$316*Multi!I$866)*LAFs!I$251/(24*Input!$F$58)*1000</f>
        <v>6947.9886539905392</v>
      </c>
      <c r="J16" s="17">
        <f>(Loads!$B$316*Multi!J$866)*LAFs!J$251/(24*Input!$F$58)*1000</f>
        <v>6693.7164251162285</v>
      </c>
      <c r="K16" s="10"/>
    </row>
    <row r="17" spans="1:11" x14ac:dyDescent="0.25">
      <c r="A17" s="3" t="s">
        <v>214</v>
      </c>
      <c r="B17" s="17">
        <f>(Loads!$B$317*Multi!B$867)*LAFs!B$252/(24*Input!$F$58)*1000</f>
        <v>5645.6074007886755</v>
      </c>
      <c r="C17" s="17">
        <f>(Loads!$B$317*Multi!C$867)*LAFs!C$252/(24*Input!$F$58)*1000</f>
        <v>4995.1761454340694</v>
      </c>
      <c r="D17" s="17">
        <f>(Loads!$B$317*Multi!D$867)*LAFs!D$252/(24*Input!$F$58)*1000</f>
        <v>4597.3754396647983</v>
      </c>
      <c r="E17" s="17">
        <f>(Loads!$B$317*Multi!E$867)*LAFs!E$252/(24*Input!$F$58)*1000</f>
        <v>3850.3749100899454</v>
      </c>
      <c r="F17" s="17">
        <f>(Loads!$B$317*Multi!F$867)*LAFs!F$252/(24*Input!$F$58)*1000</f>
        <v>3820.1165610912039</v>
      </c>
      <c r="G17" s="17">
        <f>(Loads!$B$317*Multi!G$867)*LAFs!G$252/(24*Input!$F$58)*1000</f>
        <v>368.96800587670447</v>
      </c>
      <c r="H17" s="17">
        <f>(Loads!$B$317*Multi!H$867)*LAFs!H$252/(24*Input!$F$58)*1000</f>
        <v>4066.1457404476</v>
      </c>
      <c r="I17" s="17">
        <f>(Loads!$B$317*Multi!I$867)*LAFs!I$252/(24*Input!$F$58)*1000</f>
        <v>3992.7774887206247</v>
      </c>
      <c r="J17" s="17">
        <f>(Loads!$B$317*Multi!J$867)*LAFs!J$252/(24*Input!$F$58)*1000</f>
        <v>3846.6557142020292</v>
      </c>
      <c r="K17" s="10"/>
    </row>
    <row r="18" spans="1:11" x14ac:dyDescent="0.25">
      <c r="A18" s="3" t="s">
        <v>215</v>
      </c>
      <c r="B18" s="17">
        <f>(Loads!$B$318*Multi!B$868)*LAFs!B$253/(24*Input!$F$58)*1000</f>
        <v>155.59243897154553</v>
      </c>
      <c r="C18" s="17">
        <f>(Loads!$B$318*Multi!C$868)*LAFs!C$253/(24*Input!$F$58)*1000</f>
        <v>137.8974972842164</v>
      </c>
      <c r="D18" s="17">
        <f>(Loads!$B$318*Multi!D$868)*LAFs!D$253/(24*Input!$F$58)*1000</f>
        <v>126.91575807295375</v>
      </c>
      <c r="E18" s="17">
        <f>(Loads!$B$318*Multi!E$868)*LAFs!E$253/(24*Input!$F$58)*1000</f>
        <v>103.9088526158345</v>
      </c>
      <c r="F18" s="17">
        <f>(Loads!$B$318*Multi!F$868)*LAFs!F$253/(24*Input!$F$58)*1000</f>
        <v>103.09228010018944</v>
      </c>
      <c r="G18" s="17">
        <f>(Loads!$B$318*Multi!G$868)*LAFs!G$253/(24*Input!$F$58)*1000</f>
        <v>10.185779861807911</v>
      </c>
      <c r="H18" s="17">
        <f>(Loads!$B$318*Multi!H$868)*LAFs!H$253/(24*Input!$F$58)*1000</f>
        <v>109.73179192277748</v>
      </c>
      <c r="I18" s="17">
        <f>(Loads!$B$318*Multi!I$868)*LAFs!I$253/(24*Input!$F$58)*1000</f>
        <v>107.75182606662098</v>
      </c>
      <c r="J18" s="17">
        <f>(Loads!$B$318*Multi!J$868)*LAFs!J$253/(24*Input!$F$58)*1000</f>
        <v>103.80848385009322</v>
      </c>
      <c r="K18" s="10"/>
    </row>
    <row r="19" spans="1:11" x14ac:dyDescent="0.25">
      <c r="A19" s="3" t="s">
        <v>216</v>
      </c>
      <c r="B19" s="17">
        <f>(Loads!$B$319*Multi!B$869)*LAFs!B$254/(24*Input!$F$58)*1000</f>
        <v>396.93876179376548</v>
      </c>
      <c r="C19" s="17">
        <f>(Loads!$B$319*Multi!C$869)*LAFs!C$254/(24*Input!$F$58)*1000</f>
        <v>614.94239834357074</v>
      </c>
      <c r="D19" s="17">
        <f>(Loads!$B$319*Multi!D$869)*LAFs!D$254/(24*Input!$F$58)*1000</f>
        <v>565.97024742310248</v>
      </c>
      <c r="E19" s="17">
        <f>(Loads!$B$319*Multi!E$869)*LAFs!E$254/(24*Input!$F$58)*1000</f>
        <v>816.92152769640143</v>
      </c>
      <c r="F19" s="17">
        <f>(Loads!$B$319*Multi!F$869)*LAFs!F$254/(24*Input!$F$58)*1000</f>
        <v>810.50171215458306</v>
      </c>
      <c r="G19" s="17">
        <f>(Loads!$B$319*Multi!G$869)*LAFs!G$254/(24*Input!$F$58)*1000</f>
        <v>45.422636527695218</v>
      </c>
      <c r="H19" s="17">
        <f>(Loads!$B$319*Multi!H$869)*LAFs!H$254/(24*Input!$F$58)*1000</f>
        <v>862.70092333555965</v>
      </c>
      <c r="I19" s="17">
        <f>(Loads!$B$319*Multi!I$869)*LAFs!I$254/(24*Input!$F$58)*1000</f>
        <v>847.13461987556377</v>
      </c>
      <c r="J19" s="17">
        <f>(Loads!$B$319*Multi!J$869)*LAFs!J$254/(24*Input!$F$58)*1000</f>
        <v>816.1324379953968</v>
      </c>
      <c r="K19" s="10"/>
    </row>
    <row r="21" spans="1:11" ht="21" customHeight="1" x14ac:dyDescent="0.3">
      <c r="A21" s="1" t="s">
        <v>805</v>
      </c>
    </row>
    <row r="22" spans="1:11" x14ac:dyDescent="0.25">
      <c r="A22" s="2" t="s">
        <v>356</v>
      </c>
    </row>
    <row r="23" spans="1:11" x14ac:dyDescent="0.25">
      <c r="A23" s="11" t="s">
        <v>573</v>
      </c>
    </row>
    <row r="24" spans="1:11" x14ac:dyDescent="0.25">
      <c r="A24" s="11" t="s">
        <v>802</v>
      </c>
    </row>
    <row r="25" spans="1:11" x14ac:dyDescent="0.25">
      <c r="A25" s="11" t="s">
        <v>806</v>
      </c>
    </row>
    <row r="26" spans="1:11" x14ac:dyDescent="0.25">
      <c r="A26" s="11" t="s">
        <v>807</v>
      </c>
    </row>
    <row r="27" spans="1:11" x14ac:dyDescent="0.25">
      <c r="A27" s="11" t="s">
        <v>808</v>
      </c>
    </row>
    <row r="28" spans="1:11" x14ac:dyDescent="0.25">
      <c r="A28" s="11" t="s">
        <v>584</v>
      </c>
    </row>
    <row r="29" spans="1:11" x14ac:dyDescent="0.25">
      <c r="A29" s="2" t="s">
        <v>809</v>
      </c>
    </row>
    <row r="31" spans="1:11" x14ac:dyDescent="0.25">
      <c r="B31" s="12" t="s">
        <v>139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148</v>
      </c>
      <c r="H31" s="12" t="s">
        <v>144</v>
      </c>
      <c r="I31" s="12" t="s">
        <v>145</v>
      </c>
      <c r="J31" s="12" t="s">
        <v>146</v>
      </c>
    </row>
    <row r="32" spans="1:11" x14ac:dyDescent="0.25">
      <c r="A32" s="3" t="s">
        <v>172</v>
      </c>
      <c r="B32" s="17">
        <f>(Loads!$B$303*Multi!B$853+Loads!$C$303*Multi!B$882)*LAFs!B$238/(24*Input!$F$58)*1000</f>
        <v>821079.69983620162</v>
      </c>
      <c r="C32" s="17">
        <f>(Loads!$B$303*Multi!C$853+Loads!$C$303*Multi!C$882)*LAFs!C$238/(24*Input!$F$58)*1000</f>
        <v>797442.53445696062</v>
      </c>
      <c r="D32" s="17">
        <f>(Loads!$B$303*Multi!D$853+Loads!$C$303*Multi!D$882)*LAFs!D$238/(24*Input!$F$58)*1000</f>
        <v>733936.6251994106</v>
      </c>
      <c r="E32" s="17">
        <f>(Loads!$B$303*Multi!E$853+Loads!$C$303*Multi!E$882)*LAFs!E$238/(24*Input!$F$58)*1000</f>
        <v>704798.99374057213</v>
      </c>
      <c r="F32" s="17">
        <f>(Loads!$B$303*Multi!F$853+Loads!$C$303*Multi!F$882)*LAFs!F$238/(24*Input!$F$58)*1000</f>
        <v>699260.29830842617</v>
      </c>
      <c r="G32" s="17">
        <f>(Loads!$B$303*Multi!G$853+Loads!$C$303*Multi!G$882)*LAFs!G$238/(24*Input!$F$58)*1000</f>
        <v>58902.984233858682</v>
      </c>
      <c r="H32" s="17">
        <f>(Loads!$B$303*Multi!H$853+Loads!$C$303*Multi!H$882)*LAFs!H$238/(24*Input!$F$58)*1000</f>
        <v>744295.16428649158</v>
      </c>
      <c r="I32" s="17">
        <f>(Loads!$B$303*Multi!I$853+Loads!$C$303*Multi!I$882)*LAFs!I$238/(24*Input!$F$58)*1000</f>
        <v>730865.33701066708</v>
      </c>
      <c r="J32" s="17">
        <f>(Loads!$B$303*Multi!J$853+Loads!$C$303*Multi!J$882)*LAFs!J$238/(24*Input!$F$58)*1000</f>
        <v>704118.20665346051</v>
      </c>
      <c r="K32" s="10"/>
    </row>
    <row r="33" spans="1:11" x14ac:dyDescent="0.25">
      <c r="A33" s="3" t="s">
        <v>174</v>
      </c>
      <c r="B33" s="17">
        <f>(Loads!$B$306*Multi!B$856+Loads!$C$306*Multi!B$883)*LAFs!B$241/(24*Input!$F$58)*1000</f>
        <v>384556.20472778077</v>
      </c>
      <c r="C33" s="17">
        <f>(Loads!$B$306*Multi!C$856+Loads!$C$306*Multi!C$883)*LAFs!C$241/(24*Input!$F$58)*1000</f>
        <v>393119.54595855041</v>
      </c>
      <c r="D33" s="17">
        <f>(Loads!$B$306*Multi!D$856+Loads!$C$306*Multi!D$883)*LAFs!D$241/(24*Input!$F$58)*1000</f>
        <v>361812.69545299793</v>
      </c>
      <c r="E33" s="17">
        <f>(Loads!$B$306*Multi!E$856+Loads!$C$306*Multi!E$883)*LAFs!E$241/(24*Input!$F$58)*1000</f>
        <v>367737.70755404083</v>
      </c>
      <c r="F33" s="17">
        <f>(Loads!$B$306*Multi!F$856+Loads!$C$306*Multi!F$883)*LAFs!F$241/(24*Input!$F$58)*1000</f>
        <v>364847.82380116038</v>
      </c>
      <c r="G33" s="17">
        <f>(Loads!$B$306*Multi!G$856+Loads!$C$306*Multi!G$883)*LAFs!G$241/(24*Input!$F$58)*1000</f>
        <v>29037.721738014396</v>
      </c>
      <c r="H33" s="17">
        <f>(Loads!$B$306*Multi!H$856+Loads!$C$306*Multi!H$883)*LAFs!H$241/(24*Input!$F$58)*1000</f>
        <v>388345.32950400357</v>
      </c>
      <c r="I33" s="17">
        <f>(Loads!$B$306*Multi!I$856+Loads!$C$306*Multi!I$883)*LAFs!I$241/(24*Input!$F$58)*1000</f>
        <v>381338.14881969587</v>
      </c>
      <c r="J33" s="17">
        <f>(Loads!$B$306*Multi!J$856+Loads!$C$306*Multi!J$883)*LAFs!J$241/(24*Input!$F$58)*1000</f>
        <v>367382.49835968867</v>
      </c>
      <c r="K33" s="10"/>
    </row>
    <row r="34" spans="1:11" x14ac:dyDescent="0.25">
      <c r="A34" s="3" t="s">
        <v>175</v>
      </c>
      <c r="B34" s="17">
        <f>(Loads!$B$308*Multi!B$858+Loads!$C$308*Multi!B$884)*LAFs!B$243/(24*Input!$F$58)*1000</f>
        <v>0</v>
      </c>
      <c r="C34" s="17">
        <f>(Loads!$B$308*Multi!C$858+Loads!$C$308*Multi!C$884)*LAFs!C$243/(24*Input!$F$58)*1000</f>
        <v>0</v>
      </c>
      <c r="D34" s="17">
        <f>(Loads!$B$308*Multi!D$858+Loads!$C$308*Multi!D$884)*LAFs!D$243/(24*Input!$F$58)*1000</f>
        <v>0</v>
      </c>
      <c r="E34" s="17">
        <f>(Loads!$B$308*Multi!E$858+Loads!$C$308*Multi!E$884)*LAFs!E$243/(24*Input!$F$58)*1000</f>
        <v>0</v>
      </c>
      <c r="F34" s="17">
        <f>(Loads!$B$308*Multi!F$858+Loads!$C$308*Multi!F$884)*LAFs!F$243/(24*Input!$F$58)*1000</f>
        <v>0</v>
      </c>
      <c r="G34" s="17">
        <f>(Loads!$B$308*Multi!G$858+Loads!$C$308*Multi!G$884)*LAFs!G$243/(24*Input!$F$58)*1000</f>
        <v>0</v>
      </c>
      <c r="H34" s="17">
        <f>(Loads!$B$308*Multi!H$858+Loads!$C$308*Multi!H$884)*LAFs!H$243/(24*Input!$F$58)*1000</f>
        <v>0</v>
      </c>
      <c r="I34" s="17">
        <f>(Loads!$B$308*Multi!I$858+Loads!$C$308*Multi!I$884)*LAFs!I$243/(24*Input!$F$58)*1000</f>
        <v>0</v>
      </c>
      <c r="J34" s="17">
        <f>(Loads!$B$308*Multi!J$858+Loads!$C$308*Multi!J$884)*LAFs!J$243/(24*Input!$F$58)*1000</f>
        <v>0</v>
      </c>
      <c r="K34" s="10"/>
    </row>
    <row r="35" spans="1:11" x14ac:dyDescent="0.25">
      <c r="A35" s="3" t="s">
        <v>176</v>
      </c>
      <c r="B35" s="17">
        <f>(Loads!$B$309*Multi!B$859+Loads!$C$309*Multi!B$885)*LAFs!B$244/(24*Input!$F$58)*1000</f>
        <v>0</v>
      </c>
      <c r="C35" s="17">
        <f>(Loads!$B$309*Multi!C$859+Loads!$C$309*Multi!C$885)*LAFs!C$244/(24*Input!$F$58)*1000</f>
        <v>0</v>
      </c>
      <c r="D35" s="17">
        <f>(Loads!$B$309*Multi!D$859+Loads!$C$309*Multi!D$885)*LAFs!D$244/(24*Input!$F$58)*1000</f>
        <v>0</v>
      </c>
      <c r="E35" s="17">
        <f>(Loads!$B$309*Multi!E$859+Loads!$C$309*Multi!E$885)*LAFs!E$244/(24*Input!$F$58)*1000</f>
        <v>0</v>
      </c>
      <c r="F35" s="17">
        <f>(Loads!$B$309*Multi!F$859+Loads!$C$309*Multi!F$885)*LAFs!F$244/(24*Input!$F$58)*1000</f>
        <v>0</v>
      </c>
      <c r="G35" s="17">
        <f>(Loads!$B$309*Multi!G$859+Loads!$C$309*Multi!G$885)*LAFs!G$244/(24*Input!$F$58)*1000</f>
        <v>0</v>
      </c>
      <c r="H35" s="17">
        <f>(Loads!$B$309*Multi!H$859+Loads!$C$309*Multi!H$885)*LAFs!H$244/(24*Input!$F$58)*1000</f>
        <v>0</v>
      </c>
      <c r="I35" s="17">
        <f>(Loads!$B$309*Multi!I$859+Loads!$C$309*Multi!I$885)*LAFs!I$244/(24*Input!$F$58)*1000</f>
        <v>0</v>
      </c>
      <c r="J35" s="17">
        <f>(Loads!$B$309*Multi!J$859+Loads!$C$309*Multi!J$885)*LAFs!J$244/(24*Input!$F$58)*1000</f>
        <v>0</v>
      </c>
      <c r="K35" s="10"/>
    </row>
    <row r="36" spans="1:11" x14ac:dyDescent="0.25">
      <c r="A36" s="3" t="s">
        <v>192</v>
      </c>
      <c r="B36" s="17">
        <f>(Loads!$B$310*Multi!B$860+Loads!$C$310*Multi!B$886)*LAFs!B$245/(24*Input!$F$58)*1000</f>
        <v>0</v>
      </c>
      <c r="C36" s="17">
        <f>(Loads!$B$310*Multi!C$860+Loads!$C$310*Multi!C$886)*LAFs!C$245/(24*Input!$F$58)*1000</f>
        <v>0</v>
      </c>
      <c r="D36" s="17">
        <f>(Loads!$B$310*Multi!D$860+Loads!$C$310*Multi!D$886)*LAFs!D$245/(24*Input!$F$58)*1000</f>
        <v>0</v>
      </c>
      <c r="E36" s="17">
        <f>(Loads!$B$310*Multi!E$860+Loads!$C$310*Multi!E$886)*LAFs!E$245/(24*Input!$F$58)*1000</f>
        <v>0</v>
      </c>
      <c r="F36" s="17">
        <f>(Loads!$B$310*Multi!F$860+Loads!$C$310*Multi!F$886)*LAFs!F$245/(24*Input!$F$58)*1000</f>
        <v>0</v>
      </c>
      <c r="G36" s="17">
        <f>(Loads!$B$310*Multi!G$860+Loads!$C$310*Multi!G$886)*LAFs!G$245/(24*Input!$F$58)*1000</f>
        <v>0</v>
      </c>
      <c r="H36" s="17">
        <f>(Loads!$B$310*Multi!H$860+Loads!$C$310*Multi!H$886)*LAFs!H$245/(24*Input!$F$58)*1000</f>
        <v>0</v>
      </c>
      <c r="I36" s="17">
        <f>(Loads!$B$310*Multi!I$860+Loads!$C$310*Multi!I$886)*LAFs!I$245/(24*Input!$F$58)*1000</f>
        <v>0</v>
      </c>
      <c r="J36" s="17">
        <f>(Loads!$B$310*Multi!J$860+Loads!$C$310*Multi!J$886)*LAFs!J$245/(24*Input!$F$58)*1000</f>
        <v>0</v>
      </c>
      <c r="K36" s="10"/>
    </row>
    <row r="38" spans="1:11" ht="21" customHeight="1" x14ac:dyDescent="0.3">
      <c r="A38" s="1" t="s">
        <v>810</v>
      </c>
    </row>
    <row r="39" spans="1:11" x14ac:dyDescent="0.25">
      <c r="A39" s="2" t="s">
        <v>356</v>
      </c>
    </row>
    <row r="40" spans="1:11" x14ac:dyDescent="0.25">
      <c r="A40" s="11" t="s">
        <v>573</v>
      </c>
    </row>
    <row r="41" spans="1:11" x14ac:dyDescent="0.25">
      <c r="A41" s="11" t="s">
        <v>802</v>
      </c>
    </row>
    <row r="42" spans="1:11" x14ac:dyDescent="0.25">
      <c r="A42" s="11" t="s">
        <v>806</v>
      </c>
    </row>
    <row r="43" spans="1:11" x14ac:dyDescent="0.25">
      <c r="A43" s="11" t="s">
        <v>807</v>
      </c>
    </row>
    <row r="44" spans="1:11" x14ac:dyDescent="0.25">
      <c r="A44" s="11" t="s">
        <v>811</v>
      </c>
    </row>
    <row r="45" spans="1:11" x14ac:dyDescent="0.25">
      <c r="A45" s="11" t="s">
        <v>812</v>
      </c>
    </row>
    <row r="46" spans="1:11" x14ac:dyDescent="0.25">
      <c r="A46" s="11" t="s">
        <v>813</v>
      </c>
    </row>
    <row r="47" spans="1:11" x14ac:dyDescent="0.25">
      <c r="A47" s="11" t="s">
        <v>594</v>
      </c>
    </row>
    <row r="48" spans="1:11" x14ac:dyDescent="0.25">
      <c r="A48" s="2" t="s">
        <v>814</v>
      </c>
    </row>
    <row r="50" spans="1:11" x14ac:dyDescent="0.25">
      <c r="B50" s="12" t="s">
        <v>139</v>
      </c>
      <c r="C50" s="12" t="s">
        <v>140</v>
      </c>
      <c r="D50" s="12" t="s">
        <v>141</v>
      </c>
      <c r="E50" s="12" t="s">
        <v>142</v>
      </c>
      <c r="F50" s="12" t="s">
        <v>143</v>
      </c>
      <c r="G50" s="12" t="s">
        <v>148</v>
      </c>
      <c r="H50" s="12" t="s">
        <v>144</v>
      </c>
      <c r="I50" s="12" t="s">
        <v>145</v>
      </c>
      <c r="J50" s="12" t="s">
        <v>146</v>
      </c>
    </row>
    <row r="51" spans="1:11" x14ac:dyDescent="0.25">
      <c r="A51" s="3" t="s">
        <v>177</v>
      </c>
      <c r="B51" s="17">
        <f>(Loads!$B$311*Multi!B$861+Loads!$C$311*Multi!B$887+Loads!$D$311*Multi!B$904)*LAFs!B$246/(24*Input!$F$58)*1000</f>
        <v>0</v>
      </c>
      <c r="C51" s="17">
        <f>(Loads!$B$311*Multi!C$861+Loads!$C$311*Multi!C$887+Loads!$D$311*Multi!C$904)*LAFs!C$246/(24*Input!$F$58)*1000</f>
        <v>0</v>
      </c>
      <c r="D51" s="17">
        <f>(Loads!$B$311*Multi!D$861+Loads!$C$311*Multi!D$887+Loads!$D$311*Multi!D$904)*LAFs!D$246/(24*Input!$F$58)*1000</f>
        <v>0</v>
      </c>
      <c r="E51" s="17">
        <f>(Loads!$B$311*Multi!E$861+Loads!$C$311*Multi!E$887+Loads!$D$311*Multi!E$904)*LAFs!E$246/(24*Input!$F$58)*1000</f>
        <v>0</v>
      </c>
      <c r="F51" s="17">
        <f>(Loads!$B$311*Multi!F$861+Loads!$C$311*Multi!F$887+Loads!$D$311*Multi!F$904)*LAFs!F$246/(24*Input!$F$58)*1000</f>
        <v>0</v>
      </c>
      <c r="G51" s="17">
        <f>(Loads!$B$311*Multi!G$861+Loads!$C$311*Multi!G$887+Loads!$D$311*Multi!G$904)*LAFs!G$246/(24*Input!$F$58)*1000</f>
        <v>0</v>
      </c>
      <c r="H51" s="17">
        <f>(Loads!$B$311*Multi!H$861+Loads!$C$311*Multi!H$887+Loads!$D$311*Multi!H$904)*LAFs!H$246/(24*Input!$F$58)*1000</f>
        <v>0</v>
      </c>
      <c r="I51" s="17">
        <f>(Loads!$B$311*Multi!I$861+Loads!$C$311*Multi!I$887+Loads!$D$311*Multi!I$904)*LAFs!I$246/(24*Input!$F$58)*1000</f>
        <v>0</v>
      </c>
      <c r="J51" s="17">
        <f>(Loads!$B$311*Multi!J$861+Loads!$C$311*Multi!J$887+Loads!$D$311*Multi!J$904)*LAFs!J$246/(24*Input!$F$58)*1000</f>
        <v>0</v>
      </c>
      <c r="K51" s="10"/>
    </row>
    <row r="52" spans="1:11" x14ac:dyDescent="0.25">
      <c r="A52" s="3" t="s">
        <v>178</v>
      </c>
      <c r="B52" s="17">
        <f>(Loads!$B$312*Multi!B$862+Loads!$C$312*Multi!B$888+Loads!$D$312*Multi!B$905)*LAFs!B$247/(24*Input!$F$58)*1000</f>
        <v>30671.973093911103</v>
      </c>
      <c r="C52" s="17">
        <f>(Loads!$B$312*Multi!C$862+Loads!$C$312*Multi!C$888+Loads!$D$312*Multi!C$905)*LAFs!C$247/(24*Input!$F$58)*1000</f>
        <v>31129.164475329148</v>
      </c>
      <c r="D52" s="17">
        <f>(Loads!$B$312*Multi!D$862+Loads!$C$312*Multi!D$888+Loads!$D$312*Multi!D$905)*LAFs!D$247/(24*Input!$F$58)*1000</f>
        <v>28650.132057300663</v>
      </c>
      <c r="E52" s="17">
        <f>(Loads!$B$312*Multi!E$862+Loads!$C$312*Multi!E$888+Loads!$D$312*Multi!E$905)*LAFs!E$247/(24*Input!$F$58)*1000</f>
        <v>28728.088144180478</v>
      </c>
      <c r="F52" s="17">
        <f>(Loads!$B$312*Multi!F$862+Loads!$C$312*Multi!F$888+Loads!$D$312*Multi!F$905)*LAFs!F$247/(24*Input!$F$58)*1000</f>
        <v>28502.327137153527</v>
      </c>
      <c r="G52" s="17">
        <f>(Loads!$B$312*Multi!G$862+Loads!$C$312*Multi!G$888+Loads!$D$312*Multi!G$905)*LAFs!G$247/(24*Input!$F$58)*1000</f>
        <v>2299.351495656229</v>
      </c>
      <c r="H52" s="17">
        <f>(Loads!$B$312*Multi!H$862+Loads!$C$312*Multi!H$888+Loads!$D$312*Multi!H$905)*LAFs!H$247/(24*Input!$F$58)*1000</f>
        <v>30337.97901927786</v>
      </c>
      <c r="I52" s="17">
        <f>(Loads!$B$312*Multi!I$862+Loads!$C$312*Multi!I$888+Loads!$D$312*Multi!I$905)*LAFs!I$247/(24*Input!$F$58)*1000</f>
        <v>29790.570091104753</v>
      </c>
      <c r="J52" s="17">
        <f>(Loads!$B$312*Multi!J$862+Loads!$C$312*Multi!J$888+Loads!$D$312*Multi!J$905)*LAFs!J$247/(24*Input!$F$58)*1000</f>
        <v>28700.338797743192</v>
      </c>
      <c r="K52" s="10"/>
    </row>
    <row r="53" spans="1:11" x14ac:dyDescent="0.25">
      <c r="A53" s="3" t="s">
        <v>179</v>
      </c>
      <c r="B53" s="17">
        <f>(Loads!$B$313*Multi!B$863+Loads!$C$313*Multi!B$889+Loads!$D$313*Multi!B$906)*LAFs!B$248/(24*Input!$F$58)*1000</f>
        <v>669894.70135598141</v>
      </c>
      <c r="C53" s="17">
        <f>(Loads!$B$313*Multi!C$863+Loads!$C$313*Multi!C$889+Loads!$D$313*Multi!C$906)*LAFs!C$248/(24*Input!$F$58)*1000</f>
        <v>681990.11246619781</v>
      </c>
      <c r="D53" s="17">
        <f>(Loads!$B$313*Multi!D$863+Loads!$C$313*Multi!D$889+Loads!$D$313*Multi!D$906)*LAFs!D$248/(24*Input!$F$58)*1000</f>
        <v>627678.48457401618</v>
      </c>
      <c r="E53" s="17">
        <f>(Loads!$B$313*Multi!E$863+Loads!$C$313*Multi!E$889+Loads!$D$313*Multi!E$906)*LAFs!E$248/(24*Input!$F$58)*1000</f>
        <v>630998.9817662983</v>
      </c>
      <c r="F53" s="17">
        <f>(Loads!$B$313*Multi!F$863+Loads!$C$313*Multi!F$889+Loads!$D$313*Multi!F$906)*LAFs!F$248/(24*Input!$F$58)*1000</f>
        <v>626040.24713552184</v>
      </c>
      <c r="G53" s="17">
        <f>(Loads!$B$313*Multi!G$863+Loads!$C$313*Multi!G$889+Loads!$D$313*Multi!G$906)*LAFs!G$248/(24*Input!$F$58)*1000</f>
        <v>50375.106802648334</v>
      </c>
      <c r="H53" s="17">
        <f>(Loads!$B$313*Multi!H$863+Loads!$C$313*Multi!H$889+Loads!$D$313*Multi!H$906)*LAFs!H$248/(24*Input!$F$58)*1000</f>
        <v>666359.47975151089</v>
      </c>
      <c r="I53" s="17">
        <f>(Loads!$B$313*Multi!I$863+Loads!$C$313*Multi!I$889+Loads!$D$313*Multi!I$906)*LAFs!I$248/(24*Input!$F$58)*1000</f>
        <v>654335.8993951208</v>
      </c>
      <c r="J53" s="17">
        <f>(Loads!$B$313*Multi!J$863+Loads!$C$313*Multi!J$889+Loads!$D$313*Multi!J$906)*LAFs!J$248/(24*Input!$F$58)*1000</f>
        <v>630389.48038706509</v>
      </c>
      <c r="K53" s="10"/>
    </row>
    <row r="54" spans="1:11" x14ac:dyDescent="0.25">
      <c r="A54" s="3" t="s">
        <v>180</v>
      </c>
      <c r="B54" s="17">
        <f>(Loads!$B$314*Multi!B$864+Loads!$C$314*Multi!B$890+Loads!$D$314*Multi!B$907)*LAFs!B$249/(24*Input!$F$58)*1000</f>
        <v>17821.493840569412</v>
      </c>
      <c r="C54" s="17">
        <f>(Loads!$B$314*Multi!C$864+Loads!$C$314*Multi!C$890+Loads!$D$314*Multi!C$907)*LAFs!C$249/(24*Input!$F$58)*1000</f>
        <v>18066.958232662335</v>
      </c>
      <c r="D54" s="17">
        <f>(Loads!$B$314*Multi!D$864+Loads!$C$314*Multi!D$890+Loads!$D$314*Multi!D$907)*LAFs!D$249/(24*Input!$F$58)*1000</f>
        <v>16628.160375128031</v>
      </c>
      <c r="E54" s="17">
        <f>(Loads!$B$314*Multi!E$864+Loads!$C$314*Multi!E$890+Loads!$D$314*Multi!E$907)*LAFs!E$249/(24*Input!$F$58)*1000</f>
        <v>16667.660874991419</v>
      </c>
      <c r="F54" s="17">
        <f>(Loads!$B$314*Multi!F$864+Loads!$C$314*Multi!F$890+Loads!$D$314*Multi!F$907)*LAFs!F$249/(24*Input!$F$58)*1000</f>
        <v>16536.677292476754</v>
      </c>
      <c r="G54" s="17">
        <f>(Loads!$B$314*Multi!G$864+Loads!$C$314*Multi!G$890+Loads!$D$314*Multi!G$907)*LAFs!G$249/(24*Input!$F$58)*1000</f>
        <v>1334.5134099938452</v>
      </c>
      <c r="H54" s="17">
        <f>(Loads!$B$314*Multi!H$864+Loads!$C$314*Multi!H$890+Loads!$D$314*Multi!H$907)*LAFs!H$249/(24*Input!$F$58)*1000</f>
        <v>17601.698497585596</v>
      </c>
      <c r="I54" s="17">
        <f>(Loads!$B$314*Multi!I$864+Loads!$C$314*Multi!I$890+Loads!$D$314*Multi!I$907)*LAFs!I$249/(24*Input!$F$58)*1000</f>
        <v>17284.098999528494</v>
      </c>
      <c r="J54" s="17">
        <f>(Loads!$B$314*Multi!J$864+Loads!$C$314*Multi!J$890+Loads!$D$314*Multi!J$907)*LAFs!J$249/(24*Input!$F$58)*1000</f>
        <v>0</v>
      </c>
      <c r="K54" s="10"/>
    </row>
    <row r="55" spans="1:11" x14ac:dyDescent="0.25">
      <c r="A55" s="3" t="s">
        <v>193</v>
      </c>
      <c r="B55" s="17">
        <f>(Loads!$B$315*Multi!B$865+Loads!$C$315*Multi!B$891+Loads!$D$315*Multi!B$908)*LAFs!B$250/(24*Input!$F$58)*1000</f>
        <v>1086672.0768791612</v>
      </c>
      <c r="C55" s="17">
        <f>(Loads!$B$315*Multi!C$865+Loads!$C$315*Multi!C$891+Loads!$D$315*Multi!C$908)*LAFs!C$250/(24*Input!$F$58)*1000</f>
        <v>1101174.6664068007</v>
      </c>
      <c r="D55" s="17">
        <f>(Loads!$B$315*Multi!D$865+Loads!$C$315*Multi!D$891+Loads!$D$315*Multi!D$908)*LAFs!D$250/(24*Input!$F$58)*1000</f>
        <v>1013480.4496828777</v>
      </c>
      <c r="E55" s="17">
        <f>(Loads!$B$315*Multi!E$865+Loads!$C$315*Multi!E$891+Loads!$D$315*Multi!E$908)*LAFs!E$250/(24*Input!$F$58)*1000</f>
        <v>1019583.6247211613</v>
      </c>
      <c r="F55" s="17">
        <f>(Loads!$B$315*Multi!F$865+Loads!$C$315*Multi!F$891+Loads!$D$315*Multi!F$908)*LAFs!F$250/(24*Input!$F$58)*1000</f>
        <v>1011571.1797331758</v>
      </c>
      <c r="G55" s="17">
        <f>(Loads!$B$315*Multi!G$865+Loads!$C$315*Multi!G$891+Loads!$D$315*Multi!G$908)*LAFs!G$250/(24*Input!$F$58)*1000</f>
        <v>81338.11680644071</v>
      </c>
      <c r="H55" s="17">
        <f>(Loads!$B$315*Multi!H$865+Loads!$C$315*Multi!H$891+Loads!$D$315*Multi!H$908)*LAFs!H$250/(24*Input!$F$58)*1000</f>
        <v>1076719.9842867318</v>
      </c>
      <c r="I55" s="17">
        <f>(Loads!$B$315*Multi!I$865+Loads!$C$315*Multi!I$891+Loads!$D$315*Multi!I$908)*LAFs!I$250/(24*Input!$F$58)*1000</f>
        <v>0</v>
      </c>
      <c r="J55" s="17">
        <f>(Loads!$B$315*Multi!J$865+Loads!$C$315*Multi!J$891+Loads!$D$315*Multi!J$908)*LAFs!J$250/(24*Input!$F$58)*1000</f>
        <v>0</v>
      </c>
      <c r="K55" s="10"/>
    </row>
    <row r="56" spans="1:11" x14ac:dyDescent="0.25">
      <c r="A56" s="3" t="s">
        <v>217</v>
      </c>
      <c r="B56" s="17">
        <f>(Loads!$B$320*Multi!B$870+Loads!$C$320*Multi!B$892+Loads!$D$320*Multi!B$909)*LAFs!B$255/(24*Input!$F$58)*1000</f>
        <v>62976.180495430301</v>
      </c>
      <c r="C56" s="17">
        <f>(Loads!$B$320*Multi!C$870+Loads!$C$320*Multi!C$892+Loads!$D$320*Multi!C$909)*LAFs!C$255/(24*Input!$F$58)*1000</f>
        <v>56083.706751411577</v>
      </c>
      <c r="D56" s="17">
        <f>(Loads!$B$320*Multi!D$870+Loads!$C$320*Multi!D$892+Loads!$D$320*Multi!D$909)*LAFs!D$255/(24*Input!$F$58)*1000</f>
        <v>51617.370134181117</v>
      </c>
      <c r="E56" s="17">
        <f>(Loads!$B$320*Multi!E$870+Loads!$C$320*Multi!E$892+Loads!$D$320*Multi!E$909)*LAFs!E$255/(24*Input!$F$58)*1000</f>
        <v>43444.995170117014</v>
      </c>
      <c r="F56" s="17">
        <f>(Loads!$B$320*Multi!F$870+Loads!$C$320*Multi!F$892+Loads!$D$320*Multi!F$909)*LAFs!F$255/(24*Input!$F$58)*1000</f>
        <v>43103.580669762458</v>
      </c>
      <c r="G56" s="17">
        <f>(Loads!$B$320*Multi!G$870+Loads!$C$320*Multi!G$892+Loads!$D$320*Multi!G$909)*LAFs!G$255/(24*Input!$F$58)*1000</f>
        <v>4142.615363255426</v>
      </c>
      <c r="H56" s="17">
        <f>(Loads!$B$320*Multi!H$870+Loads!$C$320*Multi!H$892+Loads!$D$320*Multi!H$909)*LAFs!H$255/(24*Input!$F$58)*1000</f>
        <v>45879.60553966189</v>
      </c>
      <c r="I56" s="17">
        <f>(Loads!$B$320*Multi!I$870+Loads!$C$320*Multi!I$892+Loads!$D$320*Multi!I$909)*LAFs!I$255/(24*Input!$F$58)*1000</f>
        <v>45051.768402668939</v>
      </c>
      <c r="J56" s="17">
        <f>(Loads!$B$320*Multi!J$870+Loads!$C$320*Multi!J$892+Loads!$D$320*Multi!J$909)*LAFs!J$255/(24*Input!$F$58)*1000</f>
        <v>43403.030309250134</v>
      </c>
      <c r="K56" s="10"/>
    </row>
    <row r="57" spans="1:11" x14ac:dyDescent="0.25">
      <c r="A57" s="3" t="s">
        <v>184</v>
      </c>
      <c r="B57" s="17">
        <f>(Loads!$B$324*Multi!B$871+Loads!$C$324*Multi!B$893+Loads!$D$324*Multi!B$910)*LAFs!B$259/(24*Input!$F$58)*1000</f>
        <v>-1016.8879180021</v>
      </c>
      <c r="C57" s="17">
        <f>(Loads!$B$324*Multi!C$871+Loads!$C$324*Multi!C$893+Loads!$D$324*Multi!C$910)*LAFs!C$259/(24*Input!$F$58)*1000</f>
        <v>-1053.9400324258902</v>
      </c>
      <c r="D57" s="17">
        <f>(Loads!$B$324*Multi!D$871+Loads!$C$324*Multi!D$893+Loads!$D$324*Multi!D$910)*LAFs!D$259/(24*Input!$F$58)*1000</f>
        <v>-970.00743895353867</v>
      </c>
      <c r="E57" s="17">
        <f>(Loads!$B$324*Multi!E$871+Loads!$C$324*Multi!E$893+Loads!$D$324*Multi!E$910)*LAFs!E$259/(24*Input!$F$58)*1000</f>
        <v>-998.84741599276083</v>
      </c>
      <c r="F57" s="17">
        <f>(Loads!$B$324*Multi!F$871+Loads!$C$324*Multi!F$893+Loads!$D$324*Multi!F$910)*LAFs!F$259/(24*Input!$F$58)*1000</f>
        <v>-990.99792745843661</v>
      </c>
      <c r="G57" s="17">
        <f>(Loads!$B$324*Multi!G$871+Loads!$C$324*Multi!G$893+Loads!$D$324*Multi!G$910)*LAFs!G$259/(24*Input!$F$58)*1000</f>
        <v>-77.849136998554854</v>
      </c>
      <c r="H57" s="17">
        <f>(Loads!$B$324*Multi!H$871+Loads!$C$324*Multi!H$893+Loads!$D$324*Multi!H$910)*LAFs!H$259/(24*Input!$F$58)*1000</f>
        <v>-1054.8217409304643</v>
      </c>
      <c r="I57" s="17">
        <f>(Loads!$B$324*Multi!I$871+Loads!$C$324*Multi!I$893+Loads!$D$324*Multi!I$910)*LAFs!I$259/(24*Input!$F$58)*1000</f>
        <v>-1035.7888700114911</v>
      </c>
      <c r="J57" s="17">
        <f>(Loads!$B$324*Multi!J$871+Loads!$C$324*Multi!J$893+Loads!$D$324*Multi!J$910)*LAFs!J$259/(24*Input!$F$58)*1000</f>
        <v>0</v>
      </c>
      <c r="K57" s="10"/>
    </row>
    <row r="58" spans="1:11" x14ac:dyDescent="0.25">
      <c r="A58" s="3" t="s">
        <v>186</v>
      </c>
      <c r="B58" s="17">
        <f>(Loads!$B$326*Multi!B$872+Loads!$C$326*Multi!B$894+Loads!$D$326*Multi!B$911)*LAFs!B$261/(24*Input!$F$58)*1000</f>
        <v>-518.2154861422282</v>
      </c>
      <c r="C58" s="17">
        <f>(Loads!$B$326*Multi!C$872+Loads!$C$326*Multi!C$894+Loads!$D$326*Multi!C$911)*LAFs!C$261/(24*Input!$F$58)*1000</f>
        <v>-516.57214902277065</v>
      </c>
      <c r="D58" s="17">
        <f>(Loads!$B$326*Multi!D$872+Loads!$C$326*Multi!D$894+Loads!$D$326*Multi!D$911)*LAFs!D$261/(24*Input!$F$58)*1000</f>
        <v>-475.43390695099879</v>
      </c>
      <c r="E58" s="17">
        <f>(Loads!$B$326*Multi!E$872+Loads!$C$326*Multi!E$894+Loads!$D$326*Multi!E$911)*LAFs!E$261/(24*Input!$F$58)*1000</f>
        <v>-475.42668960242901</v>
      </c>
      <c r="F58" s="17">
        <f>(Loads!$B$326*Multi!F$872+Loads!$C$326*Multi!F$894+Loads!$D$326*Multi!F$911)*LAFs!F$261/(24*Input!$F$58)*1000</f>
        <v>-471.69052701223302</v>
      </c>
      <c r="G58" s="17">
        <f>(Loads!$B$326*Multi!G$872+Loads!$C$326*Multi!G$894+Loads!$D$326*Multi!G$911)*LAFs!G$261/(24*Input!$F$58)*1000</f>
        <v>-38.156531454970931</v>
      </c>
      <c r="H58" s="17">
        <f>(Loads!$B$326*Multi!H$872+Loads!$C$326*Multi!H$894+Loads!$D$326*Multi!H$911)*LAFs!H$261/(24*Input!$F$58)*1000</f>
        <v>-502.06908520938299</v>
      </c>
      <c r="I58" s="17">
        <f>(Loads!$B$326*Multi!I$872+Loads!$C$326*Multi!I$894+Loads!$D$326*Multi!I$911)*LAFs!I$261/(24*Input!$F$58)*1000</f>
        <v>0</v>
      </c>
      <c r="J58" s="17">
        <f>(Loads!$B$326*Multi!J$872+Loads!$C$326*Multi!J$894+Loads!$D$326*Multi!J$911)*LAFs!J$261/(24*Input!$F$58)*1000</f>
        <v>0</v>
      </c>
      <c r="K58" s="10"/>
    </row>
    <row r="59" spans="1:11" x14ac:dyDescent="0.25">
      <c r="A59" s="3" t="s">
        <v>195</v>
      </c>
      <c r="B59" s="17">
        <f>(Loads!$B$328*Multi!B$873+Loads!$C$328*Multi!B$895+Loads!$D$328*Multi!B$912)*LAFs!B$263/(24*Input!$F$58)*1000</f>
        <v>-88169.99592605661</v>
      </c>
      <c r="C59" s="17">
        <f>(Loads!$B$328*Multi!C$873+Loads!$C$328*Multi!C$895+Loads!$D$328*Multi!C$912)*LAFs!C$263/(24*Input!$F$58)*1000</f>
        <v>-87014.239389570794</v>
      </c>
      <c r="D59" s="17">
        <f>(Loads!$B$328*Multi!D$873+Loads!$C$328*Multi!D$895+Loads!$D$328*Multi!D$912)*LAFs!D$263/(24*Input!$F$58)*1000</f>
        <v>-80084.688792483794</v>
      </c>
      <c r="E59" s="17">
        <f>(Loads!$B$328*Multi!E$873+Loads!$C$328*Multi!E$895+Loads!$D$328*Multi!E$912)*LAFs!E$263/(24*Input!$F$58)*1000</f>
        <v>-78442.713359719142</v>
      </c>
      <c r="F59" s="17">
        <f>(Loads!$B$328*Multi!F$873+Loads!$C$328*Multi!F$895+Loads!$D$328*Multi!F$912)*LAFs!F$263/(24*Input!$F$58)*1000</f>
        <v>-77826.267675163384</v>
      </c>
      <c r="G59" s="17">
        <f>(Loads!$B$328*Multi!G$873+Loads!$C$328*Multi!G$895+Loads!$D$328*Multi!G$912)*LAFs!G$263/(24*Input!$F$58)*1000</f>
        <v>-6427.2949453033234</v>
      </c>
      <c r="H59" s="17">
        <f>(Loads!$B$328*Multi!H$873+Loads!$C$328*Multi!H$895+Loads!$D$328*Multi!H$912)*LAFs!H$263/(24*Input!$F$58)*1000</f>
        <v>0</v>
      </c>
      <c r="I59" s="17">
        <f>(Loads!$B$328*Multi!I$873+Loads!$C$328*Multi!I$895+Loads!$D$328*Multi!I$912)*LAFs!I$263/(24*Input!$F$58)*1000</f>
        <v>0</v>
      </c>
      <c r="J59" s="17">
        <f>(Loads!$B$328*Multi!J$873+Loads!$C$328*Multi!J$895+Loads!$D$328*Multi!J$912)*LAFs!J$263/(24*Input!$F$58)*1000</f>
        <v>0</v>
      </c>
      <c r="K59" s="10"/>
    </row>
    <row r="61" spans="1:11" ht="21" customHeight="1" x14ac:dyDescent="0.3">
      <c r="A61" s="1" t="s">
        <v>815</v>
      </c>
    </row>
    <row r="62" spans="1:11" x14ac:dyDescent="0.25">
      <c r="A62" s="2" t="s">
        <v>356</v>
      </c>
    </row>
    <row r="63" spans="1:11" x14ac:dyDescent="0.25">
      <c r="A63" s="11" t="s">
        <v>579</v>
      </c>
    </row>
    <row r="64" spans="1:11" x14ac:dyDescent="0.25">
      <c r="A64" s="11" t="s">
        <v>816</v>
      </c>
    </row>
    <row r="65" spans="1:11" x14ac:dyDescent="0.25">
      <c r="A65" s="11" t="s">
        <v>803</v>
      </c>
    </row>
    <row r="66" spans="1:11" x14ac:dyDescent="0.25">
      <c r="A66" s="11" t="s">
        <v>557</v>
      </c>
    </row>
    <row r="67" spans="1:11" x14ac:dyDescent="0.25">
      <c r="A67" s="2" t="s">
        <v>817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171</v>
      </c>
      <c r="B70" s="17">
        <f>Multi!$B119*Loads!$B46*LAFs!B237/(24*Input!$F$58)*1000</f>
        <v>1323130.3329455659</v>
      </c>
      <c r="C70" s="17">
        <f>Multi!$B119*Loads!$B46*LAFs!C237/(24*Input!$F$58)*1000</f>
        <v>1320489.3542370922</v>
      </c>
      <c r="D70" s="17">
        <f>Multi!$B119*Loads!$B46*LAFs!D237/(24*Input!$F$58)*1000</f>
        <v>1215329.5797301459</v>
      </c>
      <c r="E70" s="17">
        <f>Multi!$B119*Loads!$B46*LAFs!E237/(24*Input!$F$58)*1000</f>
        <v>1211719.689889363</v>
      </c>
      <c r="F70" s="17">
        <f>Multi!$B119*Loads!$B46*LAFs!F237/(24*Input!$F$58)*1000</f>
        <v>1202197.3347625313</v>
      </c>
      <c r="G70" s="17">
        <f>Multi!$B119*Loads!$B46*LAFs!G237/(24*Input!$F$58)*1000</f>
        <v>97537.766362779366</v>
      </c>
      <c r="H70" s="17">
        <f>Multi!$B119*Loads!$B46*LAFs!H237/(24*Input!$F$58)*1000</f>
        <v>1279623.1459821721</v>
      </c>
      <c r="I70" s="17">
        <f>Multi!$B119*Loads!$B46*LAFs!I237/(24*Input!$F$58)*1000</f>
        <v>1256534.0293880019</v>
      </c>
      <c r="J70" s="17">
        <f>Multi!$B119*Loads!$B46*LAFs!J237/(24*Input!$F$58)*1000</f>
        <v>1210549.2524662085</v>
      </c>
      <c r="K70" s="10"/>
    </row>
    <row r="71" spans="1:11" x14ac:dyDescent="0.25">
      <c r="A71" s="3" t="s">
        <v>172</v>
      </c>
      <c r="B71" s="17">
        <f>Multi!$B120*Loads!$B47*LAFs!B238/(24*Input!$F$58)*1000</f>
        <v>822661.76298579667</v>
      </c>
      <c r="C71" s="17">
        <f>Multi!$B120*Loads!$B47*LAFs!C238/(24*Input!$F$58)*1000</f>
        <v>821019.72353871923</v>
      </c>
      <c r="D71" s="17">
        <f>Multi!$B120*Loads!$B47*LAFs!D238/(24*Input!$F$58)*1000</f>
        <v>755636.19832054852</v>
      </c>
      <c r="E71" s="17">
        <f>Multi!$B120*Loads!$B47*LAFs!E238/(24*Input!$F$58)*1000</f>
        <v>753391.73436514067</v>
      </c>
      <c r="F71" s="17">
        <f>Multi!$B120*Loads!$B47*LAFs!F238/(24*Input!$F$58)*1000</f>
        <v>747471.17063732049</v>
      </c>
      <c r="G71" s="17">
        <f>Multi!$B120*Loads!$B47*LAFs!G238/(24*Input!$F$58)*1000</f>
        <v>60644.510095289254</v>
      </c>
      <c r="H71" s="17">
        <f>Multi!$B120*Loads!$B47*LAFs!H238/(24*Input!$F$58)*1000</f>
        <v>795610.98934796592</v>
      </c>
      <c r="I71" s="17">
        <f>Multi!$B120*Loads!$B47*LAFs!I238/(24*Input!$F$58)*1000</f>
        <v>781255.23550408031</v>
      </c>
      <c r="J71" s="17">
        <f>Multi!$B120*Loads!$B47*LAFs!J238/(24*Input!$F$58)*1000</f>
        <v>752664.01005104906</v>
      </c>
      <c r="K71" s="10"/>
    </row>
    <row r="72" spans="1:11" x14ac:dyDescent="0.25">
      <c r="A72" s="3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3" t="s">
        <v>173</v>
      </c>
      <c r="B73" s="17">
        <f>Multi!$B122*Loads!$B49*LAFs!B240/(24*Input!$F$58)*1000</f>
        <v>250023.59373387444</v>
      </c>
      <c r="C73" s="17">
        <f>Multi!$B122*Loads!$B49*LAFs!C240/(24*Input!$F$58)*1000</f>
        <v>249524.54464458532</v>
      </c>
      <c r="D73" s="17">
        <f>Multi!$B122*Loads!$B49*LAFs!D240/(24*Input!$F$58)*1000</f>
        <v>229653.16532253617</v>
      </c>
      <c r="E73" s="17">
        <f>Multi!$B122*Loads!$B49*LAFs!E240/(24*Input!$F$58)*1000</f>
        <v>228971.02720771666</v>
      </c>
      <c r="F73" s="17">
        <f>Multi!$B122*Loads!$B49*LAFs!F240/(24*Input!$F$58)*1000</f>
        <v>227171.64781905097</v>
      </c>
      <c r="G73" s="17">
        <f>Multi!$B122*Loads!$B49*LAFs!G240/(24*Input!$F$58)*1000</f>
        <v>18431.096516778587</v>
      </c>
      <c r="H73" s="17">
        <f>Multi!$B122*Loads!$B49*LAFs!H240/(24*Input!$F$58)*1000</f>
        <v>241802.31502308944</v>
      </c>
      <c r="I73" s="17">
        <f>Multi!$B122*Loads!$B49*LAFs!I240/(24*Input!$F$58)*1000</f>
        <v>237439.31028857976</v>
      </c>
      <c r="J73" s="17">
        <f>Multi!$B122*Loads!$B49*LAFs!J240/(24*Input!$F$58)*1000</f>
        <v>228749.85703007728</v>
      </c>
      <c r="K73" s="10"/>
    </row>
    <row r="74" spans="1:11" x14ac:dyDescent="0.25">
      <c r="A74" s="3" t="s">
        <v>174</v>
      </c>
      <c r="B74" s="17">
        <f>Multi!$B123*Loads!$B50*LAFs!B241/(24*Input!$F$58)*1000</f>
        <v>385477.63102366915</v>
      </c>
      <c r="C74" s="17">
        <f>Multi!$B123*Loads!$B50*LAFs!C241/(24*Input!$F$58)*1000</f>
        <v>384708.21459448029</v>
      </c>
      <c r="D74" s="17">
        <f>Multi!$B123*Loads!$B50*LAFs!D241/(24*Input!$F$58)*1000</f>
        <v>354071.21705420199</v>
      </c>
      <c r="E74" s="17">
        <f>Multi!$B123*Loads!$B50*LAFs!E241/(24*Input!$F$58)*1000</f>
        <v>353019.52036988252</v>
      </c>
      <c r="F74" s="17">
        <f>Multi!$B123*Loads!$B50*LAFs!F241/(24*Input!$F$58)*1000</f>
        <v>350245.30017051217</v>
      </c>
      <c r="G74" s="17">
        <f>Multi!$B123*Loads!$B50*LAFs!G241/(24*Input!$F$58)*1000</f>
        <v>28416.419892031252</v>
      </c>
      <c r="H74" s="17">
        <f>Multi!$B123*Loads!$B50*LAFs!H241/(24*Input!$F$58)*1000</f>
        <v>372802.35108672071</v>
      </c>
      <c r="I74" s="17">
        <f>Multi!$B123*Loads!$B50*LAFs!I241/(24*Input!$F$58)*1000</f>
        <v>366075.62300443416</v>
      </c>
      <c r="J74" s="17">
        <f>Multi!$B123*Loads!$B50*LAFs!J241/(24*Input!$F$58)*1000</f>
        <v>352678.52792650432</v>
      </c>
      <c r="K74" s="10"/>
    </row>
    <row r="75" spans="1:11" x14ac:dyDescent="0.25">
      <c r="A75" s="3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3" t="s">
        <v>175</v>
      </c>
      <c r="B76" s="17">
        <f>Multi!$B125*Loads!$B52*LAFs!B243/(24*Input!$F$58)*1000</f>
        <v>0</v>
      </c>
      <c r="C76" s="17">
        <f>Multi!$B125*Loads!$B52*LAFs!C243/(24*Input!$F$58)*1000</f>
        <v>0</v>
      </c>
      <c r="D76" s="17">
        <f>Multi!$B125*Loads!$B52*LAFs!D243/(24*Input!$F$58)*1000</f>
        <v>0</v>
      </c>
      <c r="E76" s="17">
        <f>Multi!$B125*Loads!$B52*LAFs!E243/(24*Input!$F$58)*1000</f>
        <v>0</v>
      </c>
      <c r="F76" s="17">
        <f>Multi!$B125*Loads!$B52*LAFs!F243/(24*Input!$F$58)*1000</f>
        <v>0</v>
      </c>
      <c r="G76" s="17">
        <f>Multi!$B125*Loads!$B52*LAFs!G243/(24*Input!$F$58)*1000</f>
        <v>0</v>
      </c>
      <c r="H76" s="17">
        <f>Multi!$B125*Loads!$B52*LAFs!H243/(24*Input!$F$58)*1000</f>
        <v>0</v>
      </c>
      <c r="I76" s="17">
        <f>Multi!$B125*Loads!$B52*LAFs!I243/(24*Input!$F$58)*1000</f>
        <v>0</v>
      </c>
      <c r="J76" s="17">
        <f>Multi!$B125*Loads!$B52*LAFs!J243/(24*Input!$F$58)*1000</f>
        <v>0</v>
      </c>
      <c r="K76" s="10"/>
    </row>
    <row r="77" spans="1:11" x14ac:dyDescent="0.25">
      <c r="A77" s="3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3" t="s">
        <v>192</v>
      </c>
      <c r="B78" s="17">
        <f>Multi!$B127*Loads!$B54*LAFs!B245/(24*Input!$F$58)*1000</f>
        <v>0</v>
      </c>
      <c r="C78" s="17">
        <f>Multi!$B127*Loads!$B54*LAFs!C245/(24*Input!$F$58)*1000</f>
        <v>0</v>
      </c>
      <c r="D78" s="17">
        <f>Multi!$B127*Loads!$B54*LAFs!D245/(24*Input!$F$58)*1000</f>
        <v>0</v>
      </c>
      <c r="E78" s="17">
        <f>Multi!$B127*Loads!$B54*LAFs!E245/(24*Input!$F$58)*1000</f>
        <v>0</v>
      </c>
      <c r="F78" s="17">
        <f>Multi!$B127*Loads!$B54*LAFs!F245/(24*Input!$F$58)*1000</f>
        <v>0</v>
      </c>
      <c r="G78" s="17">
        <f>Multi!$B127*Loads!$B54*LAFs!G245/(24*Input!$F$58)*1000</f>
        <v>0</v>
      </c>
      <c r="H78" s="17">
        <f>Multi!$B127*Loads!$B54*LAFs!H245/(24*Input!$F$58)*1000</f>
        <v>0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3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3" t="s">
        <v>178</v>
      </c>
      <c r="B80" s="17">
        <f>Multi!$B129*Loads!$B56*LAFs!B247/(24*Input!$F$58)*1000</f>
        <v>31566.096665461115</v>
      </c>
      <c r="C80" s="17">
        <f>Multi!$B129*Loads!$B56*LAFs!C247/(24*Input!$F$58)*1000</f>
        <v>31503.090484492135</v>
      </c>
      <c r="D80" s="17">
        <f>Multi!$B129*Loads!$B56*LAFs!D247/(24*Input!$F$58)*1000</f>
        <v>28994.279731121762</v>
      </c>
      <c r="E80" s="17">
        <f>Multi!$B129*Loads!$B56*LAFs!E247/(24*Input!$F$58)*1000</f>
        <v>28908.158108158026</v>
      </c>
      <c r="F80" s="17">
        <f>Multi!$B129*Loads!$B56*LAFs!F247/(24*Input!$F$58)*1000</f>
        <v>28680.982013005512</v>
      </c>
      <c r="G80" s="17">
        <f>Multi!$B129*Loads!$B56*LAFs!G247/(24*Input!$F$58)*1000</f>
        <v>2326.9714894120875</v>
      </c>
      <c r="H80" s="17">
        <f>Multi!$B129*Loads!$B56*LAFs!H247/(24*Input!$F$58)*1000</f>
        <v>30528.139908569745</v>
      </c>
      <c r="I80" s="17">
        <f>Multi!$B129*Loads!$B56*LAFs!I247/(24*Input!$F$58)*1000</f>
        <v>29977.29977726602</v>
      </c>
      <c r="J80" s="17">
        <f>Multi!$B129*Loads!$B56*LAFs!J247/(24*Input!$F$58)*1000</f>
        <v>28880.234826588396</v>
      </c>
      <c r="K80" s="10"/>
    </row>
    <row r="81" spans="1:11" x14ac:dyDescent="0.25">
      <c r="A81" s="3" t="s">
        <v>179</v>
      </c>
      <c r="B81" s="17">
        <f>Multi!$B130*Loads!$B57*LAFs!B248/(24*Input!$F$58)*1000</f>
        <v>674081.174887478</v>
      </c>
      <c r="C81" s="17">
        <f>Multi!$B130*Loads!$B57*LAFs!C248/(24*Input!$F$58)*1000</f>
        <v>672735.70348051703</v>
      </c>
      <c r="D81" s="17">
        <f>Multi!$B130*Loads!$B57*LAFs!D248/(24*Input!$F$58)*1000</f>
        <v>619161.06870305189</v>
      </c>
      <c r="E81" s="17">
        <f>Multi!$B130*Loads!$B57*LAFs!E248/(24*Input!$F$58)*1000</f>
        <v>617321.97641977528</v>
      </c>
      <c r="F81" s="17">
        <f>Multi!$B130*Loads!$B57*LAFs!F248/(24*Input!$F$58)*1000</f>
        <v>612470.72316696763</v>
      </c>
      <c r="G81" s="17">
        <f>Multi!$B130*Loads!$B57*LAFs!G248/(24*Input!$F$58)*1000</f>
        <v>49691.53114293205</v>
      </c>
      <c r="H81" s="17">
        <f>Multi!$B130*Loads!$B57*LAFs!H248/(24*Input!$F$58)*1000</f>
        <v>651916.02987183561</v>
      </c>
      <c r="I81" s="17">
        <f>Multi!$B130*Loads!$B57*LAFs!I248/(24*Input!$F$58)*1000</f>
        <v>640153.06257120415</v>
      </c>
      <c r="J81" s="17">
        <f>Multi!$B130*Loads!$B57*LAFs!J248/(24*Input!$F$58)*1000</f>
        <v>616725.68608186464</v>
      </c>
      <c r="K81" s="10"/>
    </row>
    <row r="82" spans="1:11" x14ac:dyDescent="0.25">
      <c r="A82" s="3" t="s">
        <v>180</v>
      </c>
      <c r="B82" s="17">
        <f>Multi!$B131*Loads!$B58*LAFs!B249/(24*Input!$F$58)*1000</f>
        <v>17918.034025436176</v>
      </c>
      <c r="C82" s="17">
        <f>Multi!$B131*Loads!$B58*LAFs!C249/(24*Input!$F$58)*1000</f>
        <v>17882.269486463247</v>
      </c>
      <c r="D82" s="17">
        <f>Multi!$B131*Loads!$B58*LAFs!D249/(24*Input!$F$58)*1000</f>
        <v>16458.179681547426</v>
      </c>
      <c r="E82" s="17">
        <f>Multi!$B131*Loads!$B58*LAFs!E249/(24*Input!$F$58)*1000</f>
        <v>16409.293999325007</v>
      </c>
      <c r="F82" s="17">
        <f>Multi!$B131*Loads!$B58*LAFs!F249/(24*Input!$F$58)*1000</f>
        <v>16280.340804831294</v>
      </c>
      <c r="G82" s="17">
        <f>Multi!$B131*Loads!$B58*LAFs!G249/(24*Input!$F$58)*1000</f>
        <v>1320.8714009016865</v>
      </c>
      <c r="H82" s="17">
        <f>Multi!$B131*Loads!$B58*LAFs!H249/(24*Input!$F$58)*1000</f>
        <v>17328.853022665546</v>
      </c>
      <c r="I82" s="17">
        <f>Multi!$B131*Loads!$B58*LAFs!I249/(24*Input!$F$58)*1000</f>
        <v>17016.176662332553</v>
      </c>
      <c r="J82" s="17">
        <f>Multi!$B131*Loads!$B58*LAFs!J249/(24*Input!$F$58)*1000</f>
        <v>0</v>
      </c>
      <c r="K82" s="10"/>
    </row>
    <row r="83" spans="1:11" x14ac:dyDescent="0.25">
      <c r="A83" s="3" t="s">
        <v>193</v>
      </c>
      <c r="B83" s="17">
        <f>Multi!$B132*Loads!$B59*LAFs!B250/(24*Input!$F$58)*1000</f>
        <v>1090644.1873859235</v>
      </c>
      <c r="C83" s="17">
        <f>Multi!$B132*Loads!$B59*LAFs!C250/(24*Input!$F$58)*1000</f>
        <v>1088467.252880163</v>
      </c>
      <c r="D83" s="17">
        <f>Multi!$B132*Loads!$B59*LAFs!D250/(24*Input!$F$58)*1000</f>
        <v>1001785.0160989332</v>
      </c>
      <c r="E83" s="17">
        <f>Multi!$B132*Loads!$B59*LAFs!E250/(24*Input!$F$58)*1000</f>
        <v>998809.4170412136</v>
      </c>
      <c r="F83" s="17">
        <f>Multi!$B132*Loads!$B59*LAFs!F250/(24*Input!$F$58)*1000</f>
        <v>990960.2271234045</v>
      </c>
      <c r="G83" s="17">
        <f>Multi!$B132*Loads!$B59*LAFs!G250/(24*Input!$F$58)*1000</f>
        <v>80399.485436441901</v>
      </c>
      <c r="H83" s="17">
        <f>Multi!$B132*Loads!$B59*LAFs!H250/(24*Input!$F$58)*1000</f>
        <v>1054781.6125589202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3" t="s">
        <v>213</v>
      </c>
      <c r="B84" s="17">
        <f>Multi!$B133*Loads!$B60*LAFs!B251/(24*Input!$F$58)*1000</f>
        <v>6331.5268283636951</v>
      </c>
      <c r="C84" s="17">
        <f>Multi!$B133*Loads!$B60*LAFs!C251/(24*Input!$F$58)*1000</f>
        <v>6318.8890502631684</v>
      </c>
      <c r="D84" s="17">
        <f>Multi!$B133*Loads!$B60*LAFs!D251/(24*Input!$F$58)*1000</f>
        <v>5815.6718561768184</v>
      </c>
      <c r="E84" s="17">
        <f>Multi!$B133*Loads!$B60*LAFs!E251/(24*Input!$F$58)*1000</f>
        <v>5798.3975833366876</v>
      </c>
      <c r="F84" s="17">
        <f>Multi!$B133*Loads!$B60*LAFs!F251/(24*Input!$F$58)*1000</f>
        <v>5752.8306082220588</v>
      </c>
      <c r="G84" s="17">
        <f>Multi!$B133*Loads!$B60*LAFs!G251/(24*Input!$F$58)*1000</f>
        <v>466.74387936506793</v>
      </c>
      <c r="H84" s="17">
        <f>Multi!$B133*Loads!$B60*LAFs!H251/(24*Input!$F$58)*1000</f>
        <v>6123.3334897134382</v>
      </c>
      <c r="I84" s="17">
        <f>Multi!$B133*Loads!$B60*LAFs!I251/(24*Input!$F$58)*1000</f>
        <v>6012.845990848713</v>
      </c>
      <c r="J84" s="17">
        <f>Multi!$B133*Loads!$B60*LAFs!J251/(24*Input!$F$58)*1000</f>
        <v>5792.7967322632157</v>
      </c>
      <c r="K84" s="10"/>
    </row>
    <row r="85" spans="1:11" x14ac:dyDescent="0.25">
      <c r="A85" s="3" t="s">
        <v>214</v>
      </c>
      <c r="B85" s="17">
        <f>Multi!$B134*Loads!$B61*LAFs!B252/(24*Input!$F$58)*1000</f>
        <v>6162.2217888642081</v>
      </c>
      <c r="C85" s="17">
        <f>Multi!$B134*Loads!$B61*LAFs!C252/(24*Input!$F$58)*1000</f>
        <v>6149.9219449742604</v>
      </c>
      <c r="D85" s="17">
        <f>Multi!$B134*Loads!$B61*LAFs!D252/(24*Input!$F$58)*1000</f>
        <v>5660.1607796201824</v>
      </c>
      <c r="E85" s="17">
        <f>Multi!$B134*Loads!$B61*LAFs!E252/(24*Input!$F$58)*1000</f>
        <v>5643.3484208688333</v>
      </c>
      <c r="F85" s="17">
        <f>Multi!$B134*Loads!$B61*LAFs!F252/(24*Input!$F$58)*1000</f>
        <v>5598.9999067559156</v>
      </c>
      <c r="G85" s="17">
        <f>Multi!$B134*Loads!$B61*LAFs!G252/(24*Input!$F$58)*1000</f>
        <v>454.26314713819863</v>
      </c>
      <c r="H85" s="17">
        <f>Multi!$B134*Loads!$B61*LAFs!H252/(24*Input!$F$58)*1000</f>
        <v>5959.5955404876295</v>
      </c>
      <c r="I85" s="17">
        <f>Multi!$B134*Loads!$B61*LAFs!I252/(24*Input!$F$58)*1000</f>
        <v>5852.0624775538545</v>
      </c>
      <c r="J85" s="17">
        <f>Multi!$B134*Loads!$B61*LAFs!J252/(24*Input!$F$58)*1000</f>
        <v>5637.8973365637776</v>
      </c>
      <c r="K85" s="10"/>
    </row>
    <row r="86" spans="1:11" x14ac:dyDescent="0.25">
      <c r="A86" s="3" t="s">
        <v>215</v>
      </c>
      <c r="B86" s="17">
        <f>Multi!$B135*Loads!$B62*LAFs!B253/(24*Input!$F$58)*1000</f>
        <v>184.61467120057659</v>
      </c>
      <c r="C86" s="17">
        <f>Multi!$B135*Loads!$B62*LAFs!C253/(24*Input!$F$58)*1000</f>
        <v>184.24617884289083</v>
      </c>
      <c r="D86" s="17">
        <f>Multi!$B135*Loads!$B62*LAFs!D253/(24*Input!$F$58)*1000</f>
        <v>169.57337094882124</v>
      </c>
      <c r="E86" s="17">
        <f>Multi!$B135*Loads!$B62*LAFs!E253/(24*Input!$F$58)*1000</f>
        <v>169.06968766877517</v>
      </c>
      <c r="F86" s="17">
        <f>Multi!$B135*Loads!$B62*LAFs!F253/(24*Input!$F$58)*1000</f>
        <v>167.74104572245872</v>
      </c>
      <c r="G86" s="17">
        <f>Multi!$B135*Loads!$B62*LAFs!G253/(24*Input!$F$58)*1000</f>
        <v>13.609318914649945</v>
      </c>
      <c r="H86" s="17">
        <f>Multi!$B135*Loads!$B62*LAFs!H253/(24*Input!$F$58)*1000</f>
        <v>178.54416943962923</v>
      </c>
      <c r="I86" s="17">
        <f>Multi!$B135*Loads!$B62*LAFs!I253/(24*Input!$F$58)*1000</f>
        <v>175.32257473938901</v>
      </c>
      <c r="J86" s="17">
        <f>Multi!$B135*Loads!$B62*LAFs!J253/(24*Input!$F$58)*1000</f>
        <v>168.90637804261354</v>
      </c>
      <c r="K86" s="10"/>
    </row>
    <row r="87" spans="1:11" x14ac:dyDescent="0.25">
      <c r="A87" s="3" t="s">
        <v>216</v>
      </c>
      <c r="B87" s="17">
        <f>Multi!$B136*Loads!$B63*LAFs!B254/(24*Input!$F$58)*1000</f>
        <v>10.255985088567241</v>
      </c>
      <c r="C87" s="17">
        <f>Multi!$B136*Loads!$B63*LAFs!C254/(24*Input!$F$58)*1000</f>
        <v>10.23551406044635</v>
      </c>
      <c r="D87" s="17">
        <f>Multi!$B136*Loads!$B63*LAFs!D254/(24*Input!$F$58)*1000</f>
        <v>9.4203887077841308</v>
      </c>
      <c r="E87" s="17">
        <f>Multi!$B136*Loads!$B63*LAFs!E254/(24*Input!$F$58)*1000</f>
        <v>9.3924073551867497</v>
      </c>
      <c r="F87" s="17">
        <f>Multi!$B136*Loads!$B63*LAFs!F254/(24*Input!$F$58)*1000</f>
        <v>9.3185966883483484</v>
      </c>
      <c r="G87" s="17">
        <f>Multi!$B136*Loads!$B63*LAFs!G254/(24*Input!$F$58)*1000</f>
        <v>0.75604485248391251</v>
      </c>
      <c r="H87" s="17">
        <f>Multi!$B136*Loads!$B63*LAFs!H254/(24*Input!$F$58)*1000</f>
        <v>9.9187476678600017</v>
      </c>
      <c r="I87" s="17">
        <f>Multi!$B136*Loads!$B63*LAFs!I254/(24*Input!$F$58)*1000</f>
        <v>9.7397769122196021</v>
      </c>
      <c r="J87" s="17">
        <f>Multi!$B136*Loads!$B63*LAFs!J254/(24*Input!$F$58)*1000</f>
        <v>9.3833349392198002</v>
      </c>
      <c r="K87" s="10"/>
    </row>
    <row r="88" spans="1:11" x14ac:dyDescent="0.25">
      <c r="A88" s="3" t="s">
        <v>217</v>
      </c>
      <c r="B88" s="17">
        <f>Multi!$B137*Loads!$B64*LAFs!B255/(24*Input!$F$58)*1000</f>
        <v>64063.028515227699</v>
      </c>
      <c r="C88" s="17">
        <f>Multi!$B137*Loads!$B64*LAFs!C255/(24*Input!$F$58)*1000</f>
        <v>63935.158198830046</v>
      </c>
      <c r="D88" s="17">
        <f>Multi!$B137*Loads!$B64*LAFs!D255/(24*Input!$F$58)*1000</f>
        <v>58843.55575790062</v>
      </c>
      <c r="E88" s="17">
        <f>Multi!$B137*Loads!$B64*LAFs!E255/(24*Input!$F$58)*1000</f>
        <v>58668.772919015748</v>
      </c>
      <c r="F88" s="17">
        <f>Multi!$B137*Loads!$B64*LAFs!F255/(24*Input!$F$58)*1000</f>
        <v>58207.72165835552</v>
      </c>
      <c r="G88" s="17">
        <f>Multi!$B137*Loads!$B64*LAFs!G255/(24*Input!$F$58)*1000</f>
        <v>4722.5617554241499</v>
      </c>
      <c r="H88" s="17">
        <f>Multi!$B137*Loads!$B64*LAFs!H255/(24*Input!$F$58)*1000</f>
        <v>61956.507268111891</v>
      </c>
      <c r="I88" s="17">
        <f>Multi!$B137*Loads!$B64*LAFs!I255/(24*Input!$F$58)*1000</f>
        <v>60838.583585211491</v>
      </c>
      <c r="J88" s="17">
        <f>Multi!$B137*Loads!$B64*LAFs!J255/(24*Input!$F$58)*1000</f>
        <v>58612.102941653888</v>
      </c>
      <c r="K88" s="10"/>
    </row>
    <row r="89" spans="1:11" x14ac:dyDescent="0.25">
      <c r="A89" s="3" t="s">
        <v>181</v>
      </c>
      <c r="B89" s="17">
        <f>Multi!$B138*Loads!$B65*LAFs!B256/(24*Input!$F$58)*1000</f>
        <v>-168.79755753700215</v>
      </c>
      <c r="C89" s="17">
        <f>Multi!$B138*Loads!$B65*LAFs!C256/(24*Input!$F$58)*1000</f>
        <v>-168.46063626447324</v>
      </c>
      <c r="D89" s="17">
        <f>Multi!$B138*Loads!$B65*LAFs!D256/(24*Input!$F$58)*1000</f>
        <v>-155.04494119201757</v>
      </c>
      <c r="E89" s="17">
        <f>Multi!$B138*Loads!$B65*LAFs!E256/(24*Input!$F$58)*1000</f>
        <v>-154.58441166372444</v>
      </c>
      <c r="F89" s="17">
        <f>Multi!$B138*Loads!$B65*LAFs!F256/(24*Input!$F$58)*1000</f>
        <v>-153.36960292766375</v>
      </c>
      <c r="G89" s="17">
        <f>Multi!$B138*Loads!$B65*LAFs!G256/(24*Input!$F$58)*1000</f>
        <v>-12.443321961336416</v>
      </c>
      <c r="H89" s="17">
        <f>Multi!$B138*Loads!$B65*LAFs!H256/(24*Input!$F$58)*1000</f>
        <v>-163.24715429110458</v>
      </c>
      <c r="I89" s="17">
        <f>Multi!$B138*Loads!$B65*LAFs!I256/(24*Input!$F$58)*1000</f>
        <v>-160.30157410921385</v>
      </c>
      <c r="J89" s="17">
        <f>Multi!$B138*Loads!$B65*LAFs!J256/(24*Input!$F$58)*1000</f>
        <v>0</v>
      </c>
      <c r="K89" s="10"/>
    </row>
    <row r="90" spans="1:11" x14ac:dyDescent="0.25">
      <c r="A90" s="3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3" t="s">
        <v>183</v>
      </c>
      <c r="B91" s="17">
        <f>Multi!$B140*Loads!$B67*LAFs!B258/(24*Input!$F$58)*1000</f>
        <v>-4674.593026842078</v>
      </c>
      <c r="C91" s="17">
        <f>Multi!$B140*Loads!$B67*LAFs!C258/(24*Input!$F$58)*1000</f>
        <v>-4665.2625018384015</v>
      </c>
      <c r="D91" s="17">
        <f>Multi!$B140*Loads!$B67*LAFs!D258/(24*Input!$F$58)*1000</f>
        <v>-4293.7351198607712</v>
      </c>
      <c r="E91" s="17">
        <f>Multi!$B140*Loads!$B67*LAFs!E258/(24*Input!$F$58)*1000</f>
        <v>-4280.9814511879158</v>
      </c>
      <c r="F91" s="17">
        <f>Multi!$B140*Loads!$B67*LAFs!F258/(24*Input!$F$58)*1000</f>
        <v>-4247.3391608053007</v>
      </c>
      <c r="G91" s="17">
        <f>Multi!$B140*Loads!$B67*LAFs!G258/(24*Input!$F$58)*1000</f>
        <v>-344.59897951108201</v>
      </c>
      <c r="H91" s="17">
        <f>Multi!$B140*Loads!$B67*LAFs!H258/(24*Input!$F$58)*1000</f>
        <v>-4520.8830046828607</v>
      </c>
      <c r="I91" s="17">
        <f>Multi!$B140*Loads!$B67*LAFs!I258/(24*Input!$F$58)*1000</f>
        <v>-4439.3096171339766</v>
      </c>
      <c r="J91" s="17">
        <f>Multi!$B140*Loads!$B67*LAFs!J258/(24*Input!$F$58)*1000</f>
        <v>0</v>
      </c>
      <c r="K91" s="10"/>
    </row>
    <row r="92" spans="1:11" x14ac:dyDescent="0.25">
      <c r="A92" s="3" t="s">
        <v>184</v>
      </c>
      <c r="B92" s="17">
        <f>Multi!$B141*Loads!$B68*LAFs!B259/(24*Input!$F$58)*1000</f>
        <v>-951.26347355842461</v>
      </c>
      <c r="C92" s="17">
        <f>Multi!$B141*Loads!$B68*LAFs!C259/(24*Input!$F$58)*1000</f>
        <v>-949.36474407028402</v>
      </c>
      <c r="D92" s="17">
        <f>Multi!$B141*Loads!$B68*LAFs!D259/(24*Input!$F$58)*1000</f>
        <v>-873.76020997015496</v>
      </c>
      <c r="E92" s="17">
        <f>Multi!$B141*Loads!$B68*LAFs!E259/(24*Input!$F$58)*1000</f>
        <v>-871.16488261380766</v>
      </c>
      <c r="F92" s="17">
        <f>Multi!$B141*Loads!$B68*LAFs!F259/(24*Input!$F$58)*1000</f>
        <v>-864.31879316301161</v>
      </c>
      <c r="G92" s="17">
        <f>Multi!$B141*Loads!$B68*LAFs!G259/(24*Input!$F$58)*1000</f>
        <v>-70.124697562356261</v>
      </c>
      <c r="H92" s="17">
        <f>Multi!$B141*Loads!$B68*LAFs!H259/(24*Input!$F$58)*1000</f>
        <v>-919.98401698106829</v>
      </c>
      <c r="I92" s="17">
        <f>Multi!$B141*Loads!$B68*LAFs!I259/(24*Input!$F$58)*1000</f>
        <v>-903.38411544009932</v>
      </c>
      <c r="J92" s="17">
        <f>Multi!$B141*Loads!$B68*LAFs!J259/(24*Input!$F$58)*1000</f>
        <v>0</v>
      </c>
      <c r="K92" s="10"/>
    </row>
    <row r="93" spans="1:11" x14ac:dyDescent="0.25">
      <c r="A93" s="3" t="s">
        <v>185</v>
      </c>
      <c r="B93" s="17">
        <f>Multi!$B142*Loads!$B69*LAFs!B260/(24*Input!$F$58)*1000</f>
        <v>-129.9762824153425</v>
      </c>
      <c r="C93" s="17">
        <f>Multi!$B142*Loads!$B69*LAFs!C260/(24*Input!$F$58)*1000</f>
        <v>-129.71684871790669</v>
      </c>
      <c r="D93" s="17">
        <f>Multi!$B142*Loads!$B69*LAFs!D260/(24*Input!$F$58)*1000</f>
        <v>-119.38659159227635</v>
      </c>
      <c r="E93" s="17">
        <f>Multi!$B142*Loads!$B69*LAFs!E260/(24*Input!$F$58)*1000</f>
        <v>-119.03197795388343</v>
      </c>
      <c r="F93" s="17">
        <f>Multi!$B142*Loads!$B69*LAFs!F260/(24*Input!$F$58)*1000</f>
        <v>-118.09655965955037</v>
      </c>
      <c r="G93" s="17">
        <f>Multi!$B142*Loads!$B69*LAFs!G260/(24*Input!$F$58)*1000</f>
        <v>-9.5815173692732998</v>
      </c>
      <c r="H93" s="17">
        <f>Multi!$B142*Loads!$B69*LAFs!H260/(24*Input!$F$58)*1000</f>
        <v>-125.70240078853237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3" t="s">
        <v>186</v>
      </c>
      <c r="B94" s="17">
        <f>Multi!$B143*Loads!$B70*LAFs!B261/(24*Input!$F$58)*1000</f>
        <v>-549.13805291835615</v>
      </c>
      <c r="C94" s="17">
        <f>Multi!$B143*Loads!$B70*LAFs!C261/(24*Input!$F$58)*1000</f>
        <v>-548.04196898039527</v>
      </c>
      <c r="D94" s="17">
        <f>Multi!$B143*Loads!$B70*LAFs!D261/(24*Input!$F$58)*1000</f>
        <v>-504.39756571928928</v>
      </c>
      <c r="E94" s="17">
        <f>Multi!$B143*Loads!$B70*LAFs!E261/(24*Input!$F$58)*1000</f>
        <v>-502.89935512804385</v>
      </c>
      <c r="F94" s="17">
        <f>Multi!$B143*Loads!$B70*LAFs!F261/(24*Input!$F$58)*1000</f>
        <v>-498.94729732743048</v>
      </c>
      <c r="G94" s="17">
        <f>Multi!$B143*Loads!$B70*LAFs!G261/(24*Input!$F$58)*1000</f>
        <v>-40.48104542144582</v>
      </c>
      <c r="H94" s="17">
        <f>Multi!$B143*Loads!$B70*LAFs!H261/(24*Input!$F$58)*1000</f>
        <v>-531.08128908931917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3" t="s">
        <v>194</v>
      </c>
      <c r="B95" s="17">
        <f>Multi!$B144*Loads!$B71*LAFs!B262/(24*Input!$F$58)*1000</f>
        <v>-18779.170086185804</v>
      </c>
      <c r="C95" s="17">
        <f>Multi!$B144*Loads!$B71*LAFs!C262/(24*Input!$F$58)*1000</f>
        <v>-18741.686712760282</v>
      </c>
      <c r="D95" s="17">
        <f>Multi!$B144*Loads!$B71*LAFs!D262/(24*Input!$F$58)*1000</f>
        <v>-17249.155521751658</v>
      </c>
      <c r="E95" s="17">
        <f>Multi!$B144*Loads!$B71*LAFs!E262/(24*Input!$F$58)*1000</f>
        <v>-17197.920406340512</v>
      </c>
      <c r="F95" s="17">
        <f>Multi!$B144*Loads!$B71*LAFs!F262/(24*Input!$F$58)*1000</f>
        <v>-17062.769754817207</v>
      </c>
      <c r="G95" s="17">
        <f>Multi!$B144*Loads!$B71*LAFs!G262/(24*Input!$F$58)*1000</f>
        <v>-1384.3521373103019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3" t="s">
        <v>195</v>
      </c>
      <c r="B96" s="17">
        <f>Multi!$B145*Loads!$B72*LAFs!B263/(24*Input!$F$58)*1000</f>
        <v>-80229.820215372922</v>
      </c>
      <c r="C96" s="17">
        <f>Multi!$B145*Loads!$B72*LAFs!C263/(24*Input!$F$58)*1000</f>
        <v>-80069.680853665588</v>
      </c>
      <c r="D96" s="17">
        <f>Multi!$B145*Loads!$B72*LAFs!D263/(24*Input!$F$58)*1000</f>
        <v>-73693.173874342552</v>
      </c>
      <c r="E96" s="17">
        <f>Multi!$B145*Loads!$B72*LAFs!E263/(24*Input!$F$58)*1000</f>
        <v>-73474.283258874188</v>
      </c>
      <c r="F96" s="17">
        <f>Multi!$B145*Loads!$B72*LAFs!F263/(24*Input!$F$58)*1000</f>
        <v>-72896.882211653181</v>
      </c>
      <c r="G96" s="17">
        <f>Multi!$B145*Loads!$B72*LAFs!G263/(24*Input!$F$58)*1000</f>
        <v>-5914.3360745677792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818</v>
      </c>
    </row>
    <row r="99" spans="1:11" x14ac:dyDescent="0.25">
      <c r="A99" s="2" t="s">
        <v>356</v>
      </c>
    </row>
    <row r="100" spans="1:11" x14ac:dyDescent="0.25">
      <c r="A100" s="11" t="s">
        <v>819</v>
      </c>
    </row>
    <row r="101" spans="1:11" x14ac:dyDescent="0.25">
      <c r="A101" s="11" t="s">
        <v>820</v>
      </c>
    </row>
    <row r="102" spans="1:11" x14ac:dyDescent="0.25">
      <c r="A102" s="11" t="s">
        <v>821</v>
      </c>
    </row>
    <row r="103" spans="1:11" x14ac:dyDescent="0.25">
      <c r="A103" s="11" t="s">
        <v>822</v>
      </c>
    </row>
    <row r="104" spans="1:11" x14ac:dyDescent="0.25">
      <c r="A104" s="2" t="s">
        <v>823</v>
      </c>
    </row>
    <row r="106" spans="1:11" x14ac:dyDescent="0.25">
      <c r="B106" s="12" t="s">
        <v>139</v>
      </c>
      <c r="C106" s="12" t="s">
        <v>140</v>
      </c>
      <c r="D106" s="12" t="s">
        <v>141</v>
      </c>
      <c r="E106" s="12" t="s">
        <v>142</v>
      </c>
      <c r="F106" s="12" t="s">
        <v>143</v>
      </c>
      <c r="G106" s="12" t="s">
        <v>148</v>
      </c>
      <c r="H106" s="12" t="s">
        <v>144</v>
      </c>
      <c r="I106" s="12" t="s">
        <v>145</v>
      </c>
      <c r="J106" s="12" t="s">
        <v>146</v>
      </c>
    </row>
    <row r="107" spans="1:11" x14ac:dyDescent="0.25">
      <c r="A107" s="3" t="s">
        <v>171</v>
      </c>
      <c r="B107" s="39">
        <f t="shared" ref="B107:J107" si="0">B$12</f>
        <v>1309793.0073530765</v>
      </c>
      <c r="C107" s="39">
        <f t="shared" si="0"/>
        <v>1275814.9666809363</v>
      </c>
      <c r="D107" s="39">
        <f t="shared" si="0"/>
        <v>1174212.9251512131</v>
      </c>
      <c r="E107" s="39">
        <f t="shared" si="0"/>
        <v>1108039.2282593546</v>
      </c>
      <c r="F107" s="39">
        <f t="shared" si="0"/>
        <v>1099331.6508270609</v>
      </c>
      <c r="G107" s="39">
        <f t="shared" si="0"/>
        <v>94237.898808474027</v>
      </c>
      <c r="H107" s="39">
        <f t="shared" si="0"/>
        <v>1170132.5438281465</v>
      </c>
      <c r="I107" s="39">
        <f t="shared" si="0"/>
        <v>1149019.0411379901</v>
      </c>
      <c r="J107" s="39">
        <f t="shared" si="0"/>
        <v>1106968.9389920435</v>
      </c>
      <c r="K107" s="10"/>
    </row>
    <row r="108" spans="1:11" x14ac:dyDescent="0.25">
      <c r="A108" s="3" t="s">
        <v>172</v>
      </c>
      <c r="B108" s="39">
        <f t="shared" ref="B108:J108" si="1">B$32</f>
        <v>821079.69983620162</v>
      </c>
      <c r="C108" s="39">
        <f t="shared" si="1"/>
        <v>797442.53445696062</v>
      </c>
      <c r="D108" s="39">
        <f t="shared" si="1"/>
        <v>733936.6251994106</v>
      </c>
      <c r="E108" s="39">
        <f t="shared" si="1"/>
        <v>704798.99374057213</v>
      </c>
      <c r="F108" s="39">
        <f t="shared" si="1"/>
        <v>699260.29830842617</v>
      </c>
      <c r="G108" s="39">
        <f t="shared" si="1"/>
        <v>58902.984233858682</v>
      </c>
      <c r="H108" s="39">
        <f t="shared" si="1"/>
        <v>744295.16428649158</v>
      </c>
      <c r="I108" s="39">
        <f t="shared" si="1"/>
        <v>730865.33701066708</v>
      </c>
      <c r="J108" s="39">
        <f t="shared" si="1"/>
        <v>704118.20665346051</v>
      </c>
      <c r="K108" s="10"/>
    </row>
    <row r="109" spans="1:11" x14ac:dyDescent="0.25">
      <c r="A109" s="3" t="s">
        <v>211</v>
      </c>
      <c r="B109" s="39">
        <f t="shared" ref="B109:J109" si="2">B$13</f>
        <v>8125.1326939182245</v>
      </c>
      <c r="C109" s="39">
        <f t="shared" si="2"/>
        <v>9113.8897764961603</v>
      </c>
      <c r="D109" s="39">
        <f t="shared" si="2"/>
        <v>8388.0871861896157</v>
      </c>
      <c r="E109" s="39">
        <f t="shared" si="2"/>
        <v>9770.514914126552</v>
      </c>
      <c r="F109" s="39">
        <f t="shared" si="2"/>
        <v>9693.7328715793901</v>
      </c>
      <c r="G109" s="39">
        <f t="shared" si="2"/>
        <v>673.19622746189634</v>
      </c>
      <c r="H109" s="39">
        <f t="shared" si="2"/>
        <v>10318.043963964892</v>
      </c>
      <c r="I109" s="39">
        <f t="shared" si="2"/>
        <v>10131.868431851564</v>
      </c>
      <c r="J109" s="39">
        <f t="shared" si="2"/>
        <v>9761.0772724059461</v>
      </c>
      <c r="K109" s="10"/>
    </row>
    <row r="110" spans="1:11" x14ac:dyDescent="0.25">
      <c r="A110" s="3" t="s">
        <v>173</v>
      </c>
      <c r="B110" s="39">
        <f t="shared" ref="B110:J110" si="3">B$14</f>
        <v>247328.24061660131</v>
      </c>
      <c r="C110" s="39">
        <f t="shared" si="3"/>
        <v>257019.29333347068</v>
      </c>
      <c r="D110" s="39">
        <f t="shared" si="3"/>
        <v>236551.05491552615</v>
      </c>
      <c r="E110" s="39">
        <f t="shared" si="3"/>
        <v>240211.61298143305</v>
      </c>
      <c r="F110" s="39">
        <f t="shared" si="3"/>
        <v>238323.89893049846</v>
      </c>
      <c r="G110" s="39">
        <f t="shared" si="3"/>
        <v>18984.69510825424</v>
      </c>
      <c r="H110" s="39">
        <f t="shared" si="3"/>
        <v>253672.81102184529</v>
      </c>
      <c r="I110" s="39">
        <f t="shared" si="3"/>
        <v>249095.61880017858</v>
      </c>
      <c r="J110" s="39">
        <f t="shared" si="3"/>
        <v>239979.58517528643</v>
      </c>
      <c r="K110" s="10"/>
    </row>
    <row r="111" spans="1:11" x14ac:dyDescent="0.25">
      <c r="A111" s="3" t="s">
        <v>174</v>
      </c>
      <c r="B111" s="39">
        <f t="shared" ref="B111:J111" si="4">B$33</f>
        <v>384556.20472778077</v>
      </c>
      <c r="C111" s="39">
        <f t="shared" si="4"/>
        <v>393119.54595855041</v>
      </c>
      <c r="D111" s="39">
        <f t="shared" si="4"/>
        <v>361812.69545299793</v>
      </c>
      <c r="E111" s="39">
        <f t="shared" si="4"/>
        <v>367737.70755404083</v>
      </c>
      <c r="F111" s="39">
        <f t="shared" si="4"/>
        <v>364847.82380116038</v>
      </c>
      <c r="G111" s="39">
        <f t="shared" si="4"/>
        <v>29037.721738014396</v>
      </c>
      <c r="H111" s="39">
        <f t="shared" si="4"/>
        <v>388345.32950400357</v>
      </c>
      <c r="I111" s="39">
        <f t="shared" si="4"/>
        <v>381338.14881969587</v>
      </c>
      <c r="J111" s="39">
        <f t="shared" si="4"/>
        <v>367382.49835968867</v>
      </c>
      <c r="K111" s="10"/>
    </row>
    <row r="112" spans="1:11" x14ac:dyDescent="0.25">
      <c r="A112" s="3" t="s">
        <v>212</v>
      </c>
      <c r="B112" s="39">
        <f t="shared" ref="B112:J112" si="5">B$15</f>
        <v>110.71721243088535</v>
      </c>
      <c r="C112" s="39">
        <f t="shared" si="5"/>
        <v>134.73406670359321</v>
      </c>
      <c r="D112" s="39">
        <f t="shared" si="5"/>
        <v>124.00425352676561</v>
      </c>
      <c r="E112" s="39">
        <f t="shared" si="5"/>
        <v>172.43896271867584</v>
      </c>
      <c r="F112" s="39">
        <f t="shared" si="5"/>
        <v>171.08384316882376</v>
      </c>
      <c r="G112" s="39">
        <f t="shared" si="5"/>
        <v>9.9521134926791976</v>
      </c>
      <c r="H112" s="39">
        <f t="shared" si="5"/>
        <v>182.10225500595914</v>
      </c>
      <c r="I112" s="39">
        <f t="shared" si="5"/>
        <v>178.81645933158759</v>
      </c>
      <c r="J112" s="39">
        <f t="shared" si="5"/>
        <v>172.27239860582046</v>
      </c>
      <c r="K112" s="10"/>
    </row>
    <row r="113" spans="1:11" x14ac:dyDescent="0.25">
      <c r="A113" s="3" t="s">
        <v>175</v>
      </c>
      <c r="B113" s="39">
        <f t="shared" ref="B113:J113" si="6">B$34</f>
        <v>0</v>
      </c>
      <c r="C113" s="39">
        <f t="shared" si="6"/>
        <v>0</v>
      </c>
      <c r="D113" s="39">
        <f t="shared" si="6"/>
        <v>0</v>
      </c>
      <c r="E113" s="39">
        <f t="shared" si="6"/>
        <v>0</v>
      </c>
      <c r="F113" s="39">
        <f t="shared" si="6"/>
        <v>0</v>
      </c>
      <c r="G113" s="39">
        <f t="shared" si="6"/>
        <v>0</v>
      </c>
      <c r="H113" s="39">
        <f t="shared" si="6"/>
        <v>0</v>
      </c>
      <c r="I113" s="39">
        <f t="shared" si="6"/>
        <v>0</v>
      </c>
      <c r="J113" s="39">
        <f t="shared" si="6"/>
        <v>0</v>
      </c>
      <c r="K113" s="10"/>
    </row>
    <row r="114" spans="1:11" x14ac:dyDescent="0.25">
      <c r="A114" s="3" t="s">
        <v>176</v>
      </c>
      <c r="B114" s="39">
        <f t="shared" ref="B114:J114" si="7">B$35</f>
        <v>0</v>
      </c>
      <c r="C114" s="39">
        <f t="shared" si="7"/>
        <v>0</v>
      </c>
      <c r="D114" s="39">
        <f t="shared" si="7"/>
        <v>0</v>
      </c>
      <c r="E114" s="39">
        <f t="shared" si="7"/>
        <v>0</v>
      </c>
      <c r="F114" s="39">
        <f t="shared" si="7"/>
        <v>0</v>
      </c>
      <c r="G114" s="39">
        <f t="shared" si="7"/>
        <v>0</v>
      </c>
      <c r="H114" s="39">
        <f t="shared" si="7"/>
        <v>0</v>
      </c>
      <c r="I114" s="39">
        <f t="shared" si="7"/>
        <v>0</v>
      </c>
      <c r="J114" s="39">
        <f t="shared" si="7"/>
        <v>0</v>
      </c>
      <c r="K114" s="10"/>
    </row>
    <row r="115" spans="1:11" x14ac:dyDescent="0.25">
      <c r="A115" s="3" t="s">
        <v>192</v>
      </c>
      <c r="B115" s="39">
        <f t="shared" ref="B115:J115" si="8">B$36</f>
        <v>0</v>
      </c>
      <c r="C115" s="39">
        <f t="shared" si="8"/>
        <v>0</v>
      </c>
      <c r="D115" s="39">
        <f t="shared" si="8"/>
        <v>0</v>
      </c>
      <c r="E115" s="39">
        <f t="shared" si="8"/>
        <v>0</v>
      </c>
      <c r="F115" s="39">
        <f t="shared" si="8"/>
        <v>0</v>
      </c>
      <c r="G115" s="39">
        <f t="shared" si="8"/>
        <v>0</v>
      </c>
      <c r="H115" s="39">
        <f t="shared" si="8"/>
        <v>0</v>
      </c>
      <c r="I115" s="39">
        <f t="shared" si="8"/>
        <v>0</v>
      </c>
      <c r="J115" s="39">
        <f t="shared" si="8"/>
        <v>0</v>
      </c>
      <c r="K115" s="10"/>
    </row>
    <row r="116" spans="1:11" x14ac:dyDescent="0.25">
      <c r="A116" s="3" t="s">
        <v>177</v>
      </c>
      <c r="B116" s="39">
        <f t="shared" ref="B116:J116" si="9">B$51</f>
        <v>0</v>
      </c>
      <c r="C116" s="39">
        <f t="shared" si="9"/>
        <v>0</v>
      </c>
      <c r="D116" s="39">
        <f t="shared" si="9"/>
        <v>0</v>
      </c>
      <c r="E116" s="39">
        <f t="shared" si="9"/>
        <v>0</v>
      </c>
      <c r="F116" s="39">
        <f t="shared" si="9"/>
        <v>0</v>
      </c>
      <c r="G116" s="39">
        <f t="shared" si="9"/>
        <v>0</v>
      </c>
      <c r="H116" s="39">
        <f t="shared" si="9"/>
        <v>0</v>
      </c>
      <c r="I116" s="39">
        <f t="shared" si="9"/>
        <v>0</v>
      </c>
      <c r="J116" s="39">
        <f t="shared" si="9"/>
        <v>0</v>
      </c>
      <c r="K116" s="10"/>
    </row>
    <row r="117" spans="1:11" x14ac:dyDescent="0.25">
      <c r="A117" s="3" t="s">
        <v>178</v>
      </c>
      <c r="B117" s="39">
        <f t="shared" ref="B117:J117" si="10">B$52</f>
        <v>30671.973093911103</v>
      </c>
      <c r="C117" s="39">
        <f t="shared" si="10"/>
        <v>31129.164475329148</v>
      </c>
      <c r="D117" s="39">
        <f t="shared" si="10"/>
        <v>28650.132057300663</v>
      </c>
      <c r="E117" s="39">
        <f t="shared" si="10"/>
        <v>28728.088144180478</v>
      </c>
      <c r="F117" s="39">
        <f t="shared" si="10"/>
        <v>28502.327137153527</v>
      </c>
      <c r="G117" s="39">
        <f t="shared" si="10"/>
        <v>2299.351495656229</v>
      </c>
      <c r="H117" s="39">
        <f t="shared" si="10"/>
        <v>30337.97901927786</v>
      </c>
      <c r="I117" s="39">
        <f t="shared" si="10"/>
        <v>29790.570091104753</v>
      </c>
      <c r="J117" s="39">
        <f t="shared" si="10"/>
        <v>28700.338797743192</v>
      </c>
      <c r="K117" s="10"/>
    </row>
    <row r="118" spans="1:11" x14ac:dyDescent="0.25">
      <c r="A118" s="3" t="s">
        <v>179</v>
      </c>
      <c r="B118" s="39">
        <f t="shared" ref="B118:J118" si="11">B$53</f>
        <v>669894.70135598141</v>
      </c>
      <c r="C118" s="39">
        <f t="shared" si="11"/>
        <v>681990.11246619781</v>
      </c>
      <c r="D118" s="39">
        <f t="shared" si="11"/>
        <v>627678.48457401618</v>
      </c>
      <c r="E118" s="39">
        <f t="shared" si="11"/>
        <v>630998.9817662983</v>
      </c>
      <c r="F118" s="39">
        <f t="shared" si="11"/>
        <v>626040.24713552184</v>
      </c>
      <c r="G118" s="39">
        <f t="shared" si="11"/>
        <v>50375.106802648334</v>
      </c>
      <c r="H118" s="39">
        <f t="shared" si="11"/>
        <v>666359.47975151089</v>
      </c>
      <c r="I118" s="39">
        <f t="shared" si="11"/>
        <v>654335.8993951208</v>
      </c>
      <c r="J118" s="39">
        <f t="shared" si="11"/>
        <v>630389.48038706509</v>
      </c>
      <c r="K118" s="10"/>
    </row>
    <row r="119" spans="1:11" x14ac:dyDescent="0.25">
      <c r="A119" s="3" t="s">
        <v>180</v>
      </c>
      <c r="B119" s="39">
        <f t="shared" ref="B119:J119" si="12">B$54</f>
        <v>17821.493840569412</v>
      </c>
      <c r="C119" s="39">
        <f t="shared" si="12"/>
        <v>18066.958232662335</v>
      </c>
      <c r="D119" s="39">
        <f t="shared" si="12"/>
        <v>16628.160375128031</v>
      </c>
      <c r="E119" s="39">
        <f t="shared" si="12"/>
        <v>16667.660874991419</v>
      </c>
      <c r="F119" s="39">
        <f t="shared" si="12"/>
        <v>16536.677292476754</v>
      </c>
      <c r="G119" s="39">
        <f t="shared" si="12"/>
        <v>1334.5134099938452</v>
      </c>
      <c r="H119" s="39">
        <f t="shared" si="12"/>
        <v>17601.698497585596</v>
      </c>
      <c r="I119" s="39">
        <f t="shared" si="12"/>
        <v>17284.098999528494</v>
      </c>
      <c r="J119" s="39">
        <f t="shared" si="12"/>
        <v>0</v>
      </c>
      <c r="K119" s="10"/>
    </row>
    <row r="120" spans="1:11" x14ac:dyDescent="0.25">
      <c r="A120" s="3" t="s">
        <v>193</v>
      </c>
      <c r="B120" s="39">
        <f t="shared" ref="B120:J120" si="13">B$55</f>
        <v>1086672.0768791612</v>
      </c>
      <c r="C120" s="39">
        <f t="shared" si="13"/>
        <v>1101174.6664068007</v>
      </c>
      <c r="D120" s="39">
        <f t="shared" si="13"/>
        <v>1013480.4496828777</v>
      </c>
      <c r="E120" s="39">
        <f t="shared" si="13"/>
        <v>1019583.6247211613</v>
      </c>
      <c r="F120" s="39">
        <f t="shared" si="13"/>
        <v>1011571.1797331758</v>
      </c>
      <c r="G120" s="39">
        <f t="shared" si="13"/>
        <v>81338.11680644071</v>
      </c>
      <c r="H120" s="39">
        <f t="shared" si="13"/>
        <v>1076719.9842867318</v>
      </c>
      <c r="I120" s="39">
        <f t="shared" si="13"/>
        <v>0</v>
      </c>
      <c r="J120" s="39">
        <f t="shared" si="13"/>
        <v>0</v>
      </c>
      <c r="K120" s="10"/>
    </row>
    <row r="121" spans="1:11" x14ac:dyDescent="0.25">
      <c r="A121" s="3" t="s">
        <v>213</v>
      </c>
      <c r="B121" s="39">
        <f t="shared" ref="B121:J121" si="14">B$16</f>
        <v>7300.9102983382809</v>
      </c>
      <c r="C121" s="39">
        <f t="shared" si="14"/>
        <v>7292.9967517612367</v>
      </c>
      <c r="D121" s="39">
        <f t="shared" si="14"/>
        <v>6712.2045693523205</v>
      </c>
      <c r="E121" s="39">
        <f t="shared" si="14"/>
        <v>6700.1883437002734</v>
      </c>
      <c r="F121" s="39">
        <f t="shared" si="14"/>
        <v>6647.534604260587</v>
      </c>
      <c r="G121" s="39">
        <f t="shared" si="14"/>
        <v>538.69621210901175</v>
      </c>
      <c r="H121" s="39">
        <f t="shared" si="14"/>
        <v>7075.6596253888183</v>
      </c>
      <c r="I121" s="39">
        <f t="shared" si="14"/>
        <v>6947.9886539905392</v>
      </c>
      <c r="J121" s="39">
        <f t="shared" si="14"/>
        <v>6693.7164251162285</v>
      </c>
      <c r="K121" s="10"/>
    </row>
    <row r="122" spans="1:11" x14ac:dyDescent="0.25">
      <c r="A122" s="3" t="s">
        <v>214</v>
      </c>
      <c r="B122" s="39">
        <f t="shared" ref="B122:J122" si="15">B$17</f>
        <v>5645.6074007886755</v>
      </c>
      <c r="C122" s="39">
        <f t="shared" si="15"/>
        <v>4995.1761454340694</v>
      </c>
      <c r="D122" s="39">
        <f t="shared" si="15"/>
        <v>4597.3754396647983</v>
      </c>
      <c r="E122" s="39">
        <f t="shared" si="15"/>
        <v>3850.3749100899454</v>
      </c>
      <c r="F122" s="39">
        <f t="shared" si="15"/>
        <v>3820.1165610912039</v>
      </c>
      <c r="G122" s="39">
        <f t="shared" si="15"/>
        <v>368.96800587670447</v>
      </c>
      <c r="H122" s="39">
        <f t="shared" si="15"/>
        <v>4066.1457404476</v>
      </c>
      <c r="I122" s="39">
        <f t="shared" si="15"/>
        <v>3992.7774887206247</v>
      </c>
      <c r="J122" s="39">
        <f t="shared" si="15"/>
        <v>3846.6557142020292</v>
      </c>
      <c r="K122" s="10"/>
    </row>
    <row r="123" spans="1:11" x14ac:dyDescent="0.25">
      <c r="A123" s="3" t="s">
        <v>215</v>
      </c>
      <c r="B123" s="39">
        <f t="shared" ref="B123:J123" si="16">B$18</f>
        <v>155.59243897154553</v>
      </c>
      <c r="C123" s="39">
        <f t="shared" si="16"/>
        <v>137.8974972842164</v>
      </c>
      <c r="D123" s="39">
        <f t="shared" si="16"/>
        <v>126.91575807295375</v>
      </c>
      <c r="E123" s="39">
        <f t="shared" si="16"/>
        <v>103.9088526158345</v>
      </c>
      <c r="F123" s="39">
        <f t="shared" si="16"/>
        <v>103.09228010018944</v>
      </c>
      <c r="G123" s="39">
        <f t="shared" si="16"/>
        <v>10.185779861807911</v>
      </c>
      <c r="H123" s="39">
        <f t="shared" si="16"/>
        <v>109.73179192277748</v>
      </c>
      <c r="I123" s="39">
        <f t="shared" si="16"/>
        <v>107.75182606662098</v>
      </c>
      <c r="J123" s="39">
        <f t="shared" si="16"/>
        <v>103.80848385009322</v>
      </c>
      <c r="K123" s="10"/>
    </row>
    <row r="124" spans="1:11" x14ac:dyDescent="0.25">
      <c r="A124" s="3" t="s">
        <v>216</v>
      </c>
      <c r="B124" s="39">
        <f t="shared" ref="B124:J124" si="17">B$19</f>
        <v>396.93876179376548</v>
      </c>
      <c r="C124" s="39">
        <f t="shared" si="17"/>
        <v>614.94239834357074</v>
      </c>
      <c r="D124" s="39">
        <f t="shared" si="17"/>
        <v>565.97024742310248</v>
      </c>
      <c r="E124" s="39">
        <f t="shared" si="17"/>
        <v>816.92152769640143</v>
      </c>
      <c r="F124" s="39">
        <f t="shared" si="17"/>
        <v>810.50171215458306</v>
      </c>
      <c r="G124" s="39">
        <f t="shared" si="17"/>
        <v>45.422636527695218</v>
      </c>
      <c r="H124" s="39">
        <f t="shared" si="17"/>
        <v>862.70092333555965</v>
      </c>
      <c r="I124" s="39">
        <f t="shared" si="17"/>
        <v>847.13461987556377</v>
      </c>
      <c r="J124" s="39">
        <f t="shared" si="17"/>
        <v>816.1324379953968</v>
      </c>
      <c r="K124" s="10"/>
    </row>
    <row r="125" spans="1:11" x14ac:dyDescent="0.25">
      <c r="A125" s="3" t="s">
        <v>217</v>
      </c>
      <c r="B125" s="39">
        <f t="shared" ref="B125:J125" si="18">B$56</f>
        <v>62976.180495430301</v>
      </c>
      <c r="C125" s="39">
        <f t="shared" si="18"/>
        <v>56083.706751411577</v>
      </c>
      <c r="D125" s="39">
        <f t="shared" si="18"/>
        <v>51617.370134181117</v>
      </c>
      <c r="E125" s="39">
        <f t="shared" si="18"/>
        <v>43444.995170117014</v>
      </c>
      <c r="F125" s="39">
        <f t="shared" si="18"/>
        <v>43103.580669762458</v>
      </c>
      <c r="G125" s="39">
        <f t="shared" si="18"/>
        <v>4142.615363255426</v>
      </c>
      <c r="H125" s="39">
        <f t="shared" si="18"/>
        <v>45879.60553966189</v>
      </c>
      <c r="I125" s="39">
        <f t="shared" si="18"/>
        <v>45051.768402668939</v>
      </c>
      <c r="J125" s="39">
        <f t="shared" si="18"/>
        <v>43403.030309250134</v>
      </c>
      <c r="K125" s="10"/>
    </row>
    <row r="126" spans="1:11" x14ac:dyDescent="0.25">
      <c r="A126" s="3" t="s">
        <v>181</v>
      </c>
      <c r="B126" s="39">
        <f t="shared" ref="B126:J126" si="19">B89</f>
        <v>-168.79755753700215</v>
      </c>
      <c r="C126" s="39">
        <f t="shared" si="19"/>
        <v>-168.46063626447324</v>
      </c>
      <c r="D126" s="39">
        <f t="shared" si="19"/>
        <v>-155.04494119201757</v>
      </c>
      <c r="E126" s="39">
        <f t="shared" si="19"/>
        <v>-154.58441166372444</v>
      </c>
      <c r="F126" s="39">
        <f t="shared" si="19"/>
        <v>-153.36960292766375</v>
      </c>
      <c r="G126" s="39">
        <f t="shared" si="19"/>
        <v>-12.443321961336416</v>
      </c>
      <c r="H126" s="39">
        <f t="shared" si="19"/>
        <v>-163.24715429110458</v>
      </c>
      <c r="I126" s="39">
        <f t="shared" si="19"/>
        <v>-160.30157410921385</v>
      </c>
      <c r="J126" s="39">
        <f t="shared" si="19"/>
        <v>0</v>
      </c>
      <c r="K126" s="10"/>
    </row>
    <row r="127" spans="1:11" x14ac:dyDescent="0.25">
      <c r="A127" s="3" t="s">
        <v>182</v>
      </c>
      <c r="B127" s="39">
        <f t="shared" ref="B127:J127" si="20">B90</f>
        <v>0</v>
      </c>
      <c r="C127" s="39">
        <f t="shared" si="20"/>
        <v>0</v>
      </c>
      <c r="D127" s="39">
        <f t="shared" si="20"/>
        <v>0</v>
      </c>
      <c r="E127" s="39">
        <f t="shared" si="20"/>
        <v>0</v>
      </c>
      <c r="F127" s="39">
        <f t="shared" si="20"/>
        <v>0</v>
      </c>
      <c r="G127" s="39">
        <f t="shared" si="20"/>
        <v>0</v>
      </c>
      <c r="H127" s="39">
        <f t="shared" si="20"/>
        <v>0</v>
      </c>
      <c r="I127" s="39">
        <f t="shared" si="20"/>
        <v>0</v>
      </c>
      <c r="J127" s="39">
        <f t="shared" si="20"/>
        <v>0</v>
      </c>
      <c r="K127" s="10"/>
    </row>
    <row r="128" spans="1:11" x14ac:dyDescent="0.25">
      <c r="A128" s="3" t="s">
        <v>183</v>
      </c>
      <c r="B128" s="39">
        <f t="shared" ref="B128:J128" si="21">B91</f>
        <v>-4674.593026842078</v>
      </c>
      <c r="C128" s="39">
        <f t="shared" si="21"/>
        <v>-4665.2625018384015</v>
      </c>
      <c r="D128" s="39">
        <f t="shared" si="21"/>
        <v>-4293.7351198607712</v>
      </c>
      <c r="E128" s="39">
        <f t="shared" si="21"/>
        <v>-4280.9814511879158</v>
      </c>
      <c r="F128" s="39">
        <f t="shared" si="21"/>
        <v>-4247.3391608053007</v>
      </c>
      <c r="G128" s="39">
        <f t="shared" si="21"/>
        <v>-344.59897951108201</v>
      </c>
      <c r="H128" s="39">
        <f t="shared" si="21"/>
        <v>-4520.8830046828607</v>
      </c>
      <c r="I128" s="39">
        <f t="shared" si="21"/>
        <v>-4439.3096171339766</v>
      </c>
      <c r="J128" s="39">
        <f t="shared" si="21"/>
        <v>0</v>
      </c>
      <c r="K128" s="10"/>
    </row>
    <row r="129" spans="1:11" x14ac:dyDescent="0.25">
      <c r="A129" s="3" t="s">
        <v>184</v>
      </c>
      <c r="B129" s="39">
        <f t="shared" ref="B129:J129" si="22">B$57</f>
        <v>-1016.8879180021</v>
      </c>
      <c r="C129" s="39">
        <f t="shared" si="22"/>
        <v>-1053.9400324258902</v>
      </c>
      <c r="D129" s="39">
        <f t="shared" si="22"/>
        <v>-970.00743895353867</v>
      </c>
      <c r="E129" s="39">
        <f t="shared" si="22"/>
        <v>-998.84741599276083</v>
      </c>
      <c r="F129" s="39">
        <f t="shared" si="22"/>
        <v>-990.99792745843661</v>
      </c>
      <c r="G129" s="39">
        <f t="shared" si="22"/>
        <v>-77.849136998554854</v>
      </c>
      <c r="H129" s="39">
        <f t="shared" si="22"/>
        <v>-1054.8217409304643</v>
      </c>
      <c r="I129" s="39">
        <f t="shared" si="22"/>
        <v>-1035.7888700114911</v>
      </c>
      <c r="J129" s="39">
        <f t="shared" si="22"/>
        <v>0</v>
      </c>
      <c r="K129" s="10"/>
    </row>
    <row r="130" spans="1:11" x14ac:dyDescent="0.25">
      <c r="A130" s="3" t="s">
        <v>185</v>
      </c>
      <c r="B130" s="39">
        <f t="shared" ref="B130:J130" si="23">B93</f>
        <v>-129.9762824153425</v>
      </c>
      <c r="C130" s="39">
        <f t="shared" si="23"/>
        <v>-129.71684871790669</v>
      </c>
      <c r="D130" s="39">
        <f t="shared" si="23"/>
        <v>-119.38659159227635</v>
      </c>
      <c r="E130" s="39">
        <f t="shared" si="23"/>
        <v>-119.03197795388343</v>
      </c>
      <c r="F130" s="39">
        <f t="shared" si="23"/>
        <v>-118.09655965955037</v>
      </c>
      <c r="G130" s="39">
        <f t="shared" si="23"/>
        <v>-9.5815173692732998</v>
      </c>
      <c r="H130" s="39">
        <f t="shared" si="23"/>
        <v>-125.70240078853237</v>
      </c>
      <c r="I130" s="39">
        <f t="shared" si="23"/>
        <v>0</v>
      </c>
      <c r="J130" s="39">
        <f t="shared" si="23"/>
        <v>0</v>
      </c>
      <c r="K130" s="10"/>
    </row>
    <row r="131" spans="1:11" x14ac:dyDescent="0.25">
      <c r="A131" s="3" t="s">
        <v>186</v>
      </c>
      <c r="B131" s="39">
        <f t="shared" ref="B131:J131" si="24">B$58</f>
        <v>-518.2154861422282</v>
      </c>
      <c r="C131" s="39">
        <f t="shared" si="24"/>
        <v>-516.57214902277065</v>
      </c>
      <c r="D131" s="39">
        <f t="shared" si="24"/>
        <v>-475.43390695099879</v>
      </c>
      <c r="E131" s="39">
        <f t="shared" si="24"/>
        <v>-475.42668960242901</v>
      </c>
      <c r="F131" s="39">
        <f t="shared" si="24"/>
        <v>-471.69052701223302</v>
      </c>
      <c r="G131" s="39">
        <f t="shared" si="24"/>
        <v>-38.156531454970931</v>
      </c>
      <c r="H131" s="39">
        <f t="shared" si="24"/>
        <v>-502.06908520938299</v>
      </c>
      <c r="I131" s="39">
        <f t="shared" si="24"/>
        <v>0</v>
      </c>
      <c r="J131" s="39">
        <f t="shared" si="24"/>
        <v>0</v>
      </c>
      <c r="K131" s="10"/>
    </row>
    <row r="132" spans="1:11" x14ac:dyDescent="0.25">
      <c r="A132" s="3" t="s">
        <v>194</v>
      </c>
      <c r="B132" s="39">
        <f t="shared" ref="B132:J132" si="25">B95</f>
        <v>-18779.170086185804</v>
      </c>
      <c r="C132" s="39">
        <f t="shared" si="25"/>
        <v>-18741.686712760282</v>
      </c>
      <c r="D132" s="39">
        <f t="shared" si="25"/>
        <v>-17249.155521751658</v>
      </c>
      <c r="E132" s="39">
        <f t="shared" si="25"/>
        <v>-17197.920406340512</v>
      </c>
      <c r="F132" s="39">
        <f t="shared" si="25"/>
        <v>-17062.769754817207</v>
      </c>
      <c r="G132" s="39">
        <f t="shared" si="25"/>
        <v>-1384.3521373103019</v>
      </c>
      <c r="H132" s="39">
        <f t="shared" si="25"/>
        <v>0</v>
      </c>
      <c r="I132" s="39">
        <f t="shared" si="25"/>
        <v>0</v>
      </c>
      <c r="J132" s="39">
        <f t="shared" si="25"/>
        <v>0</v>
      </c>
      <c r="K132" s="10"/>
    </row>
    <row r="133" spans="1:11" x14ac:dyDescent="0.25">
      <c r="A133" s="3" t="s">
        <v>195</v>
      </c>
      <c r="B133" s="39">
        <f t="shared" ref="B133:J133" si="26">B$59</f>
        <v>-88169.99592605661</v>
      </c>
      <c r="C133" s="39">
        <f t="shared" si="26"/>
        <v>-87014.239389570794</v>
      </c>
      <c r="D133" s="39">
        <f t="shared" si="26"/>
        <v>-80084.688792483794</v>
      </c>
      <c r="E133" s="39">
        <f t="shared" si="26"/>
        <v>-78442.713359719142</v>
      </c>
      <c r="F133" s="39">
        <f t="shared" si="26"/>
        <v>-77826.267675163384</v>
      </c>
      <c r="G133" s="39">
        <f t="shared" si="26"/>
        <v>-6427.2949453033234</v>
      </c>
      <c r="H133" s="39">
        <f t="shared" si="26"/>
        <v>0</v>
      </c>
      <c r="I133" s="39">
        <f t="shared" si="26"/>
        <v>0</v>
      </c>
      <c r="J133" s="39">
        <f t="shared" si="26"/>
        <v>0</v>
      </c>
      <c r="K133" s="10"/>
    </row>
    <row r="135" spans="1:11" ht="21" customHeight="1" x14ac:dyDescent="0.3">
      <c r="A135" s="1" t="s">
        <v>824</v>
      </c>
    </row>
    <row r="136" spans="1:11" x14ac:dyDescent="0.25">
      <c r="A136" s="2" t="s">
        <v>356</v>
      </c>
    </row>
    <row r="137" spans="1:11" x14ac:dyDescent="0.25">
      <c r="A137" s="11" t="s">
        <v>825</v>
      </c>
    </row>
    <row r="138" spans="1:11" x14ac:dyDescent="0.25">
      <c r="A138" s="2" t="s">
        <v>826</v>
      </c>
    </row>
    <row r="140" spans="1:11" x14ac:dyDescent="0.25">
      <c r="B140" s="12" t="s">
        <v>139</v>
      </c>
      <c r="C140" s="12" t="s">
        <v>140</v>
      </c>
      <c r="D140" s="12" t="s">
        <v>141</v>
      </c>
      <c r="E140" s="12" t="s">
        <v>142</v>
      </c>
      <c r="F140" s="12" t="s">
        <v>143</v>
      </c>
      <c r="G140" s="12" t="s">
        <v>148</v>
      </c>
      <c r="H140" s="12" t="s">
        <v>144</v>
      </c>
      <c r="I140" s="12" t="s">
        <v>145</v>
      </c>
      <c r="J140" s="12" t="s">
        <v>146</v>
      </c>
    </row>
    <row r="141" spans="1:11" ht="30" x14ac:dyDescent="0.25">
      <c r="A141" s="3" t="s">
        <v>827</v>
      </c>
      <c r="B141" s="17">
        <f t="shared" ref="B141:J141" si="27">SUM(B$107:B$133)</f>
        <v>4539070.8407217758</v>
      </c>
      <c r="C141" s="17">
        <f t="shared" si="27"/>
        <v>4521840.7071277415</v>
      </c>
      <c r="D141" s="17">
        <f t="shared" si="27"/>
        <v>4161735.0026840968</v>
      </c>
      <c r="E141" s="17">
        <f t="shared" si="27"/>
        <v>4079955.735010636</v>
      </c>
      <c r="F141" s="17">
        <f t="shared" si="27"/>
        <v>4047893.2144997478</v>
      </c>
      <c r="G141" s="17">
        <f t="shared" si="27"/>
        <v>334005.14817201684</v>
      </c>
      <c r="H141" s="17">
        <f t="shared" si="27"/>
        <v>4409592.2566494169</v>
      </c>
      <c r="I141" s="17">
        <f t="shared" si="27"/>
        <v>3273351.4200755362</v>
      </c>
      <c r="J141" s="17">
        <f t="shared" si="27"/>
        <v>3142335.7414067127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51" display="x2 = 2460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51" display="x2 = 2460. Unit rate 1 pseudo load coefficient by network level (combined)"/>
    <hyperlink ref="A25" location="'Loads'!C301" display="x3 = 2305. Rate 2 units (MWh) (in Equivalent volume for each end user)"/>
    <hyperlink ref="A26" location="'Multi'!B881" display="x4 = 2461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51" display="x2 = 2460. Unit rate 1 pseudo load coefficient by network level (combined)"/>
    <hyperlink ref="A42" location="'Loads'!C301" display="x3 = 2305. Rate 2 units (MWh) (in Equivalent volume for each end user)"/>
    <hyperlink ref="A43" location="'Multi'!B881" display="x4 = 2461. Unit rate 2 pseudo load coefficient by network level (combined)"/>
    <hyperlink ref="A44" location="'Loads'!D301" display="x5 = 2305. Rate 3 units (MWh) (in Equivalent volume for each end user)"/>
    <hyperlink ref="A45" location="'Multi'!B903" display="x6 = 2462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3"/>
  <sheetViews>
    <sheetView showGridLines="0" workbookViewId="0">
      <pane xSplit="1" ySplit="1" topLeftCell="B168" activePane="bottomRight" state="frozen"/>
      <selection pane="topRight" activeCell="B1" sqref="B1"/>
      <selection pane="bottomLeft" activeCell="A2" sqref="A2"/>
      <selection pane="bottomRight" activeCell="B185" sqref="B185:B190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East Midlands in April 17 (Final)</v>
      </c>
    </row>
    <row r="3" spans="1:12" ht="21" customHeight="1" x14ac:dyDescent="0.3">
      <c r="A3" s="1" t="s">
        <v>828</v>
      </c>
    </row>
    <row r="4" spans="1:12" x14ac:dyDescent="0.25">
      <c r="A4" s="2" t="s">
        <v>356</v>
      </c>
    </row>
    <row r="5" spans="1:12" x14ac:dyDescent="0.25">
      <c r="A5" s="11" t="s">
        <v>829</v>
      </c>
    </row>
    <row r="6" spans="1:12" x14ac:dyDescent="0.25">
      <c r="A6" s="11" t="s">
        <v>830</v>
      </c>
    </row>
    <row r="7" spans="1:12" x14ac:dyDescent="0.25">
      <c r="A7" s="11" t="s">
        <v>831</v>
      </c>
    </row>
    <row r="8" spans="1:12" x14ac:dyDescent="0.25">
      <c r="A8" s="29" t="s">
        <v>359</v>
      </c>
      <c r="B8" s="30" t="s">
        <v>360</v>
      </c>
      <c r="C8" s="30"/>
      <c r="D8" s="30"/>
      <c r="E8" s="30"/>
      <c r="F8" s="30"/>
      <c r="G8" s="30"/>
      <c r="H8" s="30"/>
      <c r="I8" s="30"/>
      <c r="J8" s="29" t="s">
        <v>360</v>
      </c>
      <c r="K8" s="29" t="s">
        <v>489</v>
      </c>
    </row>
    <row r="9" spans="1:12" x14ac:dyDescent="0.25">
      <c r="A9" s="29" t="s">
        <v>362</v>
      </c>
      <c r="B9" s="30" t="s">
        <v>363</v>
      </c>
      <c r="C9" s="30"/>
      <c r="D9" s="30"/>
      <c r="E9" s="30"/>
      <c r="F9" s="30"/>
      <c r="G9" s="30"/>
      <c r="H9" s="30"/>
      <c r="I9" s="30"/>
      <c r="J9" s="29" t="s">
        <v>363</v>
      </c>
      <c r="K9" s="29" t="s">
        <v>832</v>
      </c>
    </row>
    <row r="11" spans="1:12" x14ac:dyDescent="0.25">
      <c r="B11" s="31" t="s">
        <v>833</v>
      </c>
      <c r="C11" s="31"/>
      <c r="D11" s="31"/>
      <c r="E11" s="31"/>
      <c r="F11" s="31"/>
      <c r="G11" s="31"/>
      <c r="H11" s="31"/>
      <c r="I11" s="31"/>
    </row>
    <row r="12" spans="1:12" ht="45" x14ac:dyDescent="0.25">
      <c r="B12" s="12" t="s">
        <v>139</v>
      </c>
      <c r="C12" s="12" t="s">
        <v>140</v>
      </c>
      <c r="D12" s="12" t="s">
        <v>141</v>
      </c>
      <c r="E12" s="12" t="s">
        <v>142</v>
      </c>
      <c r="F12" s="12" t="s">
        <v>143</v>
      </c>
      <c r="G12" s="12" t="s">
        <v>144</v>
      </c>
      <c r="H12" s="12" t="s">
        <v>145</v>
      </c>
      <c r="I12" s="12" t="s">
        <v>146</v>
      </c>
      <c r="J12" s="12" t="s">
        <v>834</v>
      </c>
      <c r="K12" s="12" t="s">
        <v>835</v>
      </c>
    </row>
    <row r="13" spans="1:12" x14ac:dyDescent="0.25">
      <c r="A13" s="3" t="s">
        <v>171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1</v>
      </c>
      <c r="J13" s="23">
        <v>0</v>
      </c>
      <c r="K13" s="33">
        <f>$C13+0.2*Input!$B$80*$J13</f>
        <v>0</v>
      </c>
      <c r="L13" s="10"/>
    </row>
    <row r="14" spans="1:12" x14ac:dyDescent="0.25">
      <c r="A14" s="3" t="s">
        <v>172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33">
        <f>$C14+0.2*Input!$B$80*$J14</f>
        <v>0</v>
      </c>
      <c r="L14" s="10"/>
    </row>
    <row r="15" spans="1:12" x14ac:dyDescent="0.25">
      <c r="A15" s="3" t="s">
        <v>211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0</v>
      </c>
      <c r="K15" s="33">
        <f>$C15+0.2*Input!$B$80*$J15</f>
        <v>0</v>
      </c>
      <c r="L15" s="10"/>
    </row>
    <row r="16" spans="1:12" x14ac:dyDescent="0.25">
      <c r="A16" s="3" t="s">
        <v>173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33">
        <f>$C16+0.2*Input!$B$80*$J16</f>
        <v>0</v>
      </c>
      <c r="L16" s="10"/>
    </row>
    <row r="17" spans="1:12" x14ac:dyDescent="0.25">
      <c r="A17" s="3" t="s">
        <v>174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33">
        <f>$C17+0.2*Input!$B$80*$J17</f>
        <v>0</v>
      </c>
      <c r="L17" s="10"/>
    </row>
    <row r="18" spans="1:12" x14ac:dyDescent="0.25">
      <c r="A18" s="3" t="s">
        <v>212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33">
        <f>$C18+0.2*Input!$B$80*$J18</f>
        <v>0</v>
      </c>
      <c r="L18" s="10"/>
    </row>
    <row r="19" spans="1:12" x14ac:dyDescent="0.25">
      <c r="A19" s="3" t="s">
        <v>175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33">
        <f>$C19+0.2*Input!$B$80*$J19</f>
        <v>0</v>
      </c>
      <c r="L19" s="10"/>
    </row>
    <row r="20" spans="1:12" x14ac:dyDescent="0.25">
      <c r="A20" s="3" t="s">
        <v>176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33">
        <f>$C20+0.2*Input!$B$80*$J20</f>
        <v>0</v>
      </c>
      <c r="L20" s="10"/>
    </row>
    <row r="21" spans="1:12" x14ac:dyDescent="0.25">
      <c r="A21" s="3" t="s">
        <v>192</v>
      </c>
      <c r="B21" s="23">
        <v>0</v>
      </c>
      <c r="C21" s="23">
        <v>0</v>
      </c>
      <c r="D21" s="23">
        <v>0</v>
      </c>
      <c r="E21" s="23">
        <v>0.2</v>
      </c>
      <c r="F21" s="23">
        <v>1</v>
      </c>
      <c r="G21" s="23">
        <v>1</v>
      </c>
      <c r="H21" s="23">
        <v>0</v>
      </c>
      <c r="I21" s="23">
        <v>0</v>
      </c>
      <c r="J21" s="23">
        <v>1</v>
      </c>
      <c r="K21" s="33">
        <f>$C21+0.2*Input!$B$80*$J21</f>
        <v>1.5008868542263909E-2</v>
      </c>
      <c r="L21" s="10"/>
    </row>
    <row r="22" spans="1:12" x14ac:dyDescent="0.25">
      <c r="A22" s="3" t="s">
        <v>177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33">
        <f>$C22+0.2*Input!$B$80*$J22</f>
        <v>0</v>
      </c>
      <c r="L22" s="10"/>
    </row>
    <row r="23" spans="1:12" x14ac:dyDescent="0.25">
      <c r="A23" s="3" t="s">
        <v>178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0</v>
      </c>
      <c r="K23" s="33">
        <f>$C23+0.2*Input!$B$80*$J23</f>
        <v>0</v>
      </c>
      <c r="L23" s="10"/>
    </row>
    <row r="24" spans="1:12" x14ac:dyDescent="0.25">
      <c r="A24" s="3" t="s">
        <v>179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0.2</v>
      </c>
      <c r="H24" s="23">
        <v>1</v>
      </c>
      <c r="I24" s="23">
        <v>1</v>
      </c>
      <c r="J24" s="23">
        <v>0</v>
      </c>
      <c r="K24" s="33">
        <f>$C24+0.2*Input!$B$80*$J24</f>
        <v>0</v>
      </c>
      <c r="L24" s="10"/>
    </row>
    <row r="25" spans="1:12" x14ac:dyDescent="0.25">
      <c r="A25" s="3" t="s">
        <v>180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1</v>
      </c>
      <c r="I25" s="23">
        <v>0</v>
      </c>
      <c r="J25" s="23">
        <v>0</v>
      </c>
      <c r="K25" s="33">
        <f>$C25+0.2*Input!$B$80*$J25</f>
        <v>0</v>
      </c>
      <c r="L25" s="10"/>
    </row>
    <row r="26" spans="1:12" x14ac:dyDescent="0.25">
      <c r="A26" s="3" t="s">
        <v>193</v>
      </c>
      <c r="B26" s="23">
        <v>0</v>
      </c>
      <c r="C26" s="23">
        <v>0</v>
      </c>
      <c r="D26" s="23">
        <v>0</v>
      </c>
      <c r="E26" s="23">
        <v>0.2</v>
      </c>
      <c r="F26" s="23">
        <v>1</v>
      </c>
      <c r="G26" s="23">
        <v>1</v>
      </c>
      <c r="H26" s="23">
        <v>0</v>
      </c>
      <c r="I26" s="23">
        <v>0</v>
      </c>
      <c r="J26" s="23">
        <v>1</v>
      </c>
      <c r="K26" s="33">
        <f>$C26+0.2*Input!$B$80*$J26</f>
        <v>1.5008868542263909E-2</v>
      </c>
      <c r="L26" s="10"/>
    </row>
    <row r="27" spans="1:12" x14ac:dyDescent="0.25">
      <c r="A27" s="3" t="s">
        <v>213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33">
        <f>$C27+0.2*Input!$B$80*$J27</f>
        <v>0</v>
      </c>
      <c r="L27" s="10"/>
    </row>
    <row r="28" spans="1:12" x14ac:dyDescent="0.25">
      <c r="A28" s="3" t="s">
        <v>214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33">
        <f>$C28+0.2*Input!$B$80*$J28</f>
        <v>0</v>
      </c>
      <c r="L28" s="10"/>
    </row>
    <row r="29" spans="1:12" x14ac:dyDescent="0.25">
      <c r="A29" s="3" t="s">
        <v>215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33">
        <f>$C29+0.2*Input!$B$80*$J29</f>
        <v>0</v>
      </c>
      <c r="L29" s="10"/>
    </row>
    <row r="30" spans="1:12" x14ac:dyDescent="0.25">
      <c r="A30" s="3" t="s">
        <v>216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33">
        <f>$C30+0.2*Input!$B$80*$J30</f>
        <v>0</v>
      </c>
      <c r="L30" s="10"/>
    </row>
    <row r="31" spans="1:12" x14ac:dyDescent="0.25">
      <c r="A31" s="3" t="s">
        <v>217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33">
        <f>$C31+0.2*Input!$B$80*$J31</f>
        <v>0</v>
      </c>
      <c r="L31" s="10"/>
    </row>
    <row r="33" spans="1:11" ht="21" customHeight="1" x14ac:dyDescent="0.3">
      <c r="A33" s="1" t="s">
        <v>836</v>
      </c>
    </row>
    <row r="34" spans="1:11" x14ac:dyDescent="0.25">
      <c r="A34" s="2" t="s">
        <v>356</v>
      </c>
    </row>
    <row r="35" spans="1:11" x14ac:dyDescent="0.25">
      <c r="A35" s="11" t="s">
        <v>837</v>
      </c>
    </row>
    <row r="36" spans="1:11" x14ac:dyDescent="0.25">
      <c r="A36" s="11" t="s">
        <v>838</v>
      </c>
    </row>
    <row r="37" spans="1:11" x14ac:dyDescent="0.25">
      <c r="A37" s="11" t="s">
        <v>839</v>
      </c>
    </row>
    <row r="38" spans="1:11" x14ac:dyDescent="0.25">
      <c r="A38" s="2" t="s">
        <v>399</v>
      </c>
    </row>
    <row r="40" spans="1:11" x14ac:dyDescent="0.25">
      <c r="B40" s="12" t="s">
        <v>139</v>
      </c>
      <c r="C40" s="12" t="s">
        <v>140</v>
      </c>
      <c r="D40" s="12" t="s">
        <v>141</v>
      </c>
      <c r="E40" s="12" t="s">
        <v>142</v>
      </c>
      <c r="F40" s="12" t="s">
        <v>143</v>
      </c>
      <c r="G40" s="12" t="s">
        <v>148</v>
      </c>
      <c r="H40" s="12" t="s">
        <v>144</v>
      </c>
      <c r="I40" s="12" t="s">
        <v>145</v>
      </c>
      <c r="J40" s="12" t="s">
        <v>146</v>
      </c>
    </row>
    <row r="41" spans="1:11" x14ac:dyDescent="0.25">
      <c r="A41" s="3" t="s">
        <v>171</v>
      </c>
      <c r="B41" s="34">
        <f t="shared" ref="B41:B59" si="0">$B13</f>
        <v>0</v>
      </c>
      <c r="C41" s="34">
        <f t="shared" ref="C41:C59" si="1">$K13</f>
        <v>0</v>
      </c>
      <c r="D41" s="34">
        <f t="shared" ref="D41:D59" si="2">$D13</f>
        <v>0</v>
      </c>
      <c r="E41" s="34">
        <f t="shared" ref="E41:E59" si="3">$E13</f>
        <v>0</v>
      </c>
      <c r="F41" s="34">
        <f t="shared" ref="F41:F59" si="4">$F13</f>
        <v>0</v>
      </c>
      <c r="G41" s="23">
        <v>0</v>
      </c>
      <c r="H41" s="34">
        <f t="shared" ref="H41:H59" si="5">$G13</f>
        <v>0</v>
      </c>
      <c r="I41" s="34">
        <f t="shared" ref="I41:I59" si="6">$H13</f>
        <v>0</v>
      </c>
      <c r="J41" s="34">
        <f t="shared" ref="J41:J59" si="7">$I13</f>
        <v>1</v>
      </c>
      <c r="K41" s="10"/>
    </row>
    <row r="42" spans="1:11" x14ac:dyDescent="0.25">
      <c r="A42" s="3" t="s">
        <v>172</v>
      </c>
      <c r="B42" s="34">
        <f t="shared" si="0"/>
        <v>0</v>
      </c>
      <c r="C42" s="34">
        <f t="shared" si="1"/>
        <v>0</v>
      </c>
      <c r="D42" s="34">
        <f t="shared" si="2"/>
        <v>0</v>
      </c>
      <c r="E42" s="34">
        <f t="shared" si="3"/>
        <v>0</v>
      </c>
      <c r="F42" s="34">
        <f t="shared" si="4"/>
        <v>0</v>
      </c>
      <c r="G42" s="23">
        <v>0</v>
      </c>
      <c r="H42" s="34">
        <f t="shared" si="5"/>
        <v>0</v>
      </c>
      <c r="I42" s="34">
        <f t="shared" si="6"/>
        <v>0</v>
      </c>
      <c r="J42" s="34">
        <f t="shared" si="7"/>
        <v>1</v>
      </c>
      <c r="K42" s="10"/>
    </row>
    <row r="43" spans="1:11" x14ac:dyDescent="0.25">
      <c r="A43" s="3" t="s">
        <v>211</v>
      </c>
      <c r="B43" s="34">
        <f t="shared" si="0"/>
        <v>0</v>
      </c>
      <c r="C43" s="34">
        <f t="shared" si="1"/>
        <v>0</v>
      </c>
      <c r="D43" s="34">
        <f t="shared" si="2"/>
        <v>0</v>
      </c>
      <c r="E43" s="34">
        <f t="shared" si="3"/>
        <v>0</v>
      </c>
      <c r="F43" s="34">
        <f t="shared" si="4"/>
        <v>0</v>
      </c>
      <c r="G43" s="23">
        <v>0</v>
      </c>
      <c r="H43" s="34">
        <f t="shared" si="5"/>
        <v>0</v>
      </c>
      <c r="I43" s="34">
        <f t="shared" si="6"/>
        <v>0</v>
      </c>
      <c r="J43" s="34">
        <f t="shared" si="7"/>
        <v>1</v>
      </c>
      <c r="K43" s="10"/>
    </row>
    <row r="44" spans="1:11" x14ac:dyDescent="0.25">
      <c r="A44" s="3" t="s">
        <v>173</v>
      </c>
      <c r="B44" s="34">
        <f t="shared" si="0"/>
        <v>0</v>
      </c>
      <c r="C44" s="34">
        <f t="shared" si="1"/>
        <v>0</v>
      </c>
      <c r="D44" s="34">
        <f t="shared" si="2"/>
        <v>0</v>
      </c>
      <c r="E44" s="34">
        <f t="shared" si="3"/>
        <v>0</v>
      </c>
      <c r="F44" s="34">
        <f t="shared" si="4"/>
        <v>0</v>
      </c>
      <c r="G44" s="23">
        <v>0</v>
      </c>
      <c r="H44" s="34">
        <f t="shared" si="5"/>
        <v>0</v>
      </c>
      <c r="I44" s="34">
        <f t="shared" si="6"/>
        <v>0</v>
      </c>
      <c r="J44" s="34">
        <f t="shared" si="7"/>
        <v>1</v>
      </c>
      <c r="K44" s="10"/>
    </row>
    <row r="45" spans="1:11" x14ac:dyDescent="0.25">
      <c r="A45" s="3" t="s">
        <v>174</v>
      </c>
      <c r="B45" s="34">
        <f t="shared" si="0"/>
        <v>0</v>
      </c>
      <c r="C45" s="34">
        <f t="shared" si="1"/>
        <v>0</v>
      </c>
      <c r="D45" s="34">
        <f t="shared" si="2"/>
        <v>0</v>
      </c>
      <c r="E45" s="34">
        <f t="shared" si="3"/>
        <v>0</v>
      </c>
      <c r="F45" s="34">
        <f t="shared" si="4"/>
        <v>0</v>
      </c>
      <c r="G45" s="23">
        <v>0</v>
      </c>
      <c r="H45" s="34">
        <f t="shared" si="5"/>
        <v>0</v>
      </c>
      <c r="I45" s="34">
        <f t="shared" si="6"/>
        <v>0</v>
      </c>
      <c r="J45" s="34">
        <f t="shared" si="7"/>
        <v>1</v>
      </c>
      <c r="K45" s="10"/>
    </row>
    <row r="46" spans="1:11" x14ac:dyDescent="0.25">
      <c r="A46" s="3" t="s">
        <v>212</v>
      </c>
      <c r="B46" s="34">
        <f t="shared" si="0"/>
        <v>0</v>
      </c>
      <c r="C46" s="34">
        <f t="shared" si="1"/>
        <v>0</v>
      </c>
      <c r="D46" s="34">
        <f t="shared" si="2"/>
        <v>0</v>
      </c>
      <c r="E46" s="34">
        <f t="shared" si="3"/>
        <v>0</v>
      </c>
      <c r="F46" s="34">
        <f t="shared" si="4"/>
        <v>0</v>
      </c>
      <c r="G46" s="23">
        <v>0</v>
      </c>
      <c r="H46" s="34">
        <f t="shared" si="5"/>
        <v>0</v>
      </c>
      <c r="I46" s="34">
        <f t="shared" si="6"/>
        <v>0</v>
      </c>
      <c r="J46" s="34">
        <f t="shared" si="7"/>
        <v>1</v>
      </c>
      <c r="K46" s="10"/>
    </row>
    <row r="47" spans="1:11" x14ac:dyDescent="0.25">
      <c r="A47" s="3" t="s">
        <v>175</v>
      </c>
      <c r="B47" s="34">
        <f t="shared" si="0"/>
        <v>0</v>
      </c>
      <c r="C47" s="34">
        <f t="shared" si="1"/>
        <v>0</v>
      </c>
      <c r="D47" s="34">
        <f t="shared" si="2"/>
        <v>0</v>
      </c>
      <c r="E47" s="34">
        <f t="shared" si="3"/>
        <v>0</v>
      </c>
      <c r="F47" s="34">
        <f t="shared" si="4"/>
        <v>0</v>
      </c>
      <c r="G47" s="23">
        <v>0</v>
      </c>
      <c r="H47" s="34">
        <f t="shared" si="5"/>
        <v>0</v>
      </c>
      <c r="I47" s="34">
        <f t="shared" si="6"/>
        <v>0</v>
      </c>
      <c r="J47" s="34">
        <f t="shared" si="7"/>
        <v>1</v>
      </c>
      <c r="K47" s="10"/>
    </row>
    <row r="48" spans="1:11" x14ac:dyDescent="0.25">
      <c r="A48" s="3" t="s">
        <v>176</v>
      </c>
      <c r="B48" s="34">
        <f t="shared" si="0"/>
        <v>0</v>
      </c>
      <c r="C48" s="34">
        <f t="shared" si="1"/>
        <v>0</v>
      </c>
      <c r="D48" s="34">
        <f t="shared" si="2"/>
        <v>0</v>
      </c>
      <c r="E48" s="34">
        <f t="shared" si="3"/>
        <v>0</v>
      </c>
      <c r="F48" s="34">
        <f t="shared" si="4"/>
        <v>0</v>
      </c>
      <c r="G48" s="23">
        <v>0</v>
      </c>
      <c r="H48" s="34">
        <f t="shared" si="5"/>
        <v>0</v>
      </c>
      <c r="I48" s="34">
        <f t="shared" si="6"/>
        <v>1</v>
      </c>
      <c r="J48" s="34">
        <f t="shared" si="7"/>
        <v>0</v>
      </c>
      <c r="K48" s="10"/>
    </row>
    <row r="49" spans="1:11" x14ac:dyDescent="0.25">
      <c r="A49" s="3" t="s">
        <v>192</v>
      </c>
      <c r="B49" s="34">
        <f t="shared" si="0"/>
        <v>0</v>
      </c>
      <c r="C49" s="34">
        <f t="shared" si="1"/>
        <v>1.5008868542263909E-2</v>
      </c>
      <c r="D49" s="34">
        <f t="shared" si="2"/>
        <v>0</v>
      </c>
      <c r="E49" s="34">
        <f t="shared" si="3"/>
        <v>0.2</v>
      </c>
      <c r="F49" s="34">
        <f t="shared" si="4"/>
        <v>1</v>
      </c>
      <c r="G49" s="23">
        <v>1</v>
      </c>
      <c r="H49" s="34">
        <f t="shared" si="5"/>
        <v>1</v>
      </c>
      <c r="I49" s="34">
        <f t="shared" si="6"/>
        <v>0</v>
      </c>
      <c r="J49" s="34">
        <f t="shared" si="7"/>
        <v>0</v>
      </c>
      <c r="K49" s="10"/>
    </row>
    <row r="50" spans="1:11" x14ac:dyDescent="0.25">
      <c r="A50" s="3" t="s">
        <v>177</v>
      </c>
      <c r="B50" s="34">
        <f t="shared" si="0"/>
        <v>0</v>
      </c>
      <c r="C50" s="34">
        <f t="shared" si="1"/>
        <v>0</v>
      </c>
      <c r="D50" s="34">
        <f t="shared" si="2"/>
        <v>0</v>
      </c>
      <c r="E50" s="34">
        <f t="shared" si="3"/>
        <v>0</v>
      </c>
      <c r="F50" s="34">
        <f t="shared" si="4"/>
        <v>0</v>
      </c>
      <c r="G50" s="23">
        <v>0</v>
      </c>
      <c r="H50" s="34">
        <f t="shared" si="5"/>
        <v>0</v>
      </c>
      <c r="I50" s="34">
        <f t="shared" si="6"/>
        <v>0</v>
      </c>
      <c r="J50" s="34">
        <f t="shared" si="7"/>
        <v>1</v>
      </c>
      <c r="K50" s="10"/>
    </row>
    <row r="51" spans="1:11" x14ac:dyDescent="0.25">
      <c r="A51" s="3" t="s">
        <v>178</v>
      </c>
      <c r="B51" s="34">
        <f t="shared" si="0"/>
        <v>0</v>
      </c>
      <c r="C51" s="34">
        <f t="shared" si="1"/>
        <v>0</v>
      </c>
      <c r="D51" s="34">
        <f t="shared" si="2"/>
        <v>0</v>
      </c>
      <c r="E51" s="34">
        <f t="shared" si="3"/>
        <v>0</v>
      </c>
      <c r="F51" s="34">
        <f t="shared" si="4"/>
        <v>0</v>
      </c>
      <c r="G51" s="23">
        <v>0</v>
      </c>
      <c r="H51" s="34">
        <f t="shared" si="5"/>
        <v>0</v>
      </c>
      <c r="I51" s="34">
        <f t="shared" si="6"/>
        <v>0</v>
      </c>
      <c r="J51" s="34">
        <f t="shared" si="7"/>
        <v>1</v>
      </c>
      <c r="K51" s="10"/>
    </row>
    <row r="52" spans="1:11" x14ac:dyDescent="0.25">
      <c r="A52" s="3" t="s">
        <v>179</v>
      </c>
      <c r="B52" s="34">
        <f t="shared" si="0"/>
        <v>0</v>
      </c>
      <c r="C52" s="34">
        <f t="shared" si="1"/>
        <v>0</v>
      </c>
      <c r="D52" s="34">
        <f t="shared" si="2"/>
        <v>0</v>
      </c>
      <c r="E52" s="34">
        <f t="shared" si="3"/>
        <v>0</v>
      </c>
      <c r="F52" s="34">
        <f t="shared" si="4"/>
        <v>0</v>
      </c>
      <c r="G52" s="23">
        <v>0</v>
      </c>
      <c r="H52" s="34">
        <f t="shared" si="5"/>
        <v>0.2</v>
      </c>
      <c r="I52" s="34">
        <f t="shared" si="6"/>
        <v>1</v>
      </c>
      <c r="J52" s="34">
        <f t="shared" si="7"/>
        <v>1</v>
      </c>
      <c r="K52" s="10"/>
    </row>
    <row r="53" spans="1:11" x14ac:dyDescent="0.25">
      <c r="A53" s="3" t="s">
        <v>180</v>
      </c>
      <c r="B53" s="34">
        <f t="shared" si="0"/>
        <v>0</v>
      </c>
      <c r="C53" s="34">
        <f t="shared" si="1"/>
        <v>0</v>
      </c>
      <c r="D53" s="34">
        <f t="shared" si="2"/>
        <v>0</v>
      </c>
      <c r="E53" s="34">
        <f t="shared" si="3"/>
        <v>0</v>
      </c>
      <c r="F53" s="34">
        <f t="shared" si="4"/>
        <v>0</v>
      </c>
      <c r="G53" s="23">
        <v>0</v>
      </c>
      <c r="H53" s="34">
        <f t="shared" si="5"/>
        <v>1</v>
      </c>
      <c r="I53" s="34">
        <f t="shared" si="6"/>
        <v>1</v>
      </c>
      <c r="J53" s="34">
        <f t="shared" si="7"/>
        <v>0</v>
      </c>
      <c r="K53" s="10"/>
    </row>
    <row r="54" spans="1:11" x14ac:dyDescent="0.25">
      <c r="A54" s="3" t="s">
        <v>193</v>
      </c>
      <c r="B54" s="34">
        <f t="shared" si="0"/>
        <v>0</v>
      </c>
      <c r="C54" s="34">
        <f t="shared" si="1"/>
        <v>1.5008868542263909E-2</v>
      </c>
      <c r="D54" s="34">
        <f t="shared" si="2"/>
        <v>0</v>
      </c>
      <c r="E54" s="34">
        <f t="shared" si="3"/>
        <v>0.2</v>
      </c>
      <c r="F54" s="34">
        <f t="shared" si="4"/>
        <v>1</v>
      </c>
      <c r="G54" s="23">
        <v>1</v>
      </c>
      <c r="H54" s="34">
        <f t="shared" si="5"/>
        <v>1</v>
      </c>
      <c r="I54" s="34">
        <f t="shared" si="6"/>
        <v>0</v>
      </c>
      <c r="J54" s="34">
        <f t="shared" si="7"/>
        <v>0</v>
      </c>
      <c r="K54" s="10"/>
    </row>
    <row r="55" spans="1:11" x14ac:dyDescent="0.25">
      <c r="A55" s="3" t="s">
        <v>213</v>
      </c>
      <c r="B55" s="34">
        <f t="shared" si="0"/>
        <v>0</v>
      </c>
      <c r="C55" s="34">
        <f t="shared" si="1"/>
        <v>0</v>
      </c>
      <c r="D55" s="34">
        <f t="shared" si="2"/>
        <v>0</v>
      </c>
      <c r="E55" s="34">
        <f t="shared" si="3"/>
        <v>0</v>
      </c>
      <c r="F55" s="34">
        <f t="shared" si="4"/>
        <v>0</v>
      </c>
      <c r="G55" s="23">
        <v>0</v>
      </c>
      <c r="H55" s="34">
        <f t="shared" si="5"/>
        <v>0</v>
      </c>
      <c r="I55" s="34">
        <f t="shared" si="6"/>
        <v>0</v>
      </c>
      <c r="J55" s="34">
        <f t="shared" si="7"/>
        <v>0</v>
      </c>
      <c r="K55" s="10"/>
    </row>
    <row r="56" spans="1:11" x14ac:dyDescent="0.25">
      <c r="A56" s="3" t="s">
        <v>214</v>
      </c>
      <c r="B56" s="34">
        <f t="shared" si="0"/>
        <v>0</v>
      </c>
      <c r="C56" s="34">
        <f t="shared" si="1"/>
        <v>0</v>
      </c>
      <c r="D56" s="34">
        <f t="shared" si="2"/>
        <v>0</v>
      </c>
      <c r="E56" s="34">
        <f t="shared" si="3"/>
        <v>0</v>
      </c>
      <c r="F56" s="34">
        <f t="shared" si="4"/>
        <v>0</v>
      </c>
      <c r="G56" s="23">
        <v>0</v>
      </c>
      <c r="H56" s="34">
        <f t="shared" si="5"/>
        <v>0</v>
      </c>
      <c r="I56" s="34">
        <f t="shared" si="6"/>
        <v>0</v>
      </c>
      <c r="J56" s="34">
        <f t="shared" si="7"/>
        <v>0</v>
      </c>
      <c r="K56" s="10"/>
    </row>
    <row r="57" spans="1:11" x14ac:dyDescent="0.25">
      <c r="A57" s="3" t="s">
        <v>215</v>
      </c>
      <c r="B57" s="34">
        <f t="shared" si="0"/>
        <v>0</v>
      </c>
      <c r="C57" s="34">
        <f t="shared" si="1"/>
        <v>0</v>
      </c>
      <c r="D57" s="34">
        <f t="shared" si="2"/>
        <v>0</v>
      </c>
      <c r="E57" s="34">
        <f t="shared" si="3"/>
        <v>0</v>
      </c>
      <c r="F57" s="34">
        <f t="shared" si="4"/>
        <v>0</v>
      </c>
      <c r="G57" s="23">
        <v>0</v>
      </c>
      <c r="H57" s="34">
        <f t="shared" si="5"/>
        <v>0</v>
      </c>
      <c r="I57" s="34">
        <f t="shared" si="6"/>
        <v>0</v>
      </c>
      <c r="J57" s="34">
        <f t="shared" si="7"/>
        <v>0</v>
      </c>
      <c r="K57" s="10"/>
    </row>
    <row r="58" spans="1:11" x14ac:dyDescent="0.25">
      <c r="A58" s="3" t="s">
        <v>216</v>
      </c>
      <c r="B58" s="34">
        <f t="shared" si="0"/>
        <v>0</v>
      </c>
      <c r="C58" s="34">
        <f t="shared" si="1"/>
        <v>0</v>
      </c>
      <c r="D58" s="34">
        <f t="shared" si="2"/>
        <v>0</v>
      </c>
      <c r="E58" s="34">
        <f t="shared" si="3"/>
        <v>0</v>
      </c>
      <c r="F58" s="34">
        <f t="shared" si="4"/>
        <v>0</v>
      </c>
      <c r="G58" s="23">
        <v>0</v>
      </c>
      <c r="H58" s="34">
        <f t="shared" si="5"/>
        <v>0</v>
      </c>
      <c r="I58" s="34">
        <f t="shared" si="6"/>
        <v>0</v>
      </c>
      <c r="J58" s="34">
        <f t="shared" si="7"/>
        <v>0</v>
      </c>
      <c r="K58" s="10"/>
    </row>
    <row r="59" spans="1:11" x14ac:dyDescent="0.25">
      <c r="A59" s="3" t="s">
        <v>217</v>
      </c>
      <c r="B59" s="34">
        <f t="shared" si="0"/>
        <v>0</v>
      </c>
      <c r="C59" s="34">
        <f t="shared" si="1"/>
        <v>0</v>
      </c>
      <c r="D59" s="34">
        <f t="shared" si="2"/>
        <v>0</v>
      </c>
      <c r="E59" s="34">
        <f t="shared" si="3"/>
        <v>0</v>
      </c>
      <c r="F59" s="34">
        <f t="shared" si="4"/>
        <v>0</v>
      </c>
      <c r="G59" s="23">
        <v>0</v>
      </c>
      <c r="H59" s="34">
        <f t="shared" si="5"/>
        <v>0</v>
      </c>
      <c r="I59" s="34">
        <f t="shared" si="6"/>
        <v>0</v>
      </c>
      <c r="J59" s="34">
        <f t="shared" si="7"/>
        <v>0</v>
      </c>
      <c r="K59" s="10"/>
    </row>
    <row r="61" spans="1:11" ht="21" customHeight="1" x14ac:dyDescent="0.3">
      <c r="A61" s="1" t="s">
        <v>840</v>
      </c>
    </row>
    <row r="62" spans="1:11" x14ac:dyDescent="0.25">
      <c r="A62" s="2" t="s">
        <v>356</v>
      </c>
    </row>
    <row r="63" spans="1:11" x14ac:dyDescent="0.25">
      <c r="A63" s="11" t="s">
        <v>841</v>
      </c>
    </row>
    <row r="64" spans="1:11" x14ac:dyDescent="0.25">
      <c r="A64" s="11" t="s">
        <v>842</v>
      </c>
    </row>
    <row r="65" spans="1:11" x14ac:dyDescent="0.25">
      <c r="A65" s="11" t="s">
        <v>843</v>
      </c>
    </row>
    <row r="66" spans="1:11" x14ac:dyDescent="0.25">
      <c r="A66" s="11" t="s">
        <v>844</v>
      </c>
    </row>
    <row r="67" spans="1:11" x14ac:dyDescent="0.25">
      <c r="A67" s="2" t="s">
        <v>845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407816.10881883855</v>
      </c>
      <c r="I70" s="17">
        <f>Loads!$F$313*Input!$E$58*I$52*LAFs!I$248</f>
        <v>2002288.0176575452</v>
      </c>
      <c r="J70" s="17">
        <f>Loads!$F$313*Input!$E$58*J$52*LAFs!J$248</f>
        <v>1929011.2375053936</v>
      </c>
      <c r="K70" s="10"/>
    </row>
    <row r="71" spans="1:11" x14ac:dyDescent="0.25">
      <c r="A71" s="3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65136.299212668186</v>
      </c>
      <c r="I71" s="17">
        <f>Loads!$F$314*Input!$E$58*I$53*LAFs!I$249</f>
        <v>63961.000366475702</v>
      </c>
      <c r="J71" s="17">
        <f>Loads!$F$314*Input!$E$58*J$53*LAFs!J$249</f>
        <v>0</v>
      </c>
      <c r="K71" s="10"/>
    </row>
    <row r="72" spans="1:11" x14ac:dyDescent="0.25">
      <c r="A72" s="3" t="s">
        <v>193</v>
      </c>
      <c r="B72" s="17">
        <f>Loads!$F$315*Input!$E$58*B$54*LAFs!B$250</f>
        <v>0</v>
      </c>
      <c r="C72" s="17">
        <f>Loads!$F$315*Input!$E$58*C$54*LAFs!C$250</f>
        <v>40793.796854247645</v>
      </c>
      <c r="D72" s="17">
        <f>Loads!$F$315*Input!$E$58*D$54*LAFs!D$250</f>
        <v>0</v>
      </c>
      <c r="E72" s="17">
        <f>Loads!$F$315*Input!$E$58*E$54*LAFs!E$250</f>
        <v>498819.51009049406</v>
      </c>
      <c r="F72" s="17">
        <f>Loads!$F$315*Input!$E$58*F$54*LAFs!F$250</f>
        <v>2474497.5697023524</v>
      </c>
      <c r="G72" s="17">
        <f>Loads!$F$315*Input!$E$58*G$54*LAFs!G$250</f>
        <v>200763.18491137595</v>
      </c>
      <c r="H72" s="17">
        <f>Loads!$F$315*Input!$E$58*H$54*LAFs!H$250</f>
        <v>2633864.0698227999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846</v>
      </c>
    </row>
    <row r="75" spans="1:11" x14ac:dyDescent="0.25">
      <c r="A75" s="2" t="s">
        <v>356</v>
      </c>
    </row>
    <row r="76" spans="1:11" x14ac:dyDescent="0.25">
      <c r="A76" s="11" t="s">
        <v>579</v>
      </c>
    </row>
    <row r="77" spans="1:11" x14ac:dyDescent="0.25">
      <c r="A77" s="11" t="s">
        <v>504</v>
      </c>
    </row>
    <row r="78" spans="1:11" x14ac:dyDescent="0.25">
      <c r="A78" s="11" t="s">
        <v>843</v>
      </c>
    </row>
    <row r="79" spans="1:11" x14ac:dyDescent="0.25">
      <c r="A79" s="11" t="s">
        <v>844</v>
      </c>
    </row>
    <row r="80" spans="1:11" x14ac:dyDescent="0.25">
      <c r="A80" s="11" t="s">
        <v>746</v>
      </c>
    </row>
    <row r="81" spans="1:11" x14ac:dyDescent="0.25">
      <c r="A81" s="2" t="s">
        <v>847</v>
      </c>
    </row>
    <row r="83" spans="1:11" x14ac:dyDescent="0.25">
      <c r="B83" s="12" t="s">
        <v>139</v>
      </c>
      <c r="C83" s="12" t="s">
        <v>140</v>
      </c>
      <c r="D83" s="12" t="s">
        <v>141</v>
      </c>
      <c r="E83" s="12" t="s">
        <v>142</v>
      </c>
      <c r="F83" s="12" t="s">
        <v>143</v>
      </c>
      <c r="G83" s="12" t="s">
        <v>148</v>
      </c>
      <c r="H83" s="12" t="s">
        <v>144</v>
      </c>
      <c r="I83" s="12" t="s">
        <v>145</v>
      </c>
      <c r="J83" s="12" t="s">
        <v>146</v>
      </c>
    </row>
    <row r="84" spans="1:11" x14ac:dyDescent="0.25">
      <c r="A84" s="3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1421689.5470141878</v>
      </c>
      <c r="K84" s="10"/>
    </row>
    <row r="85" spans="1:11" x14ac:dyDescent="0.25">
      <c r="A85" s="3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870751.8326647979</v>
      </c>
      <c r="K85" s="10"/>
    </row>
    <row r="86" spans="1:11" x14ac:dyDescent="0.25">
      <c r="A86" s="3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331026.45196777326</v>
      </c>
      <c r="K86" s="10"/>
    </row>
    <row r="87" spans="1:11" x14ac:dyDescent="0.25">
      <c r="A87" s="3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425781.49034887354</v>
      </c>
      <c r="K87" s="10"/>
    </row>
    <row r="88" spans="1:11" x14ac:dyDescent="0.25">
      <c r="A88" s="3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0</v>
      </c>
      <c r="K88" s="10"/>
    </row>
    <row r="89" spans="1:11" x14ac:dyDescent="0.25">
      <c r="A89" s="3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3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0</v>
      </c>
      <c r="F90" s="17">
        <f>Multi!$B$127/Input!$C$168*F$49*LAFs!F$245/(24*Input!$F$58)*1000</f>
        <v>0</v>
      </c>
      <c r="G90" s="17">
        <f>Multi!$B$127/Input!$C$168*G$49*LAFs!G$245/(24*Input!$F$58)*1000</f>
        <v>0</v>
      </c>
      <c r="H90" s="17">
        <f>Multi!$B$127/Input!$C$168*H$49*LAFs!H$245/(24*Input!$F$58)*1000</f>
        <v>0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3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3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38280.411951412701</v>
      </c>
      <c r="K92" s="10"/>
    </row>
    <row r="94" spans="1:11" ht="21" customHeight="1" x14ac:dyDescent="0.3">
      <c r="A94" s="1" t="s">
        <v>848</v>
      </c>
    </row>
    <row r="95" spans="1:11" x14ac:dyDescent="0.25">
      <c r="A95" s="2" t="s">
        <v>356</v>
      </c>
    </row>
    <row r="96" spans="1:11" x14ac:dyDescent="0.25">
      <c r="A96" s="11" t="s">
        <v>849</v>
      </c>
    </row>
    <row r="97" spans="1:11" x14ac:dyDescent="0.25">
      <c r="A97" s="11" t="s">
        <v>850</v>
      </c>
    </row>
    <row r="98" spans="1:11" x14ac:dyDescent="0.25">
      <c r="A98" s="2" t="s">
        <v>374</v>
      </c>
    </row>
    <row r="100" spans="1:11" x14ac:dyDescent="0.25">
      <c r="B100" s="12" t="s">
        <v>139</v>
      </c>
      <c r="C100" s="12" t="s">
        <v>140</v>
      </c>
      <c r="D100" s="12" t="s">
        <v>141</v>
      </c>
      <c r="E100" s="12" t="s">
        <v>142</v>
      </c>
      <c r="F100" s="12" t="s">
        <v>143</v>
      </c>
      <c r="G100" s="12" t="s">
        <v>148</v>
      </c>
      <c r="H100" s="12" t="s">
        <v>144</v>
      </c>
      <c r="I100" s="12" t="s">
        <v>145</v>
      </c>
      <c r="J100" s="12" t="s">
        <v>146</v>
      </c>
    </row>
    <row r="101" spans="1:11" x14ac:dyDescent="0.25">
      <c r="A101" s="3" t="s">
        <v>171</v>
      </c>
      <c r="B101" s="39">
        <f t="shared" ref="B101:J101" si="8">B$84</f>
        <v>0</v>
      </c>
      <c r="C101" s="39">
        <f t="shared" si="8"/>
        <v>0</v>
      </c>
      <c r="D101" s="39">
        <f t="shared" si="8"/>
        <v>0</v>
      </c>
      <c r="E101" s="39">
        <f t="shared" si="8"/>
        <v>0</v>
      </c>
      <c r="F101" s="39">
        <f t="shared" si="8"/>
        <v>0</v>
      </c>
      <c r="G101" s="39">
        <f t="shared" si="8"/>
        <v>0</v>
      </c>
      <c r="H101" s="39">
        <f t="shared" si="8"/>
        <v>0</v>
      </c>
      <c r="I101" s="39">
        <f t="shared" si="8"/>
        <v>0</v>
      </c>
      <c r="J101" s="39">
        <f t="shared" si="8"/>
        <v>1421689.5470141878</v>
      </c>
      <c r="K101" s="10"/>
    </row>
    <row r="102" spans="1:11" x14ac:dyDescent="0.25">
      <c r="A102" s="3" t="s">
        <v>172</v>
      </c>
      <c r="B102" s="39">
        <f t="shared" ref="B102:J102" si="9">B$85</f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39">
        <f t="shared" si="9"/>
        <v>0</v>
      </c>
      <c r="G102" s="39">
        <f t="shared" si="9"/>
        <v>0</v>
      </c>
      <c r="H102" s="39">
        <f t="shared" si="9"/>
        <v>0</v>
      </c>
      <c r="I102" s="39">
        <f t="shared" si="9"/>
        <v>0</v>
      </c>
      <c r="J102" s="39">
        <f t="shared" si="9"/>
        <v>870751.8326647979</v>
      </c>
      <c r="K102" s="10"/>
    </row>
    <row r="103" spans="1:11" x14ac:dyDescent="0.25">
      <c r="A103" s="3" t="s">
        <v>173</v>
      </c>
      <c r="B103" s="39">
        <f t="shared" ref="B103:J103" si="10">B$86</f>
        <v>0</v>
      </c>
      <c r="C103" s="39">
        <f t="shared" si="10"/>
        <v>0</v>
      </c>
      <c r="D103" s="39">
        <f t="shared" si="10"/>
        <v>0</v>
      </c>
      <c r="E103" s="39">
        <f t="shared" si="10"/>
        <v>0</v>
      </c>
      <c r="F103" s="39">
        <f t="shared" si="10"/>
        <v>0</v>
      </c>
      <c r="G103" s="39">
        <f t="shared" si="10"/>
        <v>0</v>
      </c>
      <c r="H103" s="39">
        <f t="shared" si="10"/>
        <v>0</v>
      </c>
      <c r="I103" s="39">
        <f t="shared" si="10"/>
        <v>0</v>
      </c>
      <c r="J103" s="39">
        <f t="shared" si="10"/>
        <v>331026.45196777326</v>
      </c>
      <c r="K103" s="10"/>
    </row>
    <row r="104" spans="1:11" x14ac:dyDescent="0.25">
      <c r="A104" s="3" t="s">
        <v>174</v>
      </c>
      <c r="B104" s="39">
        <f t="shared" ref="B104:J104" si="11">B$87</f>
        <v>0</v>
      </c>
      <c r="C104" s="39">
        <f t="shared" si="11"/>
        <v>0</v>
      </c>
      <c r="D104" s="39">
        <f t="shared" si="11"/>
        <v>0</v>
      </c>
      <c r="E104" s="39">
        <f t="shared" si="11"/>
        <v>0</v>
      </c>
      <c r="F104" s="39">
        <f t="shared" si="11"/>
        <v>0</v>
      </c>
      <c r="G104" s="39">
        <f t="shared" si="11"/>
        <v>0</v>
      </c>
      <c r="H104" s="39">
        <f t="shared" si="11"/>
        <v>0</v>
      </c>
      <c r="I104" s="39">
        <f t="shared" si="11"/>
        <v>0</v>
      </c>
      <c r="J104" s="39">
        <f t="shared" si="11"/>
        <v>425781.49034887354</v>
      </c>
      <c r="K104" s="10"/>
    </row>
    <row r="105" spans="1:11" x14ac:dyDescent="0.25">
      <c r="A105" s="3" t="s">
        <v>175</v>
      </c>
      <c r="B105" s="39">
        <f t="shared" ref="B105:J105" si="12">B$88</f>
        <v>0</v>
      </c>
      <c r="C105" s="39">
        <f t="shared" si="12"/>
        <v>0</v>
      </c>
      <c r="D105" s="39">
        <f t="shared" si="12"/>
        <v>0</v>
      </c>
      <c r="E105" s="39">
        <f t="shared" si="12"/>
        <v>0</v>
      </c>
      <c r="F105" s="39">
        <f t="shared" si="12"/>
        <v>0</v>
      </c>
      <c r="G105" s="39">
        <f t="shared" si="12"/>
        <v>0</v>
      </c>
      <c r="H105" s="39">
        <f t="shared" si="12"/>
        <v>0</v>
      </c>
      <c r="I105" s="39">
        <f t="shared" si="12"/>
        <v>0</v>
      </c>
      <c r="J105" s="39">
        <f t="shared" si="12"/>
        <v>0</v>
      </c>
      <c r="K105" s="10"/>
    </row>
    <row r="106" spans="1:11" x14ac:dyDescent="0.25">
      <c r="A106" s="3" t="s">
        <v>176</v>
      </c>
      <c r="B106" s="39">
        <f t="shared" ref="B106:J106" si="13">B$89</f>
        <v>0</v>
      </c>
      <c r="C106" s="39">
        <f t="shared" si="13"/>
        <v>0</v>
      </c>
      <c r="D106" s="39">
        <f t="shared" si="13"/>
        <v>0</v>
      </c>
      <c r="E106" s="39">
        <f t="shared" si="13"/>
        <v>0</v>
      </c>
      <c r="F106" s="39">
        <f t="shared" si="13"/>
        <v>0</v>
      </c>
      <c r="G106" s="39">
        <f t="shared" si="13"/>
        <v>0</v>
      </c>
      <c r="H106" s="39">
        <f t="shared" si="13"/>
        <v>0</v>
      </c>
      <c r="I106" s="39">
        <f t="shared" si="13"/>
        <v>0</v>
      </c>
      <c r="J106" s="39">
        <f t="shared" si="13"/>
        <v>0</v>
      </c>
      <c r="K106" s="10"/>
    </row>
    <row r="107" spans="1:11" x14ac:dyDescent="0.25">
      <c r="A107" s="3" t="s">
        <v>192</v>
      </c>
      <c r="B107" s="39">
        <f t="shared" ref="B107:J107" si="14">B$90</f>
        <v>0</v>
      </c>
      <c r="C107" s="39">
        <f t="shared" si="14"/>
        <v>0</v>
      </c>
      <c r="D107" s="39">
        <f t="shared" si="14"/>
        <v>0</v>
      </c>
      <c r="E107" s="39">
        <f t="shared" si="14"/>
        <v>0</v>
      </c>
      <c r="F107" s="39">
        <f t="shared" si="14"/>
        <v>0</v>
      </c>
      <c r="G107" s="39">
        <f t="shared" si="14"/>
        <v>0</v>
      </c>
      <c r="H107" s="39">
        <f t="shared" si="14"/>
        <v>0</v>
      </c>
      <c r="I107" s="39">
        <f t="shared" si="14"/>
        <v>0</v>
      </c>
      <c r="J107" s="39">
        <f t="shared" si="14"/>
        <v>0</v>
      </c>
      <c r="K107" s="10"/>
    </row>
    <row r="108" spans="1:11" x14ac:dyDescent="0.25">
      <c r="A108" s="3" t="s">
        <v>177</v>
      </c>
      <c r="B108" s="39">
        <f t="shared" ref="B108:J108" si="15">B$91</f>
        <v>0</v>
      </c>
      <c r="C108" s="39">
        <f t="shared" si="15"/>
        <v>0</v>
      </c>
      <c r="D108" s="39">
        <f t="shared" si="15"/>
        <v>0</v>
      </c>
      <c r="E108" s="39">
        <f t="shared" si="15"/>
        <v>0</v>
      </c>
      <c r="F108" s="39">
        <f t="shared" si="15"/>
        <v>0</v>
      </c>
      <c r="G108" s="39">
        <f t="shared" si="15"/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10"/>
    </row>
    <row r="109" spans="1:11" x14ac:dyDescent="0.25">
      <c r="A109" s="3" t="s">
        <v>178</v>
      </c>
      <c r="B109" s="39">
        <f t="shared" ref="B109:J109" si="16">B$92</f>
        <v>0</v>
      </c>
      <c r="C109" s="39">
        <f t="shared" si="16"/>
        <v>0</v>
      </c>
      <c r="D109" s="39">
        <f t="shared" si="16"/>
        <v>0</v>
      </c>
      <c r="E109" s="39">
        <f t="shared" si="16"/>
        <v>0</v>
      </c>
      <c r="F109" s="39">
        <f t="shared" si="16"/>
        <v>0</v>
      </c>
      <c r="G109" s="39">
        <f t="shared" si="16"/>
        <v>0</v>
      </c>
      <c r="H109" s="39">
        <f t="shared" si="16"/>
        <v>0</v>
      </c>
      <c r="I109" s="39">
        <f t="shared" si="16"/>
        <v>0</v>
      </c>
      <c r="J109" s="39">
        <f t="shared" si="16"/>
        <v>38280.411951412701</v>
      </c>
      <c r="K109" s="10"/>
    </row>
    <row r="110" spans="1:11" x14ac:dyDescent="0.25">
      <c r="A110" s="3" t="s">
        <v>179</v>
      </c>
      <c r="B110" s="39">
        <f t="shared" ref="B110:J110" si="17">B$70</f>
        <v>0</v>
      </c>
      <c r="C110" s="39">
        <f t="shared" si="17"/>
        <v>0</v>
      </c>
      <c r="D110" s="39">
        <f t="shared" si="17"/>
        <v>0</v>
      </c>
      <c r="E110" s="39">
        <f t="shared" si="17"/>
        <v>0</v>
      </c>
      <c r="F110" s="39">
        <f t="shared" si="17"/>
        <v>0</v>
      </c>
      <c r="G110" s="39">
        <f t="shared" si="17"/>
        <v>0</v>
      </c>
      <c r="H110" s="39">
        <f t="shared" si="17"/>
        <v>407816.10881883855</v>
      </c>
      <c r="I110" s="39">
        <f t="shared" si="17"/>
        <v>2002288.0176575452</v>
      </c>
      <c r="J110" s="39">
        <f t="shared" si="17"/>
        <v>1929011.2375053936</v>
      </c>
      <c r="K110" s="10"/>
    </row>
    <row r="111" spans="1:11" x14ac:dyDescent="0.25">
      <c r="A111" s="3" t="s">
        <v>180</v>
      </c>
      <c r="B111" s="39">
        <f t="shared" ref="B111:J111" si="18">B$71</f>
        <v>0</v>
      </c>
      <c r="C111" s="39">
        <f t="shared" si="18"/>
        <v>0</v>
      </c>
      <c r="D111" s="39">
        <f t="shared" si="18"/>
        <v>0</v>
      </c>
      <c r="E111" s="39">
        <f t="shared" si="18"/>
        <v>0</v>
      </c>
      <c r="F111" s="39">
        <f t="shared" si="18"/>
        <v>0</v>
      </c>
      <c r="G111" s="39">
        <f t="shared" si="18"/>
        <v>0</v>
      </c>
      <c r="H111" s="39">
        <f t="shared" si="18"/>
        <v>65136.299212668186</v>
      </c>
      <c r="I111" s="39">
        <f t="shared" si="18"/>
        <v>63961.000366475702</v>
      </c>
      <c r="J111" s="39">
        <f t="shared" si="18"/>
        <v>0</v>
      </c>
      <c r="K111" s="10"/>
    </row>
    <row r="112" spans="1:11" x14ac:dyDescent="0.25">
      <c r="A112" s="3" t="s">
        <v>193</v>
      </c>
      <c r="B112" s="39">
        <f t="shared" ref="B112:J112" si="19">B$72</f>
        <v>0</v>
      </c>
      <c r="C112" s="39">
        <f t="shared" si="19"/>
        <v>40793.796854247645</v>
      </c>
      <c r="D112" s="39">
        <f t="shared" si="19"/>
        <v>0</v>
      </c>
      <c r="E112" s="39">
        <f t="shared" si="19"/>
        <v>498819.51009049406</v>
      </c>
      <c r="F112" s="39">
        <f t="shared" si="19"/>
        <v>2474497.5697023524</v>
      </c>
      <c r="G112" s="39">
        <f t="shared" si="19"/>
        <v>200763.18491137595</v>
      </c>
      <c r="H112" s="39">
        <f t="shared" si="19"/>
        <v>2633864.0698227999</v>
      </c>
      <c r="I112" s="39">
        <f t="shared" si="19"/>
        <v>0</v>
      </c>
      <c r="J112" s="39">
        <f t="shared" si="19"/>
        <v>0</v>
      </c>
      <c r="K112" s="10"/>
    </row>
    <row r="114" spans="1:11" ht="21" customHeight="1" x14ac:dyDescent="0.3">
      <c r="A114" s="1" t="s">
        <v>851</v>
      </c>
    </row>
    <row r="115" spans="1:11" x14ac:dyDescent="0.25">
      <c r="A115" s="2" t="s">
        <v>356</v>
      </c>
    </row>
    <row r="116" spans="1:11" x14ac:dyDescent="0.25">
      <c r="A116" s="11" t="s">
        <v>852</v>
      </c>
    </row>
    <row r="117" spans="1:11" x14ac:dyDescent="0.25">
      <c r="A117" s="2" t="s">
        <v>826</v>
      </c>
    </row>
    <row r="119" spans="1:11" x14ac:dyDescent="0.25">
      <c r="B119" s="12" t="s">
        <v>139</v>
      </c>
      <c r="C119" s="12" t="s">
        <v>140</v>
      </c>
      <c r="D119" s="12" t="s">
        <v>141</v>
      </c>
      <c r="E119" s="12" t="s">
        <v>142</v>
      </c>
      <c r="F119" s="12" t="s">
        <v>143</v>
      </c>
      <c r="G119" s="12" t="s">
        <v>148</v>
      </c>
      <c r="H119" s="12" t="s">
        <v>144</v>
      </c>
      <c r="I119" s="12" t="s">
        <v>145</v>
      </c>
      <c r="J119" s="12" t="s">
        <v>146</v>
      </c>
    </row>
    <row r="120" spans="1:11" x14ac:dyDescent="0.25">
      <c r="A120" s="3" t="s">
        <v>853</v>
      </c>
      <c r="B120" s="17">
        <f t="shared" ref="B120:J120" si="20">SUM(B$101:B$112)</f>
        <v>0</v>
      </c>
      <c r="C120" s="17">
        <f t="shared" si="20"/>
        <v>40793.796854247645</v>
      </c>
      <c r="D120" s="17">
        <f t="shared" si="20"/>
        <v>0</v>
      </c>
      <c r="E120" s="17">
        <f t="shared" si="20"/>
        <v>498819.51009049406</v>
      </c>
      <c r="F120" s="17">
        <f t="shared" si="20"/>
        <v>2474497.5697023524</v>
      </c>
      <c r="G120" s="17">
        <f t="shared" si="20"/>
        <v>200763.18491137595</v>
      </c>
      <c r="H120" s="17">
        <f t="shared" si="20"/>
        <v>3106816.4778543068</v>
      </c>
      <c r="I120" s="17">
        <f t="shared" si="20"/>
        <v>2066249.0180240208</v>
      </c>
      <c r="J120" s="17">
        <f t="shared" si="20"/>
        <v>5016540.9714524392</v>
      </c>
      <c r="K120" s="10"/>
    </row>
    <row r="122" spans="1:11" ht="21" customHeight="1" x14ac:dyDescent="0.3">
      <c r="A122" s="1" t="s">
        <v>854</v>
      </c>
    </row>
    <row r="123" spans="1:11" x14ac:dyDescent="0.25">
      <c r="A123" s="2" t="s">
        <v>356</v>
      </c>
    </row>
    <row r="124" spans="1:11" x14ac:dyDescent="0.25">
      <c r="A124" s="11" t="s">
        <v>825</v>
      </c>
    </row>
    <row r="125" spans="1:11" x14ac:dyDescent="0.25">
      <c r="A125" s="11" t="s">
        <v>855</v>
      </c>
    </row>
    <row r="126" spans="1:11" x14ac:dyDescent="0.25">
      <c r="A126" s="2" t="s">
        <v>694</v>
      </c>
    </row>
    <row r="128" spans="1:11" x14ac:dyDescent="0.25">
      <c r="B128" s="12" t="s">
        <v>139</v>
      </c>
      <c r="C128" s="12" t="s">
        <v>140</v>
      </c>
      <c r="D128" s="12" t="s">
        <v>141</v>
      </c>
      <c r="E128" s="12" t="s">
        <v>142</v>
      </c>
      <c r="F128" s="12" t="s">
        <v>143</v>
      </c>
      <c r="G128" s="12" t="s">
        <v>148</v>
      </c>
      <c r="H128" s="12" t="s">
        <v>144</v>
      </c>
      <c r="I128" s="12" t="s">
        <v>145</v>
      </c>
      <c r="J128" s="12" t="s">
        <v>146</v>
      </c>
    </row>
    <row r="129" spans="1:11" x14ac:dyDescent="0.25">
      <c r="A129" s="3" t="s">
        <v>171</v>
      </c>
      <c r="B129" s="33">
        <f>SMD!B$107*B41</f>
        <v>0</v>
      </c>
      <c r="C129" s="33">
        <f>SMD!C$107*C41</f>
        <v>0</v>
      </c>
      <c r="D129" s="33">
        <f>SMD!D$107*D41</f>
        <v>0</v>
      </c>
      <c r="E129" s="33">
        <f>SMD!E$107*E41</f>
        <v>0</v>
      </c>
      <c r="F129" s="33">
        <f>SMD!F$107*F41</f>
        <v>0</v>
      </c>
      <c r="G129" s="33">
        <f>SMD!G$107*G41</f>
        <v>0</v>
      </c>
      <c r="H129" s="33">
        <f>SMD!H$107*H41</f>
        <v>0</v>
      </c>
      <c r="I129" s="33">
        <f>SMD!I$107*I41</f>
        <v>0</v>
      </c>
      <c r="J129" s="33">
        <f>SMD!J$107*J41</f>
        <v>1106968.9389920435</v>
      </c>
      <c r="K129" s="10"/>
    </row>
    <row r="130" spans="1:11" x14ac:dyDescent="0.25">
      <c r="A130" s="3" t="s">
        <v>172</v>
      </c>
      <c r="B130" s="33">
        <f>SMD!B$108*B42</f>
        <v>0</v>
      </c>
      <c r="C130" s="33">
        <f>SMD!C$108*C42</f>
        <v>0</v>
      </c>
      <c r="D130" s="33">
        <f>SMD!D$108*D42</f>
        <v>0</v>
      </c>
      <c r="E130" s="33">
        <f>SMD!E$108*E42</f>
        <v>0</v>
      </c>
      <c r="F130" s="33">
        <f>SMD!F$108*F42</f>
        <v>0</v>
      </c>
      <c r="G130" s="33">
        <f>SMD!G$108*G42</f>
        <v>0</v>
      </c>
      <c r="H130" s="33">
        <f>SMD!H$108*H42</f>
        <v>0</v>
      </c>
      <c r="I130" s="33">
        <f>SMD!I$108*I42</f>
        <v>0</v>
      </c>
      <c r="J130" s="33">
        <f>SMD!J$108*J42</f>
        <v>704118.20665346051</v>
      </c>
      <c r="K130" s="10"/>
    </row>
    <row r="131" spans="1:11" x14ac:dyDescent="0.25">
      <c r="A131" s="3" t="s">
        <v>211</v>
      </c>
      <c r="B131" s="33">
        <f>SMD!B$109*B43</f>
        <v>0</v>
      </c>
      <c r="C131" s="33">
        <f>SMD!C$109*C43</f>
        <v>0</v>
      </c>
      <c r="D131" s="33">
        <f>SMD!D$109*D43</f>
        <v>0</v>
      </c>
      <c r="E131" s="33">
        <f>SMD!E$109*E43</f>
        <v>0</v>
      </c>
      <c r="F131" s="33">
        <f>SMD!F$109*F43</f>
        <v>0</v>
      </c>
      <c r="G131" s="33">
        <f>SMD!G$109*G43</f>
        <v>0</v>
      </c>
      <c r="H131" s="33">
        <f>SMD!H$109*H43</f>
        <v>0</v>
      </c>
      <c r="I131" s="33">
        <f>SMD!I$109*I43</f>
        <v>0</v>
      </c>
      <c r="J131" s="33">
        <f>SMD!J$109*J43</f>
        <v>9761.0772724059461</v>
      </c>
      <c r="K131" s="10"/>
    </row>
    <row r="132" spans="1:11" x14ac:dyDescent="0.25">
      <c r="A132" s="3" t="s">
        <v>173</v>
      </c>
      <c r="B132" s="33">
        <f>SMD!B$110*B44</f>
        <v>0</v>
      </c>
      <c r="C132" s="33">
        <f>SMD!C$110*C44</f>
        <v>0</v>
      </c>
      <c r="D132" s="33">
        <f>SMD!D$110*D44</f>
        <v>0</v>
      </c>
      <c r="E132" s="33">
        <f>SMD!E$110*E44</f>
        <v>0</v>
      </c>
      <c r="F132" s="33">
        <f>SMD!F$110*F44</f>
        <v>0</v>
      </c>
      <c r="G132" s="33">
        <f>SMD!G$110*G44</f>
        <v>0</v>
      </c>
      <c r="H132" s="33">
        <f>SMD!H$110*H44</f>
        <v>0</v>
      </c>
      <c r="I132" s="33">
        <f>SMD!I$110*I44</f>
        <v>0</v>
      </c>
      <c r="J132" s="33">
        <f>SMD!J$110*J44</f>
        <v>239979.58517528643</v>
      </c>
      <c r="K132" s="10"/>
    </row>
    <row r="133" spans="1:11" x14ac:dyDescent="0.25">
      <c r="A133" s="3" t="s">
        <v>174</v>
      </c>
      <c r="B133" s="33">
        <f>SMD!B$111*B45</f>
        <v>0</v>
      </c>
      <c r="C133" s="33">
        <f>SMD!C$111*C45</f>
        <v>0</v>
      </c>
      <c r="D133" s="33">
        <f>SMD!D$111*D45</f>
        <v>0</v>
      </c>
      <c r="E133" s="33">
        <f>SMD!E$111*E45</f>
        <v>0</v>
      </c>
      <c r="F133" s="33">
        <f>SMD!F$111*F45</f>
        <v>0</v>
      </c>
      <c r="G133" s="33">
        <f>SMD!G$111*G45</f>
        <v>0</v>
      </c>
      <c r="H133" s="33">
        <f>SMD!H$111*H45</f>
        <v>0</v>
      </c>
      <c r="I133" s="33">
        <f>SMD!I$111*I45</f>
        <v>0</v>
      </c>
      <c r="J133" s="33">
        <f>SMD!J$111*J45</f>
        <v>367382.49835968867</v>
      </c>
      <c r="K133" s="10"/>
    </row>
    <row r="134" spans="1:11" x14ac:dyDescent="0.25">
      <c r="A134" s="3" t="s">
        <v>212</v>
      </c>
      <c r="B134" s="33">
        <f>SMD!B$112*B46</f>
        <v>0</v>
      </c>
      <c r="C134" s="33">
        <f>SMD!C$112*C46</f>
        <v>0</v>
      </c>
      <c r="D134" s="33">
        <f>SMD!D$112*D46</f>
        <v>0</v>
      </c>
      <c r="E134" s="33">
        <f>SMD!E$112*E46</f>
        <v>0</v>
      </c>
      <c r="F134" s="33">
        <f>SMD!F$112*F46</f>
        <v>0</v>
      </c>
      <c r="G134" s="33">
        <f>SMD!G$112*G46</f>
        <v>0</v>
      </c>
      <c r="H134" s="33">
        <f>SMD!H$112*H46</f>
        <v>0</v>
      </c>
      <c r="I134" s="33">
        <f>SMD!I$112*I46</f>
        <v>0</v>
      </c>
      <c r="J134" s="33">
        <f>SMD!J$112*J46</f>
        <v>172.27239860582046</v>
      </c>
      <c r="K134" s="10"/>
    </row>
    <row r="135" spans="1:11" x14ac:dyDescent="0.25">
      <c r="A135" s="3" t="s">
        <v>175</v>
      </c>
      <c r="B135" s="33">
        <f>SMD!B$113*B47</f>
        <v>0</v>
      </c>
      <c r="C135" s="33">
        <f>SMD!C$113*C47</f>
        <v>0</v>
      </c>
      <c r="D135" s="33">
        <f>SMD!D$113*D47</f>
        <v>0</v>
      </c>
      <c r="E135" s="33">
        <f>SMD!E$113*E47</f>
        <v>0</v>
      </c>
      <c r="F135" s="33">
        <f>SMD!F$113*F47</f>
        <v>0</v>
      </c>
      <c r="G135" s="33">
        <f>SMD!G$113*G47</f>
        <v>0</v>
      </c>
      <c r="H135" s="33">
        <f>SMD!H$113*H47</f>
        <v>0</v>
      </c>
      <c r="I135" s="33">
        <f>SMD!I$113*I47</f>
        <v>0</v>
      </c>
      <c r="J135" s="33">
        <f>SMD!J$113*J47</f>
        <v>0</v>
      </c>
      <c r="K135" s="10"/>
    </row>
    <row r="136" spans="1:11" x14ac:dyDescent="0.25">
      <c r="A136" s="3" t="s">
        <v>176</v>
      </c>
      <c r="B136" s="33">
        <f>SMD!B$114*B48</f>
        <v>0</v>
      </c>
      <c r="C136" s="33">
        <f>SMD!C$114*C48</f>
        <v>0</v>
      </c>
      <c r="D136" s="33">
        <f>SMD!D$114*D48</f>
        <v>0</v>
      </c>
      <c r="E136" s="33">
        <f>SMD!E$114*E48</f>
        <v>0</v>
      </c>
      <c r="F136" s="33">
        <f>SMD!F$114*F48</f>
        <v>0</v>
      </c>
      <c r="G136" s="33">
        <f>SMD!G$114*G48</f>
        <v>0</v>
      </c>
      <c r="H136" s="33">
        <f>SMD!H$114*H48</f>
        <v>0</v>
      </c>
      <c r="I136" s="33">
        <f>SMD!I$114*I48</f>
        <v>0</v>
      </c>
      <c r="J136" s="33">
        <f>SMD!J$114*J48</f>
        <v>0</v>
      </c>
      <c r="K136" s="10"/>
    </row>
    <row r="137" spans="1:11" x14ac:dyDescent="0.25">
      <c r="A137" s="3" t="s">
        <v>192</v>
      </c>
      <c r="B137" s="33">
        <f>SMD!B$115*B49</f>
        <v>0</v>
      </c>
      <c r="C137" s="33">
        <f>SMD!C$115*C49</f>
        <v>0</v>
      </c>
      <c r="D137" s="33">
        <f>SMD!D$115*D49</f>
        <v>0</v>
      </c>
      <c r="E137" s="33">
        <f>SMD!E$115*E49</f>
        <v>0</v>
      </c>
      <c r="F137" s="33">
        <f>SMD!F$115*F49</f>
        <v>0</v>
      </c>
      <c r="G137" s="33">
        <f>SMD!G$115*G49</f>
        <v>0</v>
      </c>
      <c r="H137" s="33">
        <f>SMD!H$115*H49</f>
        <v>0</v>
      </c>
      <c r="I137" s="33">
        <f>SMD!I$115*I49</f>
        <v>0</v>
      </c>
      <c r="J137" s="33">
        <f>SMD!J$115*J49</f>
        <v>0</v>
      </c>
      <c r="K137" s="10"/>
    </row>
    <row r="138" spans="1:11" x14ac:dyDescent="0.25">
      <c r="A138" s="3" t="s">
        <v>177</v>
      </c>
      <c r="B138" s="33">
        <f>SMD!B$116*B50</f>
        <v>0</v>
      </c>
      <c r="C138" s="33">
        <f>SMD!C$116*C50</f>
        <v>0</v>
      </c>
      <c r="D138" s="33">
        <f>SMD!D$116*D50</f>
        <v>0</v>
      </c>
      <c r="E138" s="33">
        <f>SMD!E$116*E50</f>
        <v>0</v>
      </c>
      <c r="F138" s="33">
        <f>SMD!F$116*F50</f>
        <v>0</v>
      </c>
      <c r="G138" s="33">
        <f>SMD!G$116*G50</f>
        <v>0</v>
      </c>
      <c r="H138" s="33">
        <f>SMD!H$116*H50</f>
        <v>0</v>
      </c>
      <c r="I138" s="33">
        <f>SMD!I$116*I50</f>
        <v>0</v>
      </c>
      <c r="J138" s="33">
        <f>SMD!J$116*J50</f>
        <v>0</v>
      </c>
      <c r="K138" s="10"/>
    </row>
    <row r="139" spans="1:11" x14ac:dyDescent="0.25">
      <c r="A139" s="3" t="s">
        <v>178</v>
      </c>
      <c r="B139" s="33">
        <f>SMD!B$117*B51</f>
        <v>0</v>
      </c>
      <c r="C139" s="33">
        <f>SMD!C$117*C51</f>
        <v>0</v>
      </c>
      <c r="D139" s="33">
        <f>SMD!D$117*D51</f>
        <v>0</v>
      </c>
      <c r="E139" s="33">
        <f>SMD!E$117*E51</f>
        <v>0</v>
      </c>
      <c r="F139" s="33">
        <f>SMD!F$117*F51</f>
        <v>0</v>
      </c>
      <c r="G139" s="33">
        <f>SMD!G$117*G51</f>
        <v>0</v>
      </c>
      <c r="H139" s="33">
        <f>SMD!H$117*H51</f>
        <v>0</v>
      </c>
      <c r="I139" s="33">
        <f>SMD!I$117*I51</f>
        <v>0</v>
      </c>
      <c r="J139" s="33">
        <f>SMD!J$117*J51</f>
        <v>28700.338797743192</v>
      </c>
      <c r="K139" s="10"/>
    </row>
    <row r="140" spans="1:11" x14ac:dyDescent="0.25">
      <c r="A140" s="3" t="s">
        <v>179</v>
      </c>
      <c r="B140" s="33">
        <f>SMD!B$118*B52</f>
        <v>0</v>
      </c>
      <c r="C140" s="33">
        <f>SMD!C$118*C52</f>
        <v>0</v>
      </c>
      <c r="D140" s="33">
        <f>SMD!D$118*D52</f>
        <v>0</v>
      </c>
      <c r="E140" s="33">
        <f>SMD!E$118*E52</f>
        <v>0</v>
      </c>
      <c r="F140" s="33">
        <f>SMD!F$118*F52</f>
        <v>0</v>
      </c>
      <c r="G140" s="33">
        <f>SMD!G$118*G52</f>
        <v>0</v>
      </c>
      <c r="H140" s="33">
        <f>SMD!H$118*H52</f>
        <v>133271.89595030219</v>
      </c>
      <c r="I140" s="33">
        <f>SMD!I$118*I52</f>
        <v>654335.8993951208</v>
      </c>
      <c r="J140" s="33">
        <f>SMD!J$118*J52</f>
        <v>630389.48038706509</v>
      </c>
      <c r="K140" s="10"/>
    </row>
    <row r="141" spans="1:11" x14ac:dyDescent="0.25">
      <c r="A141" s="3" t="s">
        <v>180</v>
      </c>
      <c r="B141" s="33">
        <f>SMD!B$119*B53</f>
        <v>0</v>
      </c>
      <c r="C141" s="33">
        <f>SMD!C$119*C53</f>
        <v>0</v>
      </c>
      <c r="D141" s="33">
        <f>SMD!D$119*D53</f>
        <v>0</v>
      </c>
      <c r="E141" s="33">
        <f>SMD!E$119*E53</f>
        <v>0</v>
      </c>
      <c r="F141" s="33">
        <f>SMD!F$119*F53</f>
        <v>0</v>
      </c>
      <c r="G141" s="33">
        <f>SMD!G$119*G53</f>
        <v>0</v>
      </c>
      <c r="H141" s="33">
        <f>SMD!H$119*H53</f>
        <v>17601.698497585596</v>
      </c>
      <c r="I141" s="33">
        <f>SMD!I$119*I53</f>
        <v>17284.098999528494</v>
      </c>
      <c r="J141" s="33">
        <f>SMD!J$119*J53</f>
        <v>0</v>
      </c>
      <c r="K141" s="10"/>
    </row>
    <row r="142" spans="1:11" x14ac:dyDescent="0.25">
      <c r="A142" s="3" t="s">
        <v>193</v>
      </c>
      <c r="B142" s="33">
        <f>SMD!B$120*B54</f>
        <v>0</v>
      </c>
      <c r="C142" s="33">
        <f>SMD!C$120*C54</f>
        <v>16527.385810170985</v>
      </c>
      <c r="D142" s="33">
        <f>SMD!D$120*D54</f>
        <v>0</v>
      </c>
      <c r="E142" s="33">
        <f>SMD!E$120*E54</f>
        <v>203916.72494423226</v>
      </c>
      <c r="F142" s="33">
        <f>SMD!F$120*F54</f>
        <v>1011571.1797331758</v>
      </c>
      <c r="G142" s="33">
        <f>SMD!G$120*G54</f>
        <v>81338.11680644071</v>
      </c>
      <c r="H142" s="33">
        <f>SMD!H$120*H54</f>
        <v>1076719.9842867318</v>
      </c>
      <c r="I142" s="33">
        <f>SMD!I$120*I54</f>
        <v>0</v>
      </c>
      <c r="J142" s="33">
        <f>SMD!J$120*J54</f>
        <v>0</v>
      </c>
      <c r="K142" s="10"/>
    </row>
    <row r="143" spans="1:11" x14ac:dyDescent="0.25">
      <c r="A143" s="3" t="s">
        <v>213</v>
      </c>
      <c r="B143" s="33">
        <f>SMD!B$121*B55</f>
        <v>0</v>
      </c>
      <c r="C143" s="33">
        <f>SMD!C$121*C55</f>
        <v>0</v>
      </c>
      <c r="D143" s="33">
        <f>SMD!D$121*D55</f>
        <v>0</v>
      </c>
      <c r="E143" s="33">
        <f>SMD!E$121*E55</f>
        <v>0</v>
      </c>
      <c r="F143" s="33">
        <f>SMD!F$121*F55</f>
        <v>0</v>
      </c>
      <c r="G143" s="33">
        <f>SMD!G$121*G55</f>
        <v>0</v>
      </c>
      <c r="H143" s="33">
        <f>SMD!H$121*H55</f>
        <v>0</v>
      </c>
      <c r="I143" s="33">
        <f>SMD!I$121*I55</f>
        <v>0</v>
      </c>
      <c r="J143" s="33">
        <f>SMD!J$121*J55</f>
        <v>0</v>
      </c>
      <c r="K143" s="10"/>
    </row>
    <row r="144" spans="1:11" x14ac:dyDescent="0.25">
      <c r="A144" s="3" t="s">
        <v>214</v>
      </c>
      <c r="B144" s="33">
        <f>SMD!B$122*B56</f>
        <v>0</v>
      </c>
      <c r="C144" s="33">
        <f>SMD!C$122*C56</f>
        <v>0</v>
      </c>
      <c r="D144" s="33">
        <f>SMD!D$122*D56</f>
        <v>0</v>
      </c>
      <c r="E144" s="33">
        <f>SMD!E$122*E56</f>
        <v>0</v>
      </c>
      <c r="F144" s="33">
        <f>SMD!F$122*F56</f>
        <v>0</v>
      </c>
      <c r="G144" s="33">
        <f>SMD!G$122*G56</f>
        <v>0</v>
      </c>
      <c r="H144" s="33">
        <f>SMD!H$122*H56</f>
        <v>0</v>
      </c>
      <c r="I144" s="33">
        <f>SMD!I$122*I56</f>
        <v>0</v>
      </c>
      <c r="J144" s="33">
        <f>SMD!J$122*J56</f>
        <v>0</v>
      </c>
      <c r="K144" s="10"/>
    </row>
    <row r="145" spans="1:11" x14ac:dyDescent="0.25">
      <c r="A145" s="3" t="s">
        <v>215</v>
      </c>
      <c r="B145" s="33">
        <f>SMD!B$123*B57</f>
        <v>0</v>
      </c>
      <c r="C145" s="33">
        <f>SMD!C$123*C57</f>
        <v>0</v>
      </c>
      <c r="D145" s="33">
        <f>SMD!D$123*D57</f>
        <v>0</v>
      </c>
      <c r="E145" s="33">
        <f>SMD!E$123*E57</f>
        <v>0</v>
      </c>
      <c r="F145" s="33">
        <f>SMD!F$123*F57</f>
        <v>0</v>
      </c>
      <c r="G145" s="33">
        <f>SMD!G$123*G57</f>
        <v>0</v>
      </c>
      <c r="H145" s="33">
        <f>SMD!H$123*H57</f>
        <v>0</v>
      </c>
      <c r="I145" s="33">
        <f>SMD!I$123*I57</f>
        <v>0</v>
      </c>
      <c r="J145" s="33">
        <f>SMD!J$123*J57</f>
        <v>0</v>
      </c>
      <c r="K145" s="10"/>
    </row>
    <row r="146" spans="1:11" x14ac:dyDescent="0.25">
      <c r="A146" s="3" t="s">
        <v>216</v>
      </c>
      <c r="B146" s="33">
        <f>SMD!B$124*B58</f>
        <v>0</v>
      </c>
      <c r="C146" s="33">
        <f>SMD!C$124*C58</f>
        <v>0</v>
      </c>
      <c r="D146" s="33">
        <f>SMD!D$124*D58</f>
        <v>0</v>
      </c>
      <c r="E146" s="33">
        <f>SMD!E$124*E58</f>
        <v>0</v>
      </c>
      <c r="F146" s="33">
        <f>SMD!F$124*F58</f>
        <v>0</v>
      </c>
      <c r="G146" s="33">
        <f>SMD!G$124*G58</f>
        <v>0</v>
      </c>
      <c r="H146" s="33">
        <f>SMD!H$124*H58</f>
        <v>0</v>
      </c>
      <c r="I146" s="33">
        <f>SMD!I$124*I58</f>
        <v>0</v>
      </c>
      <c r="J146" s="33">
        <f>SMD!J$124*J58</f>
        <v>0</v>
      </c>
      <c r="K146" s="10"/>
    </row>
    <row r="147" spans="1:11" x14ac:dyDescent="0.25">
      <c r="A147" s="3" t="s">
        <v>217</v>
      </c>
      <c r="B147" s="33">
        <f>SMD!B$125*B59</f>
        <v>0</v>
      </c>
      <c r="C147" s="33">
        <f>SMD!C$125*C59</f>
        <v>0</v>
      </c>
      <c r="D147" s="33">
        <f>SMD!D$125*D59</f>
        <v>0</v>
      </c>
      <c r="E147" s="33">
        <f>SMD!E$125*E59</f>
        <v>0</v>
      </c>
      <c r="F147" s="33">
        <f>SMD!F$125*F59</f>
        <v>0</v>
      </c>
      <c r="G147" s="33">
        <f>SMD!G$125*G59</f>
        <v>0</v>
      </c>
      <c r="H147" s="33">
        <f>SMD!H$125*H59</f>
        <v>0</v>
      </c>
      <c r="I147" s="33">
        <f>SMD!I$125*I59</f>
        <v>0</v>
      </c>
      <c r="J147" s="33">
        <f>SMD!J$125*J59</f>
        <v>0</v>
      </c>
      <c r="K147" s="10"/>
    </row>
    <row r="149" spans="1:11" ht="21" customHeight="1" x14ac:dyDescent="0.3">
      <c r="A149" s="1" t="s">
        <v>856</v>
      </c>
    </row>
    <row r="150" spans="1:11" x14ac:dyDescent="0.25">
      <c r="A150" s="2" t="s">
        <v>356</v>
      </c>
    </row>
    <row r="151" spans="1:11" x14ac:dyDescent="0.25">
      <c r="A151" s="11" t="s">
        <v>857</v>
      </c>
    </row>
    <row r="152" spans="1:11" x14ac:dyDescent="0.25">
      <c r="A152" s="2" t="s">
        <v>826</v>
      </c>
    </row>
    <row r="154" spans="1:11" x14ac:dyDescent="0.25">
      <c r="B154" s="12" t="s">
        <v>139</v>
      </c>
      <c r="C154" s="12" t="s">
        <v>140</v>
      </c>
      <c r="D154" s="12" t="s">
        <v>141</v>
      </c>
      <c r="E154" s="12" t="s">
        <v>142</v>
      </c>
      <c r="F154" s="12" t="s">
        <v>143</v>
      </c>
      <c r="G154" s="12" t="s">
        <v>148</v>
      </c>
      <c r="H154" s="12" t="s">
        <v>144</v>
      </c>
      <c r="I154" s="12" t="s">
        <v>145</v>
      </c>
      <c r="J154" s="12" t="s">
        <v>146</v>
      </c>
    </row>
    <row r="155" spans="1:11" ht="30" x14ac:dyDescent="0.25">
      <c r="A155" s="3" t="s">
        <v>858</v>
      </c>
      <c r="B155" s="17">
        <f t="shared" ref="B155:J155" si="21">SUM(B$129:B$147)</f>
        <v>0</v>
      </c>
      <c r="C155" s="17">
        <f t="shared" si="21"/>
        <v>16527.385810170985</v>
      </c>
      <c r="D155" s="17">
        <f t="shared" si="21"/>
        <v>0</v>
      </c>
      <c r="E155" s="17">
        <f t="shared" si="21"/>
        <v>203916.72494423226</v>
      </c>
      <c r="F155" s="17">
        <f t="shared" si="21"/>
        <v>1011571.1797331758</v>
      </c>
      <c r="G155" s="17">
        <f t="shared" si="21"/>
        <v>81338.11680644071</v>
      </c>
      <c r="H155" s="17">
        <f t="shared" si="21"/>
        <v>1227593.5787346195</v>
      </c>
      <c r="I155" s="17">
        <f t="shared" si="21"/>
        <v>671619.99839464924</v>
      </c>
      <c r="J155" s="17">
        <f t="shared" si="21"/>
        <v>3087472.3980362988</v>
      </c>
      <c r="K155" s="10"/>
    </row>
    <row r="157" spans="1:11" ht="21" customHeight="1" x14ac:dyDescent="0.3">
      <c r="A157" s="1" t="s">
        <v>859</v>
      </c>
    </row>
    <row r="158" spans="1:11" x14ac:dyDescent="0.25">
      <c r="A158" s="2" t="s">
        <v>356</v>
      </c>
    </row>
    <row r="159" spans="1:11" x14ac:dyDescent="0.25">
      <c r="A159" s="11" t="s">
        <v>860</v>
      </c>
    </row>
    <row r="160" spans="1:11" x14ac:dyDescent="0.25">
      <c r="A160" s="11" t="s">
        <v>861</v>
      </c>
    </row>
    <row r="161" spans="1:11" x14ac:dyDescent="0.25">
      <c r="A161" s="2" t="s">
        <v>862</v>
      </c>
    </row>
    <row r="163" spans="1:11" x14ac:dyDescent="0.25">
      <c r="B163" s="12" t="s">
        <v>146</v>
      </c>
    </row>
    <row r="164" spans="1:11" x14ac:dyDescent="0.25">
      <c r="A164" s="3" t="s">
        <v>863</v>
      </c>
      <c r="B164" s="35">
        <f>$J120/$J155-1</f>
        <v>0.62480512364841578</v>
      </c>
      <c r="C164" s="10"/>
    </row>
    <row r="166" spans="1:11" ht="21" customHeight="1" x14ac:dyDescent="0.3">
      <c r="A166" s="1" t="s">
        <v>864</v>
      </c>
    </row>
    <row r="168" spans="1:11" x14ac:dyDescent="0.25">
      <c r="B168" s="12" t="s">
        <v>139</v>
      </c>
      <c r="C168" s="12" t="s">
        <v>140</v>
      </c>
      <c r="D168" s="12" t="s">
        <v>141</v>
      </c>
      <c r="E168" s="12" t="s">
        <v>142</v>
      </c>
      <c r="F168" s="12" t="s">
        <v>143</v>
      </c>
      <c r="G168" s="12" t="s">
        <v>148</v>
      </c>
      <c r="H168" s="12" t="s">
        <v>144</v>
      </c>
      <c r="I168" s="12" t="s">
        <v>145</v>
      </c>
      <c r="J168" s="12" t="s">
        <v>146</v>
      </c>
    </row>
    <row r="169" spans="1:11" x14ac:dyDescent="0.25">
      <c r="A169" s="3" t="s">
        <v>139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10"/>
    </row>
    <row r="170" spans="1:11" x14ac:dyDescent="0.25">
      <c r="A170" s="3" t="s">
        <v>140</v>
      </c>
      <c r="B170" s="36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10"/>
    </row>
    <row r="171" spans="1:11" x14ac:dyDescent="0.25">
      <c r="A171" s="3" t="s">
        <v>141</v>
      </c>
      <c r="B171" s="36">
        <v>0</v>
      </c>
      <c r="C171" s="36">
        <v>0</v>
      </c>
      <c r="D171" s="36">
        <v>1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10"/>
    </row>
    <row r="172" spans="1:11" x14ac:dyDescent="0.25">
      <c r="A172" s="3" t="s">
        <v>142</v>
      </c>
      <c r="B172" s="36">
        <v>0</v>
      </c>
      <c r="C172" s="36">
        <v>0</v>
      </c>
      <c r="D172" s="36">
        <v>0</v>
      </c>
      <c r="E172" s="36">
        <v>1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10"/>
    </row>
    <row r="173" spans="1:11" x14ac:dyDescent="0.25">
      <c r="A173" s="3" t="s">
        <v>143</v>
      </c>
      <c r="B173" s="36">
        <v>0</v>
      </c>
      <c r="C173" s="36">
        <v>0</v>
      </c>
      <c r="D173" s="36">
        <v>0</v>
      </c>
      <c r="E173" s="36">
        <v>0</v>
      </c>
      <c r="F173" s="36">
        <v>1</v>
      </c>
      <c r="G173" s="36">
        <v>0</v>
      </c>
      <c r="H173" s="36">
        <v>0</v>
      </c>
      <c r="I173" s="36">
        <v>0</v>
      </c>
      <c r="J173" s="36">
        <v>0</v>
      </c>
      <c r="K173" s="10"/>
    </row>
    <row r="174" spans="1:11" x14ac:dyDescent="0.25">
      <c r="A174" s="3" t="s">
        <v>144</v>
      </c>
      <c r="B174" s="36">
        <v>0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0</v>
      </c>
      <c r="J174" s="36">
        <v>0</v>
      </c>
      <c r="K174" s="10"/>
    </row>
    <row r="175" spans="1:11" x14ac:dyDescent="0.25">
      <c r="A175" s="3" t="s">
        <v>145</v>
      </c>
      <c r="B175" s="36">
        <v>0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1</v>
      </c>
      <c r="J175" s="36">
        <v>0</v>
      </c>
      <c r="K175" s="10"/>
    </row>
    <row r="176" spans="1:11" x14ac:dyDescent="0.25">
      <c r="A176" s="3" t="s">
        <v>146</v>
      </c>
      <c r="B176" s="36">
        <v>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1</v>
      </c>
      <c r="K176" s="10"/>
    </row>
    <row r="178" spans="1:3" ht="21" customHeight="1" x14ac:dyDescent="0.3">
      <c r="A178" s="1" t="s">
        <v>865</v>
      </c>
    </row>
    <row r="179" spans="1:3" x14ac:dyDescent="0.25">
      <c r="A179" s="2" t="s">
        <v>356</v>
      </c>
    </row>
    <row r="180" spans="1:3" x14ac:dyDescent="0.25">
      <c r="A180" s="11" t="s">
        <v>866</v>
      </c>
    </row>
    <row r="181" spans="1:3" x14ac:dyDescent="0.25">
      <c r="A181" s="11" t="s">
        <v>867</v>
      </c>
    </row>
    <row r="182" spans="1:3" x14ac:dyDescent="0.25">
      <c r="A182" s="2" t="s">
        <v>369</v>
      </c>
    </row>
    <row r="184" spans="1:3" ht="60" x14ac:dyDescent="0.25">
      <c r="B184" s="12" t="s">
        <v>868</v>
      </c>
    </row>
    <row r="185" spans="1:3" x14ac:dyDescent="0.25">
      <c r="A185" s="3" t="s">
        <v>139</v>
      </c>
      <c r="B185" s="35">
        <f>SUMPRODUCT(DRM!D$48:D$55,$B$169:$B$176)</f>
        <v>2.4713742436156094E-2</v>
      </c>
      <c r="C185" s="10"/>
    </row>
    <row r="186" spans="1:3" x14ac:dyDescent="0.25">
      <c r="A186" s="3" t="s">
        <v>140</v>
      </c>
      <c r="B186" s="35">
        <f>SUMPRODUCT(DRM!D$48:D$55,$C$169:$C$176)</f>
        <v>7.0839672179421997E-2</v>
      </c>
      <c r="C186" s="10"/>
    </row>
    <row r="187" spans="1:3" x14ac:dyDescent="0.25">
      <c r="A187" s="3" t="s">
        <v>141</v>
      </c>
      <c r="B187" s="35">
        <f>SUMPRODUCT(DRM!D$48:D$55,$D$169:$D$176)</f>
        <v>7.0839672179421997E-2</v>
      </c>
      <c r="C187" s="10"/>
    </row>
    <row r="188" spans="1:3" x14ac:dyDescent="0.25">
      <c r="A188" s="3" t="s">
        <v>142</v>
      </c>
      <c r="B188" s="35">
        <f>SUMPRODUCT(DRM!D$48:D$55,$E$169:$E$176)</f>
        <v>0.15545489876905783</v>
      </c>
      <c r="C188" s="10"/>
    </row>
    <row r="189" spans="1:3" x14ac:dyDescent="0.25">
      <c r="A189" s="3" t="s">
        <v>143</v>
      </c>
      <c r="B189" s="35">
        <f>SUMPRODUCT(DRM!D$48:D$55,$F$169:$F$176)</f>
        <v>0.15545489876905783</v>
      </c>
      <c r="C189" s="10"/>
    </row>
    <row r="190" spans="1:3" x14ac:dyDescent="0.25">
      <c r="A190" s="3" t="s">
        <v>148</v>
      </c>
      <c r="B190" s="35">
        <f>SUMPRODUCT(DRM!D$48:D$55,$G$169:$G$176)</f>
        <v>7.0839672179421997E-2</v>
      </c>
      <c r="C190" s="10"/>
    </row>
    <row r="191" spans="1:3" x14ac:dyDescent="0.25">
      <c r="A191" s="3" t="s">
        <v>144</v>
      </c>
      <c r="B191" s="35">
        <f>SUMPRODUCT(DRM!D$48:D$55,$H$169:$H$176)</f>
        <v>0.54830956435053779</v>
      </c>
      <c r="C191" s="10"/>
    </row>
    <row r="192" spans="1:3" x14ac:dyDescent="0.25">
      <c r="A192" s="3" t="s">
        <v>145</v>
      </c>
      <c r="B192" s="35">
        <f>SUMPRODUCT(DRM!D$48:D$55,$I$169:$I$176)</f>
        <v>0.54830956435053779</v>
      </c>
      <c r="C192" s="10"/>
    </row>
    <row r="193" spans="1:11" x14ac:dyDescent="0.25">
      <c r="A193" s="3" t="s">
        <v>146</v>
      </c>
      <c r="B193" s="35">
        <f>SUMPRODUCT(DRM!D$48:D$55,$J$169:$J$176)</f>
        <v>0</v>
      </c>
      <c r="C193" s="10"/>
    </row>
    <row r="195" spans="1:11" ht="21" customHeight="1" x14ac:dyDescent="0.3">
      <c r="A195" s="1" t="s">
        <v>869</v>
      </c>
    </row>
    <row r="196" spans="1:11" x14ac:dyDescent="0.25">
      <c r="A196" s="2" t="s">
        <v>356</v>
      </c>
    </row>
    <row r="197" spans="1:11" x14ac:dyDescent="0.25">
      <c r="A197" s="11" t="s">
        <v>870</v>
      </c>
    </row>
    <row r="198" spans="1:11" x14ac:dyDescent="0.25">
      <c r="A198" s="11" t="s">
        <v>871</v>
      </c>
    </row>
    <row r="199" spans="1:11" x14ac:dyDescent="0.25">
      <c r="A199" s="2" t="s">
        <v>374</v>
      </c>
    </row>
    <row r="201" spans="1:11" x14ac:dyDescent="0.25">
      <c r="B201" s="12" t="s">
        <v>139</v>
      </c>
      <c r="C201" s="12" t="s">
        <v>140</v>
      </c>
      <c r="D201" s="12" t="s">
        <v>141</v>
      </c>
      <c r="E201" s="12" t="s">
        <v>142</v>
      </c>
      <c r="F201" s="12" t="s">
        <v>143</v>
      </c>
      <c r="G201" s="12" t="s">
        <v>148</v>
      </c>
      <c r="H201" s="12" t="s">
        <v>144</v>
      </c>
      <c r="I201" s="12" t="s">
        <v>145</v>
      </c>
      <c r="J201" s="12" t="s">
        <v>146</v>
      </c>
    </row>
    <row r="202" spans="1:11" x14ac:dyDescent="0.25">
      <c r="A202" s="3" t="s">
        <v>872</v>
      </c>
      <c r="B202" s="37">
        <f>$B$185</f>
        <v>2.4713742436156094E-2</v>
      </c>
      <c r="C202" s="37">
        <f>$B$186</f>
        <v>7.0839672179421997E-2</v>
      </c>
      <c r="D202" s="37">
        <f>$B$187</f>
        <v>7.0839672179421997E-2</v>
      </c>
      <c r="E202" s="37">
        <f>$B$188</f>
        <v>0.15545489876905783</v>
      </c>
      <c r="F202" s="37">
        <f>$B$189</f>
        <v>0.15545489876905783</v>
      </c>
      <c r="G202" s="37">
        <f>$B$190</f>
        <v>7.0839672179421997E-2</v>
      </c>
      <c r="H202" s="37">
        <f>$B$191</f>
        <v>0.54830956435053779</v>
      </c>
      <c r="I202" s="37">
        <f>$B$192</f>
        <v>0.54830956435053779</v>
      </c>
      <c r="J202" s="37">
        <f>$B164</f>
        <v>0.62480512364841578</v>
      </c>
      <c r="K202" s="10"/>
    </row>
    <row r="204" spans="1:11" ht="21" customHeight="1" x14ac:dyDescent="0.3">
      <c r="A204" s="1" t="s">
        <v>873</v>
      </c>
    </row>
    <row r="205" spans="1:11" x14ac:dyDescent="0.25">
      <c r="A205" s="2" t="s">
        <v>356</v>
      </c>
    </row>
    <row r="206" spans="1:11" x14ac:dyDescent="0.25">
      <c r="A206" s="11" t="s">
        <v>874</v>
      </c>
    </row>
    <row r="207" spans="1:11" x14ac:dyDescent="0.25">
      <c r="A207" s="11" t="s">
        <v>861</v>
      </c>
    </row>
    <row r="208" spans="1:11" x14ac:dyDescent="0.25">
      <c r="A208" s="11" t="s">
        <v>875</v>
      </c>
    </row>
    <row r="209" spans="1:11" x14ac:dyDescent="0.25">
      <c r="A209" s="11" t="s">
        <v>876</v>
      </c>
    </row>
    <row r="210" spans="1:11" x14ac:dyDescent="0.25">
      <c r="A210" s="2" t="s">
        <v>877</v>
      </c>
    </row>
    <row r="212" spans="1:11" x14ac:dyDescent="0.25">
      <c r="B212" s="12" t="s">
        <v>139</v>
      </c>
      <c r="C212" s="12" t="s">
        <v>140</v>
      </c>
      <c r="D212" s="12" t="s">
        <v>141</v>
      </c>
      <c r="E212" s="12" t="s">
        <v>142</v>
      </c>
      <c r="F212" s="12" t="s">
        <v>143</v>
      </c>
      <c r="G212" s="12" t="s">
        <v>148</v>
      </c>
      <c r="H212" s="12" t="s">
        <v>144</v>
      </c>
      <c r="I212" s="12" t="s">
        <v>145</v>
      </c>
      <c r="J212" s="12" t="s">
        <v>146</v>
      </c>
    </row>
    <row r="213" spans="1:11" ht="30" x14ac:dyDescent="0.25">
      <c r="A213" s="3" t="s">
        <v>878</v>
      </c>
      <c r="B213" s="17">
        <f>SMD!B141-B155+B120/(1+B202)</f>
        <v>4539070.8407217758</v>
      </c>
      <c r="C213" s="17">
        <f>SMD!C141-C155+C120/(1+C202)</f>
        <v>4543408.470305861</v>
      </c>
      <c r="D213" s="17">
        <f>SMD!D141-D155+D120/(1+D202)</f>
        <v>4161735.0026840968</v>
      </c>
      <c r="E213" s="17">
        <f>SMD!E141-E155+E120/(1+E202)</f>
        <v>4307747.3446988519</v>
      </c>
      <c r="F213" s="17">
        <f>SMD!F141-F155+F120/(1+F202)</f>
        <v>5177900.7085326463</v>
      </c>
      <c r="G213" s="17">
        <f>SMD!G141-G155+G120/(1+G202)</f>
        <v>440149.05143565207</v>
      </c>
      <c r="H213" s="17">
        <f>SMD!H141-H155+H120/(1+H202)</f>
        <v>5188584.7956964234</v>
      </c>
      <c r="I213" s="17">
        <f>SMD!I141-I155+I120/(1+I202)</f>
        <v>3936250.7359051979</v>
      </c>
      <c r="J213" s="17">
        <f>SMD!J141-J155+J120/(1+J202)</f>
        <v>3142335.7414067127</v>
      </c>
      <c r="K213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16" location="'AMD'!B100" display="x1 = 2605. Contributions to aggregate maximum load by network level (kW)"/>
    <hyperlink ref="A124" location="'SMD'!B106" display="x1 = 2505. Contributions of users on each tariff to system simultaneous maximum load by network level (kW)"/>
    <hyperlink ref="A125" location="'AMD'!B40" display="x2 = 2602. Standing charges factors adapted to use 132kV/HV"/>
    <hyperlink ref="A151" location="'AMD'!B128" display="x1 = 2607. Forecast simultaneous load subject to standing charge factors (kW)"/>
    <hyperlink ref="A159" location="'AMD'!B119" display="x1 = 2606. Forecast chargeable aggregate maximum load (kW)"/>
    <hyperlink ref="A160" location="'AMD'!B154" display="x2 = 2608. Forecast simultaneous load replaced by standing charge (kW)"/>
    <hyperlink ref="A180" location="'DRM'!D47" display="x1 = 2104. Diversity allowance between level exit and GSP Group (in Diversity calculations)"/>
    <hyperlink ref="A181" location="'AMD'!B168" display="x2 = 2610. Network level mapping for diversity allowances"/>
    <hyperlink ref="A197" location="'AMD'!B163" display="x1 = 2609. Calculated LV diversity allowance"/>
    <hyperlink ref="A198" location="'AMD'!B184" display="x2 = 2611. Diversity allowances including 132kV/HV"/>
    <hyperlink ref="A206" location="'SMD'!B140" display="x1 = 2506. Forecast system simultaneous maximum load (kW) from forecast units"/>
    <hyperlink ref="A207" location="'AMD'!B154" display="x2 = 2608. Forecast simultaneous load replaced by standing charge (kW)"/>
    <hyperlink ref="A208" location="'AMD'!B119" display="x3 = 2606. Forecast chargeable aggregate maximum load (kW)"/>
    <hyperlink ref="A209" location="'AMD'!B201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Wornell, Dave I.</cp:lastModifiedBy>
  <dcterms:created xsi:type="dcterms:W3CDTF">2015-11-18T17:21:24Z</dcterms:created>
  <dcterms:modified xsi:type="dcterms:W3CDTF">2015-12-14T10:34:16Z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