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bookViews>
    <workbookView xWindow="0" yWindow="0" windowWidth="19200" windowHeight="11190" tabRatio="851" firstSheet="1" activeTab="2"/>
  </bookViews>
  <sheets>
    <sheet name="Overview" sheetId="26" r:id="rId1"/>
    <sheet name="Commentary" sheetId="27" r:id="rId2"/>
    <sheet name="CDCM Forecast Data" sheetId="29" r:id="rId3"/>
    <sheet name="Table 1" sheetId="28" r:id="rId4"/>
    <sheet name="Smoothed Input Details" sheetId="30" r:id="rId5"/>
    <sheet name="Mat of App" sheetId="31" r:id="rId6"/>
    <sheet name="CDCM Volume Forecasts" sheetId="32" r:id="rId7"/>
    <sheet name="CDCM Timebands" sheetId="33" r:id="rId8"/>
    <sheet name="(Y)" sheetId="34" r:id="rId9"/>
    <sheet name="(Y+1)" sheetId="35" r:id="rId10"/>
    <sheet name="(Y+2)" sheetId="36" r:id="rId11"/>
    <sheet name="(Y+3)" sheetId="37" r:id="rId12"/>
    <sheet name="(Y+4)" sheetId="38" r:id="rId13"/>
    <sheet name="Tariffs ARP" sheetId="39" r:id="rId14"/>
    <sheet name="Typical Bill" sheetId="40" r:id="rId15"/>
    <sheet name="Vlookup" sheetId="41" r:id="rId16"/>
    <sheet name="Tariffs" sheetId="48" r:id="rId17"/>
    <sheet name="Summary" sheetId="49" r:id="rId18"/>
    <sheet name="CDCM" sheetId="50" r:id="rId19"/>
  </sheets>
  <externalReferences>
    <externalReference r:id="rId20"/>
  </externalReferences>
  <definedNames>
    <definedName name="Forcast_Data" localSheetId="15">'CDCM Forecast Data'!$A$14:$J$281</definedName>
    <definedName name="PC_LLFC_1" localSheetId="8">[1]Tariffs!$D$88:$E$145,[1]Tariffs!$L$88:$L$145</definedName>
    <definedName name="PC_LLFC_1" localSheetId="14">'Typical Bill'!#REF!,'Typical Bill'!#REF!</definedName>
    <definedName name="PC_LLFC_Source" localSheetId="8">[1]Tariffs!$D$21:$E$78,[1]Tariffs!$L$21:$L$78</definedName>
    <definedName name="PC_LLFC_Source" localSheetId="14">'Typical Bill'!#REF!,'Typical Bill'!#REF!</definedName>
    <definedName name="_xlnm.Print_Area" localSheetId="18">CDCM!$A:$V</definedName>
    <definedName name="_xlnm.Print_Area" localSheetId="3">'Table 1'!$A$1:$K$51</definedName>
    <definedName name="_xlnm.Print_Area" localSheetId="14">'Typical Bill'!$B$18:$G$113</definedName>
    <definedName name="_xlnm.Print_Titles" localSheetId="14">'Typical Bill'!$13:$19</definedName>
    <definedName name="Tariffs_Y" localSheetId="14">'Typical Bill'!#REF!</definedName>
    <definedName name="Tariffs_Y_1" localSheetId="14">'Typical Bill'!#REF!</definedName>
    <definedName name="Tariffs_Y_2" localSheetId="14">'Typical Bill'!#REF!</definedName>
    <definedName name="Tariffs_Y_3" localSheetId="14">'Typical Bill'!#REF!</definedName>
    <definedName name="Tariffs_Y_4" localSheetId="14">'Typical Bill'!#REF!</definedName>
    <definedName name="Volume_Forecast_Data" localSheetId="15">'CDCM Volume Forecasts'!$A$27:$AG$123</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I111" i="29" l="1"/>
  <c r="H111" i="29"/>
  <c r="G111" i="29"/>
  <c r="F111" i="29"/>
  <c r="E111" i="29"/>
  <c r="G15" i="29"/>
  <c r="H15" i="29"/>
  <c r="I15" i="29"/>
  <c r="F15" i="29"/>
  <c r="G13" i="29" l="1"/>
  <c r="H13" i="29"/>
  <c r="I13" i="29"/>
  <c r="F13" i="29"/>
  <c r="F47" i="29" s="1"/>
  <c r="F29" i="29"/>
  <c r="G29" i="29" s="1"/>
  <c r="H29" i="29" s="1"/>
  <c r="I29" i="29" s="1"/>
  <c r="F28" i="29"/>
  <c r="G28" i="29" s="1"/>
  <c r="H28" i="29" s="1"/>
  <c r="I28" i="29" s="1"/>
  <c r="F27" i="29"/>
  <c r="G27" i="29" s="1"/>
  <c r="H27" i="29" s="1"/>
  <c r="I27" i="29" s="1"/>
  <c r="F26" i="29"/>
  <c r="G26" i="29" s="1"/>
  <c r="H26" i="29" s="1"/>
  <c r="I26" i="29" s="1"/>
  <c r="F25" i="29"/>
  <c r="G25" i="29" s="1"/>
  <c r="H25" i="29" s="1"/>
  <c r="I25" i="29" s="1"/>
  <c r="F24" i="29"/>
  <c r="G24" i="29" s="1"/>
  <c r="H24" i="29" s="1"/>
  <c r="I24" i="29" s="1"/>
  <c r="F51" i="29" l="1"/>
  <c r="G51" i="29" s="1"/>
  <c r="H51" i="29" s="1"/>
  <c r="I51" i="29" s="1"/>
  <c r="F114" i="29"/>
  <c r="G114" i="29" s="1"/>
  <c r="H114" i="29" s="1"/>
  <c r="I114" i="29" s="1"/>
  <c r="F52" i="29"/>
  <c r="G52" i="29" s="1"/>
  <c r="H52" i="29" s="1"/>
  <c r="I52" i="29" s="1"/>
  <c r="F49" i="29"/>
  <c r="G49" i="29" s="1"/>
  <c r="H49" i="29" s="1"/>
  <c r="I49" i="29" s="1"/>
  <c r="F53" i="29"/>
  <c r="G53" i="29" s="1"/>
  <c r="H53" i="29" s="1"/>
  <c r="I53" i="29" s="1"/>
  <c r="F50" i="29"/>
  <c r="G50" i="29" s="1"/>
  <c r="H50" i="29" s="1"/>
  <c r="I50" i="29" s="1"/>
  <c r="F113" i="29"/>
  <c r="G113" i="29" s="1"/>
  <c r="H113" i="29" s="1"/>
  <c r="I113" i="29" s="1"/>
  <c r="G47" i="29"/>
  <c r="H47" i="29" s="1"/>
  <c r="I47" i="29" s="1"/>
  <c r="F33" i="29"/>
  <c r="G33" i="29" s="1"/>
  <c r="H33" i="29" s="1"/>
  <c r="I33" i="29" s="1"/>
  <c r="F37" i="29"/>
  <c r="G37" i="29" s="1"/>
  <c r="H37" i="29" s="1"/>
  <c r="I37" i="29" s="1"/>
  <c r="F31" i="29"/>
  <c r="G31" i="29" s="1"/>
  <c r="H31" i="29" s="1"/>
  <c r="I31" i="29" s="1"/>
  <c r="F34" i="29"/>
  <c r="G34" i="29" s="1"/>
  <c r="H34" i="29" s="1"/>
  <c r="I34" i="29" s="1"/>
  <c r="F38" i="29"/>
  <c r="G38" i="29" s="1"/>
  <c r="H38" i="29" s="1"/>
  <c r="I38" i="29" s="1"/>
  <c r="F43" i="29"/>
  <c r="G43" i="29" s="1"/>
  <c r="H43" i="29" s="1"/>
  <c r="I43" i="29" s="1"/>
  <c r="F35" i="29"/>
  <c r="G35" i="29" s="1"/>
  <c r="H35" i="29" s="1"/>
  <c r="I35" i="29" s="1"/>
  <c r="F40" i="29"/>
  <c r="G40" i="29" s="1"/>
  <c r="H40" i="29" s="1"/>
  <c r="I40" i="29" s="1"/>
  <c r="F44" i="29"/>
  <c r="G44" i="29" s="1"/>
  <c r="H44" i="29" s="1"/>
  <c r="I44" i="29" s="1"/>
  <c r="F32" i="29"/>
  <c r="G32" i="29" s="1"/>
  <c r="H32" i="29" s="1"/>
  <c r="I32" i="29" s="1"/>
  <c r="F36" i="29"/>
  <c r="G36" i="29" s="1"/>
  <c r="H36" i="29" s="1"/>
  <c r="I36" i="29" s="1"/>
  <c r="F41" i="29"/>
  <c r="G41" i="29" s="1"/>
  <c r="H41" i="29" s="1"/>
  <c r="I41" i="29" s="1"/>
  <c r="F45" i="29"/>
  <c r="G45" i="29" s="1"/>
  <c r="H45" i="29" s="1"/>
  <c r="I45" i="29" s="1"/>
  <c r="F42" i="29"/>
  <c r="G42" i="29" s="1"/>
  <c r="H42" i="29" s="1"/>
  <c r="I42" i="29" s="1"/>
  <c r="F46" i="29"/>
  <c r="G46" i="29" s="1"/>
  <c r="H46" i="29" s="1"/>
  <c r="I46" i="29" s="1"/>
  <c r="F271" i="29"/>
  <c r="G271" i="29" s="1"/>
  <c r="H271" i="29" s="1"/>
  <c r="I271" i="29" s="1"/>
  <c r="F270" i="29"/>
  <c r="G270" i="29" s="1"/>
  <c r="H270" i="29" s="1"/>
  <c r="I270" i="29" s="1"/>
  <c r="F269" i="29"/>
  <c r="G269" i="29" s="1"/>
  <c r="H269" i="29" s="1"/>
  <c r="I269" i="29" s="1"/>
  <c r="F268" i="29"/>
  <c r="G268" i="29" s="1"/>
  <c r="H268" i="29" s="1"/>
  <c r="I268" i="29" s="1"/>
  <c r="F267" i="29"/>
  <c r="G267" i="29" s="1"/>
  <c r="H267" i="29" s="1"/>
  <c r="I267" i="29" s="1"/>
  <c r="F266" i="29"/>
  <c r="G266" i="29" s="1"/>
  <c r="H266" i="29" s="1"/>
  <c r="I266" i="29" s="1"/>
  <c r="F265" i="29"/>
  <c r="G265" i="29" s="1"/>
  <c r="H265" i="29" s="1"/>
  <c r="I265" i="29" s="1"/>
  <c r="F264" i="29"/>
  <c r="G264" i="29" s="1"/>
  <c r="H264" i="29" s="1"/>
  <c r="I264" i="29" s="1"/>
  <c r="F263" i="29"/>
  <c r="G263" i="29" s="1"/>
  <c r="H263" i="29" s="1"/>
  <c r="I263" i="29" s="1"/>
  <c r="F261" i="29"/>
  <c r="G261" i="29" s="1"/>
  <c r="H261" i="29" s="1"/>
  <c r="I261" i="29" s="1"/>
  <c r="F260" i="29"/>
  <c r="G260" i="29" s="1"/>
  <c r="H260" i="29" s="1"/>
  <c r="I260" i="29" s="1"/>
  <c r="F259" i="29"/>
  <c r="G259" i="29" s="1"/>
  <c r="H259" i="29" s="1"/>
  <c r="I259" i="29" s="1"/>
  <c r="F258" i="29"/>
  <c r="G258" i="29" s="1"/>
  <c r="H258" i="29" s="1"/>
  <c r="I258" i="29" s="1"/>
  <c r="F257" i="29"/>
  <c r="G257" i="29" s="1"/>
  <c r="H257" i="29" s="1"/>
  <c r="I257" i="29" s="1"/>
  <c r="F256" i="29"/>
  <c r="G256" i="29" s="1"/>
  <c r="H256" i="29" s="1"/>
  <c r="I256" i="29" s="1"/>
  <c r="F255" i="29"/>
  <c r="G255" i="29" s="1"/>
  <c r="H255" i="29" s="1"/>
  <c r="I255" i="29" s="1"/>
  <c r="F254" i="29"/>
  <c r="G254" i="29" s="1"/>
  <c r="H254" i="29" s="1"/>
  <c r="I254" i="29" s="1"/>
  <c r="F253" i="29"/>
  <c r="G253" i="29" s="1"/>
  <c r="H253" i="29" s="1"/>
  <c r="I253" i="29" s="1"/>
  <c r="F146" i="29"/>
  <c r="G146" i="29" s="1"/>
  <c r="H146" i="29" s="1"/>
  <c r="I146" i="29" s="1"/>
  <c r="F145" i="29"/>
  <c r="G145" i="29" s="1"/>
  <c r="H145" i="29" s="1"/>
  <c r="I145" i="29" s="1"/>
  <c r="F144" i="29"/>
  <c r="G144" i="29" s="1"/>
  <c r="H144" i="29" s="1"/>
  <c r="I144" i="29" s="1"/>
  <c r="F143" i="29"/>
  <c r="G143" i="29" s="1"/>
  <c r="H143" i="29" s="1"/>
  <c r="I143" i="29" s="1"/>
  <c r="F141" i="29"/>
  <c r="G141" i="29" s="1"/>
  <c r="H141" i="29" s="1"/>
  <c r="I141" i="29" s="1"/>
  <c r="F140" i="29"/>
  <c r="G140" i="29" s="1"/>
  <c r="H140" i="29" s="1"/>
  <c r="I140" i="29" s="1"/>
  <c r="F139" i="29"/>
  <c r="G139" i="29" s="1"/>
  <c r="H139" i="29" s="1"/>
  <c r="I139" i="29" s="1"/>
  <c r="F138" i="29"/>
  <c r="G138" i="29" s="1"/>
  <c r="H138" i="29" s="1"/>
  <c r="I138" i="29" s="1"/>
  <c r="F137" i="29"/>
  <c r="G137" i="29" s="1"/>
  <c r="H137" i="29" s="1"/>
  <c r="I137" i="29" s="1"/>
  <c r="F136" i="29"/>
  <c r="G136" i="29" s="1"/>
  <c r="H136" i="29" s="1"/>
  <c r="I136" i="29" s="1"/>
  <c r="F134" i="29"/>
  <c r="G134" i="29" s="1"/>
  <c r="H134" i="29" s="1"/>
  <c r="I134" i="29" s="1"/>
  <c r="F133" i="29"/>
  <c r="G133" i="29" s="1"/>
  <c r="H133" i="29" s="1"/>
  <c r="I133" i="29" s="1"/>
  <c r="F132" i="29"/>
  <c r="G132" i="29" s="1"/>
  <c r="H132" i="29" s="1"/>
  <c r="I132" i="29" s="1"/>
  <c r="F131" i="29"/>
  <c r="G131" i="29" s="1"/>
  <c r="H131" i="29" s="1"/>
  <c r="I131" i="29" s="1"/>
  <c r="F130" i="29"/>
  <c r="G130" i="29" s="1"/>
  <c r="H130" i="29" s="1"/>
  <c r="I130" i="29" s="1"/>
  <c r="F129" i="29"/>
  <c r="G129" i="29" s="1"/>
  <c r="H129" i="29" s="1"/>
  <c r="I129" i="29" s="1"/>
  <c r="F128" i="29"/>
  <c r="G128" i="29" s="1"/>
  <c r="H128" i="29" s="1"/>
  <c r="I128" i="29" s="1"/>
  <c r="F126" i="29"/>
  <c r="G126" i="29" s="1"/>
  <c r="H126" i="29" s="1"/>
  <c r="I126" i="29" s="1"/>
  <c r="F125" i="29"/>
  <c r="G125" i="29" s="1"/>
  <c r="H125" i="29" s="1"/>
  <c r="I125" i="29" s="1"/>
  <c r="F124" i="29"/>
  <c r="G124" i="29" s="1"/>
  <c r="H124" i="29" s="1"/>
  <c r="I124" i="29" s="1"/>
  <c r="F123" i="29"/>
  <c r="G123" i="29" s="1"/>
  <c r="H123" i="29" s="1"/>
  <c r="I123" i="29" s="1"/>
  <c r="F122" i="29"/>
  <c r="G122" i="29" s="1"/>
  <c r="H122" i="29" s="1"/>
  <c r="I122" i="29" s="1"/>
  <c r="F121" i="29"/>
  <c r="G121" i="29" s="1"/>
  <c r="H121" i="29" s="1"/>
  <c r="I121" i="29" s="1"/>
  <c r="F120" i="29"/>
  <c r="G120" i="29" s="1"/>
  <c r="H120" i="29" s="1"/>
  <c r="I120" i="29" s="1"/>
  <c r="F119" i="29"/>
  <c r="G119" i="29" s="1"/>
  <c r="H119" i="29" s="1"/>
  <c r="I119" i="29" s="1"/>
  <c r="F115" i="29"/>
  <c r="G115" i="29" s="1"/>
  <c r="H115" i="29" s="1"/>
  <c r="I115" i="29" s="1"/>
  <c r="F69" i="29"/>
  <c r="G69" i="29" s="1"/>
  <c r="H69" i="29" s="1"/>
  <c r="I69" i="29" s="1"/>
  <c r="F68" i="29"/>
  <c r="G68" i="29" s="1"/>
  <c r="H68" i="29" s="1"/>
  <c r="I68" i="29" s="1"/>
  <c r="F67" i="29"/>
  <c r="G67" i="29" s="1"/>
  <c r="H67" i="29" s="1"/>
  <c r="I67" i="29" s="1"/>
  <c r="F66" i="29"/>
  <c r="G66" i="29" s="1"/>
  <c r="H66" i="29" s="1"/>
  <c r="I66" i="29" s="1"/>
  <c r="F64" i="29"/>
  <c r="G64" i="29" s="1"/>
  <c r="H64" i="29" s="1"/>
  <c r="I64" i="29" s="1"/>
  <c r="F63" i="29"/>
  <c r="G63" i="29" s="1"/>
  <c r="H63" i="29" s="1"/>
  <c r="I63" i="29" s="1"/>
  <c r="F62" i="29"/>
  <c r="G62" i="29" s="1"/>
  <c r="H62" i="29" s="1"/>
  <c r="I62" i="29" s="1"/>
  <c r="F61" i="29"/>
  <c r="G61" i="29" s="1"/>
  <c r="H61" i="29" s="1"/>
  <c r="I61" i="29" s="1"/>
  <c r="F60" i="29"/>
  <c r="G60" i="29" s="1"/>
  <c r="H60" i="29" s="1"/>
  <c r="I60" i="29" s="1"/>
  <c r="F59" i="29"/>
  <c r="G59" i="29" s="1"/>
  <c r="H59" i="29" s="1"/>
  <c r="I59" i="29" s="1"/>
  <c r="F58" i="29"/>
  <c r="G58" i="29" s="1"/>
  <c r="H58" i="29" s="1"/>
  <c r="I58" i="29" s="1"/>
  <c r="F22" i="29"/>
  <c r="I22" i="29" s="1"/>
  <c r="G21" i="29"/>
  <c r="H21" i="29" s="1"/>
  <c r="I21" i="29" s="1"/>
  <c r="F21" i="29"/>
  <c r="F20" i="29"/>
  <c r="G20" i="29" s="1"/>
  <c r="H20" i="29" s="1"/>
  <c r="I20" i="29" s="1"/>
  <c r="F19" i="29"/>
  <c r="G19" i="29" s="1"/>
  <c r="H19" i="29" s="1"/>
  <c r="I19" i="29" s="1"/>
  <c r="A1" i="50" l="1"/>
  <c r="A334" i="50"/>
  <c r="I347" i="50"/>
  <c r="I570" i="50" s="1"/>
  <c r="I348" i="50"/>
  <c r="I349" i="50"/>
  <c r="I350" i="50"/>
  <c r="B573" i="50" s="1"/>
  <c r="I351" i="50"/>
  <c r="I352" i="50"/>
  <c r="I353" i="50"/>
  <c r="I354" i="50"/>
  <c r="B577" i="50" s="1"/>
  <c r="I355" i="50"/>
  <c r="I356" i="50"/>
  <c r="I357" i="50"/>
  <c r="B580" i="50" s="1"/>
  <c r="I358" i="50"/>
  <c r="I581" i="50" s="1"/>
  <c r="I359" i="50"/>
  <c r="I360" i="50"/>
  <c r="I361" i="50"/>
  <c r="B584" i="50" s="1"/>
  <c r="I362" i="50"/>
  <c r="I585" i="50" s="1"/>
  <c r="I363" i="50"/>
  <c r="I364" i="50"/>
  <c r="I365" i="50"/>
  <c r="I588" i="50" s="1"/>
  <c r="I366" i="50"/>
  <c r="B589" i="50" s="1"/>
  <c r="B2790" i="50" s="1"/>
  <c r="B3222" i="50" s="1"/>
  <c r="I367" i="50"/>
  <c r="I590" i="50" s="1"/>
  <c r="I368" i="50"/>
  <c r="I369" i="50"/>
  <c r="I592" i="50" s="1"/>
  <c r="I370" i="50"/>
  <c r="I593" i="50" s="1"/>
  <c r="I371" i="50"/>
  <c r="I372" i="50"/>
  <c r="I373" i="50"/>
  <c r="B394" i="50"/>
  <c r="B395" i="50"/>
  <c r="B396" i="50"/>
  <c r="B397" i="50"/>
  <c r="B398" i="50"/>
  <c r="B399" i="50"/>
  <c r="B400" i="50"/>
  <c r="B401" i="50"/>
  <c r="C410" i="50"/>
  <c r="C571" i="50" s="1"/>
  <c r="D410" i="50"/>
  <c r="E410" i="50"/>
  <c r="F410" i="50"/>
  <c r="G410" i="50"/>
  <c r="H410" i="50"/>
  <c r="H578" i="50" s="1"/>
  <c r="I410" i="50"/>
  <c r="J410" i="50"/>
  <c r="J571" i="50" s="1"/>
  <c r="B452" i="50"/>
  <c r="D483" i="50" s="1"/>
  <c r="B460" i="50"/>
  <c r="E484" i="50" s="1"/>
  <c r="B468" i="50"/>
  <c r="F485" i="50"/>
  <c r="F486" i="50"/>
  <c r="B498" i="50"/>
  <c r="C498" i="50"/>
  <c r="F498" i="50"/>
  <c r="G498" i="50"/>
  <c r="H498" i="50"/>
  <c r="I498" i="50"/>
  <c r="J498" i="50"/>
  <c r="B499" i="50"/>
  <c r="C499" i="50"/>
  <c r="F499" i="50"/>
  <c r="F535" i="50" s="1"/>
  <c r="G499" i="50"/>
  <c r="G535" i="50" s="1"/>
  <c r="H499" i="50"/>
  <c r="I499" i="50"/>
  <c r="J499" i="50"/>
  <c r="B500" i="50"/>
  <c r="C500" i="50"/>
  <c r="F500" i="50"/>
  <c r="G500" i="50"/>
  <c r="H500" i="50"/>
  <c r="I500" i="50"/>
  <c r="J500" i="50"/>
  <c r="B501" i="50"/>
  <c r="C501" i="50"/>
  <c r="F501" i="50"/>
  <c r="F537" i="50" s="1"/>
  <c r="G501" i="50"/>
  <c r="G537" i="50" s="1"/>
  <c r="H501" i="50"/>
  <c r="I501" i="50"/>
  <c r="J501" i="50"/>
  <c r="B502" i="50"/>
  <c r="C502" i="50"/>
  <c r="F502" i="50"/>
  <c r="F538" i="50" s="1"/>
  <c r="G502" i="50"/>
  <c r="G538" i="50" s="1"/>
  <c r="H502" i="50"/>
  <c r="I502" i="50"/>
  <c r="J502" i="50"/>
  <c r="B503" i="50"/>
  <c r="C503" i="50"/>
  <c r="F503" i="50"/>
  <c r="F539" i="50" s="1"/>
  <c r="G503" i="50"/>
  <c r="G539" i="50" s="1"/>
  <c r="H503" i="50"/>
  <c r="I503" i="50"/>
  <c r="J503" i="50"/>
  <c r="B504" i="50"/>
  <c r="C504" i="50"/>
  <c r="F504" i="50"/>
  <c r="F540" i="50" s="1"/>
  <c r="G504" i="50"/>
  <c r="G540" i="50" s="1"/>
  <c r="H504" i="50"/>
  <c r="I504" i="50"/>
  <c r="J504" i="50"/>
  <c r="B505" i="50"/>
  <c r="C505" i="50"/>
  <c r="F505" i="50"/>
  <c r="F541" i="50" s="1"/>
  <c r="G505" i="50"/>
  <c r="G541" i="50" s="1"/>
  <c r="H505" i="50"/>
  <c r="I505" i="50"/>
  <c r="J505" i="50"/>
  <c r="B506" i="50"/>
  <c r="C506" i="50"/>
  <c r="F506" i="50"/>
  <c r="F542" i="50" s="1"/>
  <c r="G506" i="50"/>
  <c r="G542" i="50" s="1"/>
  <c r="H506" i="50"/>
  <c r="I506" i="50"/>
  <c r="J506" i="50"/>
  <c r="B507" i="50"/>
  <c r="C507" i="50"/>
  <c r="F507" i="50"/>
  <c r="F543" i="50" s="1"/>
  <c r="G507" i="50"/>
  <c r="G543" i="50" s="1"/>
  <c r="G579" i="50" s="1"/>
  <c r="H507" i="50"/>
  <c r="I507" i="50"/>
  <c r="J507" i="50"/>
  <c r="B508" i="50"/>
  <c r="C508" i="50"/>
  <c r="F508" i="50"/>
  <c r="F544" i="50" s="1"/>
  <c r="G508" i="50"/>
  <c r="G544" i="50" s="1"/>
  <c r="G580" i="50" s="1"/>
  <c r="H508" i="50"/>
  <c r="I508" i="50"/>
  <c r="J508" i="50"/>
  <c r="B509" i="50"/>
  <c r="C509" i="50"/>
  <c r="F509" i="50"/>
  <c r="F545" i="50" s="1"/>
  <c r="G509" i="50"/>
  <c r="G545" i="50" s="1"/>
  <c r="G581" i="50" s="1"/>
  <c r="H509" i="50"/>
  <c r="I509" i="50"/>
  <c r="J509" i="50"/>
  <c r="B510" i="50"/>
  <c r="C510" i="50"/>
  <c r="F510" i="50"/>
  <c r="F546" i="50" s="1"/>
  <c r="G510" i="50"/>
  <c r="H510" i="50"/>
  <c r="I510" i="50"/>
  <c r="J510" i="50"/>
  <c r="B511" i="50"/>
  <c r="C511" i="50"/>
  <c r="F511" i="50"/>
  <c r="F547" i="50" s="1"/>
  <c r="G511" i="50"/>
  <c r="G547" i="50" s="1"/>
  <c r="G583" i="50" s="1"/>
  <c r="H511" i="50"/>
  <c r="I511" i="50"/>
  <c r="J511" i="50"/>
  <c r="B512" i="50"/>
  <c r="C512" i="50"/>
  <c r="F512" i="50"/>
  <c r="F548" i="50" s="1"/>
  <c r="G512" i="50"/>
  <c r="G548" i="50" s="1"/>
  <c r="G584" i="50" s="1"/>
  <c r="H512" i="50"/>
  <c r="I512" i="50"/>
  <c r="J512" i="50"/>
  <c r="B513" i="50"/>
  <c r="C513" i="50"/>
  <c r="F513" i="50"/>
  <c r="F549" i="50" s="1"/>
  <c r="G513" i="50"/>
  <c r="G549" i="50" s="1"/>
  <c r="G585" i="50" s="1"/>
  <c r="H513" i="50"/>
  <c r="I513" i="50"/>
  <c r="J513" i="50"/>
  <c r="B514" i="50"/>
  <c r="C514" i="50"/>
  <c r="F514" i="50"/>
  <c r="F550" i="50" s="1"/>
  <c r="G514" i="50"/>
  <c r="G550" i="50" s="1"/>
  <c r="G586" i="50" s="1"/>
  <c r="H514" i="50"/>
  <c r="I514" i="50"/>
  <c r="J514" i="50"/>
  <c r="B515" i="50"/>
  <c r="C515" i="50"/>
  <c r="F515" i="50"/>
  <c r="F551" i="50" s="1"/>
  <c r="F587" i="50" s="1"/>
  <c r="G515" i="50"/>
  <c r="G551" i="50" s="1"/>
  <c r="G587" i="50" s="1"/>
  <c r="H515" i="50"/>
  <c r="I515" i="50"/>
  <c r="J515" i="50"/>
  <c r="B516" i="50"/>
  <c r="C516" i="50"/>
  <c r="F516" i="50"/>
  <c r="F552" i="50" s="1"/>
  <c r="F588" i="50" s="1"/>
  <c r="G516" i="50"/>
  <c r="G552" i="50" s="1"/>
  <c r="G588" i="50" s="1"/>
  <c r="H516" i="50"/>
  <c r="I516" i="50"/>
  <c r="J516" i="50"/>
  <c r="B517" i="50"/>
  <c r="C517" i="50"/>
  <c r="F517" i="50"/>
  <c r="F553" i="50" s="1"/>
  <c r="F589" i="50" s="1"/>
  <c r="G517" i="50"/>
  <c r="G553" i="50" s="1"/>
  <c r="G589" i="50" s="1"/>
  <c r="H517" i="50"/>
  <c r="I517" i="50"/>
  <c r="J517" i="50"/>
  <c r="B518" i="50"/>
  <c r="C518" i="50"/>
  <c r="F518" i="50"/>
  <c r="F554" i="50" s="1"/>
  <c r="F590" i="50" s="1"/>
  <c r="G518" i="50"/>
  <c r="G554" i="50" s="1"/>
  <c r="G590" i="50" s="1"/>
  <c r="H518" i="50"/>
  <c r="I518" i="50"/>
  <c r="J518" i="50"/>
  <c r="B519" i="50"/>
  <c r="C519" i="50"/>
  <c r="F519" i="50"/>
  <c r="F555" i="50" s="1"/>
  <c r="F591" i="50" s="1"/>
  <c r="G519" i="50"/>
  <c r="G555" i="50" s="1"/>
  <c r="G591" i="50" s="1"/>
  <c r="H519" i="50"/>
  <c r="I519" i="50"/>
  <c r="J519" i="50"/>
  <c r="B520" i="50"/>
  <c r="C520" i="50"/>
  <c r="F520" i="50"/>
  <c r="F556" i="50" s="1"/>
  <c r="F592" i="50" s="1"/>
  <c r="G520" i="50"/>
  <c r="G556" i="50" s="1"/>
  <c r="G592" i="50" s="1"/>
  <c r="H520" i="50"/>
  <c r="I520" i="50"/>
  <c r="J520" i="50"/>
  <c r="B521" i="50"/>
  <c r="C521" i="50"/>
  <c r="F521" i="50"/>
  <c r="F557" i="50" s="1"/>
  <c r="F593" i="50" s="1"/>
  <c r="G521" i="50"/>
  <c r="G557" i="50" s="1"/>
  <c r="G593" i="50" s="1"/>
  <c r="H521" i="50"/>
  <c r="I521" i="50"/>
  <c r="J521" i="50"/>
  <c r="B522" i="50"/>
  <c r="C522" i="50"/>
  <c r="F522" i="50"/>
  <c r="F558" i="50" s="1"/>
  <c r="F594" i="50" s="1"/>
  <c r="G522" i="50"/>
  <c r="G558" i="50" s="1"/>
  <c r="G594" i="50" s="1"/>
  <c r="H522" i="50"/>
  <c r="I522" i="50"/>
  <c r="J522" i="50"/>
  <c r="B523" i="50"/>
  <c r="C523" i="50"/>
  <c r="F523" i="50"/>
  <c r="F559" i="50" s="1"/>
  <c r="F595" i="50" s="1"/>
  <c r="G523" i="50"/>
  <c r="G559" i="50" s="1"/>
  <c r="G595" i="50" s="1"/>
  <c r="H523" i="50"/>
  <c r="I523" i="50"/>
  <c r="J523" i="50"/>
  <c r="B524" i="50"/>
  <c r="C524" i="50"/>
  <c r="F524" i="50"/>
  <c r="F560" i="50" s="1"/>
  <c r="F596" i="50" s="1"/>
  <c r="G524" i="50"/>
  <c r="G560" i="50" s="1"/>
  <c r="G596" i="50" s="1"/>
  <c r="H524" i="50"/>
  <c r="I524" i="50"/>
  <c r="J524" i="50"/>
  <c r="B534" i="50"/>
  <c r="C534" i="50"/>
  <c r="F534" i="50"/>
  <c r="F570" i="50" s="1"/>
  <c r="G534" i="50"/>
  <c r="G570" i="50" s="1"/>
  <c r="H534" i="50"/>
  <c r="I534" i="50"/>
  <c r="J534" i="50"/>
  <c r="B535" i="50"/>
  <c r="C535" i="50"/>
  <c r="H535" i="50"/>
  <c r="I535" i="50"/>
  <c r="J535" i="50"/>
  <c r="B536" i="50"/>
  <c r="C536" i="50"/>
  <c r="F536" i="50"/>
  <c r="F572" i="50" s="1"/>
  <c r="G536" i="50"/>
  <c r="G572" i="50" s="1"/>
  <c r="H536" i="50"/>
  <c r="I536" i="50"/>
  <c r="J536" i="50"/>
  <c r="B537" i="50"/>
  <c r="C537" i="50"/>
  <c r="H537" i="50"/>
  <c r="I537" i="50"/>
  <c r="J537" i="50"/>
  <c r="B538" i="50"/>
  <c r="C538" i="50"/>
  <c r="H538" i="50"/>
  <c r="I538" i="50"/>
  <c r="J538" i="50"/>
  <c r="B539" i="50"/>
  <c r="C539" i="50"/>
  <c r="H539" i="50"/>
  <c r="I539" i="50"/>
  <c r="J539" i="50"/>
  <c r="B540" i="50"/>
  <c r="C540" i="50"/>
  <c r="H540" i="50"/>
  <c r="I540" i="50"/>
  <c r="J540" i="50"/>
  <c r="B541" i="50"/>
  <c r="C541" i="50"/>
  <c r="H541" i="50"/>
  <c r="I541" i="50"/>
  <c r="J541" i="50"/>
  <c r="B542" i="50"/>
  <c r="C542" i="50"/>
  <c r="H542" i="50"/>
  <c r="I542" i="50"/>
  <c r="J542" i="50"/>
  <c r="B543" i="50"/>
  <c r="C543" i="50"/>
  <c r="H543" i="50"/>
  <c r="I543" i="50"/>
  <c r="J543" i="50"/>
  <c r="B544" i="50"/>
  <c r="C544" i="50"/>
  <c r="H544" i="50"/>
  <c r="I544" i="50"/>
  <c r="J544" i="50"/>
  <c r="B545" i="50"/>
  <c r="C545" i="50"/>
  <c r="H545" i="50"/>
  <c r="I545" i="50"/>
  <c r="J545" i="50"/>
  <c r="B546" i="50"/>
  <c r="C546" i="50"/>
  <c r="G546" i="50"/>
  <c r="G582" i="50" s="1"/>
  <c r="H546" i="50"/>
  <c r="I546" i="50"/>
  <c r="J546" i="50"/>
  <c r="B547" i="50"/>
  <c r="C547" i="50"/>
  <c r="H547" i="50"/>
  <c r="I547" i="50"/>
  <c r="J547" i="50"/>
  <c r="B548" i="50"/>
  <c r="C548" i="50"/>
  <c r="H548" i="50"/>
  <c r="I548" i="50"/>
  <c r="J548" i="50"/>
  <c r="B549" i="50"/>
  <c r="C549" i="50"/>
  <c r="H549" i="50"/>
  <c r="I549" i="50"/>
  <c r="J549" i="50"/>
  <c r="B550" i="50"/>
  <c r="C550" i="50"/>
  <c r="H550" i="50"/>
  <c r="I550" i="50"/>
  <c r="J550" i="50"/>
  <c r="B551" i="50"/>
  <c r="C551" i="50"/>
  <c r="H551" i="50"/>
  <c r="I551" i="50"/>
  <c r="J551" i="50"/>
  <c r="B552" i="50"/>
  <c r="C552" i="50"/>
  <c r="H552" i="50"/>
  <c r="I552" i="50"/>
  <c r="J552" i="50"/>
  <c r="B553" i="50"/>
  <c r="C553" i="50"/>
  <c r="H553" i="50"/>
  <c r="I553" i="50"/>
  <c r="J553" i="50"/>
  <c r="B554" i="50"/>
  <c r="C554" i="50"/>
  <c r="H554" i="50"/>
  <c r="I554" i="50"/>
  <c r="J554" i="50"/>
  <c r="B555" i="50"/>
  <c r="C555" i="50"/>
  <c r="H555" i="50"/>
  <c r="I555" i="50"/>
  <c r="J555" i="50"/>
  <c r="B556" i="50"/>
  <c r="C556" i="50"/>
  <c r="H556" i="50"/>
  <c r="I556" i="50"/>
  <c r="J556" i="50"/>
  <c r="B557" i="50"/>
  <c r="C557" i="50"/>
  <c r="H557" i="50"/>
  <c r="I557" i="50"/>
  <c r="J557" i="50"/>
  <c r="B558" i="50"/>
  <c r="C558" i="50"/>
  <c r="H558" i="50"/>
  <c r="I558" i="50"/>
  <c r="J558" i="50"/>
  <c r="B559" i="50"/>
  <c r="C559" i="50"/>
  <c r="H559" i="50"/>
  <c r="I559" i="50"/>
  <c r="J559" i="50"/>
  <c r="B560" i="50"/>
  <c r="C560" i="50"/>
  <c r="H560" i="50"/>
  <c r="I560" i="50"/>
  <c r="J560" i="50"/>
  <c r="B570" i="50"/>
  <c r="J570" i="50"/>
  <c r="B571" i="50"/>
  <c r="I571" i="50"/>
  <c r="B574" i="50"/>
  <c r="I574" i="50"/>
  <c r="B575" i="50"/>
  <c r="I575" i="50"/>
  <c r="B576" i="50"/>
  <c r="C577" i="50"/>
  <c r="B578" i="50"/>
  <c r="I578" i="50"/>
  <c r="B579" i="50"/>
  <c r="I579" i="50"/>
  <c r="C581" i="50"/>
  <c r="H581" i="50"/>
  <c r="B582" i="50"/>
  <c r="I582" i="50"/>
  <c r="B583" i="50"/>
  <c r="I583" i="50"/>
  <c r="I584" i="50"/>
  <c r="C585" i="50"/>
  <c r="B586" i="50"/>
  <c r="I586" i="50"/>
  <c r="B587" i="50"/>
  <c r="H587" i="50"/>
  <c r="I587" i="50"/>
  <c r="C589" i="50"/>
  <c r="I589" i="50"/>
  <c r="B590" i="50"/>
  <c r="B591" i="50"/>
  <c r="B2792" i="50" s="1"/>
  <c r="B3224" i="50" s="1"/>
  <c r="I591" i="50"/>
  <c r="C592" i="50"/>
  <c r="J592" i="50"/>
  <c r="B594" i="50"/>
  <c r="I594" i="50"/>
  <c r="B595" i="50"/>
  <c r="I595" i="50"/>
  <c r="B596" i="50"/>
  <c r="H596" i="50"/>
  <c r="A598" i="50"/>
  <c r="B609" i="50"/>
  <c r="C842" i="50" s="1"/>
  <c r="C618" i="50"/>
  <c r="D618" i="50"/>
  <c r="B630" i="50" s="1"/>
  <c r="C631" i="50" s="1"/>
  <c r="E618" i="50"/>
  <c r="B631" i="50" s="1"/>
  <c r="C632" i="50" s="1"/>
  <c r="F618" i="50"/>
  <c r="B632" i="50" s="1"/>
  <c r="C633" i="50" s="1"/>
  <c r="G618" i="50"/>
  <c r="B633" i="50" s="1"/>
  <c r="C634" i="50" s="1"/>
  <c r="H618" i="50"/>
  <c r="B634" i="50" s="1"/>
  <c r="C635" i="50" s="1"/>
  <c r="I618" i="50"/>
  <c r="B635" i="50" s="1"/>
  <c r="B628" i="50"/>
  <c r="B629" i="50"/>
  <c r="C630" i="50" s="1"/>
  <c r="C629" i="50"/>
  <c r="C645" i="50"/>
  <c r="C646" i="50" s="1"/>
  <c r="B646" i="50"/>
  <c r="B647" i="50" s="1"/>
  <c r="B662" i="50" s="1"/>
  <c r="D697" i="50"/>
  <c r="E698" i="50"/>
  <c r="F698" i="50"/>
  <c r="A736" i="50"/>
  <c r="B746" i="50"/>
  <c r="B801" i="50" s="1"/>
  <c r="B747" i="50"/>
  <c r="B748" i="50"/>
  <c r="B749" i="50"/>
  <c r="B750" i="50"/>
  <c r="B807" i="50" s="1"/>
  <c r="B751" i="50"/>
  <c r="B808" i="50" s="1"/>
  <c r="B752" i="50"/>
  <c r="B810" i="50" s="1"/>
  <c r="B753" i="50"/>
  <c r="B811" i="50" s="1"/>
  <c r="B754" i="50"/>
  <c r="B812" i="50" s="1"/>
  <c r="B755" i="50"/>
  <c r="B813" i="50" s="1"/>
  <c r="B756" i="50"/>
  <c r="B820" i="50" s="1"/>
  <c r="B757" i="50"/>
  <c r="B821" i="50" s="1"/>
  <c r="B758" i="50"/>
  <c r="B822" i="50" s="1"/>
  <c r="B759" i="50"/>
  <c r="B823" i="50" s="1"/>
  <c r="B760" i="50"/>
  <c r="B824" i="50" s="1"/>
  <c r="B761" i="50"/>
  <c r="B825" i="50" s="1"/>
  <c r="B770" i="50"/>
  <c r="B789" i="50"/>
  <c r="C809" i="50" s="1"/>
  <c r="B790" i="50"/>
  <c r="C814" i="50" s="1"/>
  <c r="B791" i="50"/>
  <c r="C826" i="50" s="1"/>
  <c r="B792" i="50"/>
  <c r="C827" i="50" s="1"/>
  <c r="B802" i="50"/>
  <c r="B804" i="50"/>
  <c r="B805" i="50"/>
  <c r="A869" i="50"/>
  <c r="B887" i="50"/>
  <c r="B914" i="50" s="1"/>
  <c r="B888" i="50"/>
  <c r="B915" i="50" s="1"/>
  <c r="B889" i="50"/>
  <c r="B916" i="50" s="1"/>
  <c r="C1417" i="50" s="1"/>
  <c r="B890" i="50"/>
  <c r="B917" i="50" s="1"/>
  <c r="B891" i="50"/>
  <c r="B918" i="50" s="1"/>
  <c r="B892" i="50"/>
  <c r="B919" i="50" s="1"/>
  <c r="B893" i="50"/>
  <c r="B920" i="50" s="1"/>
  <c r="B894" i="50"/>
  <c r="B921" i="50" s="1"/>
  <c r="B895" i="50"/>
  <c r="B922" i="50" s="1"/>
  <c r="B896" i="50"/>
  <c r="B923" i="50" s="1"/>
  <c r="B2780" i="50" s="1"/>
  <c r="B2937" i="50" s="1"/>
  <c r="B897" i="50"/>
  <c r="B924" i="50" s="1"/>
  <c r="B898" i="50"/>
  <c r="B925" i="50" s="1"/>
  <c r="B899" i="50"/>
  <c r="B926" i="50" s="1"/>
  <c r="B900" i="50"/>
  <c r="B927" i="50" s="1"/>
  <c r="B901" i="50"/>
  <c r="B928" i="50" s="1"/>
  <c r="B902" i="50"/>
  <c r="B929" i="50" s="1"/>
  <c r="B903" i="50"/>
  <c r="B930" i="50" s="1"/>
  <c r="B904" i="50"/>
  <c r="B931" i="50" s="1"/>
  <c r="B905" i="50"/>
  <c r="B932" i="50" s="1"/>
  <c r="B1061" i="50"/>
  <c r="C1061" i="50" s="1"/>
  <c r="G1061" i="50" s="1"/>
  <c r="B1062" i="50"/>
  <c r="C1062" i="50" s="1"/>
  <c r="G1062" i="50" s="1"/>
  <c r="B1063" i="50"/>
  <c r="C1063" i="50" s="1"/>
  <c r="G1063" i="50" s="1"/>
  <c r="B1065" i="50"/>
  <c r="C1065" i="50" s="1"/>
  <c r="G1065" i="50" s="1"/>
  <c r="B1066" i="50"/>
  <c r="C1066" i="50" s="1"/>
  <c r="G1066" i="50" s="1"/>
  <c r="B1067" i="50"/>
  <c r="C1067" i="50" s="1"/>
  <c r="G1067" i="50" s="1"/>
  <c r="B1069" i="50"/>
  <c r="B1070" i="50"/>
  <c r="B1071" i="50"/>
  <c r="B1073" i="50"/>
  <c r="B1074" i="50"/>
  <c r="B1075" i="50"/>
  <c r="B1077" i="50"/>
  <c r="B1078" i="50"/>
  <c r="B1079" i="50"/>
  <c r="B1081" i="50"/>
  <c r="B1082" i="50"/>
  <c r="B1083" i="50"/>
  <c r="B1085" i="50"/>
  <c r="B1086" i="50"/>
  <c r="B1087" i="50"/>
  <c r="B1089" i="50"/>
  <c r="B1091" i="50"/>
  <c r="B1093" i="50"/>
  <c r="B1094" i="50"/>
  <c r="D1094" i="50" s="1"/>
  <c r="B1095" i="50"/>
  <c r="D1095" i="50" s="1"/>
  <c r="B1097" i="50"/>
  <c r="D1097" i="50" s="1"/>
  <c r="B1098" i="50"/>
  <c r="D1098" i="50" s="1"/>
  <c r="B1099" i="50"/>
  <c r="D1099" i="50" s="1"/>
  <c r="B1101" i="50"/>
  <c r="D1101" i="50" s="1"/>
  <c r="B1102" i="50"/>
  <c r="D1102" i="50" s="1"/>
  <c r="B1103" i="50"/>
  <c r="D1103" i="50" s="1"/>
  <c r="B1105" i="50"/>
  <c r="B1106" i="50"/>
  <c r="B1108" i="50"/>
  <c r="B1109" i="50"/>
  <c r="B1111" i="50"/>
  <c r="B1112" i="50"/>
  <c r="B1113" i="50"/>
  <c r="B1115" i="50"/>
  <c r="B1116" i="50"/>
  <c r="B1117" i="50"/>
  <c r="B1119" i="50"/>
  <c r="B1120" i="50"/>
  <c r="B1121" i="50"/>
  <c r="B1123" i="50"/>
  <c r="B1124" i="50"/>
  <c r="B1125" i="50"/>
  <c r="B1127" i="50"/>
  <c r="B1128" i="50"/>
  <c r="B1129" i="50"/>
  <c r="B1131" i="50"/>
  <c r="B1132" i="50"/>
  <c r="G1132" i="50"/>
  <c r="B1133" i="50"/>
  <c r="F1133" i="50" s="1"/>
  <c r="G1133" i="50"/>
  <c r="B1135" i="50"/>
  <c r="D1135" i="50" s="1"/>
  <c r="B1136" i="50"/>
  <c r="D1136" i="50" s="1"/>
  <c r="G1136" i="50"/>
  <c r="B1138" i="50"/>
  <c r="E1138" i="50" s="1"/>
  <c r="B1139" i="50"/>
  <c r="D1139" i="50" s="1"/>
  <c r="G1139" i="50"/>
  <c r="B1140" i="50"/>
  <c r="F1140" i="50" s="1"/>
  <c r="G1140" i="50"/>
  <c r="B1142" i="50"/>
  <c r="C1142" i="50" s="1"/>
  <c r="G1142" i="50" s="1"/>
  <c r="B1143" i="50"/>
  <c r="F1143" i="50" s="1"/>
  <c r="G1143" i="50"/>
  <c r="B1144" i="50"/>
  <c r="E1144" i="50" s="1"/>
  <c r="G1144" i="50"/>
  <c r="B1146" i="50"/>
  <c r="C1146" i="50" s="1"/>
  <c r="G1146" i="50" s="1"/>
  <c r="B1147" i="50"/>
  <c r="G1147" i="50"/>
  <c r="B1149" i="50"/>
  <c r="D1149" i="50" s="1"/>
  <c r="B1150" i="50"/>
  <c r="E1150" i="50" s="1"/>
  <c r="G1150" i="50"/>
  <c r="B1152" i="50"/>
  <c r="E1152" i="50" s="1"/>
  <c r="B1153" i="50"/>
  <c r="F1153" i="50" s="1"/>
  <c r="G1153" i="50"/>
  <c r="B1155" i="50"/>
  <c r="C1155" i="50" s="1"/>
  <c r="G1155" i="50" s="1"/>
  <c r="B1156" i="50"/>
  <c r="D1156" i="50" s="1"/>
  <c r="G1156" i="50"/>
  <c r="A1198" i="50"/>
  <c r="B1210" i="50"/>
  <c r="D1210" i="50" s="1"/>
  <c r="B1223" i="50"/>
  <c r="D1223" i="50" s="1"/>
  <c r="C1240" i="50" s="1"/>
  <c r="C1513" i="50" s="1"/>
  <c r="B1224" i="50"/>
  <c r="D1224" i="50" s="1"/>
  <c r="C1241" i="50" s="1"/>
  <c r="B1225" i="50"/>
  <c r="D1225" i="50" s="1"/>
  <c r="C1242" i="50" s="1"/>
  <c r="C1587" i="50" s="1"/>
  <c r="B1226" i="50"/>
  <c r="B1227" i="50"/>
  <c r="D1227" i="50" s="1"/>
  <c r="C1244" i="50" s="1"/>
  <c r="B1228" i="50"/>
  <c r="C1228" i="50" s="1"/>
  <c r="B1245" i="50" s="1"/>
  <c r="B1588" i="50" s="1"/>
  <c r="B1229" i="50"/>
  <c r="D1229" i="50" s="1"/>
  <c r="C1246" i="50" s="1"/>
  <c r="B1230" i="50"/>
  <c r="B1231" i="50"/>
  <c r="D1231" i="50" s="1"/>
  <c r="C1248" i="50" s="1"/>
  <c r="B1269" i="50"/>
  <c r="E1269" i="50" s="1"/>
  <c r="D1282" i="50" s="1"/>
  <c r="B1270" i="50"/>
  <c r="D1270" i="50" s="1"/>
  <c r="C1283" i="50" s="1"/>
  <c r="B1271" i="50"/>
  <c r="D1271" i="50" s="1"/>
  <c r="C1284" i="50" s="1"/>
  <c r="B1272" i="50"/>
  <c r="D1272" i="50" s="1"/>
  <c r="C1285" i="50" s="1"/>
  <c r="B1273" i="50"/>
  <c r="D1273" i="50" s="1"/>
  <c r="C1286" i="50" s="1"/>
  <c r="C1429" i="50"/>
  <c r="C1430" i="50"/>
  <c r="C1431" i="50"/>
  <c r="B1444" i="50"/>
  <c r="C1444" i="50" s="1"/>
  <c r="C1460" i="50" s="1"/>
  <c r="B1445" i="50"/>
  <c r="C1445" i="50" s="1"/>
  <c r="G1460" i="50" s="1"/>
  <c r="B1446" i="50"/>
  <c r="C1446" i="50" s="1"/>
  <c r="K1460" i="50" s="1"/>
  <c r="B1447" i="50"/>
  <c r="C1447" i="50" s="1"/>
  <c r="O1460" i="50" s="1"/>
  <c r="B1448" i="50"/>
  <c r="C1448" i="50" s="1"/>
  <c r="S1460" i="50" s="1"/>
  <c r="B1449" i="50"/>
  <c r="C1449" i="50" s="1"/>
  <c r="W1460" i="50" s="1"/>
  <c r="B1450" i="50"/>
  <c r="C1450" i="50" s="1"/>
  <c r="AA1460" i="50" s="1"/>
  <c r="B1451" i="50"/>
  <c r="C1451" i="50" s="1"/>
  <c r="AE1460" i="50" s="1"/>
  <c r="B1452" i="50"/>
  <c r="C1452" i="50" s="1"/>
  <c r="AI1460" i="50" s="1"/>
  <c r="B1843" i="50"/>
  <c r="C1843" i="50" s="1"/>
  <c r="B1856" i="50"/>
  <c r="C1856" i="50" s="1"/>
  <c r="B1868" i="50" s="1"/>
  <c r="B1857" i="50"/>
  <c r="C1857" i="50" s="1"/>
  <c r="B1869" i="50" s="1"/>
  <c r="B1858" i="50"/>
  <c r="C1858" i="50" s="1"/>
  <c r="B1870" i="50" s="1"/>
  <c r="B1859" i="50"/>
  <c r="C1859" i="50" s="1"/>
  <c r="B1871" i="50" s="1"/>
  <c r="A2111" i="50"/>
  <c r="A2253" i="50"/>
  <c r="K2265" i="50"/>
  <c r="K2266" i="50"/>
  <c r="C2294" i="50" s="1"/>
  <c r="K2267" i="50"/>
  <c r="C2295" i="50" s="1"/>
  <c r="K2268" i="50"/>
  <c r="C2296" i="50" s="1"/>
  <c r="K2269" i="50"/>
  <c r="C2297" i="50" s="1"/>
  <c r="K2270" i="50"/>
  <c r="C2298" i="50" s="1"/>
  <c r="K2271" i="50"/>
  <c r="C2299" i="50" s="1"/>
  <c r="K2272" i="50"/>
  <c r="C2300" i="50" s="1"/>
  <c r="K2273" i="50"/>
  <c r="C2301" i="50" s="1"/>
  <c r="K2274" i="50"/>
  <c r="C2302" i="50" s="1"/>
  <c r="K2275" i="50"/>
  <c r="C2303" i="50" s="1"/>
  <c r="K2276" i="50"/>
  <c r="C2304" i="50" s="1"/>
  <c r="K2277" i="50"/>
  <c r="C2305" i="50" s="1"/>
  <c r="K2278" i="50"/>
  <c r="C2306" i="50" s="1"/>
  <c r="K2279" i="50"/>
  <c r="C2307" i="50" s="1"/>
  <c r="K2280" i="50"/>
  <c r="C2308" i="50" s="1"/>
  <c r="K2281" i="50"/>
  <c r="C2309" i="50" s="1"/>
  <c r="K2282" i="50"/>
  <c r="C2310" i="50" s="1"/>
  <c r="K2283" i="50"/>
  <c r="C2311" i="50" s="1"/>
  <c r="B2293" i="50"/>
  <c r="C2293" i="50"/>
  <c r="D2293" i="50"/>
  <c r="E2293" i="50"/>
  <c r="F2293" i="50"/>
  <c r="H2293" i="50"/>
  <c r="I2293" i="50"/>
  <c r="J2293" i="50"/>
  <c r="B2294" i="50"/>
  <c r="D2294" i="50"/>
  <c r="E2294" i="50"/>
  <c r="F2294" i="50"/>
  <c r="H2294" i="50"/>
  <c r="I2294" i="50"/>
  <c r="J2294" i="50"/>
  <c r="B2295" i="50"/>
  <c r="D2295" i="50"/>
  <c r="E2295" i="50"/>
  <c r="F2295" i="50"/>
  <c r="H2295" i="50"/>
  <c r="I2295" i="50"/>
  <c r="J2295" i="50"/>
  <c r="B2296" i="50"/>
  <c r="D2296" i="50"/>
  <c r="E2296" i="50"/>
  <c r="F2296" i="50"/>
  <c r="H2296" i="50"/>
  <c r="I2296" i="50"/>
  <c r="J2296" i="50"/>
  <c r="B2297" i="50"/>
  <c r="D2297" i="50"/>
  <c r="E2297" i="50"/>
  <c r="F2297" i="50"/>
  <c r="H2297" i="50"/>
  <c r="I2297" i="50"/>
  <c r="J2297" i="50"/>
  <c r="B2298" i="50"/>
  <c r="D2298" i="50"/>
  <c r="E2298" i="50"/>
  <c r="F2298" i="50"/>
  <c r="H2298" i="50"/>
  <c r="I2298" i="50"/>
  <c r="J2298" i="50"/>
  <c r="B2299" i="50"/>
  <c r="D2299" i="50"/>
  <c r="E2299" i="50"/>
  <c r="F2299" i="50"/>
  <c r="H2299" i="50"/>
  <c r="I2299" i="50"/>
  <c r="J2299" i="50"/>
  <c r="B2300" i="50"/>
  <c r="D2300" i="50"/>
  <c r="E2300" i="50"/>
  <c r="F2300" i="50"/>
  <c r="H2300" i="50"/>
  <c r="I2300" i="50"/>
  <c r="J2300" i="50"/>
  <c r="B2301" i="50"/>
  <c r="D2301" i="50"/>
  <c r="E2301" i="50"/>
  <c r="F2301" i="50"/>
  <c r="H2301" i="50"/>
  <c r="I2301" i="50"/>
  <c r="J2301" i="50"/>
  <c r="B2302" i="50"/>
  <c r="D2302" i="50"/>
  <c r="E2302" i="50"/>
  <c r="F2302" i="50"/>
  <c r="H2302" i="50"/>
  <c r="I2302" i="50"/>
  <c r="J2302" i="50"/>
  <c r="B2303" i="50"/>
  <c r="D2303" i="50"/>
  <c r="E2303" i="50"/>
  <c r="F2303" i="50"/>
  <c r="H2303" i="50"/>
  <c r="I2303" i="50"/>
  <c r="J2303" i="50"/>
  <c r="B2304" i="50"/>
  <c r="D2304" i="50"/>
  <c r="E2304" i="50"/>
  <c r="F2304" i="50"/>
  <c r="H2304" i="50"/>
  <c r="I2304" i="50"/>
  <c r="J2304" i="50"/>
  <c r="B2305" i="50"/>
  <c r="D2305" i="50"/>
  <c r="E2305" i="50"/>
  <c r="F2305" i="50"/>
  <c r="H2305" i="50"/>
  <c r="I2305" i="50"/>
  <c r="J2305" i="50"/>
  <c r="B2306" i="50"/>
  <c r="D2306" i="50"/>
  <c r="E2306" i="50"/>
  <c r="F2306" i="50"/>
  <c r="H2306" i="50"/>
  <c r="I2306" i="50"/>
  <c r="J2306" i="50"/>
  <c r="B2307" i="50"/>
  <c r="D2307" i="50"/>
  <c r="E2307" i="50"/>
  <c r="F2307" i="50"/>
  <c r="H2307" i="50"/>
  <c r="I2307" i="50"/>
  <c r="J2307" i="50"/>
  <c r="B2308" i="50"/>
  <c r="D2308" i="50"/>
  <c r="E2308" i="50"/>
  <c r="F2308" i="50"/>
  <c r="H2308" i="50"/>
  <c r="I2308" i="50"/>
  <c r="J2308" i="50"/>
  <c r="B2309" i="50"/>
  <c r="D2309" i="50"/>
  <c r="E2309" i="50"/>
  <c r="F2309" i="50"/>
  <c r="H2309" i="50"/>
  <c r="I2309" i="50"/>
  <c r="J2309" i="50"/>
  <c r="B2310" i="50"/>
  <c r="D2310" i="50"/>
  <c r="E2310" i="50"/>
  <c r="F2310" i="50"/>
  <c r="H2310" i="50"/>
  <c r="I2310" i="50"/>
  <c r="J2310" i="50"/>
  <c r="B2311" i="50"/>
  <c r="D2311" i="50"/>
  <c r="E2311" i="50"/>
  <c r="F2311" i="50"/>
  <c r="H2311" i="50"/>
  <c r="I2311" i="50"/>
  <c r="J2311" i="50"/>
  <c r="A2467" i="50"/>
  <c r="B2476" i="50"/>
  <c r="B2545" i="50"/>
  <c r="B2565" i="50"/>
  <c r="A2628" i="50"/>
  <c r="B2669" i="50"/>
  <c r="C2669" i="50"/>
  <c r="D2669" i="50"/>
  <c r="E2669" i="50"/>
  <c r="B2670" i="50"/>
  <c r="C2670" i="50"/>
  <c r="D2670" i="50"/>
  <c r="E2670" i="50"/>
  <c r="B2671" i="50"/>
  <c r="C2671" i="50"/>
  <c r="D2671" i="50"/>
  <c r="E2671" i="50"/>
  <c r="B2672" i="50"/>
  <c r="C2672" i="50"/>
  <c r="D2672" i="50"/>
  <c r="E2672" i="50"/>
  <c r="B2673" i="50"/>
  <c r="C2673" i="50"/>
  <c r="D2673" i="50"/>
  <c r="E2673" i="50"/>
  <c r="B2674" i="50"/>
  <c r="C2674" i="50"/>
  <c r="D2674" i="50"/>
  <c r="E2674" i="50"/>
  <c r="B2675" i="50"/>
  <c r="C2675" i="50"/>
  <c r="D2675" i="50"/>
  <c r="E2675" i="50"/>
  <c r="B2676" i="50"/>
  <c r="C2676" i="50"/>
  <c r="D2676" i="50"/>
  <c r="E2676" i="50"/>
  <c r="A2749" i="50"/>
  <c r="B2772" i="50"/>
  <c r="B2929" i="50" s="1"/>
  <c r="B2783" i="50"/>
  <c r="B2940" i="50" s="1"/>
  <c r="B3127" i="50" s="1"/>
  <c r="B3139" i="50" s="1"/>
  <c r="B3398" i="50" s="1"/>
  <c r="B2788" i="50"/>
  <c r="B2945" i="50" s="1"/>
  <c r="B2791" i="50"/>
  <c r="B3223" i="50" s="1"/>
  <c r="B2795" i="50"/>
  <c r="B2796" i="50"/>
  <c r="B3228" i="50" s="1"/>
  <c r="B2797" i="50"/>
  <c r="A2877" i="50"/>
  <c r="A3008" i="50"/>
  <c r="A3106" i="50"/>
  <c r="B3148" i="50"/>
  <c r="B3149" i="50"/>
  <c r="B3150" i="50"/>
  <c r="B3151" i="50"/>
  <c r="B3152" i="50"/>
  <c r="B3153" i="50"/>
  <c r="B3167" i="50"/>
  <c r="B3182" i="50" s="1"/>
  <c r="B3407" i="50" s="1"/>
  <c r="B3168" i="50"/>
  <c r="B3183" i="50" s="1"/>
  <c r="B3408" i="50" s="1"/>
  <c r="B3169" i="50"/>
  <c r="B3184" i="50" s="1"/>
  <c r="B3409" i="50" s="1"/>
  <c r="B3170" i="50"/>
  <c r="B3185" i="50" s="1"/>
  <c r="B3410" i="50" s="1"/>
  <c r="B3171" i="50"/>
  <c r="B3186" i="50" s="1"/>
  <c r="B3411" i="50" s="1"/>
  <c r="B3172" i="50"/>
  <c r="B3187" i="50" s="1"/>
  <c r="B3412" i="50" s="1"/>
  <c r="A3189" i="50"/>
  <c r="L3318" i="50"/>
  <c r="C3426" i="50"/>
  <c r="D3426" i="50"/>
  <c r="F3426" i="50"/>
  <c r="G3426" i="50"/>
  <c r="D3427" i="50"/>
  <c r="F3427" i="50"/>
  <c r="G3427" i="50"/>
  <c r="C3428" i="50"/>
  <c r="D3428" i="50"/>
  <c r="E3428" i="50"/>
  <c r="F3428" i="50"/>
  <c r="G3428" i="50"/>
  <c r="C3429" i="50"/>
  <c r="D3429" i="50"/>
  <c r="F3429" i="50"/>
  <c r="G3429" i="50"/>
  <c r="D3430" i="50"/>
  <c r="F3430" i="50"/>
  <c r="G3430" i="50"/>
  <c r="C3431" i="50"/>
  <c r="D3431" i="50"/>
  <c r="E3431" i="50"/>
  <c r="F3431" i="50"/>
  <c r="G3431" i="50"/>
  <c r="D3432" i="50"/>
  <c r="F3432" i="50"/>
  <c r="G3432" i="50"/>
  <c r="D3433" i="50"/>
  <c r="F3433" i="50"/>
  <c r="G3433" i="50"/>
  <c r="D3434" i="50"/>
  <c r="F3434" i="50"/>
  <c r="G3434" i="50"/>
  <c r="F3435" i="50"/>
  <c r="G3435" i="50"/>
  <c r="F3436" i="50"/>
  <c r="G3436" i="50"/>
  <c r="C3440" i="50"/>
  <c r="D3440" i="50"/>
  <c r="E3440" i="50"/>
  <c r="F3440" i="50"/>
  <c r="G3440" i="50"/>
  <c r="C3441" i="50"/>
  <c r="D3441" i="50"/>
  <c r="E3441" i="50"/>
  <c r="F3441" i="50"/>
  <c r="G3441" i="50"/>
  <c r="C3442" i="50"/>
  <c r="D3442" i="50"/>
  <c r="E3442" i="50"/>
  <c r="F3442" i="50"/>
  <c r="G3442" i="50"/>
  <c r="C3443" i="50"/>
  <c r="D3443" i="50"/>
  <c r="E3443" i="50"/>
  <c r="F3443" i="50"/>
  <c r="G3443" i="50"/>
  <c r="E3444" i="50"/>
  <c r="F3444" i="50"/>
  <c r="G3444" i="50"/>
  <c r="C3445" i="50"/>
  <c r="D3445" i="50"/>
  <c r="F3445" i="50"/>
  <c r="G3445" i="50"/>
  <c r="C3446" i="50"/>
  <c r="D3446" i="50"/>
  <c r="F3446" i="50"/>
  <c r="G3446" i="50"/>
  <c r="C3447" i="50"/>
  <c r="D3447" i="50"/>
  <c r="F3447" i="50"/>
  <c r="F3448" i="50"/>
  <c r="C3449" i="50"/>
  <c r="D3449" i="50"/>
  <c r="F3449" i="50"/>
  <c r="F3450" i="50"/>
  <c r="C3451" i="50"/>
  <c r="D3451" i="50"/>
  <c r="F3451" i="50"/>
  <c r="F3452" i="50"/>
  <c r="A3454" i="50"/>
  <c r="A3513" i="50"/>
  <c r="B3613" i="50"/>
  <c r="C3743" i="50" s="1"/>
  <c r="C3613" i="50"/>
  <c r="C3770" i="50" s="1"/>
  <c r="D3613" i="50"/>
  <c r="C3797" i="50" s="1"/>
  <c r="G3613" i="50"/>
  <c r="C3878" i="50" s="1"/>
  <c r="B3614" i="50"/>
  <c r="C3744" i="50" s="1"/>
  <c r="C3614" i="50"/>
  <c r="C3771" i="50" s="1"/>
  <c r="D3614" i="50"/>
  <c r="C3798" i="50" s="1"/>
  <c r="G3614" i="50"/>
  <c r="C3879" i="50" s="1"/>
  <c r="B3615" i="50"/>
  <c r="C3745" i="50" s="1"/>
  <c r="C3615" i="50"/>
  <c r="C3772" i="50" s="1"/>
  <c r="D3615" i="50"/>
  <c r="C3799" i="50" s="1"/>
  <c r="G3615" i="50"/>
  <c r="C3880" i="50" s="1"/>
  <c r="B3616" i="50"/>
  <c r="C3746" i="50" s="1"/>
  <c r="C3616" i="50"/>
  <c r="C3773" i="50" s="1"/>
  <c r="D3616" i="50"/>
  <c r="C3800" i="50" s="1"/>
  <c r="G3616" i="50"/>
  <c r="C3881" i="50" s="1"/>
  <c r="B3617" i="50"/>
  <c r="C3747" i="50" s="1"/>
  <c r="C3617" i="50"/>
  <c r="C3774" i="50" s="1"/>
  <c r="D3617" i="50"/>
  <c r="C3801" i="50" s="1"/>
  <c r="G3617" i="50"/>
  <c r="C3882" i="50" s="1"/>
  <c r="B3618" i="50"/>
  <c r="C3748" i="50" s="1"/>
  <c r="C3618" i="50"/>
  <c r="C3775" i="50" s="1"/>
  <c r="D3618" i="50"/>
  <c r="C3802" i="50" s="1"/>
  <c r="G3618" i="50"/>
  <c r="C3883" i="50" s="1"/>
  <c r="B3619" i="50"/>
  <c r="C3749" i="50" s="1"/>
  <c r="C3619" i="50"/>
  <c r="C3776" i="50" s="1"/>
  <c r="D3619" i="50"/>
  <c r="C3803" i="50" s="1"/>
  <c r="G3619" i="50"/>
  <c r="C3884" i="50" s="1"/>
  <c r="B3620" i="50"/>
  <c r="C3750" i="50" s="1"/>
  <c r="C3620" i="50"/>
  <c r="C3777" i="50" s="1"/>
  <c r="D3620" i="50"/>
  <c r="C3804" i="50" s="1"/>
  <c r="G3620" i="50"/>
  <c r="C3885" i="50" s="1"/>
  <c r="H3723" i="50"/>
  <c r="B3751" i="50"/>
  <c r="B3753" i="50"/>
  <c r="B3754" i="50"/>
  <c r="B3756" i="50"/>
  <c r="B3765" i="50"/>
  <c r="B3766" i="50"/>
  <c r="B3767" i="50"/>
  <c r="B3768" i="50"/>
  <c r="B3770" i="50"/>
  <c r="B3771" i="50"/>
  <c r="B3772" i="50"/>
  <c r="B3774" i="50"/>
  <c r="B3776" i="50"/>
  <c r="B3778" i="50"/>
  <c r="B3779" i="50"/>
  <c r="B3780" i="50"/>
  <c r="B3781" i="50"/>
  <c r="B3782" i="50"/>
  <c r="B3783" i="50"/>
  <c r="B3784" i="50"/>
  <c r="B3785" i="50"/>
  <c r="B3786" i="50"/>
  <c r="B3792" i="50"/>
  <c r="B3793" i="50"/>
  <c r="B3794" i="50"/>
  <c r="B3795" i="50"/>
  <c r="B3797" i="50"/>
  <c r="B3798" i="50"/>
  <c r="B3799" i="50"/>
  <c r="B3801" i="50"/>
  <c r="B3803" i="50"/>
  <c r="B3807" i="50"/>
  <c r="B3810" i="50"/>
  <c r="B3819" i="50"/>
  <c r="B3820" i="50"/>
  <c r="B3821" i="50"/>
  <c r="B3822" i="50"/>
  <c r="B3823" i="50"/>
  <c r="B3832" i="50"/>
  <c r="B3833" i="50"/>
  <c r="B3834" i="50"/>
  <c r="B3835" i="50"/>
  <c r="B3836" i="50"/>
  <c r="B3837" i="50"/>
  <c r="B3838" i="50"/>
  <c r="B3839" i="50"/>
  <c r="B3840" i="50"/>
  <c r="B3841" i="50"/>
  <c r="B3842" i="50"/>
  <c r="B3846" i="50"/>
  <c r="B3847" i="50"/>
  <c r="B3848" i="50"/>
  <c r="B3849" i="50"/>
  <c r="B3850" i="50"/>
  <c r="B3851" i="50"/>
  <c r="B3852" i="50"/>
  <c r="B3853" i="50"/>
  <c r="B3854" i="50"/>
  <c r="B3855" i="50"/>
  <c r="B3856" i="50"/>
  <c r="B3857" i="50"/>
  <c r="B3858" i="50"/>
  <c r="B3859" i="50"/>
  <c r="B3860" i="50"/>
  <c r="B3861" i="50"/>
  <c r="B3862" i="50"/>
  <c r="B3863" i="50"/>
  <c r="B3864" i="50"/>
  <c r="B3865" i="50"/>
  <c r="B3866" i="50"/>
  <c r="B3867" i="50"/>
  <c r="B3868" i="50"/>
  <c r="B3869" i="50"/>
  <c r="B3873" i="50"/>
  <c r="B3874" i="50"/>
  <c r="B3875" i="50"/>
  <c r="B3876" i="50"/>
  <c r="B3877" i="50"/>
  <c r="B3878" i="50"/>
  <c r="B3879" i="50"/>
  <c r="D3751" i="50"/>
  <c r="D3753" i="50"/>
  <c r="D3754" i="50"/>
  <c r="D3756" i="50"/>
  <c r="D3765" i="50"/>
  <c r="D3766" i="50"/>
  <c r="D3767" i="50"/>
  <c r="D3768" i="50"/>
  <c r="D3770" i="50"/>
  <c r="D3771" i="50"/>
  <c r="D3772" i="50"/>
  <c r="D3774" i="50"/>
  <c r="D3776" i="50"/>
  <c r="D3778" i="50"/>
  <c r="D3779" i="50"/>
  <c r="D3780" i="50"/>
  <c r="D3781" i="50"/>
  <c r="D3782" i="50"/>
  <c r="D3783" i="50"/>
  <c r="D3784" i="50"/>
  <c r="D3785" i="50"/>
  <c r="D3786" i="50"/>
  <c r="D3792" i="50"/>
  <c r="D3793" i="50"/>
  <c r="D3794" i="50"/>
  <c r="D3795" i="50"/>
  <c r="D3797" i="50"/>
  <c r="D3798" i="50"/>
  <c r="D3799" i="50"/>
  <c r="D3801" i="50"/>
  <c r="D3803" i="50"/>
  <c r="D3807" i="50"/>
  <c r="D3810" i="50"/>
  <c r="D3819" i="50"/>
  <c r="D3820" i="50"/>
  <c r="D3821" i="50"/>
  <c r="D3822" i="50"/>
  <c r="D3823" i="50"/>
  <c r="D3832" i="50"/>
  <c r="D3833" i="50"/>
  <c r="D3834" i="50"/>
  <c r="D3835" i="50"/>
  <c r="D3836" i="50"/>
  <c r="D3837" i="50"/>
  <c r="D3838" i="50"/>
  <c r="D3839" i="50"/>
  <c r="D3840" i="50"/>
  <c r="D3841" i="50"/>
  <c r="D3842" i="50"/>
  <c r="D3846" i="50"/>
  <c r="D3847" i="50"/>
  <c r="D3848" i="50"/>
  <c r="D3849" i="50"/>
  <c r="D3850" i="50"/>
  <c r="D3851" i="50"/>
  <c r="D3852" i="50"/>
  <c r="D3853" i="50"/>
  <c r="D3854" i="50"/>
  <c r="D3855" i="50"/>
  <c r="D3856" i="50"/>
  <c r="D3857" i="50"/>
  <c r="D3858" i="50"/>
  <c r="D3859" i="50"/>
  <c r="D3860" i="50"/>
  <c r="D3861" i="50"/>
  <c r="D3862" i="50"/>
  <c r="D3863" i="50"/>
  <c r="D3864" i="50"/>
  <c r="D3865" i="50"/>
  <c r="D3866" i="50"/>
  <c r="D3867" i="50"/>
  <c r="D3868" i="50"/>
  <c r="D3869" i="50"/>
  <c r="D3873" i="50"/>
  <c r="D3874" i="50"/>
  <c r="D3875" i="50"/>
  <c r="D3876" i="50"/>
  <c r="D3877" i="50"/>
  <c r="D3878" i="50"/>
  <c r="D3879" i="50"/>
  <c r="B3947" i="50"/>
  <c r="C3947" i="50"/>
  <c r="D3947" i="50"/>
  <c r="E3947" i="50"/>
  <c r="F3947" i="50"/>
  <c r="G3947" i="50"/>
  <c r="B3948" i="50"/>
  <c r="C3948" i="50"/>
  <c r="D3948" i="50"/>
  <c r="E3948" i="50"/>
  <c r="F3948" i="50"/>
  <c r="G3948" i="50"/>
  <c r="B3949" i="50"/>
  <c r="C3949" i="50"/>
  <c r="D3949" i="50"/>
  <c r="E3949" i="50"/>
  <c r="F3949" i="50"/>
  <c r="G3949" i="50"/>
  <c r="B3950" i="50"/>
  <c r="C3950" i="50"/>
  <c r="D3950" i="50"/>
  <c r="E3950" i="50"/>
  <c r="F3950" i="50"/>
  <c r="G3950" i="50"/>
  <c r="B3951" i="50"/>
  <c r="C3951" i="50"/>
  <c r="D3951" i="50"/>
  <c r="E3951" i="50"/>
  <c r="F3951" i="50"/>
  <c r="G3951" i="50"/>
  <c r="B3952" i="50"/>
  <c r="C3952" i="50"/>
  <c r="D3952" i="50"/>
  <c r="E3952" i="50"/>
  <c r="F3952" i="50"/>
  <c r="G3952" i="50"/>
  <c r="B3953" i="50"/>
  <c r="C3953" i="50"/>
  <c r="D3953" i="50"/>
  <c r="E3953" i="50"/>
  <c r="F3953" i="50"/>
  <c r="G3953" i="50"/>
  <c r="B3954" i="50"/>
  <c r="C3954" i="50"/>
  <c r="D3954" i="50"/>
  <c r="E3954" i="50"/>
  <c r="F3954" i="50"/>
  <c r="G3954" i="50"/>
  <c r="A3956" i="50"/>
  <c r="C4178" i="50"/>
  <c r="D4178" i="50"/>
  <c r="F4178" i="50"/>
  <c r="G4178" i="50"/>
  <c r="C4179" i="50"/>
  <c r="M35" i="49" s="1"/>
  <c r="D4179" i="50"/>
  <c r="F4179" i="50"/>
  <c r="G35" i="49" s="1"/>
  <c r="G4179" i="50"/>
  <c r="C4180" i="50"/>
  <c r="M36" i="49" s="1"/>
  <c r="D4180" i="50"/>
  <c r="F4180" i="50"/>
  <c r="G36" i="49" s="1"/>
  <c r="G4180" i="50"/>
  <c r="D4182" i="50"/>
  <c r="N38" i="49" s="1"/>
  <c r="F4182" i="50"/>
  <c r="G38" i="49" s="1"/>
  <c r="G4182" i="50"/>
  <c r="D4183" i="50"/>
  <c r="F4183" i="50"/>
  <c r="G39" i="49" s="1"/>
  <c r="G4183" i="50"/>
  <c r="H39" i="49" s="1"/>
  <c r="D4184" i="50"/>
  <c r="N40" i="49" s="1"/>
  <c r="F4184" i="50"/>
  <c r="G40" i="49" s="1"/>
  <c r="G4184" i="50"/>
  <c r="C4186" i="50"/>
  <c r="M42" i="49" s="1"/>
  <c r="D4186" i="50"/>
  <c r="N42" i="49" s="1"/>
  <c r="F4186" i="50"/>
  <c r="G42" i="49" s="1"/>
  <c r="G4186" i="50"/>
  <c r="H42" i="49" s="1"/>
  <c r="C4187" i="50"/>
  <c r="D4187" i="50"/>
  <c r="N43" i="49" s="1"/>
  <c r="F4187" i="50"/>
  <c r="G43" i="49" s="1"/>
  <c r="G4187" i="50"/>
  <c r="H43" i="49" s="1"/>
  <c r="C4188" i="50"/>
  <c r="M44" i="49" s="1"/>
  <c r="D4188" i="50"/>
  <c r="N44" i="49" s="1"/>
  <c r="F4188" i="50"/>
  <c r="G4188" i="50"/>
  <c r="H44" i="49" s="1"/>
  <c r="C4190" i="50"/>
  <c r="D4190" i="50"/>
  <c r="N46" i="49" s="1"/>
  <c r="F4190" i="50"/>
  <c r="G4190" i="50"/>
  <c r="H46" i="49" s="1"/>
  <c r="C4191" i="50"/>
  <c r="M47" i="49" s="1"/>
  <c r="D4191" i="50"/>
  <c r="F4191" i="50"/>
  <c r="G47" i="49" s="1"/>
  <c r="G4191" i="50"/>
  <c r="H47" i="49" s="1"/>
  <c r="C4192" i="50"/>
  <c r="M48" i="49" s="1"/>
  <c r="D4192" i="50"/>
  <c r="N48" i="49" s="1"/>
  <c r="F4192" i="50"/>
  <c r="G4192" i="50"/>
  <c r="D4194" i="50"/>
  <c r="N50" i="49" s="1"/>
  <c r="F4194" i="50"/>
  <c r="G50" i="49" s="1"/>
  <c r="G4194" i="50"/>
  <c r="H50" i="49" s="1"/>
  <c r="D4195" i="50"/>
  <c r="F4195" i="50"/>
  <c r="G51" i="49" s="1"/>
  <c r="G4195" i="50"/>
  <c r="H51" i="49" s="1"/>
  <c r="D4196" i="50"/>
  <c r="F4196" i="50"/>
  <c r="G52" i="49" s="1"/>
  <c r="G4196" i="50"/>
  <c r="H52" i="49" s="1"/>
  <c r="C4198" i="50"/>
  <c r="D4198" i="50"/>
  <c r="F4198" i="50"/>
  <c r="G54" i="49" s="1"/>
  <c r="G4198" i="50"/>
  <c r="H54" i="49" s="1"/>
  <c r="C4199" i="50"/>
  <c r="M55" i="49" s="1"/>
  <c r="D4199" i="50"/>
  <c r="N55" i="49" s="1"/>
  <c r="F4199" i="50"/>
  <c r="H47" i="48" s="1"/>
  <c r="G4199" i="50"/>
  <c r="H55" i="49" s="1"/>
  <c r="C4200" i="50"/>
  <c r="M56" i="49" s="1"/>
  <c r="D4200" i="50"/>
  <c r="N56" i="49" s="1"/>
  <c r="F4200" i="50"/>
  <c r="G56" i="49" s="1"/>
  <c r="G4200" i="50"/>
  <c r="H56" i="49" s="1"/>
  <c r="D4202" i="50"/>
  <c r="N58" i="49" s="1"/>
  <c r="F4202" i="50"/>
  <c r="G4202" i="50"/>
  <c r="H58" i="49" s="1"/>
  <c r="D4203" i="50"/>
  <c r="F4203" i="50"/>
  <c r="G59" i="49" s="1"/>
  <c r="G4203" i="50"/>
  <c r="D4204" i="50"/>
  <c r="N60" i="49" s="1"/>
  <c r="F4204" i="50"/>
  <c r="G60" i="49" s="1"/>
  <c r="G4204" i="50"/>
  <c r="D4206" i="50"/>
  <c r="N62" i="49" s="1"/>
  <c r="F4206" i="50"/>
  <c r="G62" i="49" s="1"/>
  <c r="G4206" i="50"/>
  <c r="D4208" i="50"/>
  <c r="N64" i="49" s="1"/>
  <c r="F4208" i="50"/>
  <c r="G4208" i="50"/>
  <c r="H64" i="49" s="1"/>
  <c r="F4210" i="50"/>
  <c r="G66" i="49" s="1"/>
  <c r="G4210" i="50"/>
  <c r="H66" i="49" s="1"/>
  <c r="F4211" i="50"/>
  <c r="G4211" i="50"/>
  <c r="H67" i="49" s="1"/>
  <c r="F4212" i="50"/>
  <c r="G68" i="49" s="1"/>
  <c r="G4212" i="50"/>
  <c r="H68" i="49" s="1"/>
  <c r="F4214" i="50"/>
  <c r="G70" i="49" s="1"/>
  <c r="G4214" i="50"/>
  <c r="H70" i="49" s="1"/>
  <c r="F4215" i="50"/>
  <c r="G4215" i="50"/>
  <c r="I50" i="48" s="1"/>
  <c r="F4216" i="50"/>
  <c r="G72" i="49" s="1"/>
  <c r="G4216" i="50"/>
  <c r="H72" i="49" s="1"/>
  <c r="C4228" i="50"/>
  <c r="M84" i="49" s="1"/>
  <c r="D4228" i="50"/>
  <c r="F4228" i="50"/>
  <c r="G4228" i="50"/>
  <c r="H84" i="49" s="1"/>
  <c r="C4229" i="50"/>
  <c r="M85" i="49" s="1"/>
  <c r="D4229" i="50"/>
  <c r="F4229" i="50"/>
  <c r="G85" i="49" s="1"/>
  <c r="G4229" i="50"/>
  <c r="H85" i="49" s="1"/>
  <c r="C4230" i="50"/>
  <c r="M86" i="49" s="1"/>
  <c r="D4230" i="50"/>
  <c r="F72" i="48" s="1"/>
  <c r="F4230" i="50"/>
  <c r="G86" i="49" s="1"/>
  <c r="G4230" i="50"/>
  <c r="H86" i="49" s="1"/>
  <c r="C4232" i="50"/>
  <c r="M88" i="49" s="1"/>
  <c r="D4232" i="50"/>
  <c r="N88" i="49" s="1"/>
  <c r="F4232" i="50"/>
  <c r="G88" i="49" s="1"/>
  <c r="G4232" i="50"/>
  <c r="H88" i="49" s="1"/>
  <c r="C4233" i="50"/>
  <c r="D4233" i="50"/>
  <c r="N89" i="49" s="1"/>
  <c r="F4233" i="50"/>
  <c r="G89" i="49" s="1"/>
  <c r="G4233" i="50"/>
  <c r="H89" i="49" s="1"/>
  <c r="C4234" i="50"/>
  <c r="D4234" i="50"/>
  <c r="F73" i="48" s="1"/>
  <c r="F4234" i="50"/>
  <c r="G90" i="49" s="1"/>
  <c r="G4234" i="50"/>
  <c r="H90" i="49" s="1"/>
  <c r="C4236" i="50"/>
  <c r="M92" i="49" s="1"/>
  <c r="D4236" i="50"/>
  <c r="N92" i="49" s="1"/>
  <c r="F4236" i="50"/>
  <c r="G4236" i="50"/>
  <c r="C4237" i="50"/>
  <c r="M93" i="49" s="1"/>
  <c r="D4237" i="50"/>
  <c r="N93" i="49" s="1"/>
  <c r="F4237" i="50"/>
  <c r="G93" i="49" s="1"/>
  <c r="G4237" i="50"/>
  <c r="C4238" i="50"/>
  <c r="D4238" i="50"/>
  <c r="F74" i="48" s="1"/>
  <c r="F4238" i="50"/>
  <c r="G94" i="49" s="1"/>
  <c r="G4238" i="50"/>
  <c r="H94" i="49" s="1"/>
  <c r="C4240" i="50"/>
  <c r="D4240" i="50"/>
  <c r="N96" i="49" s="1"/>
  <c r="F4240" i="50"/>
  <c r="G96" i="49" s="1"/>
  <c r="G4240" i="50"/>
  <c r="H96" i="49" s="1"/>
  <c r="C4241" i="50"/>
  <c r="M97" i="49" s="1"/>
  <c r="D4241" i="50"/>
  <c r="F4241" i="50"/>
  <c r="G97" i="49" s="1"/>
  <c r="G4241" i="50"/>
  <c r="H97" i="49" s="1"/>
  <c r="C4242" i="50"/>
  <c r="D4242" i="50"/>
  <c r="F75" i="48" s="1"/>
  <c r="F4242" i="50"/>
  <c r="G98" i="49" s="1"/>
  <c r="G4242" i="50"/>
  <c r="H98" i="49" s="1"/>
  <c r="F4244" i="50"/>
  <c r="G4244" i="50"/>
  <c r="F4245" i="50"/>
  <c r="G101" i="49" s="1"/>
  <c r="G4245" i="50"/>
  <c r="F4246" i="50"/>
  <c r="G102" i="49" s="1"/>
  <c r="G4246" i="50"/>
  <c r="I76" i="48" s="1"/>
  <c r="C4248" i="50"/>
  <c r="M104" i="49" s="1"/>
  <c r="D4248" i="50"/>
  <c r="F4248" i="50"/>
  <c r="G104" i="49" s="1"/>
  <c r="G4248" i="50"/>
  <c r="H104" i="49" s="1"/>
  <c r="C4249" i="50"/>
  <c r="M105" i="49" s="1"/>
  <c r="D4249" i="50"/>
  <c r="F4249" i="50"/>
  <c r="H57" i="48" s="1"/>
  <c r="G4249" i="50"/>
  <c r="I57" i="48" s="1"/>
  <c r="C4250" i="50"/>
  <c r="M106" i="49" s="1"/>
  <c r="D4250" i="50"/>
  <c r="N106" i="49" s="1"/>
  <c r="F4250" i="50"/>
  <c r="G106" i="49" s="1"/>
  <c r="G4250" i="50"/>
  <c r="I77" i="48" s="1"/>
  <c r="C4252" i="50"/>
  <c r="M108" i="49" s="1"/>
  <c r="D4252" i="50"/>
  <c r="F35" i="48" s="1"/>
  <c r="F4252" i="50"/>
  <c r="G108" i="49" s="1"/>
  <c r="G4252" i="50"/>
  <c r="H108" i="49" s="1"/>
  <c r="C4253" i="50"/>
  <c r="E78" i="48" s="1"/>
  <c r="D4253" i="50"/>
  <c r="N109" i="49" s="1"/>
  <c r="F4253" i="50"/>
  <c r="G109" i="49" s="1"/>
  <c r="G4253" i="50"/>
  <c r="I78" i="48" s="1"/>
  <c r="C4255" i="50"/>
  <c r="M111" i="49" s="1"/>
  <c r="D4255" i="50"/>
  <c r="N111" i="49" s="1"/>
  <c r="F4255" i="50"/>
  <c r="G111" i="49" s="1"/>
  <c r="C4256" i="50"/>
  <c r="M112" i="49" s="1"/>
  <c r="D4256" i="50"/>
  <c r="N112" i="49" s="1"/>
  <c r="F4256" i="50"/>
  <c r="H58" i="48" s="1"/>
  <c r="C4257" i="50"/>
  <c r="D4257" i="50"/>
  <c r="N113" i="49" s="1"/>
  <c r="F4257" i="50"/>
  <c r="G113" i="49" s="1"/>
  <c r="F4259" i="50"/>
  <c r="G115" i="49" s="1"/>
  <c r="F4260" i="50"/>
  <c r="G116" i="49" s="1"/>
  <c r="F4261" i="50"/>
  <c r="H80" i="48" s="1"/>
  <c r="C4263" i="50"/>
  <c r="E38" i="48" s="1"/>
  <c r="D4263" i="50"/>
  <c r="N119" i="49" s="1"/>
  <c r="F4263" i="50"/>
  <c r="G119" i="49" s="1"/>
  <c r="C4264" i="50"/>
  <c r="M120" i="49" s="1"/>
  <c r="D4264" i="50"/>
  <c r="N120" i="49" s="1"/>
  <c r="F4264" i="50"/>
  <c r="G120" i="49" s="1"/>
  <c r="F4266" i="50"/>
  <c r="H39" i="48" s="1"/>
  <c r="F4267" i="50"/>
  <c r="H82" i="48" s="1"/>
  <c r="C4269" i="50"/>
  <c r="M125" i="49" s="1"/>
  <c r="D4269" i="50"/>
  <c r="N125" i="49" s="1"/>
  <c r="F4269" i="50"/>
  <c r="G125" i="49" s="1"/>
  <c r="C4270" i="50"/>
  <c r="M126" i="49" s="1"/>
  <c r="D4270" i="50"/>
  <c r="N126" i="49" s="1"/>
  <c r="F4270" i="50"/>
  <c r="G126" i="49" s="1"/>
  <c r="F4272" i="50"/>
  <c r="H41" i="48" s="1"/>
  <c r="F4273" i="50"/>
  <c r="G129" i="49" s="1"/>
  <c r="A1" i="49"/>
  <c r="B34" i="49"/>
  <c r="C34" i="49"/>
  <c r="G34" i="49"/>
  <c r="H34" i="49"/>
  <c r="M34" i="49"/>
  <c r="N34" i="49"/>
  <c r="B35" i="49"/>
  <c r="C35" i="49"/>
  <c r="H35" i="49"/>
  <c r="N35" i="49"/>
  <c r="B36" i="49"/>
  <c r="C36" i="49"/>
  <c r="H36" i="49"/>
  <c r="N36" i="49"/>
  <c r="B38" i="49"/>
  <c r="C38" i="49"/>
  <c r="H38" i="49"/>
  <c r="B39" i="49"/>
  <c r="C39" i="49"/>
  <c r="N39" i="49"/>
  <c r="B40" i="49"/>
  <c r="C40" i="49"/>
  <c r="H40" i="49"/>
  <c r="B42" i="49"/>
  <c r="C42" i="49"/>
  <c r="J42" i="49" s="1"/>
  <c r="B43" i="49"/>
  <c r="I43" i="49" s="1"/>
  <c r="C43" i="49"/>
  <c r="J43" i="49" s="1"/>
  <c r="M43" i="49"/>
  <c r="B44" i="49"/>
  <c r="K44" i="49" s="1"/>
  <c r="C44" i="49"/>
  <c r="J44" i="49" s="1"/>
  <c r="G44" i="49"/>
  <c r="I44" i="49"/>
  <c r="B46" i="49"/>
  <c r="C46" i="49"/>
  <c r="G46" i="49"/>
  <c r="M46" i="49"/>
  <c r="B47" i="49"/>
  <c r="C47" i="49"/>
  <c r="N47" i="49"/>
  <c r="B48" i="49"/>
  <c r="C48" i="49"/>
  <c r="G48" i="49"/>
  <c r="H48" i="49"/>
  <c r="B50" i="49"/>
  <c r="C50" i="49"/>
  <c r="B51" i="49"/>
  <c r="C51" i="49"/>
  <c r="N51" i="49"/>
  <c r="B52" i="49"/>
  <c r="C52" i="49"/>
  <c r="N52" i="49"/>
  <c r="B54" i="49"/>
  <c r="C54" i="49"/>
  <c r="J54" i="49" s="1"/>
  <c r="M54" i="49"/>
  <c r="N54" i="49"/>
  <c r="B55" i="49"/>
  <c r="K55" i="49" s="1"/>
  <c r="C55" i="49"/>
  <c r="J55" i="49" s="1"/>
  <c r="G55" i="49"/>
  <c r="I55" i="49"/>
  <c r="B56" i="49"/>
  <c r="K56" i="49" s="1"/>
  <c r="C56" i="49"/>
  <c r="J56" i="49" s="1"/>
  <c r="B58" i="49"/>
  <c r="K58" i="49" s="1"/>
  <c r="C58" i="49"/>
  <c r="J58" i="49" s="1"/>
  <c r="G58" i="49"/>
  <c r="B59" i="49"/>
  <c r="I59" i="49" s="1"/>
  <c r="C59" i="49"/>
  <c r="J59" i="49" s="1"/>
  <c r="H59" i="49"/>
  <c r="N59" i="49"/>
  <c r="B60" i="49"/>
  <c r="K60" i="49" s="1"/>
  <c r="C60" i="49"/>
  <c r="J60" i="49" s="1"/>
  <c r="H60" i="49"/>
  <c r="B62" i="49"/>
  <c r="K62" i="49" s="1"/>
  <c r="C62" i="49"/>
  <c r="J62" i="49" s="1"/>
  <c r="H62" i="49"/>
  <c r="B64" i="49"/>
  <c r="K64" i="49" s="1"/>
  <c r="C64" i="49"/>
  <c r="J64" i="49" s="1"/>
  <c r="G64" i="49"/>
  <c r="B66" i="49"/>
  <c r="I66" i="49" s="1"/>
  <c r="C66" i="49"/>
  <c r="J66" i="49" s="1"/>
  <c r="B67" i="49"/>
  <c r="K67" i="49" s="1"/>
  <c r="C67" i="49"/>
  <c r="J67" i="49" s="1"/>
  <c r="G67" i="49"/>
  <c r="B68" i="49"/>
  <c r="K68" i="49" s="1"/>
  <c r="C68" i="49"/>
  <c r="J68" i="49" s="1"/>
  <c r="B70" i="49"/>
  <c r="C70" i="49"/>
  <c r="B71" i="49"/>
  <c r="C71" i="49"/>
  <c r="G71" i="49"/>
  <c r="H71" i="49"/>
  <c r="B72" i="49"/>
  <c r="C72" i="49"/>
  <c r="B74" i="49"/>
  <c r="C74" i="49"/>
  <c r="B75" i="49"/>
  <c r="C75" i="49"/>
  <c r="B76" i="49"/>
  <c r="C76" i="49"/>
  <c r="B78" i="49"/>
  <c r="C78" i="49"/>
  <c r="B79" i="49"/>
  <c r="C79" i="49"/>
  <c r="B81" i="49"/>
  <c r="C81" i="49"/>
  <c r="B82" i="49"/>
  <c r="C82" i="49"/>
  <c r="B84" i="49"/>
  <c r="C84" i="49"/>
  <c r="G84" i="49"/>
  <c r="N84" i="49"/>
  <c r="B85" i="49"/>
  <c r="C85" i="49"/>
  <c r="J85" i="49" s="1"/>
  <c r="N85" i="49"/>
  <c r="B86" i="49"/>
  <c r="C86" i="49"/>
  <c r="J86" i="49" s="1"/>
  <c r="N86" i="49"/>
  <c r="B88" i="49"/>
  <c r="C88" i="49"/>
  <c r="B89" i="49"/>
  <c r="C89" i="49"/>
  <c r="J89" i="49" s="1"/>
  <c r="M89" i="49"/>
  <c r="B90" i="49"/>
  <c r="C90" i="49"/>
  <c r="J90" i="49" s="1"/>
  <c r="M90" i="49"/>
  <c r="B92" i="49"/>
  <c r="C92" i="49"/>
  <c r="G92" i="49"/>
  <c r="H92" i="49"/>
  <c r="B93" i="49"/>
  <c r="I93" i="49" s="1"/>
  <c r="C93" i="49"/>
  <c r="J93" i="49" s="1"/>
  <c r="H93" i="49"/>
  <c r="B94" i="49"/>
  <c r="C94" i="49"/>
  <c r="J94" i="49" s="1"/>
  <c r="M94" i="49"/>
  <c r="B96" i="49"/>
  <c r="C96" i="49"/>
  <c r="M96" i="49"/>
  <c r="B97" i="49"/>
  <c r="K97" i="49" s="1"/>
  <c r="C97" i="49"/>
  <c r="J97" i="49" s="1"/>
  <c r="N97" i="49"/>
  <c r="B98" i="49"/>
  <c r="I98" i="49" s="1"/>
  <c r="C98" i="49"/>
  <c r="J98" i="49" s="1"/>
  <c r="M98" i="49"/>
  <c r="N98" i="49"/>
  <c r="B100" i="49"/>
  <c r="C100" i="49"/>
  <c r="G100" i="49"/>
  <c r="H100" i="49"/>
  <c r="B101" i="49"/>
  <c r="K101" i="49" s="1"/>
  <c r="C101" i="49"/>
  <c r="J101" i="49" s="1"/>
  <c r="H101" i="49"/>
  <c r="B102" i="49"/>
  <c r="K102" i="49" s="1"/>
  <c r="C102" i="49"/>
  <c r="J102" i="49" s="1"/>
  <c r="I102" i="49"/>
  <c r="B104" i="49"/>
  <c r="C104" i="49"/>
  <c r="N104" i="49"/>
  <c r="B105" i="49"/>
  <c r="C105" i="49"/>
  <c r="J105" i="49" s="1"/>
  <c r="H105" i="49"/>
  <c r="N105" i="49"/>
  <c r="B106" i="49"/>
  <c r="K106" i="49" s="1"/>
  <c r="C106" i="49"/>
  <c r="J106" i="49" s="1"/>
  <c r="H106" i="49"/>
  <c r="B108" i="49"/>
  <c r="K108" i="49" s="1"/>
  <c r="C108" i="49"/>
  <c r="J108" i="49" s="1"/>
  <c r="N108" i="49"/>
  <c r="B109" i="49"/>
  <c r="I109" i="49" s="1"/>
  <c r="C109" i="49"/>
  <c r="J109" i="49" s="1"/>
  <c r="H109" i="49"/>
  <c r="B111" i="49"/>
  <c r="C111" i="49"/>
  <c r="B112" i="49"/>
  <c r="K112" i="49" s="1"/>
  <c r="C112" i="49"/>
  <c r="J112" i="49" s="1"/>
  <c r="B113" i="49"/>
  <c r="C113" i="49"/>
  <c r="J113" i="49" s="1"/>
  <c r="M113" i="49"/>
  <c r="B115" i="49"/>
  <c r="C115" i="49"/>
  <c r="B116" i="49"/>
  <c r="I116" i="49" s="1"/>
  <c r="C116" i="49"/>
  <c r="J116" i="49" s="1"/>
  <c r="B117" i="49"/>
  <c r="C117" i="49"/>
  <c r="J117" i="49" s="1"/>
  <c r="G117" i="49"/>
  <c r="B119" i="49"/>
  <c r="C119" i="49"/>
  <c r="B120" i="49"/>
  <c r="I120" i="49" s="1"/>
  <c r="C120" i="49"/>
  <c r="J120" i="49" s="1"/>
  <c r="B122" i="49"/>
  <c r="C122" i="49"/>
  <c r="G122" i="49"/>
  <c r="B123" i="49"/>
  <c r="K123" i="49" s="1"/>
  <c r="C123" i="49"/>
  <c r="J123" i="49" s="1"/>
  <c r="B125" i="49"/>
  <c r="C125" i="49"/>
  <c r="B126" i="49"/>
  <c r="C126" i="49"/>
  <c r="J126" i="49" s="1"/>
  <c r="B128" i="49"/>
  <c r="C128" i="49"/>
  <c r="G128" i="49"/>
  <c r="B129" i="49"/>
  <c r="K129" i="49" s="1"/>
  <c r="C129" i="49"/>
  <c r="J129" i="49" s="1"/>
  <c r="A1" i="48"/>
  <c r="E15" i="48"/>
  <c r="F15" i="48"/>
  <c r="H15" i="48"/>
  <c r="I15" i="48"/>
  <c r="F16" i="48"/>
  <c r="H16" i="48"/>
  <c r="I16" i="48"/>
  <c r="E17" i="48"/>
  <c r="F17" i="48"/>
  <c r="H17" i="48"/>
  <c r="I17" i="48"/>
  <c r="E18" i="48"/>
  <c r="F18" i="48"/>
  <c r="H18" i="48"/>
  <c r="I18" i="48"/>
  <c r="F19" i="48"/>
  <c r="H19" i="48"/>
  <c r="I19" i="48"/>
  <c r="E20" i="48"/>
  <c r="F20" i="48"/>
  <c r="I20" i="48"/>
  <c r="F21" i="48"/>
  <c r="H21" i="48"/>
  <c r="F22" i="48"/>
  <c r="H22" i="48"/>
  <c r="I22" i="48"/>
  <c r="F23" i="48"/>
  <c r="H23" i="48"/>
  <c r="I23" i="48"/>
  <c r="H24" i="48"/>
  <c r="I24" i="48"/>
  <c r="H25" i="48"/>
  <c r="I25" i="48"/>
  <c r="E29" i="48"/>
  <c r="F29" i="48"/>
  <c r="H29" i="48"/>
  <c r="I29" i="48"/>
  <c r="E30" i="48"/>
  <c r="F30" i="48"/>
  <c r="H30" i="48"/>
  <c r="I30" i="48"/>
  <c r="E31" i="48"/>
  <c r="F31" i="48"/>
  <c r="H31" i="48"/>
  <c r="I31" i="48"/>
  <c r="E32" i="48"/>
  <c r="F32" i="48"/>
  <c r="H32" i="48"/>
  <c r="I32" i="48"/>
  <c r="H33" i="48"/>
  <c r="I33" i="48"/>
  <c r="F34" i="48"/>
  <c r="H34" i="48"/>
  <c r="I34" i="48"/>
  <c r="I35" i="48"/>
  <c r="F36" i="48"/>
  <c r="H37" i="48"/>
  <c r="F38" i="48"/>
  <c r="H38" i="48"/>
  <c r="F40" i="48"/>
  <c r="H40" i="48"/>
  <c r="E42" i="48"/>
  <c r="F42" i="48"/>
  <c r="H42" i="48"/>
  <c r="I42" i="48"/>
  <c r="F43" i="48"/>
  <c r="H43" i="48"/>
  <c r="I43" i="48"/>
  <c r="E44" i="48"/>
  <c r="F44" i="48"/>
  <c r="H44" i="48"/>
  <c r="I44" i="48"/>
  <c r="E45" i="48"/>
  <c r="F45" i="48"/>
  <c r="H45" i="48"/>
  <c r="I45" i="48"/>
  <c r="F46" i="48"/>
  <c r="H46" i="48"/>
  <c r="I46" i="48"/>
  <c r="E47" i="48"/>
  <c r="F47" i="48"/>
  <c r="I47" i="48"/>
  <c r="F48" i="48"/>
  <c r="H48" i="48"/>
  <c r="I48" i="48"/>
  <c r="H49" i="48"/>
  <c r="I49" i="48"/>
  <c r="H50" i="48"/>
  <c r="E52" i="48"/>
  <c r="F52" i="48"/>
  <c r="H52" i="48"/>
  <c r="I52" i="48"/>
  <c r="E53" i="48"/>
  <c r="F53" i="48"/>
  <c r="H53" i="48"/>
  <c r="I53" i="48"/>
  <c r="E54" i="48"/>
  <c r="F54" i="48"/>
  <c r="H54" i="48"/>
  <c r="I54" i="48"/>
  <c r="E55" i="48"/>
  <c r="F55" i="48"/>
  <c r="H55" i="48"/>
  <c r="I55" i="48"/>
  <c r="I56" i="48"/>
  <c r="E57" i="48"/>
  <c r="F57" i="48"/>
  <c r="E58" i="48"/>
  <c r="F58" i="48"/>
  <c r="H59" i="48"/>
  <c r="E60" i="48"/>
  <c r="F60" i="48"/>
  <c r="H60" i="48"/>
  <c r="I60" i="48"/>
  <c r="F61" i="48"/>
  <c r="H61" i="48"/>
  <c r="I61" i="48"/>
  <c r="E62" i="48"/>
  <c r="F62" i="48"/>
  <c r="H62" i="48"/>
  <c r="I62" i="48"/>
  <c r="E63" i="48"/>
  <c r="F63" i="48"/>
  <c r="H63" i="48"/>
  <c r="I63" i="48"/>
  <c r="F64" i="48"/>
  <c r="H64" i="48"/>
  <c r="I64" i="48"/>
  <c r="E65" i="48"/>
  <c r="F65" i="48"/>
  <c r="H65" i="48"/>
  <c r="I65" i="48"/>
  <c r="F66" i="48"/>
  <c r="H66" i="48"/>
  <c r="I66" i="48"/>
  <c r="H67" i="48"/>
  <c r="H68" i="48"/>
  <c r="I68" i="48"/>
  <c r="E72" i="48"/>
  <c r="H72" i="48"/>
  <c r="I72" i="48"/>
  <c r="E73" i="48"/>
  <c r="I73" i="48"/>
  <c r="E74" i="48"/>
  <c r="H74" i="48"/>
  <c r="E75" i="48"/>
  <c r="H75" i="48"/>
  <c r="I75" i="48"/>
  <c r="H76" i="48"/>
  <c r="E77" i="48"/>
  <c r="F77" i="48"/>
  <c r="H77" i="48"/>
  <c r="E79" i="48"/>
  <c r="F79" i="48"/>
  <c r="E81" i="48"/>
  <c r="F81" i="48"/>
  <c r="F83" i="48"/>
  <c r="H84" i="48"/>
  <c r="B235" i="41"/>
  <c r="C235" i="41"/>
  <c r="D235" i="41"/>
  <c r="B236" i="41"/>
  <c r="C236" i="41"/>
  <c r="D236" i="41"/>
  <c r="B237" i="41"/>
  <c r="C237" i="41"/>
  <c r="D237" i="41"/>
  <c r="B238" i="41"/>
  <c r="C238" i="41"/>
  <c r="D238" i="41"/>
  <c r="B239" i="41"/>
  <c r="C239" i="41"/>
  <c r="D239" i="41"/>
  <c r="B240" i="41"/>
  <c r="C240" i="41"/>
  <c r="D240" i="41"/>
  <c r="B241" i="41"/>
  <c r="C241" i="41"/>
  <c r="D241" i="41"/>
  <c r="B242" i="41"/>
  <c r="C242" i="41"/>
  <c r="D242" i="41"/>
  <c r="B243" i="41"/>
  <c r="C243" i="41"/>
  <c r="D243" i="41"/>
  <c r="B222" i="41"/>
  <c r="C222" i="41"/>
  <c r="D222" i="41"/>
  <c r="E222" i="41"/>
  <c r="F222" i="41"/>
  <c r="G222" i="41"/>
  <c r="H222" i="41"/>
  <c r="I222" i="41"/>
  <c r="B223" i="41"/>
  <c r="C223" i="41"/>
  <c r="D223" i="41"/>
  <c r="E223" i="41"/>
  <c r="F223" i="41"/>
  <c r="G223" i="41"/>
  <c r="H223" i="41"/>
  <c r="B224" i="41"/>
  <c r="C224" i="41"/>
  <c r="D224" i="41"/>
  <c r="E224" i="41"/>
  <c r="F224" i="41"/>
  <c r="G224" i="41"/>
  <c r="B225" i="41"/>
  <c r="C225" i="41"/>
  <c r="D225" i="41"/>
  <c r="E225" i="41"/>
  <c r="M105" i="30"/>
  <c r="E212" i="29" s="1"/>
  <c r="F212" i="29" s="1"/>
  <c r="G212" i="29" s="1"/>
  <c r="H212" i="29" s="1"/>
  <c r="I212" i="29" s="1"/>
  <c r="L105" i="30"/>
  <c r="E207" i="29" s="1"/>
  <c r="F207" i="29" s="1"/>
  <c r="G207" i="29" s="1"/>
  <c r="H207" i="29" s="1"/>
  <c r="I207" i="29" s="1"/>
  <c r="K105" i="30"/>
  <c r="E202" i="29" s="1"/>
  <c r="F202" i="29" s="1"/>
  <c r="G202" i="29" s="1"/>
  <c r="H202" i="29" s="1"/>
  <c r="I202" i="29" s="1"/>
  <c r="M104" i="30"/>
  <c r="E211" i="29" s="1"/>
  <c r="F211" i="29" s="1"/>
  <c r="G211" i="29" s="1"/>
  <c r="H211" i="29" s="1"/>
  <c r="I211" i="29" s="1"/>
  <c r="L104" i="30"/>
  <c r="E206" i="29" s="1"/>
  <c r="F206" i="29" s="1"/>
  <c r="G206" i="29" s="1"/>
  <c r="H206" i="29" s="1"/>
  <c r="I206" i="29" s="1"/>
  <c r="K104" i="30"/>
  <c r="E201" i="29" s="1"/>
  <c r="F201" i="29" s="1"/>
  <c r="G201" i="29" s="1"/>
  <c r="H201" i="29" s="1"/>
  <c r="I201" i="29" s="1"/>
  <c r="M103" i="30"/>
  <c r="E210" i="29" s="1"/>
  <c r="F210" i="29" s="1"/>
  <c r="G210" i="29" s="1"/>
  <c r="H210" i="29" s="1"/>
  <c r="I210" i="29" s="1"/>
  <c r="L103" i="30"/>
  <c r="E205" i="29" s="1"/>
  <c r="F205" i="29" s="1"/>
  <c r="G205" i="29" s="1"/>
  <c r="H205" i="29" s="1"/>
  <c r="I205" i="29" s="1"/>
  <c r="K103" i="30"/>
  <c r="E200" i="29" s="1"/>
  <c r="F200" i="29" s="1"/>
  <c r="G200" i="29" s="1"/>
  <c r="H200" i="29" s="1"/>
  <c r="I200" i="29" s="1"/>
  <c r="M102" i="30"/>
  <c r="E209" i="29" s="1"/>
  <c r="F209" i="29" s="1"/>
  <c r="G209" i="29" s="1"/>
  <c r="H209" i="29" s="1"/>
  <c r="I209" i="29" s="1"/>
  <c r="L102" i="30"/>
  <c r="E204" i="29" s="1"/>
  <c r="F204" i="29" s="1"/>
  <c r="G204" i="29" s="1"/>
  <c r="H204" i="29" s="1"/>
  <c r="I204" i="29" s="1"/>
  <c r="K102" i="30"/>
  <c r="E199" i="29" s="1"/>
  <c r="F199" i="29" s="1"/>
  <c r="G199" i="29" s="1"/>
  <c r="H199" i="29" s="1"/>
  <c r="I199" i="29" s="1"/>
  <c r="E58" i="30"/>
  <c r="E107" i="29" s="1"/>
  <c r="F107" i="29" s="1"/>
  <c r="G107" i="29" s="1"/>
  <c r="H107" i="29" s="1"/>
  <c r="I107" i="29" s="1"/>
  <c r="E57" i="30"/>
  <c r="E106" i="29" s="1"/>
  <c r="F106" i="29" s="1"/>
  <c r="G106" i="29" s="1"/>
  <c r="H106" i="29" s="1"/>
  <c r="I106" i="29" s="1"/>
  <c r="E56" i="30"/>
  <c r="E105" i="29" s="1"/>
  <c r="F105" i="29" s="1"/>
  <c r="G105" i="29" s="1"/>
  <c r="H105" i="29" s="1"/>
  <c r="I105" i="29" s="1"/>
  <c r="E29" i="30"/>
  <c r="E85" i="29" s="1"/>
  <c r="F85" i="29" s="1"/>
  <c r="G85" i="29" s="1"/>
  <c r="H85" i="29" s="1"/>
  <c r="I85" i="29" s="1"/>
  <c r="E30" i="30"/>
  <c r="E86" i="29" s="1"/>
  <c r="F86" i="29" s="1"/>
  <c r="G86" i="29" s="1"/>
  <c r="H86" i="29" s="1"/>
  <c r="I86" i="29" s="1"/>
  <c r="E31" i="30"/>
  <c r="E87" i="29" s="1"/>
  <c r="F87" i="29" s="1"/>
  <c r="G87" i="29" s="1"/>
  <c r="H87" i="29" s="1"/>
  <c r="I87" i="29" s="1"/>
  <c r="M72" i="30"/>
  <c r="E171" i="29" s="1"/>
  <c r="F171" i="29" s="1"/>
  <c r="G171" i="29" s="1"/>
  <c r="H171" i="29" s="1"/>
  <c r="I171" i="29" s="1"/>
  <c r="L72" i="30"/>
  <c r="E161" i="29" s="1"/>
  <c r="F161" i="29" s="1"/>
  <c r="G161" i="29" s="1"/>
  <c r="H161" i="29" s="1"/>
  <c r="I161" i="29" s="1"/>
  <c r="K72" i="30"/>
  <c r="E151" i="29" s="1"/>
  <c r="F151" i="29" s="1"/>
  <c r="G151" i="29" s="1"/>
  <c r="H151" i="29" s="1"/>
  <c r="I151" i="29" s="1"/>
  <c r="M71" i="30"/>
  <c r="E170" i="29" s="1"/>
  <c r="F170" i="29" s="1"/>
  <c r="G170" i="29" s="1"/>
  <c r="H170" i="29" s="1"/>
  <c r="I170" i="29" s="1"/>
  <c r="L71" i="30"/>
  <c r="E160" i="29" s="1"/>
  <c r="F160" i="29" s="1"/>
  <c r="G160" i="29" s="1"/>
  <c r="H160" i="29" s="1"/>
  <c r="I160" i="29" s="1"/>
  <c r="K71" i="30"/>
  <c r="E150" i="29" s="1"/>
  <c r="F150" i="29" s="1"/>
  <c r="G150" i="29" s="1"/>
  <c r="H150" i="29" s="1"/>
  <c r="I150" i="29" s="1"/>
  <c r="E52" i="30"/>
  <c r="E101" i="29" s="1"/>
  <c r="F101" i="29" s="1"/>
  <c r="G101" i="29" s="1"/>
  <c r="H101" i="29" s="1"/>
  <c r="I101" i="29" s="1"/>
  <c r="E51" i="30"/>
  <c r="E100" i="29" s="1"/>
  <c r="F100" i="29" s="1"/>
  <c r="G100" i="29" s="1"/>
  <c r="H100" i="29" s="1"/>
  <c r="I100" i="29" s="1"/>
  <c r="E25" i="30"/>
  <c r="E81" i="29" s="1"/>
  <c r="F81" i="29" s="1"/>
  <c r="G81" i="29" s="1"/>
  <c r="H81" i="29" s="1"/>
  <c r="I81" i="29" s="1"/>
  <c r="E24" i="30"/>
  <c r="E80" i="29" s="1"/>
  <c r="F80" i="29" s="1"/>
  <c r="G80" i="29" s="1"/>
  <c r="H80" i="29" s="1"/>
  <c r="I80" i="29" s="1"/>
  <c r="D255" i="41"/>
  <c r="C255" i="41"/>
  <c r="B255" i="41"/>
  <c r="D254" i="41"/>
  <c r="C254" i="41"/>
  <c r="B254" i="41"/>
  <c r="D253" i="41"/>
  <c r="C253" i="41"/>
  <c r="B253" i="41"/>
  <c r="D252" i="41"/>
  <c r="C252" i="41"/>
  <c r="B252" i="41"/>
  <c r="D263" i="41"/>
  <c r="C263" i="41"/>
  <c r="B263" i="41"/>
  <c r="D262" i="41"/>
  <c r="C262" i="41"/>
  <c r="B262" i="41"/>
  <c r="D261" i="41"/>
  <c r="C261" i="41"/>
  <c r="B261" i="41"/>
  <c r="D277" i="41"/>
  <c r="C277" i="41"/>
  <c r="B277" i="41"/>
  <c r="D270" i="41"/>
  <c r="C270" i="41"/>
  <c r="B270" i="41"/>
  <c r="D260" i="41"/>
  <c r="C260" i="41"/>
  <c r="B260" i="41"/>
  <c r="D251" i="41"/>
  <c r="C251" i="41"/>
  <c r="B251" i="41"/>
  <c r="E214" i="41"/>
  <c r="D214" i="41"/>
  <c r="C214" i="41"/>
  <c r="B214" i="41"/>
  <c r="B209" i="41"/>
  <c r="B142" i="35"/>
  <c r="C142" i="35"/>
  <c r="D142" i="35"/>
  <c r="E142" i="35"/>
  <c r="F142" i="35"/>
  <c r="G142" i="35"/>
  <c r="B108" i="41"/>
  <c r="A28" i="32"/>
  <c r="J28" i="32"/>
  <c r="B143" i="35" s="1"/>
  <c r="K28" i="32"/>
  <c r="C143" i="35" s="1"/>
  <c r="L28" i="32"/>
  <c r="D143" i="35" s="1"/>
  <c r="M28" i="32"/>
  <c r="E143" i="35" s="1"/>
  <c r="N28" i="32"/>
  <c r="F143" i="35" s="1"/>
  <c r="O28" i="32"/>
  <c r="G143" i="35"/>
  <c r="B109" i="41"/>
  <c r="A29" i="32"/>
  <c r="J29" i="32"/>
  <c r="B144" i="35"/>
  <c r="K29" i="32"/>
  <c r="C144" i="35"/>
  <c r="L29" i="32"/>
  <c r="D144" i="35"/>
  <c r="M29" i="32"/>
  <c r="E144" i="35"/>
  <c r="N29" i="32"/>
  <c r="F144" i="35"/>
  <c r="O29" i="32"/>
  <c r="G144" i="35"/>
  <c r="B110" i="41"/>
  <c r="A30" i="32"/>
  <c r="J30" i="32"/>
  <c r="B145" i="35"/>
  <c r="K30" i="32"/>
  <c r="C145" i="35"/>
  <c r="L30" i="32"/>
  <c r="D145" i="35"/>
  <c r="M30" i="32"/>
  <c r="E145" i="35"/>
  <c r="N30" i="32"/>
  <c r="F145" i="35"/>
  <c r="O30" i="32"/>
  <c r="G145" i="35"/>
  <c r="B111" i="41"/>
  <c r="A31" i="32"/>
  <c r="B146" i="35"/>
  <c r="C146" i="35"/>
  <c r="D146" i="35"/>
  <c r="E146" i="35"/>
  <c r="F146" i="35"/>
  <c r="G146" i="35"/>
  <c r="B112" i="41"/>
  <c r="A32" i="32"/>
  <c r="J32" i="32"/>
  <c r="B147" i="35"/>
  <c r="K32" i="32"/>
  <c r="C147" i="35"/>
  <c r="L32" i="32"/>
  <c r="D147" i="35"/>
  <c r="M32" i="32"/>
  <c r="E147" i="35"/>
  <c r="N32" i="32"/>
  <c r="F147" i="35"/>
  <c r="O32" i="32"/>
  <c r="G147" i="35"/>
  <c r="B113" i="41"/>
  <c r="A33" i="32"/>
  <c r="J33" i="32"/>
  <c r="B148" i="35"/>
  <c r="K33" i="32"/>
  <c r="C148" i="35"/>
  <c r="L33" i="32"/>
  <c r="D148" i="35"/>
  <c r="M33" i="32"/>
  <c r="E148" i="35"/>
  <c r="N33" i="32"/>
  <c r="F148" i="35"/>
  <c r="O33" i="32"/>
  <c r="G148" i="35"/>
  <c r="B114" i="41"/>
  <c r="A34" i="32"/>
  <c r="J34" i="32"/>
  <c r="B149" i="35"/>
  <c r="K34" i="32"/>
  <c r="C149" i="35"/>
  <c r="L34" i="32"/>
  <c r="D149" i="35"/>
  <c r="M34" i="32"/>
  <c r="E149" i="35"/>
  <c r="N34" i="32"/>
  <c r="F149" i="35"/>
  <c r="O34" i="32"/>
  <c r="G149" i="35"/>
  <c r="B115" i="41"/>
  <c r="A35" i="32"/>
  <c r="B150" i="35"/>
  <c r="C150" i="35"/>
  <c r="D150" i="35"/>
  <c r="E150" i="35"/>
  <c r="F150" i="35"/>
  <c r="G150" i="35"/>
  <c r="B116" i="41"/>
  <c r="A36" i="32"/>
  <c r="J36" i="32"/>
  <c r="B151" i="35"/>
  <c r="K36" i="32"/>
  <c r="C151" i="35"/>
  <c r="L36" i="32"/>
  <c r="D151" i="35"/>
  <c r="M36" i="32"/>
  <c r="E151" i="35"/>
  <c r="N36" i="32"/>
  <c r="F151" i="35"/>
  <c r="O36" i="32"/>
  <c r="G151" i="35"/>
  <c r="B117" i="41"/>
  <c r="A37" i="32"/>
  <c r="J37" i="32"/>
  <c r="B152" i="35"/>
  <c r="K37" i="32"/>
  <c r="C152" i="35"/>
  <c r="L37" i="32"/>
  <c r="D152" i="35"/>
  <c r="M37" i="32"/>
  <c r="E152" i="35"/>
  <c r="N37" i="32"/>
  <c r="F152" i="35"/>
  <c r="O37" i="32"/>
  <c r="G152" i="35"/>
  <c r="B118" i="41"/>
  <c r="A38" i="32"/>
  <c r="J38" i="32"/>
  <c r="B153" i="35"/>
  <c r="K38" i="32"/>
  <c r="C153" i="35"/>
  <c r="L38" i="32"/>
  <c r="D153" i="35"/>
  <c r="M38" i="32"/>
  <c r="E153" i="35"/>
  <c r="N38" i="32"/>
  <c r="F153" i="35"/>
  <c r="O38" i="32"/>
  <c r="G153" i="35"/>
  <c r="B119" i="41"/>
  <c r="A39" i="32"/>
  <c r="B154" i="35"/>
  <c r="C154" i="35"/>
  <c r="D154" i="35"/>
  <c r="E154" i="35"/>
  <c r="F154" i="35"/>
  <c r="G154" i="35"/>
  <c r="B120" i="41"/>
  <c r="A40" i="32"/>
  <c r="J40" i="32"/>
  <c r="B155" i="35"/>
  <c r="K40" i="32"/>
  <c r="C155" i="35"/>
  <c r="L40" i="32"/>
  <c r="D155" i="35"/>
  <c r="M40" i="32"/>
  <c r="E155" i="35"/>
  <c r="N40" i="32"/>
  <c r="F155" i="35"/>
  <c r="O40" i="32"/>
  <c r="G155" i="35"/>
  <c r="B121" i="41"/>
  <c r="A41" i="32"/>
  <c r="J41" i="32"/>
  <c r="B156" i="35"/>
  <c r="K41" i="32"/>
  <c r="C156" i="35"/>
  <c r="L41" i="32"/>
  <c r="D156" i="35"/>
  <c r="M41" i="32"/>
  <c r="E156" i="35"/>
  <c r="N41" i="32"/>
  <c r="F156" i="35"/>
  <c r="O41" i="32"/>
  <c r="G156" i="35"/>
  <c r="B122" i="41"/>
  <c r="A42" i="32"/>
  <c r="J42" i="32"/>
  <c r="B157" i="35"/>
  <c r="K42" i="32"/>
  <c r="C157" i="35"/>
  <c r="L42" i="32"/>
  <c r="D157" i="35"/>
  <c r="M42" i="32"/>
  <c r="E157" i="35"/>
  <c r="N42" i="32"/>
  <c r="F157" i="35"/>
  <c r="O42" i="32"/>
  <c r="G157" i="35"/>
  <c r="B123" i="41"/>
  <c r="A43" i="32"/>
  <c r="B158" i="35"/>
  <c r="C158" i="35"/>
  <c r="D158" i="35"/>
  <c r="E158" i="35"/>
  <c r="F158" i="35"/>
  <c r="G158" i="35"/>
  <c r="B124" i="41"/>
  <c r="A44" i="32"/>
  <c r="J44" i="32"/>
  <c r="B159" i="35"/>
  <c r="K44" i="32"/>
  <c r="C159" i="35"/>
  <c r="L44" i="32"/>
  <c r="D159" i="35"/>
  <c r="M44" i="32"/>
  <c r="E159" i="35"/>
  <c r="N44" i="32"/>
  <c r="F159" i="35"/>
  <c r="O44" i="32"/>
  <c r="G159" i="35"/>
  <c r="B125" i="41"/>
  <c r="A45" i="32"/>
  <c r="J45" i="32"/>
  <c r="B160" i="35"/>
  <c r="K45" i="32"/>
  <c r="C160" i="35"/>
  <c r="L45" i="32"/>
  <c r="D160" i="35"/>
  <c r="M45" i="32"/>
  <c r="E160" i="35"/>
  <c r="N45" i="32"/>
  <c r="F160" i="35"/>
  <c r="O45" i="32"/>
  <c r="G160" i="35"/>
  <c r="B126" i="41"/>
  <c r="A46" i="32"/>
  <c r="J46" i="32"/>
  <c r="B161" i="35"/>
  <c r="K46" i="32"/>
  <c r="C161" i="35"/>
  <c r="L46" i="32"/>
  <c r="D161" i="35"/>
  <c r="M46" i="32"/>
  <c r="E161" i="35"/>
  <c r="N46" i="32"/>
  <c r="F161" i="35"/>
  <c r="O46" i="32"/>
  <c r="G161" i="35"/>
  <c r="B127" i="41"/>
  <c r="A47" i="32"/>
  <c r="J47" i="32"/>
  <c r="B162" i="35"/>
  <c r="K47" i="32"/>
  <c r="C162" i="35"/>
  <c r="L47" i="32"/>
  <c r="D162" i="35"/>
  <c r="M47" i="32"/>
  <c r="E162" i="35"/>
  <c r="N47" i="32"/>
  <c r="F162" i="35"/>
  <c r="O47" i="32"/>
  <c r="G162" i="35"/>
  <c r="B128" i="41"/>
  <c r="A48" i="32"/>
  <c r="J48" i="32"/>
  <c r="B163" i="35"/>
  <c r="K48" i="32"/>
  <c r="C163" i="35"/>
  <c r="L48" i="32"/>
  <c r="D163" i="35"/>
  <c r="M48" i="32"/>
  <c r="E163" i="35"/>
  <c r="N48" i="32"/>
  <c r="F163" i="35"/>
  <c r="O48" i="32"/>
  <c r="G163" i="35"/>
  <c r="B129" i="41"/>
  <c r="A49" i="32"/>
  <c r="J49" i="32"/>
  <c r="B164" i="35"/>
  <c r="K49" i="32"/>
  <c r="C164" i="35"/>
  <c r="L49" i="32"/>
  <c r="D164" i="35"/>
  <c r="M49" i="32"/>
  <c r="E164" i="35"/>
  <c r="N49" i="32"/>
  <c r="F164" i="35"/>
  <c r="O49" i="32"/>
  <c r="G164" i="35"/>
  <c r="B130" i="41"/>
  <c r="A50" i="32"/>
  <c r="J50" i="32"/>
  <c r="B165" i="35"/>
  <c r="K50" i="32"/>
  <c r="C165" i="35"/>
  <c r="L50" i="32"/>
  <c r="D165" i="35"/>
  <c r="M50" i="32"/>
  <c r="E165" i="35"/>
  <c r="N50" i="32"/>
  <c r="F165" i="35"/>
  <c r="O50" i="32"/>
  <c r="G165" i="35"/>
  <c r="B131" i="41"/>
  <c r="A51" i="32"/>
  <c r="J51" i="32"/>
  <c r="B166" i="35"/>
  <c r="K51" i="32"/>
  <c r="C166" i="35"/>
  <c r="L51" i="32"/>
  <c r="D166" i="35"/>
  <c r="M51" i="32"/>
  <c r="E166" i="35"/>
  <c r="N51" i="32"/>
  <c r="F166" i="35"/>
  <c r="O51" i="32"/>
  <c r="G166" i="35"/>
  <c r="B132" i="41"/>
  <c r="A52" i="32"/>
  <c r="J52" i="32"/>
  <c r="B167" i="35"/>
  <c r="K52" i="32"/>
  <c r="C167" i="35"/>
  <c r="L52" i="32"/>
  <c r="D167" i="35"/>
  <c r="M52" i="32"/>
  <c r="E167" i="35"/>
  <c r="N52" i="32"/>
  <c r="F167" i="35"/>
  <c r="O52" i="32"/>
  <c r="G167" i="35"/>
  <c r="B133" i="41"/>
  <c r="A53" i="32"/>
  <c r="J53" i="32"/>
  <c r="B168" i="35"/>
  <c r="K53" i="32"/>
  <c r="C168" i="35"/>
  <c r="L53" i="32"/>
  <c r="D168" i="35"/>
  <c r="M53" i="32"/>
  <c r="E168" i="35"/>
  <c r="N53" i="32"/>
  <c r="F168" i="35"/>
  <c r="O53" i="32"/>
  <c r="G168" i="35"/>
  <c r="B134" i="41"/>
  <c r="A54" i="32"/>
  <c r="J54" i="32"/>
  <c r="B169" i="35"/>
  <c r="K54" i="32"/>
  <c r="C169" i="35"/>
  <c r="L54" i="32"/>
  <c r="D169" i="35"/>
  <c r="M54" i="32"/>
  <c r="E169" i="35"/>
  <c r="N54" i="32"/>
  <c r="F169" i="35"/>
  <c r="O54" i="32"/>
  <c r="G169" i="35"/>
  <c r="B135" i="41"/>
  <c r="A55" i="32"/>
  <c r="J55" i="32"/>
  <c r="B170" i="35"/>
  <c r="K55" i="32"/>
  <c r="C170" i="35"/>
  <c r="L55" i="32"/>
  <c r="D170" i="35"/>
  <c r="M55" i="32"/>
  <c r="E170" i="35"/>
  <c r="N55" i="32"/>
  <c r="F170" i="35"/>
  <c r="O55" i="32"/>
  <c r="G170" i="35"/>
  <c r="B136" i="41"/>
  <c r="A56" i="32"/>
  <c r="J56" i="32"/>
  <c r="B171" i="35"/>
  <c r="K56" i="32"/>
  <c r="C171" i="35"/>
  <c r="L56" i="32"/>
  <c r="D171" i="35"/>
  <c r="M56" i="32"/>
  <c r="E171" i="35"/>
  <c r="N56" i="32"/>
  <c r="F171" i="35"/>
  <c r="O56" i="32"/>
  <c r="G171" i="35"/>
  <c r="B137" i="41"/>
  <c r="A57" i="32"/>
  <c r="J57" i="32"/>
  <c r="B172" i="35"/>
  <c r="K57" i="32"/>
  <c r="C172" i="35"/>
  <c r="L57" i="32"/>
  <c r="D172" i="35"/>
  <c r="M57" i="32"/>
  <c r="E172" i="35"/>
  <c r="N57" i="32"/>
  <c r="F172" i="35"/>
  <c r="O57" i="32"/>
  <c r="G172" i="35"/>
  <c r="B138" i="41"/>
  <c r="A58" i="32"/>
  <c r="J58" i="32"/>
  <c r="B173" i="35"/>
  <c r="K58" i="32"/>
  <c r="C173" i="35"/>
  <c r="L58" i="32"/>
  <c r="D173" i="35"/>
  <c r="M58" i="32"/>
  <c r="E173" i="35"/>
  <c r="N58" i="32"/>
  <c r="F173" i="35"/>
  <c r="O58" i="32"/>
  <c r="G173" i="35"/>
  <c r="B139" i="41"/>
  <c r="A59" i="32"/>
  <c r="J59" i="32"/>
  <c r="B174" i="35"/>
  <c r="K59" i="32"/>
  <c r="C174" i="35"/>
  <c r="L59" i="32"/>
  <c r="D174" i="35"/>
  <c r="M59" i="32"/>
  <c r="E174" i="35"/>
  <c r="N59" i="32"/>
  <c r="F174" i="35"/>
  <c r="O59" i="32"/>
  <c r="G174" i="35"/>
  <c r="B140" i="41"/>
  <c r="A60" i="32"/>
  <c r="J60" i="32"/>
  <c r="B175" i="35"/>
  <c r="K60" i="32"/>
  <c r="C175" i="35"/>
  <c r="L60" i="32"/>
  <c r="D175" i="35"/>
  <c r="M60" i="32"/>
  <c r="E175" i="35"/>
  <c r="N60" i="32"/>
  <c r="F175" i="35"/>
  <c r="O60" i="32"/>
  <c r="G175" i="35"/>
  <c r="B141" i="41"/>
  <c r="A61" i="32"/>
  <c r="J61" i="32"/>
  <c r="B176" i="35"/>
  <c r="K61" i="32"/>
  <c r="C176" i="35"/>
  <c r="L61" i="32"/>
  <c r="D176" i="35"/>
  <c r="M61" i="32"/>
  <c r="E176" i="35"/>
  <c r="N61" i="32"/>
  <c r="F176" i="35"/>
  <c r="O61" i="32"/>
  <c r="G176" i="35"/>
  <c r="B142" i="41"/>
  <c r="A62" i="32"/>
  <c r="J62" i="32"/>
  <c r="B177" i="35"/>
  <c r="K62" i="32"/>
  <c r="C177" i="35"/>
  <c r="L62" i="32"/>
  <c r="D177" i="35"/>
  <c r="M62" i="32"/>
  <c r="E177" i="35"/>
  <c r="N62" i="32"/>
  <c r="F177" i="35"/>
  <c r="O62" i="32"/>
  <c r="G177" i="35"/>
  <c r="B143" i="41"/>
  <c r="A63" i="32"/>
  <c r="J63" i="32"/>
  <c r="B178" i="35"/>
  <c r="K63" i="32"/>
  <c r="C178" i="35"/>
  <c r="L63" i="32"/>
  <c r="D178" i="35"/>
  <c r="M63" i="32"/>
  <c r="E178" i="35"/>
  <c r="N63" i="32"/>
  <c r="F178" i="35"/>
  <c r="O63" i="32"/>
  <c r="G178" i="35"/>
  <c r="B144" i="41"/>
  <c r="A64" i="32"/>
  <c r="J64" i="32"/>
  <c r="B179" i="35"/>
  <c r="K64" i="32"/>
  <c r="C179" i="35"/>
  <c r="L64" i="32"/>
  <c r="D179" i="35"/>
  <c r="M64" i="32"/>
  <c r="E179" i="35"/>
  <c r="N64" i="32"/>
  <c r="F179" i="35"/>
  <c r="O64" i="32"/>
  <c r="G179" i="35"/>
  <c r="B145" i="41"/>
  <c r="A65" i="32"/>
  <c r="J65" i="32"/>
  <c r="B180" i="35"/>
  <c r="K65" i="32"/>
  <c r="C180" i="35"/>
  <c r="L65" i="32"/>
  <c r="D180" i="35"/>
  <c r="M65" i="32"/>
  <c r="E180" i="35"/>
  <c r="N65" i="32"/>
  <c r="F180" i="35"/>
  <c r="O65" i="32"/>
  <c r="G180" i="35"/>
  <c r="B146" i="41"/>
  <c r="A66" i="32"/>
  <c r="J66" i="32"/>
  <c r="B181" i="35"/>
  <c r="K66" i="32"/>
  <c r="C181" i="35"/>
  <c r="L66" i="32"/>
  <c r="D181" i="35"/>
  <c r="M66" i="32"/>
  <c r="E181" i="35"/>
  <c r="N66" i="32"/>
  <c r="F181" i="35"/>
  <c r="O66" i="32"/>
  <c r="G181" i="35"/>
  <c r="B147" i="41"/>
  <c r="A67" i="32"/>
  <c r="J67" i="32"/>
  <c r="B182" i="35"/>
  <c r="K67" i="32"/>
  <c r="C182" i="35"/>
  <c r="L67" i="32"/>
  <c r="D182" i="35"/>
  <c r="M67" i="32"/>
  <c r="E182" i="35"/>
  <c r="N67" i="32"/>
  <c r="F182" i="35"/>
  <c r="O67" i="32"/>
  <c r="G182" i="35"/>
  <c r="B148" i="41"/>
  <c r="A68" i="32"/>
  <c r="J68" i="32"/>
  <c r="B183" i="35"/>
  <c r="K68" i="32"/>
  <c r="C183" i="35"/>
  <c r="L68" i="32"/>
  <c r="D183" i="35"/>
  <c r="M68" i="32"/>
  <c r="E183" i="35"/>
  <c r="N68" i="32"/>
  <c r="F183" i="35"/>
  <c r="O68" i="32"/>
  <c r="G183" i="35"/>
  <c r="B149" i="41"/>
  <c r="A69" i="32"/>
  <c r="J69" i="32"/>
  <c r="B184" i="35"/>
  <c r="K69" i="32"/>
  <c r="C184" i="35"/>
  <c r="L69" i="32"/>
  <c r="D184" i="35"/>
  <c r="M69" i="32"/>
  <c r="E184" i="35"/>
  <c r="N69" i="32"/>
  <c r="F184" i="35"/>
  <c r="O69" i="32"/>
  <c r="G184" i="35"/>
  <c r="B150" i="41"/>
  <c r="A70" i="32"/>
  <c r="J70" i="32"/>
  <c r="B185" i="35"/>
  <c r="K70" i="32"/>
  <c r="C185" i="35"/>
  <c r="L70" i="32"/>
  <c r="D185" i="35"/>
  <c r="M70" i="32"/>
  <c r="E185" i="35"/>
  <c r="N70" i="32"/>
  <c r="F185" i="35"/>
  <c r="O70" i="32"/>
  <c r="G185" i="35"/>
  <c r="B151" i="41"/>
  <c r="A71" i="32"/>
  <c r="J71" i="32"/>
  <c r="B186" i="35"/>
  <c r="K71" i="32"/>
  <c r="C186" i="35"/>
  <c r="L71" i="32"/>
  <c r="D186" i="35"/>
  <c r="M71" i="32"/>
  <c r="E186" i="35"/>
  <c r="N71" i="32"/>
  <c r="F186" i="35"/>
  <c r="O71" i="32"/>
  <c r="G186" i="35"/>
  <c r="B152" i="41"/>
  <c r="A72" i="32"/>
  <c r="J72" i="32"/>
  <c r="B187" i="35"/>
  <c r="K72" i="32"/>
  <c r="C187" i="35"/>
  <c r="L72" i="32"/>
  <c r="D187" i="35"/>
  <c r="M72" i="32"/>
  <c r="E187" i="35"/>
  <c r="N72" i="32"/>
  <c r="F187" i="35"/>
  <c r="O72" i="32"/>
  <c r="G187" i="35"/>
  <c r="B153" i="41"/>
  <c r="A73" i="32"/>
  <c r="J73" i="32"/>
  <c r="B188" i="35"/>
  <c r="K73" i="32"/>
  <c r="C188" i="35"/>
  <c r="L73" i="32"/>
  <c r="D188" i="35"/>
  <c r="M73" i="32"/>
  <c r="E188" i="35"/>
  <c r="N73" i="32"/>
  <c r="F188" i="35"/>
  <c r="O73" i="32"/>
  <c r="G188" i="35"/>
  <c r="B154" i="41"/>
  <c r="A74" i="32"/>
  <c r="J74" i="32"/>
  <c r="B189" i="35"/>
  <c r="K74" i="32"/>
  <c r="C189" i="35"/>
  <c r="L74" i="32"/>
  <c r="D189" i="35"/>
  <c r="M74" i="32"/>
  <c r="E189" i="35"/>
  <c r="N74" i="32"/>
  <c r="F189" i="35"/>
  <c r="O74" i="32"/>
  <c r="G189" i="35"/>
  <c r="B155" i="41"/>
  <c r="A75" i="32"/>
  <c r="J75" i="32"/>
  <c r="B190" i="35"/>
  <c r="K75" i="32"/>
  <c r="C190" i="35"/>
  <c r="L75" i="32"/>
  <c r="D190" i="35"/>
  <c r="M75" i="32"/>
  <c r="E190" i="35"/>
  <c r="N75" i="32"/>
  <c r="F190" i="35"/>
  <c r="O75" i="32"/>
  <c r="G190" i="35"/>
  <c r="B156" i="41"/>
  <c r="A76" i="32"/>
  <c r="J76" i="32"/>
  <c r="B191" i="35"/>
  <c r="K76" i="32"/>
  <c r="C191" i="35"/>
  <c r="L76" i="32"/>
  <c r="D191" i="35"/>
  <c r="M76" i="32"/>
  <c r="E191" i="35"/>
  <c r="N76" i="32"/>
  <c r="F191" i="35"/>
  <c r="O76" i="32"/>
  <c r="G191" i="35"/>
  <c r="B157" i="41"/>
  <c r="A77" i="32"/>
  <c r="J77" i="32"/>
  <c r="B192" i="35"/>
  <c r="K77" i="32"/>
  <c r="C192" i="35"/>
  <c r="L77" i="32"/>
  <c r="D192" i="35"/>
  <c r="M77" i="32"/>
  <c r="E192" i="35"/>
  <c r="N77" i="32"/>
  <c r="F192" i="35"/>
  <c r="O77" i="32"/>
  <c r="G192" i="35"/>
  <c r="B158" i="41"/>
  <c r="A78" i="32"/>
  <c r="J78" i="32"/>
  <c r="B193" i="35"/>
  <c r="K78" i="32"/>
  <c r="C193" i="35"/>
  <c r="L78" i="32"/>
  <c r="D193" i="35"/>
  <c r="M78" i="32"/>
  <c r="E193" i="35"/>
  <c r="N78" i="32"/>
  <c r="F193" i="35"/>
  <c r="O78" i="32"/>
  <c r="G193" i="35"/>
  <c r="B159" i="41"/>
  <c r="A79" i="32"/>
  <c r="J79" i="32"/>
  <c r="B194" i="35"/>
  <c r="K79" i="32"/>
  <c r="C194" i="35"/>
  <c r="L79" i="32"/>
  <c r="D194" i="35"/>
  <c r="M79" i="32"/>
  <c r="E194" i="35"/>
  <c r="N79" i="32"/>
  <c r="F194" i="35"/>
  <c r="O79" i="32"/>
  <c r="G194" i="35"/>
  <c r="B160" i="41"/>
  <c r="A80" i="32"/>
  <c r="J80" i="32"/>
  <c r="B195" i="35"/>
  <c r="K80" i="32"/>
  <c r="C195" i="35"/>
  <c r="L80" i="32"/>
  <c r="D195" i="35"/>
  <c r="M80" i="32"/>
  <c r="E195" i="35"/>
  <c r="N80" i="32"/>
  <c r="F195" i="35"/>
  <c r="O80" i="32"/>
  <c r="G195" i="35"/>
  <c r="B161" i="41"/>
  <c r="A81" i="32"/>
  <c r="J81" i="32"/>
  <c r="B196" i="35"/>
  <c r="K81" i="32"/>
  <c r="C196" i="35"/>
  <c r="L81" i="32"/>
  <c r="D196" i="35"/>
  <c r="M81" i="32"/>
  <c r="E196" i="35"/>
  <c r="N81" i="32"/>
  <c r="F196" i="35"/>
  <c r="O81" i="32"/>
  <c r="G196" i="35"/>
  <c r="B162" i="41"/>
  <c r="A82" i="32"/>
  <c r="J82" i="32"/>
  <c r="B197" i="35"/>
  <c r="K82" i="32"/>
  <c r="C197" i="35"/>
  <c r="L82" i="32"/>
  <c r="D197" i="35"/>
  <c r="M82" i="32"/>
  <c r="E197" i="35"/>
  <c r="N82" i="32"/>
  <c r="F197" i="35"/>
  <c r="O82" i="32"/>
  <c r="G197" i="35"/>
  <c r="B163" i="41"/>
  <c r="A83" i="32"/>
  <c r="J83" i="32"/>
  <c r="B198" i="35"/>
  <c r="K83" i="32"/>
  <c r="C198" i="35"/>
  <c r="L83" i="32"/>
  <c r="D198" i="35"/>
  <c r="M83" i="32"/>
  <c r="E198" i="35"/>
  <c r="N83" i="32"/>
  <c r="F198" i="35"/>
  <c r="O83" i="32"/>
  <c r="G198" i="35"/>
  <c r="B164" i="41"/>
  <c r="A84" i="32"/>
  <c r="J84" i="32"/>
  <c r="B199" i="35"/>
  <c r="K84" i="32"/>
  <c r="C199" i="35"/>
  <c r="L84" i="32"/>
  <c r="D199" i="35"/>
  <c r="M84" i="32"/>
  <c r="E199" i="35"/>
  <c r="N84" i="32"/>
  <c r="F199" i="35"/>
  <c r="O84" i="32"/>
  <c r="G199" i="35"/>
  <c r="B165" i="41"/>
  <c r="A85" i="32"/>
  <c r="J85" i="32"/>
  <c r="B200" i="35"/>
  <c r="K85" i="32"/>
  <c r="C200" i="35"/>
  <c r="L85" i="32"/>
  <c r="D200" i="35"/>
  <c r="M85" i="32"/>
  <c r="E200" i="35"/>
  <c r="N85" i="32"/>
  <c r="F200" i="35"/>
  <c r="O85" i="32"/>
  <c r="G200" i="35"/>
  <c r="B166" i="41"/>
  <c r="A86" i="32"/>
  <c r="J86" i="32"/>
  <c r="B201" i="35"/>
  <c r="K86" i="32"/>
  <c r="C201" i="35"/>
  <c r="L86" i="32"/>
  <c r="D201" i="35"/>
  <c r="M86" i="32"/>
  <c r="E201" i="35"/>
  <c r="N86" i="32"/>
  <c r="F201" i="35"/>
  <c r="O86" i="32"/>
  <c r="G201" i="35"/>
  <c r="B167" i="41"/>
  <c r="A87" i="32"/>
  <c r="J87" i="32"/>
  <c r="B202" i="35"/>
  <c r="K87" i="32"/>
  <c r="C202" i="35"/>
  <c r="L87" i="32"/>
  <c r="D202" i="35"/>
  <c r="M87" i="32"/>
  <c r="E202" i="35"/>
  <c r="N87" i="32"/>
  <c r="F202" i="35"/>
  <c r="O87" i="32"/>
  <c r="G202" i="35"/>
  <c r="B168" i="41"/>
  <c r="A88" i="32"/>
  <c r="J88" i="32"/>
  <c r="B203" i="35"/>
  <c r="K88" i="32"/>
  <c r="C203" i="35"/>
  <c r="L88" i="32"/>
  <c r="D203" i="35"/>
  <c r="M88" i="32"/>
  <c r="E203" i="35"/>
  <c r="N88" i="32"/>
  <c r="F203" i="35"/>
  <c r="O88" i="32"/>
  <c r="G203" i="35"/>
  <c r="B169" i="41"/>
  <c r="A89" i="32"/>
  <c r="J89" i="32"/>
  <c r="B204" i="35"/>
  <c r="K89" i="32"/>
  <c r="C204" i="35"/>
  <c r="L89" i="32"/>
  <c r="D204" i="35"/>
  <c r="M89" i="32"/>
  <c r="E204" i="35"/>
  <c r="N89" i="32"/>
  <c r="F204" i="35"/>
  <c r="O89" i="32"/>
  <c r="G204" i="35"/>
  <c r="B170" i="41"/>
  <c r="A90" i="32"/>
  <c r="J90" i="32"/>
  <c r="B205" i="35"/>
  <c r="K90" i="32"/>
  <c r="C205" i="35"/>
  <c r="L90" i="32"/>
  <c r="D205" i="35"/>
  <c r="M90" i="32"/>
  <c r="E205" i="35"/>
  <c r="N90" i="32"/>
  <c r="F205" i="35"/>
  <c r="O90" i="32"/>
  <c r="G205" i="35"/>
  <c r="B171" i="41"/>
  <c r="A91" i="32"/>
  <c r="J91" i="32"/>
  <c r="B206" i="35"/>
  <c r="K91" i="32"/>
  <c r="C206" i="35"/>
  <c r="L91" i="32"/>
  <c r="D206" i="35"/>
  <c r="M91" i="32"/>
  <c r="E206" i="35"/>
  <c r="N91" i="32"/>
  <c r="F206" i="35"/>
  <c r="O91" i="32"/>
  <c r="G206" i="35"/>
  <c r="B172" i="41"/>
  <c r="A92" i="32"/>
  <c r="J92" i="32"/>
  <c r="B207" i="35"/>
  <c r="K92" i="32"/>
  <c r="C207" i="35"/>
  <c r="L92" i="32"/>
  <c r="D207" i="35"/>
  <c r="M92" i="32"/>
  <c r="E207" i="35"/>
  <c r="N92" i="32"/>
  <c r="F207" i="35"/>
  <c r="O92" i="32"/>
  <c r="G207" i="35"/>
  <c r="B173" i="41"/>
  <c r="A93" i="32"/>
  <c r="J93" i="32"/>
  <c r="B208" i="35"/>
  <c r="K93" i="32"/>
  <c r="C208" i="35"/>
  <c r="L93" i="32"/>
  <c r="D208" i="35"/>
  <c r="M93" i="32"/>
  <c r="E208" i="35"/>
  <c r="N93" i="32"/>
  <c r="F208" i="35"/>
  <c r="O93" i="32"/>
  <c r="G208" i="35"/>
  <c r="B174" i="41"/>
  <c r="A94" i="32"/>
  <c r="J94" i="32"/>
  <c r="B209" i="35"/>
  <c r="K94" i="32"/>
  <c r="C209" i="35"/>
  <c r="L94" i="32"/>
  <c r="D209" i="35"/>
  <c r="M94" i="32"/>
  <c r="E209" i="35"/>
  <c r="N94" i="32"/>
  <c r="F209" i="35"/>
  <c r="O94" i="32"/>
  <c r="G209" i="35"/>
  <c r="B175" i="41"/>
  <c r="A95" i="32"/>
  <c r="J95" i="32"/>
  <c r="B210" i="35"/>
  <c r="K95" i="32"/>
  <c r="C210" i="35"/>
  <c r="L95" i="32"/>
  <c r="D210" i="35"/>
  <c r="M95" i="32"/>
  <c r="E210" i="35"/>
  <c r="N95" i="32"/>
  <c r="F210" i="35"/>
  <c r="O95" i="32"/>
  <c r="G210" i="35"/>
  <c r="B176" i="41"/>
  <c r="A96" i="32"/>
  <c r="J96" i="32"/>
  <c r="B211" i="35"/>
  <c r="K96" i="32"/>
  <c r="C211" i="35"/>
  <c r="L96" i="32"/>
  <c r="D211" i="35"/>
  <c r="M96" i="32"/>
  <c r="E211" i="35"/>
  <c r="N96" i="32"/>
  <c r="F211" i="35"/>
  <c r="O96" i="32"/>
  <c r="G211" i="35"/>
  <c r="B177" i="41"/>
  <c r="A97" i="32"/>
  <c r="J97" i="32"/>
  <c r="B212" i="35"/>
  <c r="K97" i="32"/>
  <c r="C212" i="35"/>
  <c r="L97" i="32"/>
  <c r="D212" i="35"/>
  <c r="M97" i="32"/>
  <c r="E212" i="35"/>
  <c r="N97" i="32"/>
  <c r="F212" i="35"/>
  <c r="O97" i="32"/>
  <c r="G212" i="35"/>
  <c r="B178" i="41"/>
  <c r="A98" i="32"/>
  <c r="J98" i="32"/>
  <c r="B213" i="35"/>
  <c r="K98" i="32"/>
  <c r="C213" i="35"/>
  <c r="L98" i="32"/>
  <c r="D213" i="35"/>
  <c r="M98" i="32"/>
  <c r="E213" i="35"/>
  <c r="N98" i="32"/>
  <c r="F213" i="35"/>
  <c r="O98" i="32"/>
  <c r="G213" i="35"/>
  <c r="B179" i="41"/>
  <c r="A99" i="32"/>
  <c r="J99" i="32"/>
  <c r="B214" i="35"/>
  <c r="K99" i="32"/>
  <c r="C214" i="35"/>
  <c r="L99" i="32"/>
  <c r="D214" i="35"/>
  <c r="M99" i="32"/>
  <c r="E214" i="35"/>
  <c r="N99" i="32"/>
  <c r="F214" i="35"/>
  <c r="O99" i="32"/>
  <c r="G214" i="35"/>
  <c r="B180" i="41"/>
  <c r="A100" i="32"/>
  <c r="J100" i="32"/>
  <c r="B215" i="35"/>
  <c r="K100" i="32"/>
  <c r="C215" i="35"/>
  <c r="L100" i="32"/>
  <c r="D215" i="35"/>
  <c r="M100" i="32"/>
  <c r="E215" i="35"/>
  <c r="N100" i="32"/>
  <c r="F215" i="35"/>
  <c r="O100" i="32"/>
  <c r="G215" i="35"/>
  <c r="B181" i="41"/>
  <c r="A101" i="32"/>
  <c r="J101" i="32"/>
  <c r="B216" i="35"/>
  <c r="K101" i="32"/>
  <c r="C216" i="35"/>
  <c r="L101" i="32"/>
  <c r="D216" i="35"/>
  <c r="M101" i="32"/>
  <c r="E216" i="35"/>
  <c r="N101" i="32"/>
  <c r="F216" i="35"/>
  <c r="O101" i="32"/>
  <c r="G216" i="35"/>
  <c r="B182" i="41"/>
  <c r="A102" i="32"/>
  <c r="J102" i="32"/>
  <c r="B217" i="35"/>
  <c r="K102" i="32"/>
  <c r="C217" i="35"/>
  <c r="L102" i="32"/>
  <c r="D217" i="35"/>
  <c r="M102" i="32"/>
  <c r="E217" i="35"/>
  <c r="N102" i="32"/>
  <c r="F217" i="35"/>
  <c r="O102" i="32"/>
  <c r="G217" i="35"/>
  <c r="B183" i="41"/>
  <c r="A103" i="32"/>
  <c r="J103" i="32"/>
  <c r="B218" i="35"/>
  <c r="K103" i="32"/>
  <c r="C218" i="35"/>
  <c r="L103" i="32"/>
  <c r="D218" i="35"/>
  <c r="M103" i="32"/>
  <c r="E218" i="35"/>
  <c r="N103" i="32"/>
  <c r="F218" i="35"/>
  <c r="O103" i="32"/>
  <c r="G218" i="35"/>
  <c r="B184" i="41"/>
  <c r="A104" i="32"/>
  <c r="J104" i="32"/>
  <c r="B219" i="35"/>
  <c r="K104" i="32"/>
  <c r="C219" i="35"/>
  <c r="L104" i="32"/>
  <c r="D219" i="35"/>
  <c r="M104" i="32"/>
  <c r="E219" i="35"/>
  <c r="N104" i="32"/>
  <c r="F219" i="35"/>
  <c r="O104" i="32"/>
  <c r="G219" i="35"/>
  <c r="B185" i="41"/>
  <c r="A105" i="32"/>
  <c r="J105" i="32"/>
  <c r="B220" i="35"/>
  <c r="K105" i="32"/>
  <c r="C220" i="35"/>
  <c r="L105" i="32"/>
  <c r="D220" i="35"/>
  <c r="M105" i="32"/>
  <c r="E220" i="35"/>
  <c r="N105" i="32"/>
  <c r="F220" i="35"/>
  <c r="O105" i="32"/>
  <c r="G220" i="35"/>
  <c r="B186" i="41"/>
  <c r="A106" i="32"/>
  <c r="J106" i="32"/>
  <c r="B221" i="35"/>
  <c r="K106" i="32"/>
  <c r="C221" i="35"/>
  <c r="L106" i="32"/>
  <c r="D221" i="35"/>
  <c r="M106" i="32"/>
  <c r="E221" i="35"/>
  <c r="N106" i="32"/>
  <c r="F221" i="35"/>
  <c r="O106" i="32"/>
  <c r="G221" i="35"/>
  <c r="B187" i="41"/>
  <c r="A107" i="32"/>
  <c r="J107" i="32"/>
  <c r="B222" i="35"/>
  <c r="K107" i="32"/>
  <c r="C222" i="35"/>
  <c r="L107" i="32"/>
  <c r="D222" i="35"/>
  <c r="M107" i="32"/>
  <c r="E222" i="35"/>
  <c r="N107" i="32"/>
  <c r="F222" i="35"/>
  <c r="O107" i="32"/>
  <c r="G222" i="35"/>
  <c r="B188" i="41"/>
  <c r="A108" i="32"/>
  <c r="J108" i="32"/>
  <c r="B223" i="35"/>
  <c r="K108" i="32"/>
  <c r="C223" i="35"/>
  <c r="L108" i="32"/>
  <c r="D223" i="35"/>
  <c r="M108" i="32"/>
  <c r="E223" i="35"/>
  <c r="N108" i="32"/>
  <c r="F223" i="35"/>
  <c r="O108" i="32"/>
  <c r="G223" i="35"/>
  <c r="B189" i="41"/>
  <c r="A109" i="32"/>
  <c r="J109" i="32"/>
  <c r="B224" i="35"/>
  <c r="K109" i="32"/>
  <c r="C224" i="35"/>
  <c r="L109" i="32"/>
  <c r="D224" i="35"/>
  <c r="M109" i="32"/>
  <c r="E224" i="35"/>
  <c r="N109" i="32"/>
  <c r="F224" i="35"/>
  <c r="O109" i="32"/>
  <c r="G224" i="35"/>
  <c r="B190" i="41"/>
  <c r="A110" i="32"/>
  <c r="J110" i="32"/>
  <c r="B225" i="35"/>
  <c r="K110" i="32"/>
  <c r="C225" i="35"/>
  <c r="L110" i="32"/>
  <c r="D225" i="35"/>
  <c r="M110" i="32"/>
  <c r="E225" i="35"/>
  <c r="N110" i="32"/>
  <c r="F225" i="35"/>
  <c r="O110" i="32"/>
  <c r="G225" i="35"/>
  <c r="B191" i="41"/>
  <c r="A111" i="32"/>
  <c r="J111" i="32"/>
  <c r="B226" i="35"/>
  <c r="K111" i="32"/>
  <c r="C226" i="35"/>
  <c r="L111" i="32"/>
  <c r="D226" i="35"/>
  <c r="M111" i="32"/>
  <c r="E226" i="35"/>
  <c r="N111" i="32"/>
  <c r="F226" i="35"/>
  <c r="O111" i="32"/>
  <c r="G226" i="35"/>
  <c r="B192" i="41"/>
  <c r="A112" i="32"/>
  <c r="J112" i="32"/>
  <c r="B227" i="35"/>
  <c r="K112" i="32"/>
  <c r="C227" i="35"/>
  <c r="L112" i="32"/>
  <c r="D227" i="35"/>
  <c r="M112" i="32"/>
  <c r="E227" i="35"/>
  <c r="N112" i="32"/>
  <c r="F227" i="35"/>
  <c r="O112" i="32"/>
  <c r="G227" i="35"/>
  <c r="B193" i="41"/>
  <c r="A113" i="32"/>
  <c r="J113" i="32"/>
  <c r="B228" i="35"/>
  <c r="K113" i="32"/>
  <c r="C228" i="35"/>
  <c r="L113" i="32"/>
  <c r="D228" i="35"/>
  <c r="M113" i="32"/>
  <c r="E228" i="35"/>
  <c r="N113" i="32"/>
  <c r="F228" i="35"/>
  <c r="O113" i="32"/>
  <c r="G228" i="35"/>
  <c r="B194" i="41"/>
  <c r="A114" i="32"/>
  <c r="J114" i="32"/>
  <c r="B229" i="35"/>
  <c r="K114" i="32"/>
  <c r="C229" i="35"/>
  <c r="L114" i="32"/>
  <c r="D229" i="35"/>
  <c r="M114" i="32"/>
  <c r="E229" i="35"/>
  <c r="N114" i="32"/>
  <c r="F229" i="35"/>
  <c r="O114" i="32"/>
  <c r="G229" i="35"/>
  <c r="B195" i="41"/>
  <c r="A115" i="32"/>
  <c r="J115" i="32"/>
  <c r="B230" i="35"/>
  <c r="K115" i="32"/>
  <c r="C230" i="35"/>
  <c r="L115" i="32"/>
  <c r="D230" i="35"/>
  <c r="M115" i="32"/>
  <c r="E230" i="35"/>
  <c r="N115" i="32"/>
  <c r="F230" i="35"/>
  <c r="O115" i="32"/>
  <c r="G230" i="35"/>
  <c r="B196" i="41"/>
  <c r="A116" i="32"/>
  <c r="J116" i="32"/>
  <c r="B231" i="35"/>
  <c r="K116" i="32"/>
  <c r="C231" i="35"/>
  <c r="L116" i="32"/>
  <c r="D231" i="35"/>
  <c r="M116" i="32"/>
  <c r="E231" i="35"/>
  <c r="N116" i="32"/>
  <c r="F231" i="35"/>
  <c r="O116" i="32"/>
  <c r="G231" i="35"/>
  <c r="B197" i="41"/>
  <c r="A117" i="32"/>
  <c r="J117" i="32"/>
  <c r="B232" i="35"/>
  <c r="K117" i="32"/>
  <c r="C232" i="35"/>
  <c r="L117" i="32"/>
  <c r="D232" i="35"/>
  <c r="M117" i="32"/>
  <c r="E232" i="35"/>
  <c r="N117" i="32"/>
  <c r="F232" i="35"/>
  <c r="O117" i="32"/>
  <c r="G232" i="35"/>
  <c r="B198" i="41"/>
  <c r="A118" i="32"/>
  <c r="J118" i="32"/>
  <c r="B233" i="35"/>
  <c r="K118" i="32"/>
  <c r="C233" i="35"/>
  <c r="L118" i="32"/>
  <c r="D233" i="35"/>
  <c r="M118" i="32"/>
  <c r="E233" i="35"/>
  <c r="N118" i="32"/>
  <c r="F233" i="35"/>
  <c r="O118" i="32"/>
  <c r="G233" i="35"/>
  <c r="B199" i="41"/>
  <c r="A119" i="32"/>
  <c r="J119" i="32"/>
  <c r="B234" i="35"/>
  <c r="K119" i="32"/>
  <c r="C234" i="35"/>
  <c r="L119" i="32"/>
  <c r="D234" i="35"/>
  <c r="M119" i="32"/>
  <c r="E234" i="35"/>
  <c r="N119" i="32"/>
  <c r="F234" i="35"/>
  <c r="O119" i="32"/>
  <c r="G234" i="35"/>
  <c r="B200" i="41"/>
  <c r="A120" i="32"/>
  <c r="J120" i="32"/>
  <c r="B235" i="35"/>
  <c r="K120" i="32"/>
  <c r="C235" i="35"/>
  <c r="L120" i="32"/>
  <c r="D235" i="35"/>
  <c r="M120" i="32"/>
  <c r="E235" i="35"/>
  <c r="N120" i="32"/>
  <c r="F235" i="35"/>
  <c r="O120" i="32"/>
  <c r="G235" i="35"/>
  <c r="B201" i="41"/>
  <c r="A121" i="32"/>
  <c r="J121" i="32"/>
  <c r="B236" i="35"/>
  <c r="K121" i="32"/>
  <c r="C236" i="35"/>
  <c r="L121" i="32"/>
  <c r="D236" i="35"/>
  <c r="M121" i="32"/>
  <c r="E236" i="35"/>
  <c r="N121" i="32"/>
  <c r="F236" i="35"/>
  <c r="O121" i="32"/>
  <c r="G236" i="35"/>
  <c r="B202" i="41"/>
  <c r="A122" i="32"/>
  <c r="J122" i="32"/>
  <c r="B237" i="35"/>
  <c r="K122" i="32"/>
  <c r="C237" i="35"/>
  <c r="L122" i="32"/>
  <c r="D237" i="35"/>
  <c r="M122" i="32"/>
  <c r="E237" i="35"/>
  <c r="N122" i="32"/>
  <c r="F237" i="35"/>
  <c r="O122" i="32"/>
  <c r="G237" i="35"/>
  <c r="B203" i="41"/>
  <c r="A123" i="32"/>
  <c r="J123" i="32"/>
  <c r="B238" i="35"/>
  <c r="K123" i="32"/>
  <c r="C238" i="35"/>
  <c r="L123" i="32"/>
  <c r="D238" i="35"/>
  <c r="M123" i="32"/>
  <c r="E238" i="35"/>
  <c r="N123" i="32"/>
  <c r="F238" i="35"/>
  <c r="O123" i="32"/>
  <c r="G238" i="35"/>
  <c r="B142" i="36"/>
  <c r="C142" i="36"/>
  <c r="D142" i="36"/>
  <c r="E142" i="36"/>
  <c r="F142" i="36"/>
  <c r="G142" i="36"/>
  <c r="P28" i="32"/>
  <c r="B143" i="36"/>
  <c r="Q28" i="32"/>
  <c r="C143" i="36"/>
  <c r="R28" i="32"/>
  <c r="D143" i="36"/>
  <c r="S28" i="32"/>
  <c r="E143" i="36"/>
  <c r="T28" i="32"/>
  <c r="F143" i="36"/>
  <c r="U28" i="32"/>
  <c r="G143" i="36"/>
  <c r="P29" i="32"/>
  <c r="B144" i="36"/>
  <c r="Q29" i="32"/>
  <c r="C144" i="36"/>
  <c r="R29" i="32"/>
  <c r="D144" i="36"/>
  <c r="S29" i="32"/>
  <c r="E144" i="36"/>
  <c r="T29" i="32"/>
  <c r="F144" i="36"/>
  <c r="U29" i="32"/>
  <c r="G144" i="36"/>
  <c r="P30" i="32"/>
  <c r="B145" i="36"/>
  <c r="Q30" i="32"/>
  <c r="C145" i="36"/>
  <c r="R30" i="32"/>
  <c r="D145" i="36"/>
  <c r="S30" i="32"/>
  <c r="E145" i="36"/>
  <c r="T30" i="32"/>
  <c r="F145" i="36"/>
  <c r="U30" i="32"/>
  <c r="G145" i="36"/>
  <c r="B146" i="36"/>
  <c r="C146" i="36"/>
  <c r="D146" i="36"/>
  <c r="E146" i="36"/>
  <c r="F146" i="36"/>
  <c r="G146" i="36"/>
  <c r="P32" i="32"/>
  <c r="B147" i="36"/>
  <c r="Q32" i="32"/>
  <c r="C147" i="36"/>
  <c r="R32" i="32"/>
  <c r="D147" i="36"/>
  <c r="S32" i="32"/>
  <c r="E147" i="36"/>
  <c r="T32" i="32"/>
  <c r="F147" i="36"/>
  <c r="U32" i="32"/>
  <c r="G147" i="36"/>
  <c r="P33" i="32"/>
  <c r="B148" i="36"/>
  <c r="Q33" i="32"/>
  <c r="C148" i="36"/>
  <c r="R33" i="32"/>
  <c r="D148" i="36"/>
  <c r="S33" i="32"/>
  <c r="E148" i="36"/>
  <c r="T33" i="32"/>
  <c r="F148" i="36"/>
  <c r="U33" i="32"/>
  <c r="G148" i="36"/>
  <c r="P34" i="32"/>
  <c r="B149" i="36"/>
  <c r="Q34" i="32"/>
  <c r="C149" i="36"/>
  <c r="R34" i="32"/>
  <c r="D149" i="36"/>
  <c r="S34" i="32"/>
  <c r="E149" i="36"/>
  <c r="T34" i="32"/>
  <c r="F149" i="36"/>
  <c r="U34" i="32"/>
  <c r="G149" i="36"/>
  <c r="B150" i="36"/>
  <c r="C150" i="36"/>
  <c r="D150" i="36"/>
  <c r="E150" i="36"/>
  <c r="F150" i="36"/>
  <c r="G150" i="36"/>
  <c r="P36" i="32"/>
  <c r="B151" i="36"/>
  <c r="Q36" i="32"/>
  <c r="C151" i="36"/>
  <c r="R36" i="32"/>
  <c r="D151" i="36"/>
  <c r="S36" i="32"/>
  <c r="E151" i="36"/>
  <c r="T36" i="32"/>
  <c r="F151" i="36"/>
  <c r="U36" i="32"/>
  <c r="G151" i="36"/>
  <c r="P37" i="32"/>
  <c r="B152" i="36"/>
  <c r="Q37" i="32"/>
  <c r="C152" i="36"/>
  <c r="R37" i="32"/>
  <c r="D152" i="36"/>
  <c r="S37" i="32"/>
  <c r="E152" i="36"/>
  <c r="T37" i="32"/>
  <c r="F152" i="36"/>
  <c r="U37" i="32"/>
  <c r="G152" i="36"/>
  <c r="P38" i="32"/>
  <c r="B153" i="36"/>
  <c r="Q38" i="32"/>
  <c r="C153" i="36"/>
  <c r="R38" i="32"/>
  <c r="D153" i="36"/>
  <c r="S38" i="32"/>
  <c r="E153" i="36"/>
  <c r="T38" i="32"/>
  <c r="F153" i="36"/>
  <c r="U38" i="32"/>
  <c r="G153" i="36"/>
  <c r="B154" i="36"/>
  <c r="C154" i="36"/>
  <c r="D154" i="36"/>
  <c r="E154" i="36"/>
  <c r="F154" i="36"/>
  <c r="G154" i="36"/>
  <c r="P40" i="32"/>
  <c r="B155" i="36"/>
  <c r="Q40" i="32"/>
  <c r="C155" i="36"/>
  <c r="R40" i="32"/>
  <c r="D155" i="36"/>
  <c r="S40" i="32"/>
  <c r="E155" i="36"/>
  <c r="T40" i="32"/>
  <c r="F155" i="36"/>
  <c r="U40" i="32"/>
  <c r="G155" i="36"/>
  <c r="P41" i="32"/>
  <c r="B156" i="36"/>
  <c r="Q41" i="32"/>
  <c r="C156" i="36"/>
  <c r="R41" i="32"/>
  <c r="D156" i="36"/>
  <c r="S41" i="32"/>
  <c r="E156" i="36"/>
  <c r="T41" i="32"/>
  <c r="F156" i="36"/>
  <c r="U41" i="32"/>
  <c r="G156" i="36"/>
  <c r="P42" i="32"/>
  <c r="B157" i="36"/>
  <c r="Q42" i="32"/>
  <c r="C157" i="36"/>
  <c r="R42" i="32"/>
  <c r="D157" i="36"/>
  <c r="S42" i="32"/>
  <c r="E157" i="36"/>
  <c r="T42" i="32"/>
  <c r="F157" i="36"/>
  <c r="U42" i="32"/>
  <c r="G157" i="36"/>
  <c r="B158" i="36"/>
  <c r="C158" i="36"/>
  <c r="D158" i="36"/>
  <c r="E158" i="36"/>
  <c r="F158" i="36"/>
  <c r="G158" i="36"/>
  <c r="P44" i="32"/>
  <c r="B159" i="36"/>
  <c r="Q44" i="32"/>
  <c r="C159" i="36"/>
  <c r="R44" i="32"/>
  <c r="D159" i="36"/>
  <c r="S44" i="32"/>
  <c r="E159" i="36"/>
  <c r="T44" i="32"/>
  <c r="F159" i="36"/>
  <c r="U44" i="32"/>
  <c r="G159" i="36"/>
  <c r="P45" i="32"/>
  <c r="B160" i="36"/>
  <c r="Q45" i="32"/>
  <c r="C160" i="36"/>
  <c r="R45" i="32"/>
  <c r="D160" i="36"/>
  <c r="S45" i="32"/>
  <c r="E160" i="36"/>
  <c r="T45" i="32"/>
  <c r="F160" i="36"/>
  <c r="U45" i="32"/>
  <c r="G160" i="36"/>
  <c r="P46" i="32"/>
  <c r="B161" i="36"/>
  <c r="Q46" i="32"/>
  <c r="C161" i="36"/>
  <c r="R46" i="32"/>
  <c r="D161" i="36"/>
  <c r="S46" i="32"/>
  <c r="E161" i="36"/>
  <c r="T46" i="32"/>
  <c r="F161" i="36"/>
  <c r="U46" i="32"/>
  <c r="G161" i="36"/>
  <c r="P47" i="32"/>
  <c r="B162" i="36"/>
  <c r="Q47" i="32"/>
  <c r="C162" i="36"/>
  <c r="R47" i="32"/>
  <c r="D162" i="36"/>
  <c r="S47" i="32"/>
  <c r="E162" i="36"/>
  <c r="T47" i="32"/>
  <c r="F162" i="36"/>
  <c r="U47" i="32"/>
  <c r="G162" i="36"/>
  <c r="P48" i="32"/>
  <c r="B163" i="36"/>
  <c r="Q48" i="32"/>
  <c r="C163" i="36"/>
  <c r="R48" i="32"/>
  <c r="D163" i="36"/>
  <c r="S48" i="32"/>
  <c r="E163" i="36"/>
  <c r="T48" i="32"/>
  <c r="F163" i="36"/>
  <c r="U48" i="32"/>
  <c r="G163" i="36"/>
  <c r="P49" i="32"/>
  <c r="B164" i="36"/>
  <c r="Q49" i="32"/>
  <c r="C164" i="36"/>
  <c r="R49" i="32"/>
  <c r="D164" i="36"/>
  <c r="S49" i="32"/>
  <c r="E164" i="36"/>
  <c r="T49" i="32"/>
  <c r="F164" i="36"/>
  <c r="U49" i="32"/>
  <c r="G164" i="36"/>
  <c r="P50" i="32"/>
  <c r="B165" i="36"/>
  <c r="Q50" i="32"/>
  <c r="C165" i="36"/>
  <c r="R50" i="32"/>
  <c r="D165" i="36"/>
  <c r="S50" i="32"/>
  <c r="E165" i="36"/>
  <c r="T50" i="32"/>
  <c r="F165" i="36"/>
  <c r="U50" i="32"/>
  <c r="G165" i="36"/>
  <c r="P51" i="32"/>
  <c r="B166" i="36"/>
  <c r="Q51" i="32"/>
  <c r="C166" i="36"/>
  <c r="R51" i="32"/>
  <c r="D166" i="36"/>
  <c r="S51" i="32"/>
  <c r="E166" i="36"/>
  <c r="T51" i="32"/>
  <c r="F166" i="36"/>
  <c r="U51" i="32"/>
  <c r="G166" i="36"/>
  <c r="P52" i="32"/>
  <c r="B167" i="36"/>
  <c r="Q52" i="32"/>
  <c r="C167" i="36"/>
  <c r="R52" i="32"/>
  <c r="D167" i="36"/>
  <c r="S52" i="32"/>
  <c r="E167" i="36"/>
  <c r="T52" i="32"/>
  <c r="F167" i="36"/>
  <c r="U52" i="32"/>
  <c r="G167" i="36"/>
  <c r="P53" i="32"/>
  <c r="B168" i="36"/>
  <c r="Q53" i="32"/>
  <c r="C168" i="36"/>
  <c r="R53" i="32"/>
  <c r="D168" i="36"/>
  <c r="S53" i="32"/>
  <c r="E168" i="36"/>
  <c r="T53" i="32"/>
  <c r="F168" i="36"/>
  <c r="U53" i="32"/>
  <c r="G168" i="36"/>
  <c r="P54" i="32"/>
  <c r="B169" i="36"/>
  <c r="Q54" i="32"/>
  <c r="C169" i="36"/>
  <c r="R54" i="32"/>
  <c r="D169" i="36"/>
  <c r="S54" i="32"/>
  <c r="E169" i="36"/>
  <c r="T54" i="32"/>
  <c r="F169" i="36"/>
  <c r="U54" i="32"/>
  <c r="G169" i="36"/>
  <c r="P55" i="32"/>
  <c r="B170" i="36"/>
  <c r="Q55" i="32"/>
  <c r="C170" i="36"/>
  <c r="R55" i="32"/>
  <c r="D170" i="36"/>
  <c r="S55" i="32"/>
  <c r="E170" i="36"/>
  <c r="T55" i="32"/>
  <c r="F170" i="36"/>
  <c r="U55" i="32"/>
  <c r="G170" i="36"/>
  <c r="P56" i="32"/>
  <c r="B171" i="36"/>
  <c r="Q56" i="32"/>
  <c r="C171" i="36"/>
  <c r="R56" i="32"/>
  <c r="D171" i="36"/>
  <c r="S56" i="32"/>
  <c r="E171" i="36"/>
  <c r="T56" i="32"/>
  <c r="F171" i="36"/>
  <c r="U56" i="32"/>
  <c r="G171" i="36"/>
  <c r="P57" i="32"/>
  <c r="B172" i="36"/>
  <c r="Q57" i="32"/>
  <c r="C172" i="36"/>
  <c r="R57" i="32"/>
  <c r="D172" i="36"/>
  <c r="S57" i="32"/>
  <c r="E172" i="36"/>
  <c r="T57" i="32"/>
  <c r="F172" i="36"/>
  <c r="U57" i="32"/>
  <c r="G172" i="36"/>
  <c r="P58" i="32"/>
  <c r="B173" i="36"/>
  <c r="Q58" i="32"/>
  <c r="C173" i="36"/>
  <c r="R58" i="32"/>
  <c r="D173" i="36"/>
  <c r="S58" i="32"/>
  <c r="E173" i="36"/>
  <c r="T58" i="32"/>
  <c r="F173" i="36"/>
  <c r="U58" i="32"/>
  <c r="G173" i="36"/>
  <c r="P59" i="32"/>
  <c r="B174" i="36"/>
  <c r="Q59" i="32"/>
  <c r="C174" i="36"/>
  <c r="R59" i="32"/>
  <c r="D174" i="36"/>
  <c r="S59" i="32"/>
  <c r="E174" i="36"/>
  <c r="T59" i="32"/>
  <c r="F174" i="36"/>
  <c r="U59" i="32"/>
  <c r="G174" i="36"/>
  <c r="P60" i="32"/>
  <c r="B175" i="36"/>
  <c r="Q60" i="32"/>
  <c r="C175" i="36"/>
  <c r="R60" i="32"/>
  <c r="D175" i="36"/>
  <c r="S60" i="32"/>
  <c r="E175" i="36"/>
  <c r="T60" i="32"/>
  <c r="F175" i="36"/>
  <c r="U60" i="32"/>
  <c r="G175" i="36"/>
  <c r="P61" i="32"/>
  <c r="B176" i="36"/>
  <c r="Q61" i="32"/>
  <c r="C176" i="36"/>
  <c r="R61" i="32"/>
  <c r="D176" i="36"/>
  <c r="S61" i="32"/>
  <c r="E176" i="36"/>
  <c r="T61" i="32"/>
  <c r="F176" i="36"/>
  <c r="U61" i="32"/>
  <c r="G176" i="36"/>
  <c r="P62" i="32"/>
  <c r="B177" i="36"/>
  <c r="Q62" i="32"/>
  <c r="C177" i="36"/>
  <c r="R62" i="32"/>
  <c r="D177" i="36"/>
  <c r="S62" i="32"/>
  <c r="E177" i="36"/>
  <c r="T62" i="32"/>
  <c r="F177" i="36"/>
  <c r="U62" i="32"/>
  <c r="G177" i="36"/>
  <c r="P63" i="32"/>
  <c r="B178" i="36"/>
  <c r="Q63" i="32"/>
  <c r="C178" i="36"/>
  <c r="R63" i="32"/>
  <c r="D178" i="36"/>
  <c r="S63" i="32"/>
  <c r="E178" i="36"/>
  <c r="T63" i="32"/>
  <c r="F178" i="36"/>
  <c r="U63" i="32"/>
  <c r="G178" i="36"/>
  <c r="P64" i="32"/>
  <c r="B179" i="36"/>
  <c r="Q64" i="32"/>
  <c r="C179" i="36"/>
  <c r="R64" i="32"/>
  <c r="D179" i="36"/>
  <c r="S64" i="32"/>
  <c r="E179" i="36"/>
  <c r="T64" i="32"/>
  <c r="F179" i="36"/>
  <c r="U64" i="32"/>
  <c r="G179" i="36"/>
  <c r="P65" i="32"/>
  <c r="B180" i="36"/>
  <c r="Q65" i="32"/>
  <c r="C180" i="36"/>
  <c r="R65" i="32"/>
  <c r="D180" i="36"/>
  <c r="S65" i="32"/>
  <c r="E180" i="36"/>
  <c r="T65" i="32"/>
  <c r="F180" i="36"/>
  <c r="U65" i="32"/>
  <c r="G180" i="36"/>
  <c r="P66" i="32"/>
  <c r="B181" i="36"/>
  <c r="Q66" i="32"/>
  <c r="C181" i="36"/>
  <c r="R66" i="32"/>
  <c r="D181" i="36"/>
  <c r="S66" i="32"/>
  <c r="E181" i="36"/>
  <c r="T66" i="32"/>
  <c r="F181" i="36"/>
  <c r="U66" i="32"/>
  <c r="G181" i="36"/>
  <c r="P67" i="32"/>
  <c r="B182" i="36"/>
  <c r="Q67" i="32"/>
  <c r="C182" i="36"/>
  <c r="R67" i="32"/>
  <c r="D182" i="36"/>
  <c r="S67" i="32"/>
  <c r="E182" i="36"/>
  <c r="T67" i="32"/>
  <c r="F182" i="36"/>
  <c r="U67" i="32"/>
  <c r="G182" i="36"/>
  <c r="P68" i="32"/>
  <c r="B183" i="36"/>
  <c r="Q68" i="32"/>
  <c r="C183" i="36"/>
  <c r="R68" i="32"/>
  <c r="D183" i="36"/>
  <c r="S68" i="32"/>
  <c r="E183" i="36"/>
  <c r="T68" i="32"/>
  <c r="F183" i="36"/>
  <c r="U68" i="32"/>
  <c r="G183" i="36"/>
  <c r="P69" i="32"/>
  <c r="B184" i="36"/>
  <c r="Q69" i="32"/>
  <c r="C184" i="36"/>
  <c r="R69" i="32"/>
  <c r="D184" i="36"/>
  <c r="S69" i="32"/>
  <c r="E184" i="36"/>
  <c r="T69" i="32"/>
  <c r="F184" i="36"/>
  <c r="U69" i="32"/>
  <c r="G184" i="36"/>
  <c r="P70" i="32"/>
  <c r="B185" i="36"/>
  <c r="Q70" i="32"/>
  <c r="C185" i="36"/>
  <c r="R70" i="32"/>
  <c r="D185" i="36"/>
  <c r="S70" i="32"/>
  <c r="E185" i="36"/>
  <c r="T70" i="32"/>
  <c r="F185" i="36"/>
  <c r="U70" i="32"/>
  <c r="G185" i="36"/>
  <c r="P71" i="32"/>
  <c r="B186" i="36"/>
  <c r="Q71" i="32"/>
  <c r="C186" i="36"/>
  <c r="R71" i="32"/>
  <c r="D186" i="36"/>
  <c r="S71" i="32"/>
  <c r="E186" i="36"/>
  <c r="T71" i="32"/>
  <c r="F186" i="36"/>
  <c r="U71" i="32"/>
  <c r="G186" i="36"/>
  <c r="P72" i="32"/>
  <c r="B187" i="36"/>
  <c r="Q72" i="32"/>
  <c r="C187" i="36"/>
  <c r="R72" i="32"/>
  <c r="D187" i="36"/>
  <c r="S72" i="32"/>
  <c r="E187" i="36"/>
  <c r="T72" i="32"/>
  <c r="F187" i="36"/>
  <c r="U72" i="32"/>
  <c r="G187" i="36"/>
  <c r="P73" i="32"/>
  <c r="B188" i="36"/>
  <c r="Q73" i="32"/>
  <c r="C188" i="36"/>
  <c r="R73" i="32"/>
  <c r="D188" i="36"/>
  <c r="S73" i="32"/>
  <c r="E188" i="36"/>
  <c r="T73" i="32"/>
  <c r="F188" i="36"/>
  <c r="U73" i="32"/>
  <c r="G188" i="36"/>
  <c r="P74" i="32"/>
  <c r="B189" i="36"/>
  <c r="Q74" i="32"/>
  <c r="C189" i="36"/>
  <c r="R74" i="32"/>
  <c r="D189" i="36"/>
  <c r="S74" i="32"/>
  <c r="E189" i="36"/>
  <c r="T74" i="32"/>
  <c r="F189" i="36"/>
  <c r="U74" i="32"/>
  <c r="G189" i="36"/>
  <c r="P75" i="32"/>
  <c r="B190" i="36"/>
  <c r="Q75" i="32"/>
  <c r="C190" i="36"/>
  <c r="R75" i="32"/>
  <c r="D190" i="36"/>
  <c r="S75" i="32"/>
  <c r="E190" i="36"/>
  <c r="T75" i="32"/>
  <c r="F190" i="36"/>
  <c r="U75" i="32"/>
  <c r="G190" i="36"/>
  <c r="P76" i="32"/>
  <c r="B191" i="36"/>
  <c r="Q76" i="32"/>
  <c r="C191" i="36"/>
  <c r="R76" i="32"/>
  <c r="D191" i="36"/>
  <c r="S76" i="32"/>
  <c r="E191" i="36"/>
  <c r="T76" i="32"/>
  <c r="F191" i="36"/>
  <c r="U76" i="32"/>
  <c r="G191" i="36"/>
  <c r="P77" i="32"/>
  <c r="B192" i="36"/>
  <c r="Q77" i="32"/>
  <c r="C192" i="36"/>
  <c r="R77" i="32"/>
  <c r="D192" i="36"/>
  <c r="S77" i="32"/>
  <c r="E192" i="36"/>
  <c r="T77" i="32"/>
  <c r="F192" i="36"/>
  <c r="U77" i="32"/>
  <c r="G192" i="36"/>
  <c r="P78" i="32"/>
  <c r="B193" i="36"/>
  <c r="Q78" i="32"/>
  <c r="C193" i="36"/>
  <c r="R78" i="32"/>
  <c r="D193" i="36"/>
  <c r="S78" i="32"/>
  <c r="E193" i="36"/>
  <c r="T78" i="32"/>
  <c r="F193" i="36"/>
  <c r="U78" i="32"/>
  <c r="G193" i="36"/>
  <c r="P79" i="32"/>
  <c r="B194" i="36"/>
  <c r="Q79" i="32"/>
  <c r="C194" i="36"/>
  <c r="R79" i="32"/>
  <c r="D194" i="36"/>
  <c r="S79" i="32"/>
  <c r="E194" i="36"/>
  <c r="T79" i="32"/>
  <c r="F194" i="36"/>
  <c r="U79" i="32"/>
  <c r="G194" i="36"/>
  <c r="P80" i="32"/>
  <c r="B195" i="36"/>
  <c r="Q80" i="32"/>
  <c r="C195" i="36"/>
  <c r="R80" i="32"/>
  <c r="D195" i="36"/>
  <c r="S80" i="32"/>
  <c r="E195" i="36"/>
  <c r="T80" i="32"/>
  <c r="F195" i="36"/>
  <c r="U80" i="32"/>
  <c r="G195" i="36"/>
  <c r="P81" i="32"/>
  <c r="B196" i="36"/>
  <c r="Q81" i="32"/>
  <c r="C196" i="36"/>
  <c r="R81" i="32"/>
  <c r="D196" i="36"/>
  <c r="S81" i="32"/>
  <c r="E196" i="36"/>
  <c r="T81" i="32"/>
  <c r="F196" i="36"/>
  <c r="U81" i="32"/>
  <c r="G196" i="36"/>
  <c r="P82" i="32"/>
  <c r="B197" i="36"/>
  <c r="Q82" i="32"/>
  <c r="C197" i="36"/>
  <c r="R82" i="32"/>
  <c r="D197" i="36"/>
  <c r="S82" i="32"/>
  <c r="E197" i="36"/>
  <c r="T82" i="32"/>
  <c r="F197" i="36"/>
  <c r="U82" i="32"/>
  <c r="G197" i="36"/>
  <c r="P83" i="32"/>
  <c r="B198" i="36"/>
  <c r="Q83" i="32"/>
  <c r="C198" i="36"/>
  <c r="R83" i="32"/>
  <c r="D198" i="36"/>
  <c r="S83" i="32"/>
  <c r="E198" i="36"/>
  <c r="T83" i="32"/>
  <c r="F198" i="36"/>
  <c r="U83" i="32"/>
  <c r="G198" i="36"/>
  <c r="P84" i="32"/>
  <c r="B199" i="36"/>
  <c r="Q84" i="32"/>
  <c r="C199" i="36"/>
  <c r="R84" i="32"/>
  <c r="D199" i="36"/>
  <c r="S84" i="32"/>
  <c r="E199" i="36"/>
  <c r="T84" i="32"/>
  <c r="F199" i="36"/>
  <c r="U84" i="32"/>
  <c r="G199" i="36"/>
  <c r="P85" i="32"/>
  <c r="B200" i="36"/>
  <c r="Q85" i="32"/>
  <c r="C200" i="36"/>
  <c r="R85" i="32"/>
  <c r="D200" i="36"/>
  <c r="S85" i="32"/>
  <c r="E200" i="36"/>
  <c r="T85" i="32"/>
  <c r="F200" i="36"/>
  <c r="U85" i="32"/>
  <c r="G200" i="36"/>
  <c r="P86" i="32"/>
  <c r="B201" i="36"/>
  <c r="Q86" i="32"/>
  <c r="C201" i="36"/>
  <c r="R86" i="32"/>
  <c r="D201" i="36"/>
  <c r="S86" i="32"/>
  <c r="E201" i="36"/>
  <c r="T86" i="32"/>
  <c r="F201" i="36"/>
  <c r="U86" i="32"/>
  <c r="G201" i="36"/>
  <c r="P87" i="32"/>
  <c r="B202" i="36"/>
  <c r="Q87" i="32"/>
  <c r="C202" i="36"/>
  <c r="R87" i="32"/>
  <c r="D202" i="36"/>
  <c r="S87" i="32"/>
  <c r="E202" i="36"/>
  <c r="T87" i="32"/>
  <c r="F202" i="36"/>
  <c r="U87" i="32"/>
  <c r="G202" i="36"/>
  <c r="P88" i="32"/>
  <c r="B203" i="36"/>
  <c r="Q88" i="32"/>
  <c r="C203" i="36"/>
  <c r="R88" i="32"/>
  <c r="D203" i="36"/>
  <c r="S88" i="32"/>
  <c r="E203" i="36"/>
  <c r="T88" i="32"/>
  <c r="F203" i="36"/>
  <c r="U88" i="32"/>
  <c r="G203" i="36"/>
  <c r="P89" i="32"/>
  <c r="B204" i="36"/>
  <c r="Q89" i="32"/>
  <c r="C204" i="36"/>
  <c r="R89" i="32"/>
  <c r="D204" i="36"/>
  <c r="S89" i="32"/>
  <c r="E204" i="36"/>
  <c r="T89" i="32"/>
  <c r="F204" i="36"/>
  <c r="U89" i="32"/>
  <c r="G204" i="36"/>
  <c r="P90" i="32"/>
  <c r="B205" i="36"/>
  <c r="Q90" i="32"/>
  <c r="C205" i="36"/>
  <c r="R90" i="32"/>
  <c r="D205" i="36"/>
  <c r="S90" i="32"/>
  <c r="E205" i="36"/>
  <c r="T90" i="32"/>
  <c r="F205" i="36"/>
  <c r="U90" i="32"/>
  <c r="G205" i="36"/>
  <c r="P91" i="32"/>
  <c r="B206" i="36"/>
  <c r="Q91" i="32"/>
  <c r="C206" i="36"/>
  <c r="R91" i="32"/>
  <c r="D206" i="36"/>
  <c r="S91" i="32"/>
  <c r="E206" i="36"/>
  <c r="T91" i="32"/>
  <c r="F206" i="36"/>
  <c r="U91" i="32"/>
  <c r="G206" i="36"/>
  <c r="P92" i="32"/>
  <c r="B207" i="36"/>
  <c r="Q92" i="32"/>
  <c r="C207" i="36"/>
  <c r="R92" i="32"/>
  <c r="D207" i="36"/>
  <c r="S92" i="32"/>
  <c r="E207" i="36"/>
  <c r="T92" i="32"/>
  <c r="F207" i="36"/>
  <c r="U92" i="32"/>
  <c r="G207" i="36"/>
  <c r="P93" i="32"/>
  <c r="B208" i="36"/>
  <c r="Q93" i="32"/>
  <c r="C208" i="36"/>
  <c r="R93" i="32"/>
  <c r="D208" i="36"/>
  <c r="S93" i="32"/>
  <c r="E208" i="36"/>
  <c r="T93" i="32"/>
  <c r="F208" i="36"/>
  <c r="U93" i="32"/>
  <c r="G208" i="36"/>
  <c r="P94" i="32"/>
  <c r="B209" i="36"/>
  <c r="Q94" i="32"/>
  <c r="C209" i="36"/>
  <c r="R94" i="32"/>
  <c r="D209" i="36"/>
  <c r="S94" i="32"/>
  <c r="E209" i="36"/>
  <c r="T94" i="32"/>
  <c r="F209" i="36"/>
  <c r="U94" i="32"/>
  <c r="G209" i="36"/>
  <c r="P95" i="32"/>
  <c r="B210" i="36"/>
  <c r="Q95" i="32"/>
  <c r="C210" i="36"/>
  <c r="R95" i="32"/>
  <c r="D210" i="36"/>
  <c r="S95" i="32"/>
  <c r="E210" i="36"/>
  <c r="T95" i="32"/>
  <c r="F210" i="36"/>
  <c r="U95" i="32"/>
  <c r="G210" i="36"/>
  <c r="P96" i="32"/>
  <c r="B211" i="36"/>
  <c r="Q96" i="32"/>
  <c r="C211" i="36"/>
  <c r="R96" i="32"/>
  <c r="D211" i="36"/>
  <c r="S96" i="32"/>
  <c r="E211" i="36"/>
  <c r="T96" i="32"/>
  <c r="F211" i="36"/>
  <c r="U96" i="32"/>
  <c r="G211" i="36"/>
  <c r="P97" i="32"/>
  <c r="B212" i="36"/>
  <c r="Q97" i="32"/>
  <c r="C212" i="36"/>
  <c r="R97" i="32"/>
  <c r="D212" i="36"/>
  <c r="S97" i="32"/>
  <c r="E212" i="36"/>
  <c r="T97" i="32"/>
  <c r="F212" i="36"/>
  <c r="U97" i="32"/>
  <c r="G212" i="36"/>
  <c r="P98" i="32"/>
  <c r="B213" i="36"/>
  <c r="Q98" i="32"/>
  <c r="C213" i="36"/>
  <c r="R98" i="32"/>
  <c r="D213" i="36"/>
  <c r="S98" i="32"/>
  <c r="E213" i="36"/>
  <c r="T98" i="32"/>
  <c r="F213" i="36"/>
  <c r="U98" i="32"/>
  <c r="G213" i="36"/>
  <c r="P99" i="32"/>
  <c r="B214" i="36"/>
  <c r="Q99" i="32"/>
  <c r="C214" i="36"/>
  <c r="R99" i="32"/>
  <c r="D214" i="36"/>
  <c r="S99" i="32"/>
  <c r="E214" i="36"/>
  <c r="T99" i="32"/>
  <c r="F214" i="36"/>
  <c r="U99" i="32"/>
  <c r="G214" i="36"/>
  <c r="P100" i="32"/>
  <c r="B215" i="36"/>
  <c r="Q100" i="32"/>
  <c r="C215" i="36"/>
  <c r="R100" i="32"/>
  <c r="D215" i="36"/>
  <c r="S100" i="32"/>
  <c r="E215" i="36"/>
  <c r="T100" i="32"/>
  <c r="F215" i="36"/>
  <c r="U100" i="32"/>
  <c r="G215" i="36"/>
  <c r="P101" i="32"/>
  <c r="B216" i="36"/>
  <c r="Q101" i="32"/>
  <c r="C216" i="36"/>
  <c r="R101" i="32"/>
  <c r="D216" i="36"/>
  <c r="S101" i="32"/>
  <c r="E216" i="36"/>
  <c r="T101" i="32"/>
  <c r="F216" i="36"/>
  <c r="U101" i="32"/>
  <c r="G216" i="36"/>
  <c r="P102" i="32"/>
  <c r="B217" i="36"/>
  <c r="Q102" i="32"/>
  <c r="C217" i="36"/>
  <c r="R102" i="32"/>
  <c r="D217" i="36"/>
  <c r="S102" i="32"/>
  <c r="E217" i="36"/>
  <c r="T102" i="32"/>
  <c r="F217" i="36"/>
  <c r="U102" i="32"/>
  <c r="G217" i="36"/>
  <c r="P103" i="32"/>
  <c r="B218" i="36"/>
  <c r="Q103" i="32"/>
  <c r="C218" i="36"/>
  <c r="R103" i="32"/>
  <c r="D218" i="36"/>
  <c r="S103" i="32"/>
  <c r="E218" i="36"/>
  <c r="T103" i="32"/>
  <c r="F218" i="36"/>
  <c r="U103" i="32"/>
  <c r="G218" i="36"/>
  <c r="P104" i="32"/>
  <c r="B219" i="36"/>
  <c r="Q104" i="32"/>
  <c r="C219" i="36"/>
  <c r="R104" i="32"/>
  <c r="D219" i="36"/>
  <c r="S104" i="32"/>
  <c r="E219" i="36"/>
  <c r="T104" i="32"/>
  <c r="F219" i="36"/>
  <c r="U104" i="32"/>
  <c r="G219" i="36"/>
  <c r="P105" i="32"/>
  <c r="B220" i="36"/>
  <c r="Q105" i="32"/>
  <c r="C220" i="36"/>
  <c r="R105" i="32"/>
  <c r="D220" i="36"/>
  <c r="S105" i="32"/>
  <c r="E220" i="36"/>
  <c r="T105" i="32"/>
  <c r="F220" i="36"/>
  <c r="U105" i="32"/>
  <c r="G220" i="36"/>
  <c r="P106" i="32"/>
  <c r="B221" i="36"/>
  <c r="Q106" i="32"/>
  <c r="C221" i="36"/>
  <c r="R106" i="32"/>
  <c r="D221" i="36"/>
  <c r="S106" i="32"/>
  <c r="E221" i="36"/>
  <c r="T106" i="32"/>
  <c r="F221" i="36"/>
  <c r="U106" i="32"/>
  <c r="G221" i="36"/>
  <c r="P107" i="32"/>
  <c r="B222" i="36"/>
  <c r="Q107" i="32"/>
  <c r="C222" i="36"/>
  <c r="R107" i="32"/>
  <c r="D222" i="36"/>
  <c r="S107" i="32"/>
  <c r="E222" i="36"/>
  <c r="T107" i="32"/>
  <c r="F222" i="36"/>
  <c r="U107" i="32"/>
  <c r="G222" i="36"/>
  <c r="P108" i="32"/>
  <c r="B223" i="36"/>
  <c r="Q108" i="32"/>
  <c r="C223" i="36"/>
  <c r="R108" i="32"/>
  <c r="D223" i="36"/>
  <c r="S108" i="32"/>
  <c r="E223" i="36"/>
  <c r="T108" i="32"/>
  <c r="F223" i="36"/>
  <c r="U108" i="32"/>
  <c r="G223" i="36"/>
  <c r="P109" i="32"/>
  <c r="B224" i="36"/>
  <c r="Q109" i="32"/>
  <c r="C224" i="36"/>
  <c r="R109" i="32"/>
  <c r="D224" i="36"/>
  <c r="S109" i="32"/>
  <c r="E224" i="36"/>
  <c r="T109" i="32"/>
  <c r="F224" i="36"/>
  <c r="U109" i="32"/>
  <c r="G224" i="36"/>
  <c r="P110" i="32"/>
  <c r="B225" i="36"/>
  <c r="Q110" i="32"/>
  <c r="C225" i="36"/>
  <c r="R110" i="32"/>
  <c r="D225" i="36"/>
  <c r="S110" i="32"/>
  <c r="E225" i="36"/>
  <c r="T110" i="32"/>
  <c r="F225" i="36"/>
  <c r="U110" i="32"/>
  <c r="G225" i="36"/>
  <c r="P111" i="32"/>
  <c r="B226" i="36"/>
  <c r="Q111" i="32"/>
  <c r="C226" i="36"/>
  <c r="R111" i="32"/>
  <c r="D226" i="36"/>
  <c r="S111" i="32"/>
  <c r="E226" i="36"/>
  <c r="T111" i="32"/>
  <c r="F226" i="36"/>
  <c r="U111" i="32"/>
  <c r="G226" i="36"/>
  <c r="P112" i="32"/>
  <c r="B227" i="36"/>
  <c r="Q112" i="32"/>
  <c r="C227" i="36"/>
  <c r="R112" i="32"/>
  <c r="D227" i="36"/>
  <c r="S112" i="32"/>
  <c r="E227" i="36"/>
  <c r="T112" i="32"/>
  <c r="F227" i="36"/>
  <c r="U112" i="32"/>
  <c r="G227" i="36"/>
  <c r="P113" i="32"/>
  <c r="B228" i="36"/>
  <c r="Q113" i="32"/>
  <c r="C228" i="36"/>
  <c r="R113" i="32"/>
  <c r="D228" i="36"/>
  <c r="S113" i="32"/>
  <c r="E228" i="36"/>
  <c r="T113" i="32"/>
  <c r="F228" i="36"/>
  <c r="U113" i="32"/>
  <c r="G228" i="36"/>
  <c r="P114" i="32"/>
  <c r="B229" i="36"/>
  <c r="Q114" i="32"/>
  <c r="C229" i="36"/>
  <c r="R114" i="32"/>
  <c r="D229" i="36"/>
  <c r="S114" i="32"/>
  <c r="E229" i="36"/>
  <c r="T114" i="32"/>
  <c r="F229" i="36"/>
  <c r="U114" i="32"/>
  <c r="G229" i="36"/>
  <c r="P115" i="32"/>
  <c r="B230" i="36"/>
  <c r="Q115" i="32"/>
  <c r="C230" i="36"/>
  <c r="R115" i="32"/>
  <c r="D230" i="36"/>
  <c r="S115" i="32"/>
  <c r="E230" i="36"/>
  <c r="T115" i="32"/>
  <c r="F230" i="36"/>
  <c r="U115" i="32"/>
  <c r="G230" i="36"/>
  <c r="P116" i="32"/>
  <c r="B231" i="36"/>
  <c r="Q116" i="32"/>
  <c r="C231" i="36"/>
  <c r="R116" i="32"/>
  <c r="D231" i="36"/>
  <c r="S116" i="32"/>
  <c r="E231" i="36"/>
  <c r="T116" i="32"/>
  <c r="F231" i="36"/>
  <c r="U116" i="32"/>
  <c r="G231" i="36"/>
  <c r="P117" i="32"/>
  <c r="B232" i="36"/>
  <c r="Q117" i="32"/>
  <c r="C232" i="36"/>
  <c r="R117" i="32"/>
  <c r="D232" i="36"/>
  <c r="S117" i="32"/>
  <c r="E232" i="36"/>
  <c r="T117" i="32"/>
  <c r="F232" i="36"/>
  <c r="U117" i="32"/>
  <c r="G232" i="36"/>
  <c r="P118" i="32"/>
  <c r="B233" i="36"/>
  <c r="Q118" i="32"/>
  <c r="C233" i="36"/>
  <c r="R118" i="32"/>
  <c r="D233" i="36"/>
  <c r="S118" i="32"/>
  <c r="E233" i="36"/>
  <c r="T118" i="32"/>
  <c r="F233" i="36"/>
  <c r="U118" i="32"/>
  <c r="G233" i="36"/>
  <c r="P119" i="32"/>
  <c r="B234" i="36"/>
  <c r="Q119" i="32"/>
  <c r="C234" i="36"/>
  <c r="R119" i="32"/>
  <c r="D234" i="36"/>
  <c r="S119" i="32"/>
  <c r="E234" i="36"/>
  <c r="T119" i="32"/>
  <c r="F234" i="36"/>
  <c r="U119" i="32"/>
  <c r="G234" i="36"/>
  <c r="P120" i="32"/>
  <c r="B235" i="36"/>
  <c r="Q120" i="32"/>
  <c r="C235" i="36"/>
  <c r="R120" i="32"/>
  <c r="D235" i="36"/>
  <c r="S120" i="32"/>
  <c r="E235" i="36"/>
  <c r="T120" i="32"/>
  <c r="F235" i="36"/>
  <c r="U120" i="32"/>
  <c r="G235" i="36"/>
  <c r="P121" i="32"/>
  <c r="B236" i="36"/>
  <c r="Q121" i="32"/>
  <c r="C236" i="36"/>
  <c r="R121" i="32"/>
  <c r="D236" i="36"/>
  <c r="S121" i="32"/>
  <c r="E236" i="36"/>
  <c r="T121" i="32"/>
  <c r="F236" i="36"/>
  <c r="U121" i="32"/>
  <c r="G236" i="36"/>
  <c r="P122" i="32"/>
  <c r="B237" i="36"/>
  <c r="Q122" i="32"/>
  <c r="C237" i="36"/>
  <c r="R122" i="32"/>
  <c r="D237" i="36"/>
  <c r="S122" i="32"/>
  <c r="E237" i="36"/>
  <c r="T122" i="32"/>
  <c r="F237" i="36"/>
  <c r="U122" i="32"/>
  <c r="G237" i="36"/>
  <c r="P123" i="32"/>
  <c r="B238" i="36"/>
  <c r="Q123" i="32"/>
  <c r="C238" i="36"/>
  <c r="R123" i="32"/>
  <c r="D238" i="36"/>
  <c r="S123" i="32"/>
  <c r="E238" i="36"/>
  <c r="T123" i="32"/>
  <c r="F238" i="36"/>
  <c r="U123" i="32"/>
  <c r="G238" i="36"/>
  <c r="B142" i="37"/>
  <c r="C142" i="37"/>
  <c r="D142" i="37"/>
  <c r="E142" i="37"/>
  <c r="F142" i="37"/>
  <c r="G142" i="37"/>
  <c r="V28" i="32"/>
  <c r="B143" i="37"/>
  <c r="W28" i="32"/>
  <c r="C143" i="37"/>
  <c r="X28" i="32"/>
  <c r="D143" i="37"/>
  <c r="Y28" i="32"/>
  <c r="E143" i="37"/>
  <c r="Z28" i="32"/>
  <c r="F143" i="37"/>
  <c r="AA28" i="32"/>
  <c r="G143" i="37"/>
  <c r="V29" i="32"/>
  <c r="B144" i="37"/>
  <c r="W29" i="32"/>
  <c r="C144" i="37"/>
  <c r="X29" i="32"/>
  <c r="D144" i="37"/>
  <c r="Y29" i="32"/>
  <c r="E144" i="37"/>
  <c r="Z29" i="32"/>
  <c r="F144" i="37"/>
  <c r="AA29" i="32"/>
  <c r="G144" i="37"/>
  <c r="V30" i="32"/>
  <c r="B145" i="37"/>
  <c r="W30" i="32"/>
  <c r="C145" i="37"/>
  <c r="X30" i="32"/>
  <c r="D145" i="37"/>
  <c r="Y30" i="32"/>
  <c r="E145" i="37"/>
  <c r="Z30" i="32"/>
  <c r="F145" i="37"/>
  <c r="AA30" i="32"/>
  <c r="G145" i="37"/>
  <c r="B146" i="37"/>
  <c r="C146" i="37"/>
  <c r="D146" i="37"/>
  <c r="E146" i="37"/>
  <c r="F146" i="37"/>
  <c r="G146" i="37"/>
  <c r="V32" i="32"/>
  <c r="B147" i="37"/>
  <c r="W32" i="32"/>
  <c r="C147" i="37"/>
  <c r="X32" i="32"/>
  <c r="D147" i="37"/>
  <c r="Y32" i="32"/>
  <c r="E147" i="37"/>
  <c r="Z32" i="32"/>
  <c r="F147" i="37"/>
  <c r="AA32" i="32"/>
  <c r="G147" i="37"/>
  <c r="V33" i="32"/>
  <c r="B148" i="37"/>
  <c r="W33" i="32"/>
  <c r="C148" i="37"/>
  <c r="X33" i="32"/>
  <c r="D148" i="37"/>
  <c r="Y33" i="32"/>
  <c r="E148" i="37"/>
  <c r="Z33" i="32"/>
  <c r="F148" i="37"/>
  <c r="AA33" i="32"/>
  <c r="G148" i="37"/>
  <c r="V34" i="32"/>
  <c r="B149" i="37"/>
  <c r="W34" i="32"/>
  <c r="C149" i="37"/>
  <c r="X34" i="32"/>
  <c r="D149" i="37"/>
  <c r="Y34" i="32"/>
  <c r="E149" i="37"/>
  <c r="Z34" i="32"/>
  <c r="F149" i="37"/>
  <c r="AA34" i="32"/>
  <c r="G149" i="37"/>
  <c r="B150" i="37"/>
  <c r="C150" i="37"/>
  <c r="D150" i="37"/>
  <c r="E150" i="37"/>
  <c r="F150" i="37"/>
  <c r="G150" i="37"/>
  <c r="V36" i="32"/>
  <c r="B151" i="37"/>
  <c r="W36" i="32"/>
  <c r="X36" i="32"/>
  <c r="D151" i="37" s="1"/>
  <c r="Y36" i="32"/>
  <c r="E151" i="37" s="1"/>
  <c r="Z36" i="32"/>
  <c r="F151" i="37"/>
  <c r="AA36" i="32"/>
  <c r="G151" i="37" s="1"/>
  <c r="V37" i="32"/>
  <c r="B152" i="37" s="1"/>
  <c r="W37" i="32"/>
  <c r="C152" i="37" s="1"/>
  <c r="X37" i="32"/>
  <c r="D152" i="37"/>
  <c r="Y37" i="32"/>
  <c r="E152" i="37" s="1"/>
  <c r="Z37" i="32"/>
  <c r="F152" i="37" s="1"/>
  <c r="AA37" i="32"/>
  <c r="G152" i="37" s="1"/>
  <c r="V38" i="32"/>
  <c r="B153" i="37"/>
  <c r="W38" i="32"/>
  <c r="C153" i="37" s="1"/>
  <c r="X38" i="32"/>
  <c r="D153" i="37" s="1"/>
  <c r="Y38" i="32"/>
  <c r="E153" i="37" s="1"/>
  <c r="Z38" i="32"/>
  <c r="F153" i="37"/>
  <c r="AA38" i="32"/>
  <c r="G153" i="37" s="1"/>
  <c r="B154" i="37"/>
  <c r="C154" i="37"/>
  <c r="D154" i="37"/>
  <c r="E154" i="37"/>
  <c r="F154" i="37"/>
  <c r="G154" i="37"/>
  <c r="V40" i="32"/>
  <c r="W40" i="32"/>
  <c r="C155" i="37"/>
  <c r="X40" i="32"/>
  <c r="D155" i="37" s="1"/>
  <c r="Y40" i="32"/>
  <c r="Z40" i="32"/>
  <c r="F155" i="37" s="1"/>
  <c r="AA40" i="32"/>
  <c r="G155" i="37"/>
  <c r="V41" i="32"/>
  <c r="W41" i="32"/>
  <c r="C156" i="37" s="1"/>
  <c r="X41" i="32"/>
  <c r="D156" i="37" s="1"/>
  <c r="Y41" i="32"/>
  <c r="E156" i="37"/>
  <c r="Z41" i="32"/>
  <c r="F156" i="37" s="1"/>
  <c r="AA41" i="32"/>
  <c r="G156" i="37" s="1"/>
  <c r="V42" i="32"/>
  <c r="W42" i="32"/>
  <c r="C157" i="37"/>
  <c r="X42" i="32"/>
  <c r="D157" i="37" s="1"/>
  <c r="Y42" i="32"/>
  <c r="E157" i="37" s="1"/>
  <c r="Z42" i="32"/>
  <c r="F157" i="37" s="1"/>
  <c r="AA42" i="32"/>
  <c r="G157" i="37"/>
  <c r="B158" i="37"/>
  <c r="C158" i="37"/>
  <c r="D158" i="37"/>
  <c r="E158" i="37"/>
  <c r="F158" i="37"/>
  <c r="G158" i="37"/>
  <c r="V44" i="32"/>
  <c r="B159" i="37"/>
  <c r="W44" i="32"/>
  <c r="X44" i="32"/>
  <c r="D159" i="37" s="1"/>
  <c r="Y44" i="32"/>
  <c r="Z44" i="32"/>
  <c r="F159" i="37"/>
  <c r="AA44" i="32"/>
  <c r="G159" i="37" s="1"/>
  <c r="V45" i="32"/>
  <c r="B160" i="37" s="1"/>
  <c r="W45" i="32"/>
  <c r="X45" i="32"/>
  <c r="D160" i="37"/>
  <c r="Y45" i="32"/>
  <c r="Z45" i="32"/>
  <c r="F160" i="37" s="1"/>
  <c r="AA45" i="32"/>
  <c r="G160" i="37" s="1"/>
  <c r="V46" i="32"/>
  <c r="B161" i="37"/>
  <c r="W46" i="32"/>
  <c r="X46" i="32"/>
  <c r="D161" i="37" s="1"/>
  <c r="Y46" i="32"/>
  <c r="Z46" i="32"/>
  <c r="F161" i="37"/>
  <c r="AA46" i="32"/>
  <c r="G161" i="37" s="1"/>
  <c r="V47" i="32"/>
  <c r="B162" i="37" s="1"/>
  <c r="W47" i="32"/>
  <c r="C162" i="37" s="1"/>
  <c r="X47" i="32"/>
  <c r="D162" i="37"/>
  <c r="Y47" i="32"/>
  <c r="E162" i="37" s="1"/>
  <c r="Z47" i="32"/>
  <c r="F162" i="37" s="1"/>
  <c r="AA47" i="32"/>
  <c r="G162" i="37" s="1"/>
  <c r="V48" i="32"/>
  <c r="B163" i="37"/>
  <c r="W48" i="32"/>
  <c r="C163" i="37" s="1"/>
  <c r="X48" i="32"/>
  <c r="D163" i="37" s="1"/>
  <c r="Y48" i="32"/>
  <c r="E163" i="37" s="1"/>
  <c r="Z48" i="32"/>
  <c r="F163" i="37"/>
  <c r="AA48" i="32"/>
  <c r="G163" i="37" s="1"/>
  <c r="V49" i="32"/>
  <c r="B164" i="37" s="1"/>
  <c r="W49" i="32"/>
  <c r="C164" i="37" s="1"/>
  <c r="X49" i="32"/>
  <c r="D164" i="37"/>
  <c r="Y49" i="32"/>
  <c r="E164" i="37" s="1"/>
  <c r="Z49" i="32"/>
  <c r="F164" i="37" s="1"/>
  <c r="AA49" i="32"/>
  <c r="G164" i="37" s="1"/>
  <c r="V50" i="32"/>
  <c r="B165" i="37"/>
  <c r="W50" i="32"/>
  <c r="C165" i="37" s="1"/>
  <c r="X50" i="32"/>
  <c r="D165" i="37" s="1"/>
  <c r="Y50" i="32"/>
  <c r="E165" i="37" s="1"/>
  <c r="Z50" i="32"/>
  <c r="F165" i="37"/>
  <c r="AA50" i="32"/>
  <c r="G165" i="37" s="1"/>
  <c r="V51" i="32"/>
  <c r="B166" i="37" s="1"/>
  <c r="W51" i="32"/>
  <c r="C166" i="37" s="1"/>
  <c r="X51" i="32"/>
  <c r="D166" i="37"/>
  <c r="Y51" i="32"/>
  <c r="E166" i="37" s="1"/>
  <c r="Z51" i="32"/>
  <c r="F166" i="37" s="1"/>
  <c r="AA51" i="32"/>
  <c r="G166" i="37" s="1"/>
  <c r="V52" i="32"/>
  <c r="B167" i="37"/>
  <c r="W52" i="32"/>
  <c r="C167" i="37" s="1"/>
  <c r="X52" i="32"/>
  <c r="D167" i="37" s="1"/>
  <c r="Y52" i="32"/>
  <c r="E167" i="37" s="1"/>
  <c r="Z52" i="32"/>
  <c r="F167" i="37"/>
  <c r="AA52" i="32"/>
  <c r="G167" i="37" s="1"/>
  <c r="V53" i="32"/>
  <c r="B168" i="37" s="1"/>
  <c r="W53" i="32"/>
  <c r="C168" i="37" s="1"/>
  <c r="X53" i="32"/>
  <c r="D168" i="37"/>
  <c r="Y53" i="32"/>
  <c r="E168" i="37" s="1"/>
  <c r="Z53" i="32"/>
  <c r="F168" i="37" s="1"/>
  <c r="AA53" i="32"/>
  <c r="G168" i="37" s="1"/>
  <c r="V54" i="32"/>
  <c r="B169" i="37"/>
  <c r="W54" i="32"/>
  <c r="C169" i="37" s="1"/>
  <c r="X54" i="32"/>
  <c r="D169" i="37" s="1"/>
  <c r="Y54" i="32"/>
  <c r="E169" i="37" s="1"/>
  <c r="Z54" i="32"/>
  <c r="F169" i="37"/>
  <c r="AA54" i="32"/>
  <c r="G169" i="37" s="1"/>
  <c r="V55" i="32"/>
  <c r="B170" i="37" s="1"/>
  <c r="W55" i="32"/>
  <c r="C170" i="37" s="1"/>
  <c r="X55" i="32"/>
  <c r="D170" i="37"/>
  <c r="Y55" i="32"/>
  <c r="E170" i="37" s="1"/>
  <c r="Z55" i="32"/>
  <c r="F170" i="37" s="1"/>
  <c r="AA55" i="32"/>
  <c r="G170" i="37" s="1"/>
  <c r="V56" i="32"/>
  <c r="B171" i="37"/>
  <c r="W56" i="32"/>
  <c r="C171" i="37" s="1"/>
  <c r="X56" i="32"/>
  <c r="D171" i="37" s="1"/>
  <c r="Y56" i="32"/>
  <c r="E171" i="37" s="1"/>
  <c r="Z56" i="32"/>
  <c r="F171" i="37"/>
  <c r="AA56" i="32"/>
  <c r="G171" i="37" s="1"/>
  <c r="V57" i="32"/>
  <c r="B172" i="37" s="1"/>
  <c r="W57" i="32"/>
  <c r="C172" i="37" s="1"/>
  <c r="X57" i="32"/>
  <c r="D172" i="37"/>
  <c r="Y57" i="32"/>
  <c r="E172" i="37" s="1"/>
  <c r="Z57" i="32"/>
  <c r="F172" i="37" s="1"/>
  <c r="AA57" i="32"/>
  <c r="G172" i="37" s="1"/>
  <c r="V58" i="32"/>
  <c r="B173" i="37"/>
  <c r="W58" i="32"/>
  <c r="C173" i="37" s="1"/>
  <c r="X58" i="32"/>
  <c r="D173" i="37" s="1"/>
  <c r="Y58" i="32"/>
  <c r="E173" i="37" s="1"/>
  <c r="Z58" i="32"/>
  <c r="F173" i="37"/>
  <c r="AA58" i="32"/>
  <c r="G173" i="37" s="1"/>
  <c r="V59" i="32"/>
  <c r="B174" i="37" s="1"/>
  <c r="W59" i="32"/>
  <c r="C174" i="37" s="1"/>
  <c r="X59" i="32"/>
  <c r="D174" i="37"/>
  <c r="Y59" i="32"/>
  <c r="E174" i="37" s="1"/>
  <c r="Z59" i="32"/>
  <c r="F174" i="37" s="1"/>
  <c r="AA59" i="32"/>
  <c r="G174" i="37" s="1"/>
  <c r="V60" i="32"/>
  <c r="B175" i="37"/>
  <c r="W60" i="32"/>
  <c r="C175" i="37" s="1"/>
  <c r="X60" i="32"/>
  <c r="D175" i="37" s="1"/>
  <c r="Y60" i="32"/>
  <c r="E175" i="37" s="1"/>
  <c r="Z60" i="32"/>
  <c r="F175" i="37"/>
  <c r="AA60" i="32"/>
  <c r="G175" i="37" s="1"/>
  <c r="V61" i="32"/>
  <c r="B176" i="37" s="1"/>
  <c r="W61" i="32"/>
  <c r="C176" i="37" s="1"/>
  <c r="X61" i="32"/>
  <c r="D176" i="37"/>
  <c r="Y61" i="32"/>
  <c r="E176" i="37" s="1"/>
  <c r="Z61" i="32"/>
  <c r="F176" i="37" s="1"/>
  <c r="AA61" i="32"/>
  <c r="G176" i="37" s="1"/>
  <c r="V62" i="32"/>
  <c r="B177" i="37"/>
  <c r="W62" i="32"/>
  <c r="C177" i="37" s="1"/>
  <c r="X62" i="32"/>
  <c r="D177" i="37" s="1"/>
  <c r="Y62" i="32"/>
  <c r="E177" i="37" s="1"/>
  <c r="Z62" i="32"/>
  <c r="F177" i="37"/>
  <c r="AA62" i="32"/>
  <c r="G177" i="37" s="1"/>
  <c r="V63" i="32"/>
  <c r="B178" i="37" s="1"/>
  <c r="W63" i="32"/>
  <c r="C178" i="37" s="1"/>
  <c r="X63" i="32"/>
  <c r="D178" i="37"/>
  <c r="Y63" i="32"/>
  <c r="E178" i="37" s="1"/>
  <c r="Z63" i="32"/>
  <c r="F178" i="37" s="1"/>
  <c r="AA63" i="32"/>
  <c r="G178" i="37" s="1"/>
  <c r="V64" i="32"/>
  <c r="B179" i="37"/>
  <c r="W64" i="32"/>
  <c r="X64" i="32"/>
  <c r="D179" i="37" s="1"/>
  <c r="Y64" i="32"/>
  <c r="Z64" i="32"/>
  <c r="F179" i="37"/>
  <c r="AA64" i="32"/>
  <c r="G179" i="37" s="1"/>
  <c r="V65" i="32"/>
  <c r="B180" i="37" s="1"/>
  <c r="W65" i="32"/>
  <c r="X65" i="32"/>
  <c r="D180" i="37"/>
  <c r="Y65" i="32"/>
  <c r="Z65" i="32"/>
  <c r="F180" i="37" s="1"/>
  <c r="AA65" i="32"/>
  <c r="G180" i="37" s="1"/>
  <c r="V66" i="32"/>
  <c r="W66" i="32"/>
  <c r="X66" i="32"/>
  <c r="Y66" i="32"/>
  <c r="Z66" i="32"/>
  <c r="F181" i="37" s="1"/>
  <c r="AA66" i="32"/>
  <c r="G181" i="37" s="1"/>
  <c r="V67" i="32"/>
  <c r="B182" i="37" s="1"/>
  <c r="W67" i="32"/>
  <c r="C182" i="37" s="1"/>
  <c r="X67" i="32"/>
  <c r="D182" i="37" s="1"/>
  <c r="Y67" i="32"/>
  <c r="E182" i="37" s="1"/>
  <c r="Z67" i="32"/>
  <c r="F182" i="37" s="1"/>
  <c r="AA67" i="32"/>
  <c r="G182" i="37" s="1"/>
  <c r="V68" i="32"/>
  <c r="B183" i="37" s="1"/>
  <c r="W68" i="32"/>
  <c r="X68" i="32"/>
  <c r="D183" i="37" s="1"/>
  <c r="Y68" i="32"/>
  <c r="Z68" i="32"/>
  <c r="AA68" i="32"/>
  <c r="V69" i="32"/>
  <c r="W69" i="32"/>
  <c r="X69" i="32"/>
  <c r="D184" i="37" s="1"/>
  <c r="Y69" i="32"/>
  <c r="Z69" i="32"/>
  <c r="F184" i="37" s="1"/>
  <c r="AA69" i="32"/>
  <c r="V70" i="32"/>
  <c r="W70" i="32"/>
  <c r="X70" i="32"/>
  <c r="Y70" i="32"/>
  <c r="Z70" i="32"/>
  <c r="F185" i="37" s="1"/>
  <c r="AA70" i="32"/>
  <c r="V71" i="32"/>
  <c r="B186" i="37" s="1"/>
  <c r="W71" i="32"/>
  <c r="C186" i="37" s="1"/>
  <c r="X71" i="32"/>
  <c r="D186" i="37" s="1"/>
  <c r="Y71" i="32"/>
  <c r="E186" i="37" s="1"/>
  <c r="Z71" i="32"/>
  <c r="F186" i="37" s="1"/>
  <c r="AA71" i="32"/>
  <c r="G186" i="37" s="1"/>
  <c r="V72" i="32"/>
  <c r="B187" i="37" s="1"/>
  <c r="W72" i="32"/>
  <c r="X72" i="32"/>
  <c r="D187" i="37" s="1"/>
  <c r="Y72" i="32"/>
  <c r="Z72" i="32"/>
  <c r="AA72" i="32"/>
  <c r="V73" i="32"/>
  <c r="B188" i="37" s="1"/>
  <c r="W73" i="32"/>
  <c r="C188" i="37" s="1"/>
  <c r="X73" i="32"/>
  <c r="D188" i="37" s="1"/>
  <c r="Y73" i="32"/>
  <c r="E188" i="37" s="1"/>
  <c r="Z73" i="32"/>
  <c r="F188" i="37" s="1"/>
  <c r="AA73" i="32"/>
  <c r="G188" i="37" s="1"/>
  <c r="V74" i="32"/>
  <c r="B189" i="37" s="1"/>
  <c r="W74" i="32"/>
  <c r="C189" i="37" s="1"/>
  <c r="X74" i="32"/>
  <c r="D189" i="37" s="1"/>
  <c r="Y74" i="32"/>
  <c r="E189" i="37" s="1"/>
  <c r="Z74" i="32"/>
  <c r="F189" i="37" s="1"/>
  <c r="AA74" i="32"/>
  <c r="G189" i="37" s="1"/>
  <c r="V75" i="32"/>
  <c r="B190" i="37" s="1"/>
  <c r="W75" i="32"/>
  <c r="X75" i="32"/>
  <c r="D190" i="37" s="1"/>
  <c r="Y75" i="32"/>
  <c r="Z75" i="32"/>
  <c r="F190" i="37" s="1"/>
  <c r="AA75" i="32"/>
  <c r="V76" i="32"/>
  <c r="B191" i="37" s="1"/>
  <c r="W76" i="32"/>
  <c r="X76" i="32"/>
  <c r="D191" i="37" s="1"/>
  <c r="Y76" i="32"/>
  <c r="Z76" i="32"/>
  <c r="F191" i="37" s="1"/>
  <c r="AA76" i="32"/>
  <c r="V77" i="32"/>
  <c r="B192" i="37" s="1"/>
  <c r="W77" i="32"/>
  <c r="C192" i="37" s="1"/>
  <c r="X77" i="32"/>
  <c r="D192" i="37" s="1"/>
  <c r="Y77" i="32"/>
  <c r="E192" i="37" s="1"/>
  <c r="Z77" i="32"/>
  <c r="F192" i="37" s="1"/>
  <c r="AA77" i="32"/>
  <c r="G192" i="37" s="1"/>
  <c r="V78" i="32"/>
  <c r="B193" i="37" s="1"/>
  <c r="W78" i="32"/>
  <c r="C193" i="37" s="1"/>
  <c r="X78" i="32"/>
  <c r="D193" i="37" s="1"/>
  <c r="Y78" i="32"/>
  <c r="Z78" i="32"/>
  <c r="F193" i="37" s="1"/>
  <c r="AA78" i="32"/>
  <c r="G193" i="37" s="1"/>
  <c r="V79" i="32"/>
  <c r="B194" i="37" s="1"/>
  <c r="W79" i="32"/>
  <c r="C194" i="37" s="1"/>
  <c r="X79" i="32"/>
  <c r="D194" i="37" s="1"/>
  <c r="Y79" i="32"/>
  <c r="E194" i="37" s="1"/>
  <c r="Z79" i="32"/>
  <c r="F194" i="37" s="1"/>
  <c r="AA79" i="32"/>
  <c r="G194" i="37" s="1"/>
  <c r="V80" i="32"/>
  <c r="B195" i="37" s="1"/>
  <c r="W80" i="32"/>
  <c r="C195" i="37" s="1"/>
  <c r="X80" i="32"/>
  <c r="D195" i="37" s="1"/>
  <c r="Y80" i="32"/>
  <c r="E195" i="37" s="1"/>
  <c r="Z80" i="32"/>
  <c r="F195" i="37" s="1"/>
  <c r="AA80" i="32"/>
  <c r="G195" i="37" s="1"/>
  <c r="V81" i="32"/>
  <c r="B196" i="37" s="1"/>
  <c r="W81" i="32"/>
  <c r="C196" i="37" s="1"/>
  <c r="X81" i="32"/>
  <c r="D196" i="37" s="1"/>
  <c r="Y81" i="32"/>
  <c r="E196" i="37" s="1"/>
  <c r="Z81" i="32"/>
  <c r="F196" i="37" s="1"/>
  <c r="AA81" i="32"/>
  <c r="G196" i="37" s="1"/>
  <c r="V82" i="32"/>
  <c r="B197" i="37" s="1"/>
  <c r="W82" i="32"/>
  <c r="C197" i="37" s="1"/>
  <c r="X82" i="32"/>
  <c r="D197" i="37" s="1"/>
  <c r="Y82" i="32"/>
  <c r="Z82" i="32"/>
  <c r="F197" i="37" s="1"/>
  <c r="AA82" i="32"/>
  <c r="G197" i="37" s="1"/>
  <c r="V83" i="32"/>
  <c r="B198" i="37" s="1"/>
  <c r="W83" i="32"/>
  <c r="C198" i="37" s="1"/>
  <c r="X83" i="32"/>
  <c r="D198" i="37" s="1"/>
  <c r="Y83" i="32"/>
  <c r="E198" i="37" s="1"/>
  <c r="Z83" i="32"/>
  <c r="F198" i="37" s="1"/>
  <c r="AA83" i="32"/>
  <c r="G198" i="37" s="1"/>
  <c r="V84" i="32"/>
  <c r="B199" i="37" s="1"/>
  <c r="W84" i="32"/>
  <c r="C199" i="37" s="1"/>
  <c r="X84" i="32"/>
  <c r="D199" i="37" s="1"/>
  <c r="Y84" i="32"/>
  <c r="E199" i="37" s="1"/>
  <c r="Z84" i="32"/>
  <c r="F199" i="37" s="1"/>
  <c r="AA84" i="32"/>
  <c r="G199" i="37" s="1"/>
  <c r="V85" i="32"/>
  <c r="B200" i="37" s="1"/>
  <c r="W85" i="32"/>
  <c r="C200" i="37" s="1"/>
  <c r="X85" i="32"/>
  <c r="D200" i="37" s="1"/>
  <c r="Y85" i="32"/>
  <c r="E200" i="37" s="1"/>
  <c r="Z85" i="32"/>
  <c r="F200" i="37" s="1"/>
  <c r="AA85" i="32"/>
  <c r="G200" i="37" s="1"/>
  <c r="V86" i="32"/>
  <c r="B201" i="37" s="1"/>
  <c r="W86" i="32"/>
  <c r="C201" i="37" s="1"/>
  <c r="X86" i="32"/>
  <c r="D201" i="37" s="1"/>
  <c r="Y86" i="32"/>
  <c r="Z86" i="32"/>
  <c r="F201" i="37" s="1"/>
  <c r="AA86" i="32"/>
  <c r="G201" i="37" s="1"/>
  <c r="V87" i="32"/>
  <c r="B202" i="37" s="1"/>
  <c r="W87" i="32"/>
  <c r="C202" i="37" s="1"/>
  <c r="X87" i="32"/>
  <c r="D202" i="37" s="1"/>
  <c r="Y87" i="32"/>
  <c r="E202" i="37" s="1"/>
  <c r="Z87" i="32"/>
  <c r="F202" i="37" s="1"/>
  <c r="AA87" i="32"/>
  <c r="G202" i="37" s="1"/>
  <c r="V88" i="32"/>
  <c r="B203" i="37" s="1"/>
  <c r="W88" i="32"/>
  <c r="C203" i="37" s="1"/>
  <c r="X88" i="32"/>
  <c r="D203" i="37" s="1"/>
  <c r="Y88" i="32"/>
  <c r="E203" i="37" s="1"/>
  <c r="Z88" i="32"/>
  <c r="F203" i="37" s="1"/>
  <c r="AA88" i="32"/>
  <c r="G203" i="37" s="1"/>
  <c r="V89" i="32"/>
  <c r="B204" i="37" s="1"/>
  <c r="W89" i="32"/>
  <c r="C204" i="37" s="1"/>
  <c r="X89" i="32"/>
  <c r="D204" i="37" s="1"/>
  <c r="Y89" i="32"/>
  <c r="E204" i="37" s="1"/>
  <c r="Z89" i="32"/>
  <c r="F204" i="37" s="1"/>
  <c r="AA89" i="32"/>
  <c r="G204" i="37" s="1"/>
  <c r="V90" i="32"/>
  <c r="B205" i="37" s="1"/>
  <c r="W90" i="32"/>
  <c r="C205" i="37" s="1"/>
  <c r="X90" i="32"/>
  <c r="D205" i="37" s="1"/>
  <c r="Y90" i="32"/>
  <c r="Z90" i="32"/>
  <c r="F205" i="37" s="1"/>
  <c r="AA90" i="32"/>
  <c r="G205" i="37" s="1"/>
  <c r="V91" i="32"/>
  <c r="B206" i="37" s="1"/>
  <c r="W91" i="32"/>
  <c r="C206" i="37" s="1"/>
  <c r="X91" i="32"/>
  <c r="D206" i="37" s="1"/>
  <c r="Y91" i="32"/>
  <c r="E206" i="37" s="1"/>
  <c r="Z91" i="32"/>
  <c r="F206" i="37" s="1"/>
  <c r="AA91" i="32"/>
  <c r="G206" i="37" s="1"/>
  <c r="V92" i="32"/>
  <c r="B207" i="37" s="1"/>
  <c r="W92" i="32"/>
  <c r="C207" i="37" s="1"/>
  <c r="X92" i="32"/>
  <c r="D207" i="37" s="1"/>
  <c r="Y92" i="32"/>
  <c r="E207" i="37" s="1"/>
  <c r="Z92" i="32"/>
  <c r="F207" i="37" s="1"/>
  <c r="AA92" i="32"/>
  <c r="G207" i="37" s="1"/>
  <c r="V93" i="32"/>
  <c r="B208" i="37" s="1"/>
  <c r="W93" i="32"/>
  <c r="C208" i="37" s="1"/>
  <c r="X93" i="32"/>
  <c r="D208" i="37" s="1"/>
  <c r="Y93" i="32"/>
  <c r="E208" i="37" s="1"/>
  <c r="Z93" i="32"/>
  <c r="F208" i="37" s="1"/>
  <c r="AA93" i="32"/>
  <c r="G208" i="37" s="1"/>
  <c r="V94" i="32"/>
  <c r="B209" i="37" s="1"/>
  <c r="W94" i="32"/>
  <c r="X94" i="32"/>
  <c r="D209" i="37" s="1"/>
  <c r="Y94" i="32"/>
  <c r="Z94" i="32"/>
  <c r="F209" i="37" s="1"/>
  <c r="AA94" i="32"/>
  <c r="G209" i="37" s="1"/>
  <c r="V95" i="32"/>
  <c r="B210" i="37" s="1"/>
  <c r="W95" i="32"/>
  <c r="C210" i="37" s="1"/>
  <c r="X95" i="32"/>
  <c r="D210" i="37" s="1"/>
  <c r="Y95" i="32"/>
  <c r="E210" i="37" s="1"/>
  <c r="Z95" i="32"/>
  <c r="F210" i="37" s="1"/>
  <c r="AA95" i="32"/>
  <c r="G210" i="37" s="1"/>
  <c r="V96" i="32"/>
  <c r="B211" i="37" s="1"/>
  <c r="W96" i="32"/>
  <c r="C211" i="37" s="1"/>
  <c r="X96" i="32"/>
  <c r="D211" i="37" s="1"/>
  <c r="Y96" i="32"/>
  <c r="E211" i="37" s="1"/>
  <c r="Z96" i="32"/>
  <c r="F211" i="37" s="1"/>
  <c r="AA96" i="32"/>
  <c r="G211" i="37" s="1"/>
  <c r="V97" i="32"/>
  <c r="B212" i="37" s="1"/>
  <c r="W97" i="32"/>
  <c r="C212" i="37" s="1"/>
  <c r="X97" i="32"/>
  <c r="D212" i="37" s="1"/>
  <c r="Y97" i="32"/>
  <c r="E212" i="37" s="1"/>
  <c r="Z97" i="32"/>
  <c r="F212" i="37" s="1"/>
  <c r="AA97" i="32"/>
  <c r="G212" i="37" s="1"/>
  <c r="V98" i="32"/>
  <c r="B213" i="37" s="1"/>
  <c r="W98" i="32"/>
  <c r="C213" i="37" s="1"/>
  <c r="X98" i="32"/>
  <c r="D213" i="37" s="1"/>
  <c r="Y98" i="32"/>
  <c r="Z98" i="32"/>
  <c r="F213" i="37" s="1"/>
  <c r="AA98" i="32"/>
  <c r="G213" i="37" s="1"/>
  <c r="V99" i="32"/>
  <c r="B214" i="37" s="1"/>
  <c r="W99" i="32"/>
  <c r="C214" i="37" s="1"/>
  <c r="X99" i="32"/>
  <c r="D214" i="37" s="1"/>
  <c r="Y99" i="32"/>
  <c r="E214" i="37" s="1"/>
  <c r="Z99" i="32"/>
  <c r="F214" i="37" s="1"/>
  <c r="AA99" i="32"/>
  <c r="G214" i="37" s="1"/>
  <c r="V100" i="32"/>
  <c r="B215" i="37" s="1"/>
  <c r="W100" i="32"/>
  <c r="C215" i="37" s="1"/>
  <c r="X100" i="32"/>
  <c r="D215" i="37" s="1"/>
  <c r="Y100" i="32"/>
  <c r="E215" i="37" s="1"/>
  <c r="Z100" i="32"/>
  <c r="F215" i="37" s="1"/>
  <c r="AA100" i="32"/>
  <c r="G215" i="37" s="1"/>
  <c r="V101" i="32"/>
  <c r="B216" i="37" s="1"/>
  <c r="W101" i="32"/>
  <c r="C216" i="37" s="1"/>
  <c r="X101" i="32"/>
  <c r="D216" i="37" s="1"/>
  <c r="Y101" i="32"/>
  <c r="E216" i="37" s="1"/>
  <c r="Z101" i="32"/>
  <c r="F216" i="37" s="1"/>
  <c r="AA101" i="32"/>
  <c r="G216" i="37" s="1"/>
  <c r="V102" i="32"/>
  <c r="B217" i="37" s="1"/>
  <c r="W102" i="32"/>
  <c r="C217" i="37" s="1"/>
  <c r="X102" i="32"/>
  <c r="D217" i="37" s="1"/>
  <c r="Y102" i="32"/>
  <c r="E217" i="37" s="1"/>
  <c r="Z102" i="32"/>
  <c r="F217" i="37" s="1"/>
  <c r="AA102" i="32"/>
  <c r="G217" i="37" s="1"/>
  <c r="V103" i="32"/>
  <c r="B218" i="37" s="1"/>
  <c r="W103" i="32"/>
  <c r="C218" i="37" s="1"/>
  <c r="X103" i="32"/>
  <c r="D218" i="37" s="1"/>
  <c r="Y103" i="32"/>
  <c r="E218" i="37" s="1"/>
  <c r="Z103" i="32"/>
  <c r="F218" i="37" s="1"/>
  <c r="AA103" i="32"/>
  <c r="G218" i="37" s="1"/>
  <c r="V104" i="32"/>
  <c r="B219" i="37" s="1"/>
  <c r="W104" i="32"/>
  <c r="C219" i="37" s="1"/>
  <c r="X104" i="32"/>
  <c r="D219" i="37" s="1"/>
  <c r="Y104" i="32"/>
  <c r="E219" i="37" s="1"/>
  <c r="Z104" i="32"/>
  <c r="F219" i="37" s="1"/>
  <c r="AA104" i="32"/>
  <c r="G219" i="37" s="1"/>
  <c r="V105" i="32"/>
  <c r="B220" i="37" s="1"/>
  <c r="W105" i="32"/>
  <c r="C220" i="37" s="1"/>
  <c r="X105" i="32"/>
  <c r="D220" i="37" s="1"/>
  <c r="Y105" i="32"/>
  <c r="Z105" i="32"/>
  <c r="F220" i="37" s="1"/>
  <c r="AA105" i="32"/>
  <c r="V106" i="32"/>
  <c r="B221" i="37" s="1"/>
  <c r="W106" i="32"/>
  <c r="C221" i="37" s="1"/>
  <c r="X106" i="32"/>
  <c r="D221" i="37" s="1"/>
  <c r="Y106" i="32"/>
  <c r="E221" i="37" s="1"/>
  <c r="Z106" i="32"/>
  <c r="F221" i="37" s="1"/>
  <c r="AA106" i="32"/>
  <c r="G221" i="37" s="1"/>
  <c r="V107" i="32"/>
  <c r="B222" i="37" s="1"/>
  <c r="W107" i="32"/>
  <c r="C222" i="37" s="1"/>
  <c r="X107" i="32"/>
  <c r="D222" i="37" s="1"/>
  <c r="Y107" i="32"/>
  <c r="E222" i="37" s="1"/>
  <c r="Z107" i="32"/>
  <c r="F222" i="37" s="1"/>
  <c r="AA107" i="32"/>
  <c r="V108" i="32"/>
  <c r="B223" i="37" s="1"/>
  <c r="W108" i="32"/>
  <c r="C223" i="37" s="1"/>
  <c r="X108" i="32"/>
  <c r="D223" i="37" s="1"/>
  <c r="Y108" i="32"/>
  <c r="E223" i="37" s="1"/>
  <c r="Z108" i="32"/>
  <c r="F223" i="37" s="1"/>
  <c r="AA108" i="32"/>
  <c r="G223" i="37" s="1"/>
  <c r="V109" i="32"/>
  <c r="B224" i="37" s="1"/>
  <c r="W109" i="32"/>
  <c r="X109" i="32"/>
  <c r="D224" i="37" s="1"/>
  <c r="Y109" i="32"/>
  <c r="Z109" i="32"/>
  <c r="F224" i="37" s="1"/>
  <c r="AA109" i="32"/>
  <c r="V110" i="32"/>
  <c r="B225" i="37" s="1"/>
  <c r="W110" i="32"/>
  <c r="C225" i="37" s="1"/>
  <c r="X110" i="32"/>
  <c r="D225" i="37" s="1"/>
  <c r="Y110" i="32"/>
  <c r="E225" i="37" s="1"/>
  <c r="Z110" i="32"/>
  <c r="F225" i="37" s="1"/>
  <c r="AA110" i="32"/>
  <c r="G225" i="37" s="1"/>
  <c r="V111" i="32"/>
  <c r="B226" i="37" s="1"/>
  <c r="W111" i="32"/>
  <c r="C226" i="37" s="1"/>
  <c r="X111" i="32"/>
  <c r="D226" i="37" s="1"/>
  <c r="Y111" i="32"/>
  <c r="E226" i="37" s="1"/>
  <c r="Z111" i="32"/>
  <c r="F226" i="37" s="1"/>
  <c r="AA111" i="32"/>
  <c r="G226" i="37" s="1"/>
  <c r="V112" i="32"/>
  <c r="B227" i="37" s="1"/>
  <c r="W112" i="32"/>
  <c r="C227" i="37" s="1"/>
  <c r="X112" i="32"/>
  <c r="D227" i="37" s="1"/>
  <c r="Y112" i="32"/>
  <c r="E227" i="37" s="1"/>
  <c r="Z112" i="32"/>
  <c r="F227" i="37" s="1"/>
  <c r="AA112" i="32"/>
  <c r="G227" i="37" s="1"/>
  <c r="V113" i="32"/>
  <c r="B228" i="37" s="1"/>
  <c r="W113" i="32"/>
  <c r="C228" i="37" s="1"/>
  <c r="X113" i="32"/>
  <c r="D228" i="37" s="1"/>
  <c r="Y113" i="32"/>
  <c r="Z113" i="32"/>
  <c r="F228" i="37" s="1"/>
  <c r="AA113" i="32"/>
  <c r="V114" i="32"/>
  <c r="B229" i="37" s="1"/>
  <c r="W114" i="32"/>
  <c r="C229" i="37" s="1"/>
  <c r="X114" i="32"/>
  <c r="D229" i="37" s="1"/>
  <c r="Y114" i="32"/>
  <c r="E229" i="37" s="1"/>
  <c r="Z114" i="32"/>
  <c r="F229" i="37" s="1"/>
  <c r="AA114" i="32"/>
  <c r="G229" i="37" s="1"/>
  <c r="V115" i="32"/>
  <c r="B230" i="37" s="1"/>
  <c r="W115" i="32"/>
  <c r="C230" i="37" s="1"/>
  <c r="X115" i="32"/>
  <c r="D230" i="37" s="1"/>
  <c r="Y115" i="32"/>
  <c r="E230" i="37" s="1"/>
  <c r="Z115" i="32"/>
  <c r="F230" i="37" s="1"/>
  <c r="AA115" i="32"/>
  <c r="G230" i="37" s="1"/>
  <c r="V116" i="32"/>
  <c r="B231" i="37" s="1"/>
  <c r="W116" i="32"/>
  <c r="X116" i="32"/>
  <c r="D231" i="37" s="1"/>
  <c r="Y116" i="32"/>
  <c r="Z116" i="32"/>
  <c r="F231" i="37" s="1"/>
  <c r="AA116" i="32"/>
  <c r="V117" i="32"/>
  <c r="B232" i="37" s="1"/>
  <c r="W117" i="32"/>
  <c r="C232" i="37" s="1"/>
  <c r="X117" i="32"/>
  <c r="D232" i="37" s="1"/>
  <c r="Y117" i="32"/>
  <c r="E232" i="37" s="1"/>
  <c r="Z117" i="32"/>
  <c r="F232" i="37" s="1"/>
  <c r="AA117" i="32"/>
  <c r="G232" i="37" s="1"/>
  <c r="V118" i="32"/>
  <c r="B233" i="37" s="1"/>
  <c r="W118" i="32"/>
  <c r="C233" i="37" s="1"/>
  <c r="X118" i="32"/>
  <c r="D233" i="37" s="1"/>
  <c r="Y118" i="32"/>
  <c r="E233" i="37" s="1"/>
  <c r="Z118" i="32"/>
  <c r="F233" i="37" s="1"/>
  <c r="AA118" i="32"/>
  <c r="G233" i="37" s="1"/>
  <c r="V119" i="32"/>
  <c r="B234" i="37" s="1"/>
  <c r="W119" i="32"/>
  <c r="C234" i="37" s="1"/>
  <c r="X119" i="32"/>
  <c r="D234" i="37" s="1"/>
  <c r="Y119" i="32"/>
  <c r="Z119" i="32"/>
  <c r="F234" i="37" s="1"/>
  <c r="AA119" i="32"/>
  <c r="V120" i="32"/>
  <c r="B235" i="37" s="1"/>
  <c r="W120" i="32"/>
  <c r="C235" i="37" s="1"/>
  <c r="X120" i="32"/>
  <c r="D235" i="37" s="1"/>
  <c r="Y120" i="32"/>
  <c r="E235" i="37" s="1"/>
  <c r="Z120" i="32"/>
  <c r="F235" i="37" s="1"/>
  <c r="AA120" i="32"/>
  <c r="G235" i="37" s="1"/>
  <c r="V121" i="32"/>
  <c r="B236" i="37" s="1"/>
  <c r="W121" i="32"/>
  <c r="C236" i="37" s="1"/>
  <c r="X121" i="32"/>
  <c r="D236" i="37" s="1"/>
  <c r="Y121" i="32"/>
  <c r="E236" i="37" s="1"/>
  <c r="Z121" i="32"/>
  <c r="F236" i="37" s="1"/>
  <c r="AA121" i="32"/>
  <c r="G236" i="37" s="1"/>
  <c r="V122" i="32"/>
  <c r="B237" i="37" s="1"/>
  <c r="W122" i="32"/>
  <c r="X122" i="32"/>
  <c r="D237" i="37" s="1"/>
  <c r="Y122" i="32"/>
  <c r="Z122" i="32"/>
  <c r="F237" i="37" s="1"/>
  <c r="AA122" i="32"/>
  <c r="V123" i="32"/>
  <c r="B238" i="37" s="1"/>
  <c r="W123" i="32"/>
  <c r="C238" i="37" s="1"/>
  <c r="X123" i="32"/>
  <c r="D238" i="37" s="1"/>
  <c r="Y123" i="32"/>
  <c r="E238" i="37" s="1"/>
  <c r="Z123" i="32"/>
  <c r="F238" i="37" s="1"/>
  <c r="AA123" i="32"/>
  <c r="G238" i="37" s="1"/>
  <c r="B142" i="38"/>
  <c r="C142" i="38"/>
  <c r="D142" i="38"/>
  <c r="E142" i="38"/>
  <c r="F142" i="38"/>
  <c r="G142" i="38"/>
  <c r="AB28" i="32"/>
  <c r="B143" i="38" s="1"/>
  <c r="AC28" i="32"/>
  <c r="C143" i="38" s="1"/>
  <c r="AD28" i="32"/>
  <c r="D143" i="38" s="1"/>
  <c r="AE28" i="32"/>
  <c r="E143" i="38" s="1"/>
  <c r="AF28" i="32"/>
  <c r="F143" i="38" s="1"/>
  <c r="AG28" i="32"/>
  <c r="G143" i="38" s="1"/>
  <c r="AB29" i="32"/>
  <c r="B144" i="38" s="1"/>
  <c r="AC29" i="32"/>
  <c r="C144" i="38" s="1"/>
  <c r="AD29" i="32"/>
  <c r="D144" i="38" s="1"/>
  <c r="AE29" i="32"/>
  <c r="E144" i="38" s="1"/>
  <c r="AF29" i="32"/>
  <c r="F144" i="38" s="1"/>
  <c r="AG29" i="32"/>
  <c r="G144" i="38" s="1"/>
  <c r="AB30" i="32"/>
  <c r="B145" i="38" s="1"/>
  <c r="AC30" i="32"/>
  <c r="C145" i="38" s="1"/>
  <c r="AD30" i="32"/>
  <c r="D145" i="38" s="1"/>
  <c r="AE30" i="32"/>
  <c r="E145" i="38" s="1"/>
  <c r="AF30" i="32"/>
  <c r="F145" i="38" s="1"/>
  <c r="AG30" i="32"/>
  <c r="G145" i="38" s="1"/>
  <c r="B146" i="38"/>
  <c r="C146" i="38"/>
  <c r="D146" i="38"/>
  <c r="E146" i="38"/>
  <c r="F146" i="38"/>
  <c r="G146" i="38"/>
  <c r="AB32" i="32"/>
  <c r="B147" i="38" s="1"/>
  <c r="AC32" i="32"/>
  <c r="C147" i="38" s="1"/>
  <c r="AD32" i="32"/>
  <c r="D147" i="38" s="1"/>
  <c r="AE32" i="32"/>
  <c r="E147" i="38" s="1"/>
  <c r="AF32" i="32"/>
  <c r="F147" i="38" s="1"/>
  <c r="AG32" i="32"/>
  <c r="G147" i="38" s="1"/>
  <c r="AB33" i="32"/>
  <c r="B148" i="38" s="1"/>
  <c r="AC33" i="32"/>
  <c r="C148" i="38" s="1"/>
  <c r="AD33" i="32"/>
  <c r="D148" i="38" s="1"/>
  <c r="AE33" i="32"/>
  <c r="E148" i="38" s="1"/>
  <c r="AF33" i="32"/>
  <c r="F148" i="38" s="1"/>
  <c r="AG33" i="32"/>
  <c r="G148" i="38" s="1"/>
  <c r="AB34" i="32"/>
  <c r="B149" i="38" s="1"/>
  <c r="AC34" i="32"/>
  <c r="C149" i="38" s="1"/>
  <c r="AD34" i="32"/>
  <c r="D149" i="38" s="1"/>
  <c r="AE34" i="32"/>
  <c r="E149" i="38" s="1"/>
  <c r="AF34" i="32"/>
  <c r="F149" i="38" s="1"/>
  <c r="AG34" i="32"/>
  <c r="G149" i="38" s="1"/>
  <c r="B150" i="38"/>
  <c r="C150" i="38"/>
  <c r="D150" i="38"/>
  <c r="E150" i="38"/>
  <c r="F150" i="38"/>
  <c r="G150" i="38"/>
  <c r="AB36" i="32"/>
  <c r="B151" i="38" s="1"/>
  <c r="AC36" i="32"/>
  <c r="C151" i="38" s="1"/>
  <c r="AD36" i="32"/>
  <c r="D151" i="38" s="1"/>
  <c r="AE36" i="32"/>
  <c r="E151" i="38" s="1"/>
  <c r="AF36" i="32"/>
  <c r="F151" i="38" s="1"/>
  <c r="AG36" i="32"/>
  <c r="G151" i="38" s="1"/>
  <c r="AB37" i="32"/>
  <c r="B152" i="38" s="1"/>
  <c r="AC37" i="32"/>
  <c r="C152" i="38" s="1"/>
  <c r="AD37" i="32"/>
  <c r="D152" i="38" s="1"/>
  <c r="AE37" i="32"/>
  <c r="E152" i="38" s="1"/>
  <c r="AF37" i="32"/>
  <c r="F152" i="38" s="1"/>
  <c r="AG37" i="32"/>
  <c r="G152" i="38" s="1"/>
  <c r="AB38" i="32"/>
  <c r="B153" i="38" s="1"/>
  <c r="AC38" i="32"/>
  <c r="C153" i="38" s="1"/>
  <c r="AD38" i="32"/>
  <c r="D153" i="38" s="1"/>
  <c r="AE38" i="32"/>
  <c r="E153" i="38" s="1"/>
  <c r="AF38" i="32"/>
  <c r="F153" i="38" s="1"/>
  <c r="AG38" i="32"/>
  <c r="G153" i="38" s="1"/>
  <c r="B154" i="38"/>
  <c r="C154" i="38"/>
  <c r="D154" i="38"/>
  <c r="E154" i="38"/>
  <c r="F154" i="38"/>
  <c r="G154" i="38"/>
  <c r="AC40" i="32"/>
  <c r="C155" i="38" s="1"/>
  <c r="AD40" i="32"/>
  <c r="D155" i="38"/>
  <c r="AF40" i="32"/>
  <c r="F155" i="38" s="1"/>
  <c r="AG40" i="32"/>
  <c r="G155" i="38" s="1"/>
  <c r="AC41" i="32"/>
  <c r="C156" i="38"/>
  <c r="AD41" i="32"/>
  <c r="D156" i="38"/>
  <c r="AE41" i="32"/>
  <c r="E156" i="38"/>
  <c r="AF41" i="32"/>
  <c r="F156" i="38"/>
  <c r="AG41" i="32"/>
  <c r="G156" i="38"/>
  <c r="AC42" i="32"/>
  <c r="C157" i="38" s="1"/>
  <c r="AD42" i="32"/>
  <c r="D157" i="38" s="1"/>
  <c r="AE42" i="32"/>
  <c r="E157" i="38" s="1"/>
  <c r="AF42" i="32"/>
  <c r="F157" i="38"/>
  <c r="AG42" i="32"/>
  <c r="G157" i="38" s="1"/>
  <c r="B158" i="38"/>
  <c r="C158" i="38"/>
  <c r="D158" i="38"/>
  <c r="E158" i="38"/>
  <c r="F158" i="38"/>
  <c r="G158" i="38"/>
  <c r="AB44" i="32"/>
  <c r="B159" i="38" s="1"/>
  <c r="AD44" i="32"/>
  <c r="D159" i="38"/>
  <c r="AF44" i="32"/>
  <c r="F159" i="38" s="1"/>
  <c r="AG44" i="32"/>
  <c r="G159" i="38" s="1"/>
  <c r="AB45" i="32"/>
  <c r="B160" i="38" s="1"/>
  <c r="AD45" i="32"/>
  <c r="D160" i="38"/>
  <c r="AF45" i="32"/>
  <c r="F160" i="38" s="1"/>
  <c r="AG45" i="32"/>
  <c r="G160" i="38" s="1"/>
  <c r="AB46" i="32"/>
  <c r="B161" i="38" s="1"/>
  <c r="AD46" i="32"/>
  <c r="D161" i="38"/>
  <c r="AF46" i="32"/>
  <c r="F161" i="38" s="1"/>
  <c r="AG46" i="32"/>
  <c r="G161" i="38" s="1"/>
  <c r="AB47" i="32"/>
  <c r="B162" i="38" s="1"/>
  <c r="AC47" i="32"/>
  <c r="C162" i="38"/>
  <c r="AD47" i="32"/>
  <c r="D162" i="38" s="1"/>
  <c r="AE47" i="32"/>
  <c r="E162" i="38" s="1"/>
  <c r="AF47" i="32"/>
  <c r="F162" i="38" s="1"/>
  <c r="AG47" i="32"/>
  <c r="G162" i="38"/>
  <c r="AB48" i="32"/>
  <c r="B163" i="38" s="1"/>
  <c r="AC48" i="32"/>
  <c r="C163" i="38" s="1"/>
  <c r="AD48" i="32"/>
  <c r="D163" i="38" s="1"/>
  <c r="AE48" i="32"/>
  <c r="E163" i="38"/>
  <c r="AF48" i="32"/>
  <c r="F163" i="38" s="1"/>
  <c r="AG48" i="32"/>
  <c r="G163" i="38" s="1"/>
  <c r="AB49" i="32"/>
  <c r="B164" i="38" s="1"/>
  <c r="AC49" i="32"/>
  <c r="C164" i="38"/>
  <c r="AD49" i="32"/>
  <c r="D164" i="38" s="1"/>
  <c r="AE49" i="32"/>
  <c r="E164" i="38" s="1"/>
  <c r="AF49" i="32"/>
  <c r="F164" i="38" s="1"/>
  <c r="AG49" i="32"/>
  <c r="G164" i="38"/>
  <c r="AB50" i="32"/>
  <c r="B165" i="38" s="1"/>
  <c r="AC50" i="32"/>
  <c r="C165" i="38" s="1"/>
  <c r="AD50" i="32"/>
  <c r="D165" i="38" s="1"/>
  <c r="AE50" i="32"/>
  <c r="E165" i="38"/>
  <c r="AF50" i="32"/>
  <c r="F165" i="38" s="1"/>
  <c r="AG50" i="32"/>
  <c r="G165" i="38" s="1"/>
  <c r="AB51" i="32"/>
  <c r="B166" i="38" s="1"/>
  <c r="AC51" i="32"/>
  <c r="C166" i="38"/>
  <c r="AD51" i="32"/>
  <c r="D166" i="38" s="1"/>
  <c r="AE51" i="32"/>
  <c r="E166" i="38" s="1"/>
  <c r="AF51" i="32"/>
  <c r="F166" i="38" s="1"/>
  <c r="AG51" i="32"/>
  <c r="G166" i="38"/>
  <c r="AB52" i="32"/>
  <c r="B167" i="38" s="1"/>
  <c r="AC52" i="32"/>
  <c r="C167" i="38" s="1"/>
  <c r="AD52" i="32"/>
  <c r="D167" i="38" s="1"/>
  <c r="AE52" i="32"/>
  <c r="E167" i="38"/>
  <c r="AF52" i="32"/>
  <c r="F167" i="38" s="1"/>
  <c r="AG52" i="32"/>
  <c r="G167" i="38" s="1"/>
  <c r="AB53" i="32"/>
  <c r="B168" i="38" s="1"/>
  <c r="AC53" i="32"/>
  <c r="C168" i="38"/>
  <c r="AD53" i="32"/>
  <c r="D168" i="38" s="1"/>
  <c r="AE53" i="32"/>
  <c r="E168" i="38" s="1"/>
  <c r="AF53" i="32"/>
  <c r="F168" i="38" s="1"/>
  <c r="AG53" i="32"/>
  <c r="G168" i="38"/>
  <c r="AB54" i="32"/>
  <c r="B169" i="38" s="1"/>
  <c r="AC54" i="32"/>
  <c r="C169" i="38" s="1"/>
  <c r="AD54" i="32"/>
  <c r="D169" i="38" s="1"/>
  <c r="AE54" i="32"/>
  <c r="E169" i="38"/>
  <c r="AF54" i="32"/>
  <c r="F169" i="38" s="1"/>
  <c r="AG54" i="32"/>
  <c r="G169" i="38" s="1"/>
  <c r="AB55" i="32"/>
  <c r="B170" i="38" s="1"/>
  <c r="AC55" i="32"/>
  <c r="C170" i="38"/>
  <c r="AD55" i="32"/>
  <c r="D170" i="38" s="1"/>
  <c r="AE55" i="32"/>
  <c r="E170" i="38" s="1"/>
  <c r="AF55" i="32"/>
  <c r="F170" i="38" s="1"/>
  <c r="AG55" i="32"/>
  <c r="G170" i="38"/>
  <c r="AB56" i="32"/>
  <c r="B171" i="38" s="1"/>
  <c r="AC56" i="32"/>
  <c r="C171" i="38" s="1"/>
  <c r="AD56" i="32"/>
  <c r="D171" i="38" s="1"/>
  <c r="AE56" i="32"/>
  <c r="E171" i="38"/>
  <c r="AF56" i="32"/>
  <c r="F171" i="38" s="1"/>
  <c r="AG56" i="32"/>
  <c r="G171" i="38" s="1"/>
  <c r="AB57" i="32"/>
  <c r="B172" i="38" s="1"/>
  <c r="AC57" i="32"/>
  <c r="C172" i="38"/>
  <c r="AD57" i="32"/>
  <c r="D172" i="38" s="1"/>
  <c r="AE57" i="32"/>
  <c r="E172" i="38" s="1"/>
  <c r="AF57" i="32"/>
  <c r="F172" i="38" s="1"/>
  <c r="AG57" i="32"/>
  <c r="G172" i="38"/>
  <c r="AB58" i="32"/>
  <c r="B173" i="38" s="1"/>
  <c r="AC58" i="32"/>
  <c r="C173" i="38" s="1"/>
  <c r="AD58" i="32"/>
  <c r="D173" i="38" s="1"/>
  <c r="AE58" i="32"/>
  <c r="E173" i="38"/>
  <c r="AF58" i="32"/>
  <c r="F173" i="38" s="1"/>
  <c r="AG58" i="32"/>
  <c r="G173" i="38" s="1"/>
  <c r="AB59" i="32"/>
  <c r="B174" i="38" s="1"/>
  <c r="AC59" i="32"/>
  <c r="C174" i="38"/>
  <c r="AD59" i="32"/>
  <c r="D174" i="38" s="1"/>
  <c r="AE59" i="32"/>
  <c r="E174" i="38" s="1"/>
  <c r="AF59" i="32"/>
  <c r="F174" i="38" s="1"/>
  <c r="AG59" i="32"/>
  <c r="G174" i="38"/>
  <c r="AB60" i="32"/>
  <c r="B175" i="38" s="1"/>
  <c r="AC60" i="32"/>
  <c r="C175" i="38" s="1"/>
  <c r="AD60" i="32"/>
  <c r="D175" i="38" s="1"/>
  <c r="AE60" i="32"/>
  <c r="E175" i="38"/>
  <c r="AF60" i="32"/>
  <c r="F175" i="38" s="1"/>
  <c r="AG60" i="32"/>
  <c r="G175" i="38" s="1"/>
  <c r="AB61" i="32"/>
  <c r="B176" i="38" s="1"/>
  <c r="AC61" i="32"/>
  <c r="C176" i="38"/>
  <c r="AD61" i="32"/>
  <c r="D176" i="38" s="1"/>
  <c r="AE61" i="32"/>
  <c r="E176" i="38" s="1"/>
  <c r="AF61" i="32"/>
  <c r="F176" i="38" s="1"/>
  <c r="AG61" i="32"/>
  <c r="G176" i="38"/>
  <c r="AB62" i="32"/>
  <c r="B177" i="38" s="1"/>
  <c r="AC62" i="32"/>
  <c r="C177" i="38" s="1"/>
  <c r="AD62" i="32"/>
  <c r="D177" i="38" s="1"/>
  <c r="AE62" i="32"/>
  <c r="E177" i="38"/>
  <c r="AF62" i="32"/>
  <c r="F177" i="38" s="1"/>
  <c r="AG62" i="32"/>
  <c r="G177" i="38" s="1"/>
  <c r="AB63" i="32"/>
  <c r="B178" i="38" s="1"/>
  <c r="AC63" i="32"/>
  <c r="C178" i="38"/>
  <c r="AD63" i="32"/>
  <c r="D178" i="38" s="1"/>
  <c r="AE63" i="32"/>
  <c r="E178" i="38" s="1"/>
  <c r="AF63" i="32"/>
  <c r="F178" i="38" s="1"/>
  <c r="AG63" i="32"/>
  <c r="G178" i="38"/>
  <c r="AB64" i="32"/>
  <c r="B179" i="38" s="1"/>
  <c r="AD64" i="32"/>
  <c r="D179" i="38" s="1"/>
  <c r="AF64" i="32"/>
  <c r="F179" i="38" s="1"/>
  <c r="AG64" i="32"/>
  <c r="G179" i="38"/>
  <c r="AB65" i="32"/>
  <c r="B180" i="38" s="1"/>
  <c r="AD65" i="32"/>
  <c r="D180" i="38" s="1"/>
  <c r="AF65" i="32"/>
  <c r="F180" i="38" s="1"/>
  <c r="AG65" i="32"/>
  <c r="G180" i="38"/>
  <c r="AF66" i="32"/>
  <c r="F181" i="38" s="1"/>
  <c r="AG66" i="32"/>
  <c r="G181" i="38"/>
  <c r="AB67" i="32"/>
  <c r="B182" i="38" s="1"/>
  <c r="AC67" i="32"/>
  <c r="C182" i="38" s="1"/>
  <c r="AD67" i="32"/>
  <c r="D182" i="38" s="1"/>
  <c r="AE67" i="32"/>
  <c r="E182" i="38"/>
  <c r="AF67" i="32"/>
  <c r="F182" i="38" s="1"/>
  <c r="AG67" i="32"/>
  <c r="G182" i="38" s="1"/>
  <c r="AB68" i="32"/>
  <c r="B183" i="38" s="1"/>
  <c r="AD68" i="32"/>
  <c r="D183" i="38" s="1"/>
  <c r="AD69" i="32"/>
  <c r="D184" i="38" s="1"/>
  <c r="AF69" i="32"/>
  <c r="F184" i="38" s="1"/>
  <c r="AF70" i="32"/>
  <c r="F185" i="38" s="1"/>
  <c r="AB71" i="32"/>
  <c r="B186" i="38" s="1"/>
  <c r="AC71" i="32"/>
  <c r="C186" i="38" s="1"/>
  <c r="AD71" i="32"/>
  <c r="D186" i="38" s="1"/>
  <c r="AE71" i="32"/>
  <c r="E186" i="38" s="1"/>
  <c r="AF71" i="32"/>
  <c r="F186" i="38" s="1"/>
  <c r="AG71" i="32"/>
  <c r="G186" i="38" s="1"/>
  <c r="AB72" i="32"/>
  <c r="B187" i="38" s="1"/>
  <c r="AD72" i="32"/>
  <c r="D187" i="38" s="1"/>
  <c r="AB73" i="32"/>
  <c r="B188" i="38" s="1"/>
  <c r="AC73" i="32"/>
  <c r="C188" i="38"/>
  <c r="AD73" i="32"/>
  <c r="D188" i="38" s="1"/>
  <c r="AE73" i="32"/>
  <c r="E188" i="38" s="1"/>
  <c r="AF73" i="32"/>
  <c r="F188" i="38" s="1"/>
  <c r="AG73" i="32"/>
  <c r="G188" i="38"/>
  <c r="AB74" i="32"/>
  <c r="B189" i="38" s="1"/>
  <c r="AC74" i="32"/>
  <c r="C189" i="38" s="1"/>
  <c r="AD74" i="32"/>
  <c r="D189" i="38" s="1"/>
  <c r="AE74" i="32"/>
  <c r="E189" i="38"/>
  <c r="AF74" i="32"/>
  <c r="F189" i="38" s="1"/>
  <c r="AG74" i="32"/>
  <c r="G189" i="38" s="1"/>
  <c r="AB75" i="32"/>
  <c r="B190" i="38" s="1"/>
  <c r="AD75" i="32"/>
  <c r="D190" i="38" s="1"/>
  <c r="AF75" i="32"/>
  <c r="F190" i="38" s="1"/>
  <c r="AB76" i="32"/>
  <c r="B191" i="38"/>
  <c r="AD76" i="32"/>
  <c r="D191" i="38" s="1"/>
  <c r="AF76" i="32"/>
  <c r="F191" i="38" s="1"/>
  <c r="AB77" i="32"/>
  <c r="B192" i="38" s="1"/>
  <c r="AC77" i="32"/>
  <c r="C192" i="38" s="1"/>
  <c r="AD77" i="32"/>
  <c r="D192" i="38" s="1"/>
  <c r="AE77" i="32"/>
  <c r="E192" i="38"/>
  <c r="AF77" i="32"/>
  <c r="F192" i="38" s="1"/>
  <c r="AG77" i="32"/>
  <c r="G192" i="38" s="1"/>
  <c r="AB78" i="32"/>
  <c r="B193" i="38" s="1"/>
  <c r="AC78" i="32"/>
  <c r="C193" i="38"/>
  <c r="AD78" i="32"/>
  <c r="D193" i="38" s="1"/>
  <c r="AF78" i="32"/>
  <c r="F193" i="38"/>
  <c r="AG78" i="32"/>
  <c r="G193" i="38"/>
  <c r="AB79" i="32"/>
  <c r="B194" i="38"/>
  <c r="AC79" i="32"/>
  <c r="C194" i="38"/>
  <c r="AD79" i="32"/>
  <c r="D194" i="38"/>
  <c r="AE79" i="32"/>
  <c r="E194" i="38"/>
  <c r="AF79" i="32"/>
  <c r="F194" i="38"/>
  <c r="AG79" i="32"/>
  <c r="G194" i="38"/>
  <c r="AB80" i="32"/>
  <c r="B195" i="38"/>
  <c r="AC80" i="32"/>
  <c r="C195" i="38"/>
  <c r="AD80" i="32"/>
  <c r="D195" i="38"/>
  <c r="AE80" i="32"/>
  <c r="E195" i="38"/>
  <c r="AF80" i="32"/>
  <c r="F195" i="38"/>
  <c r="AG80" i="32"/>
  <c r="G195" i="38"/>
  <c r="AB81" i="32"/>
  <c r="B196" i="38"/>
  <c r="AC81" i="32"/>
  <c r="C196" i="38"/>
  <c r="AD81" i="32"/>
  <c r="D196" i="38"/>
  <c r="AE81" i="32"/>
  <c r="E196" i="38"/>
  <c r="AF81" i="32"/>
  <c r="F196" i="38"/>
  <c r="AG81" i="32"/>
  <c r="G196" i="38"/>
  <c r="AB82" i="32"/>
  <c r="B197" i="38"/>
  <c r="AC82" i="32"/>
  <c r="C197" i="38"/>
  <c r="AD82" i="32"/>
  <c r="D197" i="38"/>
  <c r="AF82" i="32"/>
  <c r="F197" i="38" s="1"/>
  <c r="AG82" i="32"/>
  <c r="G197" i="38"/>
  <c r="AB83" i="32"/>
  <c r="B198" i="38" s="1"/>
  <c r="AC83" i="32"/>
  <c r="C198" i="38" s="1"/>
  <c r="AD83" i="32"/>
  <c r="D198" i="38" s="1"/>
  <c r="AE83" i="32"/>
  <c r="E198" i="38"/>
  <c r="AF83" i="32"/>
  <c r="F198" i="38" s="1"/>
  <c r="AG83" i="32"/>
  <c r="G198" i="38" s="1"/>
  <c r="AB84" i="32"/>
  <c r="B199" i="38" s="1"/>
  <c r="AC84" i="32"/>
  <c r="C199" i="38"/>
  <c r="AD84" i="32"/>
  <c r="D199" i="38" s="1"/>
  <c r="AE84" i="32"/>
  <c r="E199" i="38" s="1"/>
  <c r="AF84" i="32"/>
  <c r="F199" i="38" s="1"/>
  <c r="AG84" i="32"/>
  <c r="G199" i="38"/>
  <c r="AB85" i="32"/>
  <c r="B200" i="38" s="1"/>
  <c r="AC85" i="32"/>
  <c r="C200" i="38" s="1"/>
  <c r="AD85" i="32"/>
  <c r="D200" i="38" s="1"/>
  <c r="AE85" i="32"/>
  <c r="E200" i="38"/>
  <c r="AF85" i="32"/>
  <c r="F200" i="38" s="1"/>
  <c r="AG85" i="32"/>
  <c r="G200" i="38" s="1"/>
  <c r="AB86" i="32"/>
  <c r="B201" i="38" s="1"/>
  <c r="AC86" i="32"/>
  <c r="C201" i="38"/>
  <c r="AD86" i="32"/>
  <c r="D201" i="38" s="1"/>
  <c r="AF86" i="32"/>
  <c r="F201" i="38"/>
  <c r="AG86" i="32"/>
  <c r="G201" i="38"/>
  <c r="AB87" i="32"/>
  <c r="B202" i="38"/>
  <c r="AC87" i="32"/>
  <c r="C202" i="38"/>
  <c r="AD87" i="32"/>
  <c r="D202" i="38"/>
  <c r="AE87" i="32"/>
  <c r="E202" i="38"/>
  <c r="AF87" i="32"/>
  <c r="F202" i="38"/>
  <c r="AG87" i="32"/>
  <c r="G202" i="38"/>
  <c r="AB88" i="32"/>
  <c r="B203" i="38"/>
  <c r="AC88" i="32"/>
  <c r="C203" i="38"/>
  <c r="AD88" i="32"/>
  <c r="D203" i="38"/>
  <c r="AE88" i="32"/>
  <c r="E203" i="38"/>
  <c r="AF88" i="32"/>
  <c r="F203" i="38"/>
  <c r="AG88" i="32"/>
  <c r="G203" i="38"/>
  <c r="AB89" i="32"/>
  <c r="B204" i="38"/>
  <c r="AC89" i="32"/>
  <c r="C204" i="38"/>
  <c r="AD89" i="32"/>
  <c r="D204" i="38"/>
  <c r="AE89" i="32"/>
  <c r="E204" i="38"/>
  <c r="AF89" i="32"/>
  <c r="F204" i="38"/>
  <c r="AG89" i="32"/>
  <c r="G204" i="38"/>
  <c r="AB90" i="32"/>
  <c r="B205" i="38"/>
  <c r="AC90" i="32"/>
  <c r="C205" i="38"/>
  <c r="AD90" i="32"/>
  <c r="D205" i="38"/>
  <c r="AF90" i="32"/>
  <c r="F205" i="38" s="1"/>
  <c r="AG90" i="32"/>
  <c r="G205" i="38"/>
  <c r="AB91" i="32"/>
  <c r="B206" i="38" s="1"/>
  <c r="AC91" i="32"/>
  <c r="C206" i="38" s="1"/>
  <c r="AD91" i="32"/>
  <c r="D206" i="38" s="1"/>
  <c r="AE91" i="32"/>
  <c r="E206" i="38"/>
  <c r="AF91" i="32"/>
  <c r="F206" i="38" s="1"/>
  <c r="AG91" i="32"/>
  <c r="G206" i="38" s="1"/>
  <c r="AB92" i="32"/>
  <c r="B207" i="38" s="1"/>
  <c r="AC92" i="32"/>
  <c r="C207" i="38"/>
  <c r="AD92" i="32"/>
  <c r="D207" i="38" s="1"/>
  <c r="AE92" i="32"/>
  <c r="E207" i="38" s="1"/>
  <c r="AF92" i="32"/>
  <c r="F207" i="38" s="1"/>
  <c r="AG92" i="32"/>
  <c r="G207" i="38"/>
  <c r="AB93" i="32"/>
  <c r="B208" i="38" s="1"/>
  <c r="AC93" i="32"/>
  <c r="C208" i="38" s="1"/>
  <c r="AD93" i="32"/>
  <c r="D208" i="38" s="1"/>
  <c r="AE93" i="32"/>
  <c r="E208" i="38"/>
  <c r="AF93" i="32"/>
  <c r="F208" i="38" s="1"/>
  <c r="AG93" i="32"/>
  <c r="G208" i="38" s="1"/>
  <c r="AB94" i="32"/>
  <c r="B209" i="38" s="1"/>
  <c r="AD94" i="32"/>
  <c r="D209" i="38" s="1"/>
  <c r="AF94" i="32"/>
  <c r="F209" i="38" s="1"/>
  <c r="AG94" i="32"/>
  <c r="G209" i="38" s="1"/>
  <c r="AB95" i="32"/>
  <c r="B210" i="38" s="1"/>
  <c r="AC95" i="32"/>
  <c r="C210" i="38"/>
  <c r="AD95" i="32"/>
  <c r="D210" i="38" s="1"/>
  <c r="AE95" i="32"/>
  <c r="E210" i="38" s="1"/>
  <c r="AF95" i="32"/>
  <c r="F210" i="38" s="1"/>
  <c r="AG95" i="32"/>
  <c r="G210" i="38"/>
  <c r="AB96" i="32"/>
  <c r="B211" i="38" s="1"/>
  <c r="AC96" i="32"/>
  <c r="C211" i="38" s="1"/>
  <c r="AD96" i="32"/>
  <c r="D211" i="38" s="1"/>
  <c r="AE96" i="32"/>
  <c r="E211" i="38"/>
  <c r="AF96" i="32"/>
  <c r="F211" i="38" s="1"/>
  <c r="AG96" i="32"/>
  <c r="G211" i="38" s="1"/>
  <c r="AB97" i="32"/>
  <c r="B212" i="38" s="1"/>
  <c r="AC97" i="32"/>
  <c r="C212" i="38"/>
  <c r="AD97" i="32"/>
  <c r="D212" i="38" s="1"/>
  <c r="AE97" i="32"/>
  <c r="E212" i="38" s="1"/>
  <c r="AF97" i="32"/>
  <c r="F212" i="38" s="1"/>
  <c r="AG97" i="32"/>
  <c r="G212" i="38"/>
  <c r="AB98" i="32"/>
  <c r="B213" i="38" s="1"/>
  <c r="AC98" i="32"/>
  <c r="C213" i="38" s="1"/>
  <c r="AD98" i="32"/>
  <c r="D213" i="38" s="1"/>
  <c r="AF98" i="32"/>
  <c r="F213" i="38" s="1"/>
  <c r="AG98" i="32"/>
  <c r="G213" i="38" s="1"/>
  <c r="AB99" i="32"/>
  <c r="B214" i="38" s="1"/>
  <c r="AC99" i="32"/>
  <c r="C214" i="38" s="1"/>
  <c r="AD99" i="32"/>
  <c r="D214" i="38" s="1"/>
  <c r="AE99" i="32"/>
  <c r="E214" i="38" s="1"/>
  <c r="AF99" i="32"/>
  <c r="F214" i="38" s="1"/>
  <c r="AG99" i="32"/>
  <c r="G214" i="38" s="1"/>
  <c r="AB100" i="32"/>
  <c r="B215" i="38" s="1"/>
  <c r="AC100" i="32"/>
  <c r="C215" i="38" s="1"/>
  <c r="AD100" i="32"/>
  <c r="D215" i="38" s="1"/>
  <c r="AE100" i="32"/>
  <c r="E215" i="38" s="1"/>
  <c r="AF100" i="32"/>
  <c r="F215" i="38" s="1"/>
  <c r="AG100" i="32"/>
  <c r="G215" i="38" s="1"/>
  <c r="AB101" i="32"/>
  <c r="B216" i="38" s="1"/>
  <c r="AC101" i="32"/>
  <c r="C216" i="38" s="1"/>
  <c r="AD101" i="32"/>
  <c r="D216" i="38" s="1"/>
  <c r="AE101" i="32"/>
  <c r="E216" i="38" s="1"/>
  <c r="AF101" i="32"/>
  <c r="F216" i="38" s="1"/>
  <c r="AG101" i="32"/>
  <c r="G216" i="38" s="1"/>
  <c r="AB102" i="32"/>
  <c r="B217" i="38" s="1"/>
  <c r="AC102" i="32"/>
  <c r="C217" i="38" s="1"/>
  <c r="AD102" i="32"/>
  <c r="D217" i="38" s="1"/>
  <c r="AE102" i="32"/>
  <c r="E217" i="38" s="1"/>
  <c r="AF102" i="32"/>
  <c r="F217" i="38" s="1"/>
  <c r="AG102" i="32"/>
  <c r="G217" i="38" s="1"/>
  <c r="AB103" i="32"/>
  <c r="B218" i="38" s="1"/>
  <c r="AC103" i="32"/>
  <c r="C218" i="38" s="1"/>
  <c r="AD103" i="32"/>
  <c r="D218" i="38" s="1"/>
  <c r="AE103" i="32"/>
  <c r="E218" i="38" s="1"/>
  <c r="AF103" i="32"/>
  <c r="F218" i="38" s="1"/>
  <c r="AG103" i="32"/>
  <c r="G218" i="38" s="1"/>
  <c r="AB104" i="32"/>
  <c r="B219" i="38" s="1"/>
  <c r="AC104" i="32"/>
  <c r="C219" i="38" s="1"/>
  <c r="AD104" i="32"/>
  <c r="D219" i="38" s="1"/>
  <c r="AE104" i="32"/>
  <c r="E219" i="38" s="1"/>
  <c r="AF104" i="32"/>
  <c r="F219" i="38" s="1"/>
  <c r="AG104" i="32"/>
  <c r="G219" i="38" s="1"/>
  <c r="AB105" i="32"/>
  <c r="B220" i="38" s="1"/>
  <c r="AC105" i="32"/>
  <c r="C220" i="38" s="1"/>
  <c r="AD105" i="32"/>
  <c r="D220" i="38" s="1"/>
  <c r="AF105" i="32"/>
  <c r="F220" i="38" s="1"/>
  <c r="AB106" i="32"/>
  <c r="B221" i="38"/>
  <c r="AC106" i="32"/>
  <c r="C221" i="38"/>
  <c r="AD106" i="32"/>
  <c r="D221" i="38"/>
  <c r="AE106" i="32"/>
  <c r="E221" i="38"/>
  <c r="AF106" i="32"/>
  <c r="F221" i="38"/>
  <c r="AG106" i="32"/>
  <c r="G221" i="38"/>
  <c r="AB107" i="32"/>
  <c r="B222" i="38"/>
  <c r="AC107" i="32"/>
  <c r="C222" i="38"/>
  <c r="AD107" i="32"/>
  <c r="D222" i="38"/>
  <c r="AE107" i="32"/>
  <c r="E222" i="38"/>
  <c r="AF107" i="32"/>
  <c r="F222" i="38"/>
  <c r="AB108" i="32"/>
  <c r="B223" i="38" s="1"/>
  <c r="AC108" i="32"/>
  <c r="C223" i="38"/>
  <c r="AD108" i="32"/>
  <c r="D223" i="38" s="1"/>
  <c r="AE108" i="32"/>
  <c r="E223" i="38" s="1"/>
  <c r="AF108" i="32"/>
  <c r="F223" i="38" s="1"/>
  <c r="AG108" i="32"/>
  <c r="G223" i="38"/>
  <c r="AB109" i="32"/>
  <c r="B224" i="38" s="1"/>
  <c r="AD109" i="32"/>
  <c r="D224" i="38"/>
  <c r="AF109" i="32"/>
  <c r="F224" i="38" s="1"/>
  <c r="AB110" i="32"/>
  <c r="B225" i="38" s="1"/>
  <c r="AC110" i="32"/>
  <c r="C225" i="38" s="1"/>
  <c r="AD110" i="32"/>
  <c r="D225" i="38" s="1"/>
  <c r="AE110" i="32"/>
  <c r="E225" i="38" s="1"/>
  <c r="AF110" i="32"/>
  <c r="F225" i="38" s="1"/>
  <c r="AG110" i="32"/>
  <c r="G225" i="38" s="1"/>
  <c r="AB111" i="32"/>
  <c r="B226" i="38" s="1"/>
  <c r="AC111" i="32"/>
  <c r="C226" i="38" s="1"/>
  <c r="AD111" i="32"/>
  <c r="D226" i="38" s="1"/>
  <c r="AE111" i="32"/>
  <c r="E226" i="38" s="1"/>
  <c r="AF111" i="32"/>
  <c r="F226" i="38" s="1"/>
  <c r="AG111" i="32"/>
  <c r="G226" i="38" s="1"/>
  <c r="AB112" i="32"/>
  <c r="B227" i="38" s="1"/>
  <c r="AC112" i="32"/>
  <c r="C227" i="38" s="1"/>
  <c r="AD112" i="32"/>
  <c r="D227" i="38" s="1"/>
  <c r="AE112" i="32"/>
  <c r="E227" i="38" s="1"/>
  <c r="AF112" i="32"/>
  <c r="F227" i="38" s="1"/>
  <c r="AG112" i="32"/>
  <c r="G227" i="38" s="1"/>
  <c r="AB113" i="32"/>
  <c r="B228" i="38" s="1"/>
  <c r="AC113" i="32"/>
  <c r="C228" i="38" s="1"/>
  <c r="AD113" i="32"/>
  <c r="D228" i="38" s="1"/>
  <c r="AF113" i="32"/>
  <c r="F228" i="38" s="1"/>
  <c r="AB114" i="32"/>
  <c r="B229" i="38"/>
  <c r="AC114" i="32"/>
  <c r="C229" i="38"/>
  <c r="AD114" i="32"/>
  <c r="D229" i="38"/>
  <c r="AE114" i="32"/>
  <c r="E229" i="38"/>
  <c r="AF114" i="32"/>
  <c r="F229" i="38"/>
  <c r="AG114" i="32"/>
  <c r="G229" i="38"/>
  <c r="AB115" i="32"/>
  <c r="B230" i="38"/>
  <c r="AC115" i="32"/>
  <c r="C230" i="38"/>
  <c r="AD115" i="32"/>
  <c r="D230" i="38"/>
  <c r="AE115" i="32"/>
  <c r="E230" i="38"/>
  <c r="AF115" i="32"/>
  <c r="F230" i="38"/>
  <c r="AG115" i="32"/>
  <c r="G230" i="38"/>
  <c r="AB116" i="32"/>
  <c r="B231" i="38"/>
  <c r="AD116" i="32"/>
  <c r="D231" i="38" s="1"/>
  <c r="AF116" i="32"/>
  <c r="F231" i="38" s="1"/>
  <c r="AB117" i="32"/>
  <c r="B232" i="38" s="1"/>
  <c r="AC117" i="32"/>
  <c r="C232" i="38" s="1"/>
  <c r="AD117" i="32"/>
  <c r="D232" i="38" s="1"/>
  <c r="AE117" i="32"/>
  <c r="E232" i="38"/>
  <c r="AF117" i="32"/>
  <c r="F232" i="38" s="1"/>
  <c r="AG117" i="32"/>
  <c r="G232" i="38" s="1"/>
  <c r="AB118" i="32"/>
  <c r="B233" i="38" s="1"/>
  <c r="AC118" i="32"/>
  <c r="C233" i="38"/>
  <c r="AD118" i="32"/>
  <c r="D233" i="38" s="1"/>
  <c r="AE118" i="32"/>
  <c r="E233" i="38" s="1"/>
  <c r="AF118" i="32"/>
  <c r="F233" i="38" s="1"/>
  <c r="AG118" i="32"/>
  <c r="G233" i="38"/>
  <c r="AB119" i="32"/>
  <c r="B234" i="38" s="1"/>
  <c r="AC119" i="32"/>
  <c r="C234" i="38" s="1"/>
  <c r="AD119" i="32"/>
  <c r="D234" i="38" s="1"/>
  <c r="AF119" i="32"/>
  <c r="F234" i="38" s="1"/>
  <c r="AB120" i="32"/>
  <c r="B235" i="38" s="1"/>
  <c r="AC120" i="32"/>
  <c r="C235" i="38" s="1"/>
  <c r="AD120" i="32"/>
  <c r="D235" i="38" s="1"/>
  <c r="AE120" i="32"/>
  <c r="E235" i="38"/>
  <c r="AF120" i="32"/>
  <c r="F235" i="38" s="1"/>
  <c r="AG120" i="32"/>
  <c r="G235" i="38" s="1"/>
  <c r="AB121" i="32"/>
  <c r="B236" i="38" s="1"/>
  <c r="AC121" i="32"/>
  <c r="C236" i="38"/>
  <c r="AD121" i="32"/>
  <c r="D236" i="38" s="1"/>
  <c r="AE121" i="32"/>
  <c r="E236" i="38" s="1"/>
  <c r="AF121" i="32"/>
  <c r="F236" i="38" s="1"/>
  <c r="AG121" i="32"/>
  <c r="G236" i="38"/>
  <c r="AB122" i="32"/>
  <c r="B237" i="38" s="1"/>
  <c r="AD122" i="32"/>
  <c r="D237" i="38"/>
  <c r="AF122" i="32"/>
  <c r="F237" i="38" s="1"/>
  <c r="AB123" i="32"/>
  <c r="B238" i="38" s="1"/>
  <c r="AC123" i="32"/>
  <c r="C238" i="38" s="1"/>
  <c r="AD123" i="32"/>
  <c r="D238" i="38" s="1"/>
  <c r="AE123" i="32"/>
  <c r="E238" i="38" s="1"/>
  <c r="AF123" i="32"/>
  <c r="F238" i="38" s="1"/>
  <c r="AG123" i="32"/>
  <c r="G238" i="38" s="1"/>
  <c r="B142" i="34"/>
  <c r="C142" i="34"/>
  <c r="D142" i="34"/>
  <c r="E142" i="34"/>
  <c r="F142" i="34"/>
  <c r="G142" i="34"/>
  <c r="B143" i="34"/>
  <c r="C143" i="34"/>
  <c r="D143" i="34"/>
  <c r="E143" i="34"/>
  <c r="F143" i="34"/>
  <c r="G143" i="34"/>
  <c r="B144" i="34"/>
  <c r="C144" i="34"/>
  <c r="D144" i="34"/>
  <c r="E144" i="34"/>
  <c r="F144" i="34"/>
  <c r="G144" i="34"/>
  <c r="B145" i="34"/>
  <c r="C145" i="34"/>
  <c r="D145" i="34"/>
  <c r="E145" i="34"/>
  <c r="F145" i="34"/>
  <c r="G145" i="34"/>
  <c r="B146" i="34"/>
  <c r="C146" i="34"/>
  <c r="D146" i="34"/>
  <c r="E146" i="34"/>
  <c r="F146" i="34"/>
  <c r="G146" i="34"/>
  <c r="B147" i="34"/>
  <c r="C147" i="34"/>
  <c r="D147" i="34"/>
  <c r="E147" i="34"/>
  <c r="F147" i="34"/>
  <c r="G147" i="34"/>
  <c r="B148" i="34"/>
  <c r="C148" i="34"/>
  <c r="D148" i="34"/>
  <c r="E148" i="34"/>
  <c r="F148" i="34"/>
  <c r="G148" i="34"/>
  <c r="B149" i="34"/>
  <c r="C149" i="34"/>
  <c r="D149" i="34"/>
  <c r="E149" i="34"/>
  <c r="F149" i="34"/>
  <c r="G149" i="34"/>
  <c r="B150" i="34"/>
  <c r="C150" i="34"/>
  <c r="D150" i="34"/>
  <c r="E150" i="34"/>
  <c r="F150" i="34"/>
  <c r="G150" i="34"/>
  <c r="B151" i="34"/>
  <c r="C151" i="34"/>
  <c r="D151" i="34"/>
  <c r="E151" i="34"/>
  <c r="F151" i="34"/>
  <c r="G151" i="34"/>
  <c r="B152" i="34"/>
  <c r="C152" i="34"/>
  <c r="D152" i="34"/>
  <c r="E152" i="34"/>
  <c r="F152" i="34"/>
  <c r="G152" i="34"/>
  <c r="B153" i="34"/>
  <c r="C153" i="34"/>
  <c r="D153" i="34"/>
  <c r="E153" i="34"/>
  <c r="F153" i="34"/>
  <c r="G153" i="34"/>
  <c r="B154" i="34"/>
  <c r="C154" i="34"/>
  <c r="D154" i="34"/>
  <c r="E154" i="34"/>
  <c r="F154" i="34"/>
  <c r="G154" i="34"/>
  <c r="B155" i="34"/>
  <c r="C155" i="34"/>
  <c r="D155" i="34"/>
  <c r="E155" i="34"/>
  <c r="F155" i="34"/>
  <c r="G155" i="34"/>
  <c r="B156" i="34"/>
  <c r="C156" i="34"/>
  <c r="D156" i="34"/>
  <c r="E156" i="34"/>
  <c r="F156" i="34"/>
  <c r="G156" i="34"/>
  <c r="B157" i="34"/>
  <c r="C157" i="34"/>
  <c r="D157" i="34"/>
  <c r="E157" i="34"/>
  <c r="F157" i="34"/>
  <c r="G157" i="34"/>
  <c r="B158" i="34"/>
  <c r="C158" i="34"/>
  <c r="D158" i="34"/>
  <c r="E158" i="34"/>
  <c r="F158" i="34"/>
  <c r="G158" i="34"/>
  <c r="B159" i="34"/>
  <c r="C159" i="34"/>
  <c r="D159" i="34"/>
  <c r="E159" i="34"/>
  <c r="F159" i="34"/>
  <c r="G159" i="34"/>
  <c r="B160" i="34"/>
  <c r="C160" i="34"/>
  <c r="D160" i="34"/>
  <c r="E160" i="34"/>
  <c r="F160" i="34"/>
  <c r="G160" i="34"/>
  <c r="B161" i="34"/>
  <c r="C161" i="34"/>
  <c r="D161" i="34"/>
  <c r="E161" i="34"/>
  <c r="F161" i="34"/>
  <c r="G161" i="34"/>
  <c r="B162" i="34"/>
  <c r="C162" i="34"/>
  <c r="D162" i="34"/>
  <c r="E162" i="34"/>
  <c r="F162" i="34"/>
  <c r="G162" i="34"/>
  <c r="B163" i="34"/>
  <c r="C163" i="34"/>
  <c r="D163" i="34"/>
  <c r="E163" i="34"/>
  <c r="F163" i="34"/>
  <c r="G163" i="34"/>
  <c r="B164" i="34"/>
  <c r="C164" i="34"/>
  <c r="D164" i="34"/>
  <c r="E164" i="34"/>
  <c r="F164" i="34"/>
  <c r="G164" i="34"/>
  <c r="B165" i="34"/>
  <c r="C165" i="34"/>
  <c r="D165" i="34"/>
  <c r="E165" i="34"/>
  <c r="F165" i="34"/>
  <c r="G165" i="34"/>
  <c r="B166" i="34"/>
  <c r="C166" i="34"/>
  <c r="D166" i="34"/>
  <c r="E166" i="34"/>
  <c r="F166" i="34"/>
  <c r="G166" i="34"/>
  <c r="B167" i="34"/>
  <c r="C167" i="34"/>
  <c r="D167" i="34"/>
  <c r="E167" i="34"/>
  <c r="F167" i="34"/>
  <c r="G167" i="34"/>
  <c r="B168" i="34"/>
  <c r="C168" i="34"/>
  <c r="D168" i="34"/>
  <c r="E168" i="34"/>
  <c r="F168" i="34"/>
  <c r="G168" i="34"/>
  <c r="B169" i="34"/>
  <c r="C169" i="34"/>
  <c r="D169" i="34"/>
  <c r="E169" i="34"/>
  <c r="F169" i="34"/>
  <c r="G169" i="34"/>
  <c r="B170" i="34"/>
  <c r="C170" i="34"/>
  <c r="D170" i="34"/>
  <c r="E170" i="34"/>
  <c r="F170" i="34"/>
  <c r="G170" i="34"/>
  <c r="B171" i="34"/>
  <c r="C171" i="34"/>
  <c r="D171" i="34"/>
  <c r="E171" i="34"/>
  <c r="F171" i="34"/>
  <c r="G171" i="34"/>
  <c r="B172" i="34"/>
  <c r="C172" i="34"/>
  <c r="D172" i="34"/>
  <c r="E172" i="34"/>
  <c r="F172" i="34"/>
  <c r="G172" i="34"/>
  <c r="B173" i="34"/>
  <c r="C173" i="34"/>
  <c r="D173" i="34"/>
  <c r="E173" i="34"/>
  <c r="F173" i="34"/>
  <c r="G173" i="34"/>
  <c r="B174" i="34"/>
  <c r="C174" i="34"/>
  <c r="D174" i="34"/>
  <c r="E174" i="34"/>
  <c r="F174" i="34"/>
  <c r="G174" i="34"/>
  <c r="B175" i="34"/>
  <c r="C175" i="34"/>
  <c r="D175" i="34"/>
  <c r="E175" i="34"/>
  <c r="F175" i="34"/>
  <c r="G175" i="34"/>
  <c r="B176" i="34"/>
  <c r="C176" i="34"/>
  <c r="D176" i="34"/>
  <c r="E176" i="34"/>
  <c r="F176" i="34"/>
  <c r="G176" i="34"/>
  <c r="B177" i="34"/>
  <c r="C177" i="34"/>
  <c r="D177" i="34"/>
  <c r="E177" i="34"/>
  <c r="F177" i="34"/>
  <c r="G177" i="34"/>
  <c r="B178" i="34"/>
  <c r="C178" i="34"/>
  <c r="D178" i="34"/>
  <c r="E178" i="34"/>
  <c r="F178" i="34"/>
  <c r="G178" i="34"/>
  <c r="B179" i="34"/>
  <c r="C179" i="34"/>
  <c r="D179" i="34"/>
  <c r="E179" i="34"/>
  <c r="F179" i="34"/>
  <c r="G179" i="34"/>
  <c r="B180" i="34"/>
  <c r="C180" i="34"/>
  <c r="D180" i="34"/>
  <c r="E180" i="34"/>
  <c r="F180" i="34"/>
  <c r="G180" i="34"/>
  <c r="B181" i="34"/>
  <c r="C181" i="34"/>
  <c r="D181" i="34"/>
  <c r="E181" i="34"/>
  <c r="F181" i="34"/>
  <c r="G181" i="34"/>
  <c r="B182" i="34"/>
  <c r="C182" i="34"/>
  <c r="D182" i="34"/>
  <c r="E182" i="34"/>
  <c r="F182" i="34"/>
  <c r="G182" i="34"/>
  <c r="B183" i="34"/>
  <c r="C183" i="34"/>
  <c r="D183" i="34"/>
  <c r="E183" i="34"/>
  <c r="F183" i="34"/>
  <c r="G183" i="34"/>
  <c r="B184" i="34"/>
  <c r="C184" i="34"/>
  <c r="D184" i="34"/>
  <c r="E184" i="34"/>
  <c r="F184" i="34"/>
  <c r="G184" i="34"/>
  <c r="B185" i="34"/>
  <c r="C185" i="34"/>
  <c r="D185" i="34"/>
  <c r="E185" i="34"/>
  <c r="F185" i="34"/>
  <c r="G185" i="34"/>
  <c r="B186" i="34"/>
  <c r="C186" i="34"/>
  <c r="D186" i="34"/>
  <c r="E186" i="34"/>
  <c r="F186" i="34"/>
  <c r="G186" i="34"/>
  <c r="B187" i="34"/>
  <c r="C187" i="34"/>
  <c r="D187" i="34"/>
  <c r="E187" i="34"/>
  <c r="F187" i="34"/>
  <c r="G187" i="34"/>
  <c r="B188" i="34"/>
  <c r="C188" i="34"/>
  <c r="D188" i="34"/>
  <c r="E188" i="34"/>
  <c r="F188" i="34"/>
  <c r="G188" i="34"/>
  <c r="B189" i="34"/>
  <c r="C189" i="34"/>
  <c r="D189" i="34"/>
  <c r="E189" i="34"/>
  <c r="F189" i="34"/>
  <c r="G189" i="34"/>
  <c r="B190" i="34"/>
  <c r="C190" i="34"/>
  <c r="D190" i="34"/>
  <c r="E190" i="34"/>
  <c r="F190" i="34"/>
  <c r="G190" i="34"/>
  <c r="B191" i="34"/>
  <c r="C191" i="34"/>
  <c r="D191" i="34"/>
  <c r="E191" i="34"/>
  <c r="F191" i="34"/>
  <c r="G191" i="34"/>
  <c r="B192" i="34"/>
  <c r="C192" i="34"/>
  <c r="D192" i="34"/>
  <c r="E192" i="34"/>
  <c r="F192" i="34"/>
  <c r="G192" i="34"/>
  <c r="B193" i="34"/>
  <c r="C193" i="34"/>
  <c r="D193" i="34"/>
  <c r="E193" i="34"/>
  <c r="F193" i="34"/>
  <c r="G193" i="34"/>
  <c r="B194" i="34"/>
  <c r="C194" i="34"/>
  <c r="D194" i="34"/>
  <c r="E194" i="34"/>
  <c r="F194" i="34"/>
  <c r="G194" i="34"/>
  <c r="B195" i="34"/>
  <c r="C195" i="34"/>
  <c r="D195" i="34"/>
  <c r="E195" i="34"/>
  <c r="F195" i="34"/>
  <c r="G195" i="34"/>
  <c r="B196" i="34"/>
  <c r="C196" i="34"/>
  <c r="D196" i="34"/>
  <c r="E196" i="34"/>
  <c r="F196" i="34"/>
  <c r="G196" i="34"/>
  <c r="B197" i="34"/>
  <c r="C197" i="34"/>
  <c r="D197" i="34"/>
  <c r="E197" i="34"/>
  <c r="F197" i="34"/>
  <c r="G197" i="34"/>
  <c r="B198" i="34"/>
  <c r="C198" i="34"/>
  <c r="D198" i="34"/>
  <c r="E198" i="34"/>
  <c r="F198" i="34"/>
  <c r="G198" i="34"/>
  <c r="B199" i="34"/>
  <c r="C199" i="34"/>
  <c r="D199" i="34"/>
  <c r="E199" i="34"/>
  <c r="F199" i="34"/>
  <c r="G199" i="34"/>
  <c r="B200" i="34"/>
  <c r="C200" i="34"/>
  <c r="D200" i="34"/>
  <c r="E200" i="34"/>
  <c r="F200" i="34"/>
  <c r="G200" i="34"/>
  <c r="B201" i="34"/>
  <c r="C201" i="34"/>
  <c r="D201" i="34"/>
  <c r="E201" i="34"/>
  <c r="F201" i="34"/>
  <c r="G201" i="34"/>
  <c r="B202" i="34"/>
  <c r="C202" i="34"/>
  <c r="D202" i="34"/>
  <c r="E202" i="34"/>
  <c r="F202" i="34"/>
  <c r="G202" i="34"/>
  <c r="B203" i="34"/>
  <c r="C203" i="34"/>
  <c r="D203" i="34"/>
  <c r="E203" i="34"/>
  <c r="F203" i="34"/>
  <c r="G203" i="34"/>
  <c r="B204" i="34"/>
  <c r="C204" i="34"/>
  <c r="D204" i="34"/>
  <c r="E204" i="34"/>
  <c r="F204" i="34"/>
  <c r="G204" i="34"/>
  <c r="B205" i="34"/>
  <c r="C205" i="34"/>
  <c r="D205" i="34"/>
  <c r="E205" i="34"/>
  <c r="F205" i="34"/>
  <c r="G205" i="34"/>
  <c r="B206" i="34"/>
  <c r="C206" i="34"/>
  <c r="D206" i="34"/>
  <c r="E206" i="34"/>
  <c r="F206" i="34"/>
  <c r="G206" i="34"/>
  <c r="B207" i="34"/>
  <c r="C207" i="34"/>
  <c r="D207" i="34"/>
  <c r="E207" i="34"/>
  <c r="F207" i="34"/>
  <c r="G207" i="34"/>
  <c r="B208" i="34"/>
  <c r="C208" i="34"/>
  <c r="D208" i="34"/>
  <c r="E208" i="34"/>
  <c r="F208" i="34"/>
  <c r="G208" i="34"/>
  <c r="B209" i="34"/>
  <c r="C209" i="34"/>
  <c r="D209" i="34"/>
  <c r="E209" i="34"/>
  <c r="F209" i="34"/>
  <c r="G209" i="34"/>
  <c r="B210" i="34"/>
  <c r="C210" i="34"/>
  <c r="D210" i="34"/>
  <c r="E210" i="34"/>
  <c r="F210" i="34"/>
  <c r="G210" i="34"/>
  <c r="B211" i="34"/>
  <c r="C211" i="34"/>
  <c r="D211" i="34"/>
  <c r="E211" i="34"/>
  <c r="F211" i="34"/>
  <c r="G211" i="34"/>
  <c r="B212" i="34"/>
  <c r="C212" i="34"/>
  <c r="D212" i="34"/>
  <c r="E212" i="34"/>
  <c r="F212" i="34"/>
  <c r="G212" i="34"/>
  <c r="B213" i="34"/>
  <c r="C213" i="34"/>
  <c r="D213" i="34"/>
  <c r="E213" i="34"/>
  <c r="F213" i="34"/>
  <c r="G213" i="34"/>
  <c r="B214" i="34"/>
  <c r="C214" i="34"/>
  <c r="D214" i="34"/>
  <c r="E214" i="34"/>
  <c r="F214" i="34"/>
  <c r="G214" i="34"/>
  <c r="B215" i="34"/>
  <c r="C215" i="34"/>
  <c r="D215" i="34"/>
  <c r="E215" i="34"/>
  <c r="F215" i="34"/>
  <c r="G215" i="34"/>
  <c r="B216" i="34"/>
  <c r="C216" i="34"/>
  <c r="D216" i="34"/>
  <c r="E216" i="34"/>
  <c r="F216" i="34"/>
  <c r="G216" i="34"/>
  <c r="B217" i="34"/>
  <c r="C217" i="34"/>
  <c r="D217" i="34"/>
  <c r="E217" i="34"/>
  <c r="F217" i="34"/>
  <c r="G217" i="34"/>
  <c r="B218" i="34"/>
  <c r="C218" i="34"/>
  <c r="D218" i="34"/>
  <c r="E218" i="34"/>
  <c r="F218" i="34"/>
  <c r="G218" i="34"/>
  <c r="B219" i="34"/>
  <c r="C219" i="34"/>
  <c r="D219" i="34"/>
  <c r="E219" i="34"/>
  <c r="F219" i="34"/>
  <c r="G219" i="34"/>
  <c r="B220" i="34"/>
  <c r="C220" i="34"/>
  <c r="D220" i="34"/>
  <c r="E220" i="34"/>
  <c r="F220" i="34"/>
  <c r="G220" i="34"/>
  <c r="B221" i="34"/>
  <c r="C221" i="34"/>
  <c r="D221" i="34"/>
  <c r="E221" i="34"/>
  <c r="F221" i="34"/>
  <c r="G221" i="34"/>
  <c r="B222" i="34"/>
  <c r="C222" i="34"/>
  <c r="D222" i="34"/>
  <c r="E222" i="34"/>
  <c r="F222" i="34"/>
  <c r="G222" i="34"/>
  <c r="B223" i="34"/>
  <c r="C223" i="34"/>
  <c r="D223" i="34"/>
  <c r="E223" i="34"/>
  <c r="F223" i="34"/>
  <c r="G223" i="34"/>
  <c r="B224" i="34"/>
  <c r="C224" i="34"/>
  <c r="D224" i="34"/>
  <c r="E224" i="34"/>
  <c r="F224" i="34"/>
  <c r="G224" i="34"/>
  <c r="B225" i="34"/>
  <c r="C225" i="34"/>
  <c r="D225" i="34"/>
  <c r="E225" i="34"/>
  <c r="F225" i="34"/>
  <c r="G225" i="34"/>
  <c r="B226" i="34"/>
  <c r="C226" i="34"/>
  <c r="D226" i="34"/>
  <c r="E226" i="34"/>
  <c r="F226" i="34"/>
  <c r="G226" i="34"/>
  <c r="B227" i="34"/>
  <c r="C227" i="34"/>
  <c r="D227" i="34"/>
  <c r="E227" i="34"/>
  <c r="F227" i="34"/>
  <c r="G227" i="34"/>
  <c r="B228" i="34"/>
  <c r="C228" i="34"/>
  <c r="D228" i="34"/>
  <c r="E228" i="34"/>
  <c r="F228" i="34"/>
  <c r="G228" i="34"/>
  <c r="B229" i="34"/>
  <c r="C229" i="34"/>
  <c r="D229" i="34"/>
  <c r="E229" i="34"/>
  <c r="F229" i="34"/>
  <c r="G229" i="34"/>
  <c r="B230" i="34"/>
  <c r="C230" i="34"/>
  <c r="D230" i="34"/>
  <c r="E230" i="34"/>
  <c r="F230" i="34"/>
  <c r="G230" i="34"/>
  <c r="B231" i="34"/>
  <c r="C231" i="34"/>
  <c r="D231" i="34"/>
  <c r="E231" i="34"/>
  <c r="F231" i="34"/>
  <c r="G231" i="34"/>
  <c r="B232" i="34"/>
  <c r="C232" i="34"/>
  <c r="D232" i="34"/>
  <c r="E232" i="34"/>
  <c r="F232" i="34"/>
  <c r="G232" i="34"/>
  <c r="B233" i="34"/>
  <c r="C233" i="34"/>
  <c r="D233" i="34"/>
  <c r="E233" i="34"/>
  <c r="F233" i="34"/>
  <c r="G233" i="34"/>
  <c r="B234" i="34"/>
  <c r="C234" i="34"/>
  <c r="D234" i="34"/>
  <c r="E234" i="34"/>
  <c r="F234" i="34"/>
  <c r="G234" i="34"/>
  <c r="B235" i="34"/>
  <c r="C235" i="34"/>
  <c r="D235" i="34"/>
  <c r="E235" i="34"/>
  <c r="F235" i="34"/>
  <c r="G235" i="34"/>
  <c r="B236" i="34"/>
  <c r="C236" i="34"/>
  <c r="D236" i="34"/>
  <c r="E236" i="34"/>
  <c r="F236" i="34"/>
  <c r="G236" i="34"/>
  <c r="B237" i="34"/>
  <c r="C237" i="34"/>
  <c r="D237" i="34"/>
  <c r="E237" i="34"/>
  <c r="F237" i="34"/>
  <c r="G237" i="34"/>
  <c r="B238" i="34"/>
  <c r="C238" i="34"/>
  <c r="D238" i="34"/>
  <c r="E238" i="34"/>
  <c r="F238" i="34"/>
  <c r="G238" i="34"/>
  <c r="J298" i="41"/>
  <c r="J332" i="38"/>
  <c r="I298" i="41"/>
  <c r="I332" i="38"/>
  <c r="H298" i="41"/>
  <c r="H332" i="38"/>
  <c r="G298" i="41"/>
  <c r="G332" i="38"/>
  <c r="F298" i="41"/>
  <c r="F332" i="38"/>
  <c r="E298" i="41"/>
  <c r="E332" i="38"/>
  <c r="D298" i="41"/>
  <c r="D332" i="38"/>
  <c r="C298" i="41"/>
  <c r="C332" i="38"/>
  <c r="B298" i="41"/>
  <c r="B332" i="38"/>
  <c r="E291" i="41"/>
  <c r="E319" i="38"/>
  <c r="D291" i="41"/>
  <c r="C291" i="41"/>
  <c r="B291" i="41"/>
  <c r="E290" i="41"/>
  <c r="E318" i="38"/>
  <c r="D290" i="41"/>
  <c r="C290" i="41"/>
  <c r="B290" i="41"/>
  <c r="E289" i="41"/>
  <c r="E317" i="38"/>
  <c r="D289" i="41"/>
  <c r="C289" i="41"/>
  <c r="B289" i="41"/>
  <c r="E288" i="41"/>
  <c r="E316" i="38"/>
  <c r="D288" i="41"/>
  <c r="C288" i="41"/>
  <c r="B288" i="41"/>
  <c r="E287" i="41"/>
  <c r="E315" i="38"/>
  <c r="D287" i="41"/>
  <c r="C287" i="41"/>
  <c r="B287" i="41"/>
  <c r="E286" i="41"/>
  <c r="E314" i="38"/>
  <c r="D286" i="41"/>
  <c r="C286" i="41"/>
  <c r="B286" i="41"/>
  <c r="E285" i="41"/>
  <c r="E313" i="38"/>
  <c r="D285" i="41"/>
  <c r="C285" i="41"/>
  <c r="B285" i="41"/>
  <c r="E284" i="41"/>
  <c r="E312" i="38"/>
  <c r="D284" i="41"/>
  <c r="C284" i="41"/>
  <c r="B284" i="41"/>
  <c r="E283" i="41"/>
  <c r="E311" i="38"/>
  <c r="D283" i="41"/>
  <c r="C283" i="41"/>
  <c r="B283" i="41"/>
  <c r="D304" i="38"/>
  <c r="C304" i="38"/>
  <c r="B304" i="38"/>
  <c r="D297" i="38"/>
  <c r="C297" i="38"/>
  <c r="B297" i="38"/>
  <c r="D290" i="38"/>
  <c r="C290" i="38"/>
  <c r="B290" i="38"/>
  <c r="D289" i="38"/>
  <c r="C289" i="38"/>
  <c r="B289" i="38"/>
  <c r="D288" i="38"/>
  <c r="C288" i="38"/>
  <c r="B288" i="38"/>
  <c r="D287" i="38"/>
  <c r="C287" i="38"/>
  <c r="B287" i="38"/>
  <c r="E260" i="38"/>
  <c r="D260" i="38"/>
  <c r="C260" i="38"/>
  <c r="B260" i="38"/>
  <c r="G259" i="38"/>
  <c r="F259" i="38"/>
  <c r="E259" i="38"/>
  <c r="D259" i="38"/>
  <c r="C259" i="38"/>
  <c r="B259" i="38"/>
  <c r="H258" i="38"/>
  <c r="G258" i="38"/>
  <c r="F258" i="38"/>
  <c r="E258" i="38"/>
  <c r="D258" i="38"/>
  <c r="C258" i="38"/>
  <c r="B258" i="38"/>
  <c r="I257" i="38"/>
  <c r="H257" i="38"/>
  <c r="G257" i="38"/>
  <c r="F257" i="38"/>
  <c r="E257" i="38"/>
  <c r="D257" i="38"/>
  <c r="C257" i="38"/>
  <c r="B257" i="38"/>
  <c r="E249" i="38"/>
  <c r="D249" i="38"/>
  <c r="C249" i="38"/>
  <c r="B249" i="38"/>
  <c r="B244" i="38"/>
  <c r="C99" i="41"/>
  <c r="B99" i="41"/>
  <c r="C98" i="41"/>
  <c r="B98" i="41"/>
  <c r="C97" i="41"/>
  <c r="C132" i="38"/>
  <c r="B97" i="41"/>
  <c r="B132" i="38"/>
  <c r="C96" i="41"/>
  <c r="C131" i="38"/>
  <c r="B96" i="41"/>
  <c r="B131" i="38"/>
  <c r="C95" i="41"/>
  <c r="C130" i="38"/>
  <c r="B95" i="41"/>
  <c r="B130" i="38"/>
  <c r="C94" i="41"/>
  <c r="B94" i="41"/>
  <c r="C93" i="41"/>
  <c r="B93" i="41"/>
  <c r="C92" i="41"/>
  <c r="B92" i="41"/>
  <c r="C91" i="41"/>
  <c r="C126" i="38"/>
  <c r="B91" i="41"/>
  <c r="B126" i="38"/>
  <c r="C90" i="41"/>
  <c r="C125" i="38"/>
  <c r="B90" i="41"/>
  <c r="B125" i="38"/>
  <c r="C89" i="41"/>
  <c r="B89" i="41"/>
  <c r="C88" i="41"/>
  <c r="B88" i="41"/>
  <c r="C87" i="41"/>
  <c r="B87" i="41"/>
  <c r="C86" i="41"/>
  <c r="C85" i="41"/>
  <c r="B85" i="41"/>
  <c r="C84" i="41"/>
  <c r="B84" i="41"/>
  <c r="C83" i="41"/>
  <c r="C82" i="41"/>
  <c r="B82" i="41"/>
  <c r="C81" i="41"/>
  <c r="B81" i="41"/>
  <c r="F110" i="38"/>
  <c r="E110" i="38"/>
  <c r="D110" i="38"/>
  <c r="C110" i="38"/>
  <c r="H104" i="38"/>
  <c r="G104" i="38"/>
  <c r="F104" i="38"/>
  <c r="E104" i="38"/>
  <c r="D104" i="38"/>
  <c r="C104" i="38"/>
  <c r="B104" i="38"/>
  <c r="F63" i="38"/>
  <c r="E63" i="38"/>
  <c r="D63" i="38"/>
  <c r="C63" i="38"/>
  <c r="B63" i="38"/>
  <c r="I58" i="38"/>
  <c r="H58" i="38"/>
  <c r="G58" i="38"/>
  <c r="F58" i="38"/>
  <c r="E58" i="38"/>
  <c r="D58" i="38"/>
  <c r="C58" i="38"/>
  <c r="B58" i="38"/>
  <c r="B53" i="38"/>
  <c r="B52" i="38"/>
  <c r="B51" i="38"/>
  <c r="B50" i="38"/>
  <c r="B49" i="38"/>
  <c r="B48" i="38"/>
  <c r="B47" i="38"/>
  <c r="B46" i="38"/>
  <c r="B41" i="38"/>
  <c r="B36" i="38"/>
  <c r="B29" i="38"/>
  <c r="B27" i="38"/>
  <c r="B25" i="38"/>
  <c r="B24" i="38"/>
  <c r="F14" i="38"/>
  <c r="E14" i="38"/>
  <c r="C14" i="38"/>
  <c r="B14" i="38"/>
  <c r="D7" i="38"/>
  <c r="C7" i="38"/>
  <c r="B7" i="38"/>
  <c r="J332" i="37"/>
  <c r="I332" i="37"/>
  <c r="H332" i="37"/>
  <c r="G332" i="37"/>
  <c r="F332" i="37"/>
  <c r="E332" i="37"/>
  <c r="D332" i="37"/>
  <c r="C332" i="37"/>
  <c r="B332" i="37"/>
  <c r="E319" i="37"/>
  <c r="E318" i="37"/>
  <c r="E317" i="37"/>
  <c r="E316" i="37"/>
  <c r="E315" i="37"/>
  <c r="E314" i="37"/>
  <c r="E313" i="37"/>
  <c r="E312" i="37"/>
  <c r="E311" i="37"/>
  <c r="D304" i="37"/>
  <c r="C304" i="37"/>
  <c r="B304" i="37"/>
  <c r="D297" i="37"/>
  <c r="C297" i="37"/>
  <c r="B297" i="37"/>
  <c r="D290" i="37"/>
  <c r="C290" i="37"/>
  <c r="B290" i="37"/>
  <c r="D289" i="37"/>
  <c r="C289" i="37"/>
  <c r="B289" i="37"/>
  <c r="D288" i="37"/>
  <c r="C288" i="37"/>
  <c r="B288" i="37"/>
  <c r="D287" i="37"/>
  <c r="C287" i="37"/>
  <c r="B287" i="37"/>
  <c r="E260" i="37"/>
  <c r="D260" i="37"/>
  <c r="C260" i="37"/>
  <c r="B260" i="37"/>
  <c r="G259" i="37"/>
  <c r="F259" i="37"/>
  <c r="E259" i="37"/>
  <c r="D259" i="37"/>
  <c r="C259" i="37"/>
  <c r="B259" i="37"/>
  <c r="H258" i="37"/>
  <c r="G258" i="37"/>
  <c r="F258" i="37"/>
  <c r="E258" i="37"/>
  <c r="D258" i="37"/>
  <c r="C258" i="37"/>
  <c r="B258" i="37"/>
  <c r="I257" i="37"/>
  <c r="H257" i="37"/>
  <c r="G257" i="37"/>
  <c r="F257" i="37"/>
  <c r="E257" i="37"/>
  <c r="D257" i="37"/>
  <c r="C257" i="37"/>
  <c r="B257" i="37"/>
  <c r="E249" i="37"/>
  <c r="D249" i="37"/>
  <c r="C249" i="37"/>
  <c r="B249" i="37"/>
  <c r="B244" i="37"/>
  <c r="C132" i="37"/>
  <c r="B132" i="37"/>
  <c r="C131" i="37"/>
  <c r="B131" i="37"/>
  <c r="C130" i="37"/>
  <c r="B130" i="37"/>
  <c r="C126" i="37"/>
  <c r="B126" i="37"/>
  <c r="C125" i="37"/>
  <c r="B125" i="37"/>
  <c r="F110" i="37"/>
  <c r="E110" i="37"/>
  <c r="D110" i="37"/>
  <c r="C110" i="37"/>
  <c r="H104" i="37"/>
  <c r="G104" i="37"/>
  <c r="F104" i="37"/>
  <c r="E104" i="37"/>
  <c r="D104" i="37"/>
  <c r="C104" i="37"/>
  <c r="B104" i="37"/>
  <c r="F63" i="37"/>
  <c r="E63" i="37"/>
  <c r="D63" i="37"/>
  <c r="C63" i="37"/>
  <c r="B63" i="37"/>
  <c r="I58" i="37"/>
  <c r="H58" i="37"/>
  <c r="G58" i="37"/>
  <c r="F58" i="37"/>
  <c r="E58" i="37"/>
  <c r="D58" i="37"/>
  <c r="C58" i="37"/>
  <c r="B58" i="37"/>
  <c r="B53" i="37"/>
  <c r="B52" i="37"/>
  <c r="B51" i="37"/>
  <c r="B50" i="37"/>
  <c r="B49" i="37"/>
  <c r="B48" i="37"/>
  <c r="B47" i="37"/>
  <c r="B46" i="37"/>
  <c r="B41" i="37"/>
  <c r="B36" i="37"/>
  <c r="B29" i="37"/>
  <c r="B27" i="37"/>
  <c r="B25" i="37"/>
  <c r="B24" i="37"/>
  <c r="F14" i="37"/>
  <c r="E14" i="37"/>
  <c r="C14" i="37"/>
  <c r="B14" i="37"/>
  <c r="D7" i="37"/>
  <c r="C7" i="37"/>
  <c r="B7" i="37"/>
  <c r="J332" i="36"/>
  <c r="I332" i="36"/>
  <c r="H332" i="36"/>
  <c r="G332" i="36"/>
  <c r="F332" i="36"/>
  <c r="E332" i="36"/>
  <c r="D332" i="36"/>
  <c r="C332" i="36"/>
  <c r="B332" i="36"/>
  <c r="E319" i="36"/>
  <c r="E318" i="36"/>
  <c r="E317" i="36"/>
  <c r="E316" i="36"/>
  <c r="E315" i="36"/>
  <c r="E314" i="36"/>
  <c r="E313" i="36"/>
  <c r="E312" i="36"/>
  <c r="E311" i="36"/>
  <c r="D304" i="36"/>
  <c r="C304" i="36"/>
  <c r="B304" i="36"/>
  <c r="D297" i="36"/>
  <c r="C297" i="36"/>
  <c r="B297" i="36"/>
  <c r="D290" i="36"/>
  <c r="C290" i="36"/>
  <c r="B290" i="36"/>
  <c r="D289" i="36"/>
  <c r="C289" i="36"/>
  <c r="B289" i="36"/>
  <c r="D288" i="36"/>
  <c r="C288" i="36"/>
  <c r="B288" i="36"/>
  <c r="D287" i="36"/>
  <c r="C287" i="36"/>
  <c r="B287" i="36"/>
  <c r="E260" i="36"/>
  <c r="D260" i="36"/>
  <c r="C260" i="36"/>
  <c r="B260" i="36"/>
  <c r="G259" i="36"/>
  <c r="F259" i="36"/>
  <c r="E259" i="36"/>
  <c r="D259" i="36"/>
  <c r="C259" i="36"/>
  <c r="B259" i="36"/>
  <c r="H258" i="36"/>
  <c r="G258" i="36"/>
  <c r="F258" i="36"/>
  <c r="E258" i="36"/>
  <c r="D258" i="36"/>
  <c r="C258" i="36"/>
  <c r="B258" i="36"/>
  <c r="I257" i="36"/>
  <c r="H257" i="36"/>
  <c r="G257" i="36"/>
  <c r="F257" i="36"/>
  <c r="E257" i="36"/>
  <c r="D257" i="36"/>
  <c r="C257" i="36"/>
  <c r="B257" i="36"/>
  <c r="E249" i="36"/>
  <c r="D249" i="36"/>
  <c r="C249" i="36"/>
  <c r="B249" i="36"/>
  <c r="B244" i="36"/>
  <c r="C132" i="36"/>
  <c r="B132" i="36"/>
  <c r="C131" i="36"/>
  <c r="B131" i="36"/>
  <c r="C130" i="36"/>
  <c r="B130" i="36"/>
  <c r="C126" i="36"/>
  <c r="B126" i="36"/>
  <c r="C125" i="36"/>
  <c r="B125" i="36"/>
  <c r="C123" i="36"/>
  <c r="C119" i="36"/>
  <c r="F110" i="36"/>
  <c r="E110" i="36"/>
  <c r="D110" i="36"/>
  <c r="C110" i="36"/>
  <c r="H104" i="36"/>
  <c r="G104" i="36"/>
  <c r="F104" i="36"/>
  <c r="E104" i="36"/>
  <c r="D104" i="36"/>
  <c r="C104" i="36"/>
  <c r="B104" i="36"/>
  <c r="F63" i="36"/>
  <c r="E63" i="36"/>
  <c r="D63" i="36"/>
  <c r="C63" i="36"/>
  <c r="B63" i="36"/>
  <c r="I58" i="36"/>
  <c r="H58" i="36"/>
  <c r="G58" i="36"/>
  <c r="F58" i="36"/>
  <c r="E58" i="36"/>
  <c r="D58" i="36"/>
  <c r="C58" i="36"/>
  <c r="B58" i="36"/>
  <c r="B53" i="36"/>
  <c r="B52" i="36"/>
  <c r="B51" i="36"/>
  <c r="B50" i="36"/>
  <c r="B49" i="36"/>
  <c r="B48" i="36"/>
  <c r="B47" i="36"/>
  <c r="B46" i="36"/>
  <c r="B41" i="36"/>
  <c r="B36" i="36"/>
  <c r="B29" i="36"/>
  <c r="B27" i="36"/>
  <c r="B25" i="36"/>
  <c r="B24" i="36"/>
  <c r="F14" i="36"/>
  <c r="E14" i="36"/>
  <c r="C14" i="36"/>
  <c r="B14" i="36"/>
  <c r="D7" i="36"/>
  <c r="C7" i="36"/>
  <c r="B7" i="36"/>
  <c r="J332" i="35"/>
  <c r="I332" i="35"/>
  <c r="H332" i="35"/>
  <c r="G332" i="35"/>
  <c r="F332" i="35"/>
  <c r="E332" i="35"/>
  <c r="D332" i="35"/>
  <c r="C332" i="35"/>
  <c r="B332" i="35"/>
  <c r="E319" i="35"/>
  <c r="E318" i="35"/>
  <c r="E317" i="35"/>
  <c r="E316" i="35"/>
  <c r="E315" i="35"/>
  <c r="E314" i="35"/>
  <c r="E313" i="35"/>
  <c r="E312" i="35"/>
  <c r="E311" i="35"/>
  <c r="D304" i="35"/>
  <c r="C304" i="35"/>
  <c r="B304" i="35"/>
  <c r="D297" i="35"/>
  <c r="C297" i="35"/>
  <c r="B297" i="35"/>
  <c r="D290" i="35"/>
  <c r="C290" i="35"/>
  <c r="B290" i="35"/>
  <c r="D289" i="35"/>
  <c r="C289" i="35"/>
  <c r="B289" i="35"/>
  <c r="D288" i="35"/>
  <c r="C288" i="35"/>
  <c r="B288" i="35"/>
  <c r="D287" i="35"/>
  <c r="C287" i="35"/>
  <c r="B287" i="35"/>
  <c r="E260" i="35"/>
  <c r="D260" i="35"/>
  <c r="C260" i="35"/>
  <c r="B260" i="35"/>
  <c r="G259" i="35"/>
  <c r="F259" i="35"/>
  <c r="E259" i="35"/>
  <c r="D259" i="35"/>
  <c r="C259" i="35"/>
  <c r="B259" i="35"/>
  <c r="H258" i="35"/>
  <c r="G258" i="35"/>
  <c r="F258" i="35"/>
  <c r="E258" i="35"/>
  <c r="D258" i="35"/>
  <c r="C258" i="35"/>
  <c r="B258" i="35"/>
  <c r="I257" i="35"/>
  <c r="H257" i="35"/>
  <c r="G257" i="35"/>
  <c r="F257" i="35"/>
  <c r="E257" i="35"/>
  <c r="D257" i="35"/>
  <c r="C257" i="35"/>
  <c r="B257" i="35"/>
  <c r="E249" i="35"/>
  <c r="D249" i="35"/>
  <c r="C249" i="35"/>
  <c r="B249" i="35"/>
  <c r="B244" i="35"/>
  <c r="C132" i="35"/>
  <c r="B132" i="35"/>
  <c r="C131" i="35"/>
  <c r="B131" i="35"/>
  <c r="C130" i="35"/>
  <c r="B130" i="35"/>
  <c r="C126" i="35"/>
  <c r="B126" i="35"/>
  <c r="C125" i="35"/>
  <c r="B125" i="35"/>
  <c r="C124" i="35"/>
  <c r="C120" i="35"/>
  <c r="C116" i="35"/>
  <c r="F110" i="35"/>
  <c r="E110" i="35"/>
  <c r="D110" i="35"/>
  <c r="C110" i="35"/>
  <c r="H104" i="35"/>
  <c r="G104" i="35"/>
  <c r="F104" i="35"/>
  <c r="E104" i="35"/>
  <c r="D104" i="35"/>
  <c r="C104" i="35"/>
  <c r="B104" i="35"/>
  <c r="F63" i="35"/>
  <c r="E63" i="35"/>
  <c r="D63" i="35"/>
  <c r="C63" i="35"/>
  <c r="B63" i="35"/>
  <c r="I58" i="35"/>
  <c r="H58" i="35"/>
  <c r="G58" i="35"/>
  <c r="F58" i="35"/>
  <c r="E58" i="35"/>
  <c r="D58" i="35"/>
  <c r="C58" i="35"/>
  <c r="B58" i="35"/>
  <c r="B53" i="35"/>
  <c r="B52" i="35"/>
  <c r="B51" i="35"/>
  <c r="B50" i="35"/>
  <c r="B49" i="35"/>
  <c r="B48" i="35"/>
  <c r="B47" i="35"/>
  <c r="B46" i="35"/>
  <c r="B41" i="35"/>
  <c r="B36" i="35"/>
  <c r="B29" i="35"/>
  <c r="B27" i="35"/>
  <c r="B25" i="35"/>
  <c r="B24" i="35"/>
  <c r="F14" i="35"/>
  <c r="E14" i="35"/>
  <c r="C14" i="35"/>
  <c r="B14" i="35"/>
  <c r="D7" i="35"/>
  <c r="C7" i="35"/>
  <c r="B7" i="35"/>
  <c r="J332" i="34"/>
  <c r="I332" i="34"/>
  <c r="H332" i="34"/>
  <c r="G332" i="34"/>
  <c r="F332" i="34"/>
  <c r="E332" i="34"/>
  <c r="D332" i="34"/>
  <c r="C332" i="34"/>
  <c r="B332" i="34"/>
  <c r="E319" i="34"/>
  <c r="E318" i="34"/>
  <c r="E317" i="34"/>
  <c r="E316" i="34"/>
  <c r="E315" i="34"/>
  <c r="E314" i="34"/>
  <c r="E313" i="34"/>
  <c r="E312" i="34"/>
  <c r="E311" i="34"/>
  <c r="D304" i="34"/>
  <c r="C304" i="34"/>
  <c r="B304" i="34"/>
  <c r="D297" i="34"/>
  <c r="C297" i="34"/>
  <c r="B297" i="34"/>
  <c r="D290" i="34"/>
  <c r="C290" i="34"/>
  <c r="B290" i="34"/>
  <c r="D289" i="34"/>
  <c r="C289" i="34"/>
  <c r="B289" i="34"/>
  <c r="D288" i="34"/>
  <c r="C288" i="34"/>
  <c r="B288" i="34"/>
  <c r="D287" i="34"/>
  <c r="C287" i="34"/>
  <c r="B287" i="34"/>
  <c r="D282" i="34"/>
  <c r="B282" i="34"/>
  <c r="C281" i="34"/>
  <c r="D280" i="34"/>
  <c r="B280" i="34"/>
  <c r="C279" i="34"/>
  <c r="D278" i="34"/>
  <c r="B278" i="34"/>
  <c r="E260" i="34"/>
  <c r="D260" i="34"/>
  <c r="C260" i="34"/>
  <c r="B260" i="34"/>
  <c r="G259" i="34"/>
  <c r="F259" i="34"/>
  <c r="E259" i="34"/>
  <c r="D259" i="34"/>
  <c r="C259" i="34"/>
  <c r="B259" i="34"/>
  <c r="H258" i="34"/>
  <c r="G258" i="34"/>
  <c r="F258" i="34"/>
  <c r="E258" i="34"/>
  <c r="D258" i="34"/>
  <c r="C258" i="34"/>
  <c r="B258" i="34"/>
  <c r="I257" i="34"/>
  <c r="H257" i="34"/>
  <c r="G257" i="34"/>
  <c r="F257" i="34"/>
  <c r="E257" i="34"/>
  <c r="D257" i="34"/>
  <c r="C257" i="34"/>
  <c r="B257" i="34"/>
  <c r="E249" i="34"/>
  <c r="D249" i="34"/>
  <c r="C249" i="34"/>
  <c r="B249" i="34"/>
  <c r="B244" i="34"/>
  <c r="C132" i="34"/>
  <c r="B132" i="34"/>
  <c r="C131" i="34"/>
  <c r="B131" i="34"/>
  <c r="C130" i="34"/>
  <c r="B130" i="34"/>
  <c r="C128" i="34"/>
  <c r="C126" i="34"/>
  <c r="B126" i="34"/>
  <c r="C125" i="34"/>
  <c r="B125" i="34"/>
  <c r="C122" i="34"/>
  <c r="B120" i="34"/>
  <c r="C119" i="34"/>
  <c r="C118" i="34"/>
  <c r="F110" i="34"/>
  <c r="E110" i="34"/>
  <c r="D110" i="34"/>
  <c r="C110" i="34"/>
  <c r="H104" i="34"/>
  <c r="G104" i="34"/>
  <c r="F104" i="34"/>
  <c r="E104" i="34"/>
  <c r="D104" i="34"/>
  <c r="C104" i="34"/>
  <c r="B104" i="34"/>
  <c r="F63" i="34"/>
  <c r="E63" i="34"/>
  <c r="D63" i="34"/>
  <c r="C63" i="34"/>
  <c r="B63" i="34"/>
  <c r="I58" i="34"/>
  <c r="H58" i="34"/>
  <c r="G58" i="34"/>
  <c r="F58" i="34"/>
  <c r="E58" i="34"/>
  <c r="D58" i="34"/>
  <c r="C58" i="34"/>
  <c r="B58" i="34"/>
  <c r="B53" i="34"/>
  <c r="B52" i="34"/>
  <c r="B51" i="34"/>
  <c r="B50" i="34"/>
  <c r="B49" i="34"/>
  <c r="B48" i="34"/>
  <c r="B47" i="34"/>
  <c r="B46" i="34"/>
  <c r="B41" i="34"/>
  <c r="B36" i="34"/>
  <c r="B29" i="34"/>
  <c r="B27" i="34"/>
  <c r="B25" i="34"/>
  <c r="B24" i="34"/>
  <c r="F14" i="34"/>
  <c r="E14" i="34"/>
  <c r="C14" i="34"/>
  <c r="B14" i="34"/>
  <c r="D7" i="34"/>
  <c r="C7" i="34"/>
  <c r="B7" i="34"/>
  <c r="B83" i="41"/>
  <c r="B86" i="41"/>
  <c r="C66" i="35"/>
  <c r="D66" i="35"/>
  <c r="E66" i="35"/>
  <c r="F66" i="35"/>
  <c r="G66" i="35"/>
  <c r="H66" i="35"/>
  <c r="I66" i="35"/>
  <c r="R22" i="31"/>
  <c r="I83" i="35"/>
  <c r="Q22" i="31"/>
  <c r="H83" i="35"/>
  <c r="P22" i="31"/>
  <c r="G83" i="35"/>
  <c r="O22" i="31"/>
  <c r="F83" i="35"/>
  <c r="N22" i="31"/>
  <c r="E83" i="35"/>
  <c r="M22" i="31"/>
  <c r="D83" i="35"/>
  <c r="L22" i="31"/>
  <c r="C83" i="35"/>
  <c r="K22" i="31"/>
  <c r="B83" i="35"/>
  <c r="R21" i="31"/>
  <c r="I82" i="35"/>
  <c r="Q21" i="31"/>
  <c r="H82" i="35"/>
  <c r="P21" i="31"/>
  <c r="G82" i="35"/>
  <c r="O21" i="31"/>
  <c r="F82" i="35"/>
  <c r="N21" i="31"/>
  <c r="E82" i="35"/>
  <c r="M21" i="31"/>
  <c r="D82" i="35"/>
  <c r="L21" i="31"/>
  <c r="C82" i="35"/>
  <c r="K21" i="31"/>
  <c r="B82" i="35"/>
  <c r="R20" i="31"/>
  <c r="I81" i="35"/>
  <c r="Q20" i="31"/>
  <c r="H81" i="35"/>
  <c r="P20" i="31"/>
  <c r="G81" i="35"/>
  <c r="O20" i="31"/>
  <c r="F81" i="35"/>
  <c r="N20" i="31"/>
  <c r="E81" i="35"/>
  <c r="M20" i="31"/>
  <c r="D81" i="35"/>
  <c r="L20" i="31"/>
  <c r="C81" i="35"/>
  <c r="K20" i="31"/>
  <c r="B81" i="35"/>
  <c r="R19" i="31"/>
  <c r="I80" i="35"/>
  <c r="Q19" i="31"/>
  <c r="H80" i="35"/>
  <c r="P19" i="31"/>
  <c r="G80" i="35"/>
  <c r="O19" i="31"/>
  <c r="F80" i="35"/>
  <c r="N19" i="31"/>
  <c r="E80" i="35"/>
  <c r="M19" i="31"/>
  <c r="D80" i="35"/>
  <c r="L19" i="31"/>
  <c r="C80" i="35"/>
  <c r="K19" i="31"/>
  <c r="B80" i="35"/>
  <c r="R18" i="31"/>
  <c r="I79" i="35"/>
  <c r="Q18" i="31"/>
  <c r="H79" i="35"/>
  <c r="P18" i="31"/>
  <c r="G79" i="35"/>
  <c r="O18" i="31"/>
  <c r="F79" i="35"/>
  <c r="N18" i="31"/>
  <c r="E79" i="35"/>
  <c r="M18" i="31"/>
  <c r="D79" i="35"/>
  <c r="L18" i="31"/>
  <c r="C79" i="35"/>
  <c r="K18" i="31"/>
  <c r="B79" i="35"/>
  <c r="R17" i="31"/>
  <c r="I78" i="35"/>
  <c r="Q17" i="31"/>
  <c r="H78" i="35"/>
  <c r="P17" i="31"/>
  <c r="G78" i="35"/>
  <c r="O17" i="31"/>
  <c r="F78" i="35"/>
  <c r="N17" i="31"/>
  <c r="E78" i="35"/>
  <c r="M17" i="31"/>
  <c r="D78" i="35"/>
  <c r="L17" i="31"/>
  <c r="C78" i="35"/>
  <c r="K17" i="31"/>
  <c r="B78" i="35"/>
  <c r="R16" i="31"/>
  <c r="I77" i="35"/>
  <c r="Q16" i="31"/>
  <c r="H77" i="35"/>
  <c r="P16" i="31"/>
  <c r="G77" i="35"/>
  <c r="O16" i="31"/>
  <c r="F77" i="35"/>
  <c r="N16" i="31"/>
  <c r="E77" i="35"/>
  <c r="M16" i="31"/>
  <c r="D77" i="35"/>
  <c r="L16" i="31"/>
  <c r="C77" i="35"/>
  <c r="K16" i="31"/>
  <c r="B77" i="35"/>
  <c r="R15" i="31"/>
  <c r="I76" i="35"/>
  <c r="Q15" i="31"/>
  <c r="H76" i="35"/>
  <c r="P15" i="31"/>
  <c r="G76" i="35"/>
  <c r="O15" i="31"/>
  <c r="F76" i="35"/>
  <c r="N15" i="31"/>
  <c r="E76" i="35"/>
  <c r="M15" i="31"/>
  <c r="D76" i="35"/>
  <c r="L15" i="31"/>
  <c r="C76" i="35"/>
  <c r="K15" i="31"/>
  <c r="B76" i="35"/>
  <c r="R14" i="31"/>
  <c r="I75" i="35"/>
  <c r="Q14" i="31"/>
  <c r="H75" i="35"/>
  <c r="P14" i="31"/>
  <c r="G75" i="35"/>
  <c r="O14" i="31"/>
  <c r="F75" i="35"/>
  <c r="N14" i="31"/>
  <c r="E75" i="35"/>
  <c r="M14" i="31"/>
  <c r="D75" i="35"/>
  <c r="L14" i="31"/>
  <c r="C75" i="35"/>
  <c r="K14" i="31"/>
  <c r="B75" i="35"/>
  <c r="R13" i="31"/>
  <c r="I74" i="35"/>
  <c r="Q13" i="31"/>
  <c r="H74" i="35"/>
  <c r="P13" i="31"/>
  <c r="G74" i="35"/>
  <c r="O13" i="31"/>
  <c r="F74" i="35"/>
  <c r="N13" i="31"/>
  <c r="E74" i="35"/>
  <c r="M13" i="31"/>
  <c r="D74" i="35"/>
  <c r="L13" i="31"/>
  <c r="C74" i="35"/>
  <c r="K13" i="31"/>
  <c r="B74" i="35"/>
  <c r="R12" i="31"/>
  <c r="I73" i="35"/>
  <c r="Q12" i="31"/>
  <c r="H73" i="35"/>
  <c r="P12" i="31"/>
  <c r="G73" i="35"/>
  <c r="O12" i="31"/>
  <c r="F73" i="35"/>
  <c r="N12" i="31"/>
  <c r="E73" i="35"/>
  <c r="M12" i="31"/>
  <c r="D73" i="35"/>
  <c r="L12" i="31"/>
  <c r="C73" i="35"/>
  <c r="K12" i="31"/>
  <c r="B73" i="35"/>
  <c r="R11" i="31"/>
  <c r="I72" i="35"/>
  <c r="Q11" i="31"/>
  <c r="H72" i="35"/>
  <c r="P11" i="31"/>
  <c r="G72" i="35"/>
  <c r="O11" i="31"/>
  <c r="F72" i="35"/>
  <c r="N11" i="31"/>
  <c r="E72" i="35"/>
  <c r="M11" i="31"/>
  <c r="D72" i="35"/>
  <c r="L11" i="31"/>
  <c r="C72" i="35"/>
  <c r="K11" i="31"/>
  <c r="B72" i="35"/>
  <c r="R10" i="31"/>
  <c r="I71" i="35"/>
  <c r="Q10" i="31"/>
  <c r="H71" i="35"/>
  <c r="P10" i="31"/>
  <c r="G71" i="35"/>
  <c r="O10" i="31"/>
  <c r="F71" i="35"/>
  <c r="N10" i="31"/>
  <c r="E71" i="35"/>
  <c r="M10" i="31"/>
  <c r="D71" i="35"/>
  <c r="L10" i="31"/>
  <c r="C71" i="35"/>
  <c r="K10" i="31"/>
  <c r="B71" i="35"/>
  <c r="R9" i="31"/>
  <c r="I70" i="35"/>
  <c r="Q9" i="31"/>
  <c r="H70" i="35"/>
  <c r="P9" i="31"/>
  <c r="G70" i="35"/>
  <c r="O9" i="31"/>
  <c r="F70" i="35"/>
  <c r="N9" i="31"/>
  <c r="E70" i="35"/>
  <c r="M9" i="31"/>
  <c r="D70" i="35"/>
  <c r="L9" i="31"/>
  <c r="C70" i="35"/>
  <c r="K9" i="31"/>
  <c r="B70" i="35"/>
  <c r="R8" i="31"/>
  <c r="I69" i="35"/>
  <c r="Q8" i="31"/>
  <c r="H69" i="35"/>
  <c r="P8" i="31"/>
  <c r="G69" i="35"/>
  <c r="O8" i="31"/>
  <c r="F69" i="35"/>
  <c r="N8" i="31"/>
  <c r="E69" i="35"/>
  <c r="M8" i="31"/>
  <c r="D69" i="35"/>
  <c r="L8" i="31"/>
  <c r="C69" i="35"/>
  <c r="K8" i="31"/>
  <c r="B69" i="35"/>
  <c r="R7" i="31"/>
  <c r="I68" i="35"/>
  <c r="Q7" i="31"/>
  <c r="H68" i="35"/>
  <c r="P7" i="31"/>
  <c r="G68" i="35"/>
  <c r="O7" i="31"/>
  <c r="F68" i="35"/>
  <c r="N7" i="31"/>
  <c r="E68" i="35"/>
  <c r="M7" i="31"/>
  <c r="D68" i="35"/>
  <c r="L7" i="31"/>
  <c r="C68" i="35"/>
  <c r="C66" i="36"/>
  <c r="D66" i="36"/>
  <c r="E66" i="36"/>
  <c r="F66" i="36"/>
  <c r="G66" i="36"/>
  <c r="H66" i="36"/>
  <c r="I66" i="36"/>
  <c r="Z22" i="31"/>
  <c r="I83" i="36" s="1"/>
  <c r="Y22" i="31"/>
  <c r="X22" i="31"/>
  <c r="G83" i="36" s="1"/>
  <c r="W22" i="31"/>
  <c r="V22" i="31"/>
  <c r="E83" i="36" s="1"/>
  <c r="U22" i="31"/>
  <c r="T22" i="31"/>
  <c r="C83" i="36" s="1"/>
  <c r="S22" i="31"/>
  <c r="Z21" i="31"/>
  <c r="I82" i="36" s="1"/>
  <c r="Y21" i="31"/>
  <c r="X21" i="31"/>
  <c r="G82" i="36" s="1"/>
  <c r="W21" i="31"/>
  <c r="V21" i="31"/>
  <c r="E82" i="36" s="1"/>
  <c r="U21" i="31"/>
  <c r="T21" i="31"/>
  <c r="C82" i="36" s="1"/>
  <c r="S21" i="31"/>
  <c r="Z20" i="31"/>
  <c r="I81" i="36" s="1"/>
  <c r="Y20" i="31"/>
  <c r="X20" i="31"/>
  <c r="G81" i="36" s="1"/>
  <c r="W20" i="31"/>
  <c r="V20" i="31"/>
  <c r="E81" i="36" s="1"/>
  <c r="U20" i="31"/>
  <c r="T20" i="31"/>
  <c r="C81" i="36" s="1"/>
  <c r="S20" i="31"/>
  <c r="Z19" i="31"/>
  <c r="I80" i="36" s="1"/>
  <c r="Y19" i="31"/>
  <c r="X19" i="31"/>
  <c r="G80" i="36" s="1"/>
  <c r="W19" i="31"/>
  <c r="V19" i="31"/>
  <c r="E80" i="36" s="1"/>
  <c r="U19" i="31"/>
  <c r="T19" i="31"/>
  <c r="C80" i="36" s="1"/>
  <c r="S19" i="31"/>
  <c r="Z18" i="31"/>
  <c r="I79" i="36" s="1"/>
  <c r="Y18" i="31"/>
  <c r="X18" i="31"/>
  <c r="G79" i="36" s="1"/>
  <c r="W18" i="31"/>
  <c r="V18" i="31"/>
  <c r="E79" i="36" s="1"/>
  <c r="U18" i="31"/>
  <c r="T18" i="31"/>
  <c r="C79" i="36" s="1"/>
  <c r="S18" i="31"/>
  <c r="Z17" i="31"/>
  <c r="I78" i="36" s="1"/>
  <c r="Y17" i="31"/>
  <c r="X17" i="31"/>
  <c r="G78" i="36" s="1"/>
  <c r="W17" i="31"/>
  <c r="V17" i="31"/>
  <c r="E78" i="36" s="1"/>
  <c r="U17" i="31"/>
  <c r="D78" i="36" s="1"/>
  <c r="T17" i="31"/>
  <c r="C78" i="36" s="1"/>
  <c r="S17" i="31"/>
  <c r="B78" i="36" s="1"/>
  <c r="Z16" i="31"/>
  <c r="I77" i="36" s="1"/>
  <c r="Y16" i="31"/>
  <c r="H77" i="36" s="1"/>
  <c r="X16" i="31"/>
  <c r="G77" i="36" s="1"/>
  <c r="W16" i="31"/>
  <c r="F77" i="36" s="1"/>
  <c r="V16" i="31"/>
  <c r="E77" i="36" s="1"/>
  <c r="U16" i="31"/>
  <c r="D77" i="36" s="1"/>
  <c r="T16" i="31"/>
  <c r="C77" i="36" s="1"/>
  <c r="S16" i="31"/>
  <c r="B77" i="36" s="1"/>
  <c r="Z15" i="31"/>
  <c r="I76" i="36" s="1"/>
  <c r="Y15" i="31"/>
  <c r="H76" i="36" s="1"/>
  <c r="X15" i="31"/>
  <c r="G76" i="36" s="1"/>
  <c r="W15" i="31"/>
  <c r="F76" i="36" s="1"/>
  <c r="V15" i="31"/>
  <c r="E76" i="36" s="1"/>
  <c r="U15" i="31"/>
  <c r="D76" i="36" s="1"/>
  <c r="T15" i="31"/>
  <c r="C76" i="36" s="1"/>
  <c r="S15" i="31"/>
  <c r="B76" i="36" s="1"/>
  <c r="Z14" i="31"/>
  <c r="I75" i="36" s="1"/>
  <c r="Y14" i="31"/>
  <c r="H75" i="36" s="1"/>
  <c r="X14" i="31"/>
  <c r="G75" i="36" s="1"/>
  <c r="W14" i="31"/>
  <c r="F75" i="36" s="1"/>
  <c r="V14" i="31"/>
  <c r="E75" i="36" s="1"/>
  <c r="U14" i="31"/>
  <c r="D75" i="36" s="1"/>
  <c r="T14" i="31"/>
  <c r="C75" i="36" s="1"/>
  <c r="S14" i="31"/>
  <c r="B75" i="36" s="1"/>
  <c r="Z13" i="31"/>
  <c r="I74" i="36" s="1"/>
  <c r="Y13" i="31"/>
  <c r="H74" i="36" s="1"/>
  <c r="X13" i="31"/>
  <c r="G74" i="36" s="1"/>
  <c r="W13" i="31"/>
  <c r="F74" i="36" s="1"/>
  <c r="V13" i="31"/>
  <c r="E74" i="36" s="1"/>
  <c r="U13" i="31"/>
  <c r="D74" i="36" s="1"/>
  <c r="T13" i="31"/>
  <c r="C74" i="36" s="1"/>
  <c r="S13" i="31"/>
  <c r="B74" i="36" s="1"/>
  <c r="Z12" i="31"/>
  <c r="I73" i="36" s="1"/>
  <c r="Y12" i="31"/>
  <c r="H73" i="36" s="1"/>
  <c r="X12" i="31"/>
  <c r="G73" i="36" s="1"/>
  <c r="W12" i="31"/>
  <c r="F73" i="36" s="1"/>
  <c r="V12" i="31"/>
  <c r="E73" i="36" s="1"/>
  <c r="U12" i="31"/>
  <c r="D73" i="36" s="1"/>
  <c r="T12" i="31"/>
  <c r="C73" i="36" s="1"/>
  <c r="S12" i="31"/>
  <c r="B73" i="36" s="1"/>
  <c r="Z11" i="31"/>
  <c r="I72" i="36" s="1"/>
  <c r="Y11" i="31"/>
  <c r="H72" i="36" s="1"/>
  <c r="X11" i="31"/>
  <c r="G72" i="36" s="1"/>
  <c r="W11" i="31"/>
  <c r="F72" i="36" s="1"/>
  <c r="V11" i="31"/>
  <c r="E72" i="36" s="1"/>
  <c r="U11" i="31"/>
  <c r="D72" i="36" s="1"/>
  <c r="T11" i="31"/>
  <c r="C72" i="36" s="1"/>
  <c r="S11" i="31"/>
  <c r="B72" i="36" s="1"/>
  <c r="Z10" i="31"/>
  <c r="I71" i="36" s="1"/>
  <c r="Y10" i="31"/>
  <c r="H71" i="36" s="1"/>
  <c r="X10" i="31"/>
  <c r="G71" i="36" s="1"/>
  <c r="W10" i="31"/>
  <c r="F71" i="36" s="1"/>
  <c r="V10" i="31"/>
  <c r="E71" i="36" s="1"/>
  <c r="U10" i="31"/>
  <c r="D71" i="36" s="1"/>
  <c r="T10" i="31"/>
  <c r="C71" i="36" s="1"/>
  <c r="S10" i="31"/>
  <c r="B71" i="36" s="1"/>
  <c r="Z9" i="31"/>
  <c r="I70" i="36" s="1"/>
  <c r="Y9" i="31"/>
  <c r="H70" i="36" s="1"/>
  <c r="X9" i="31"/>
  <c r="G70" i="36" s="1"/>
  <c r="W9" i="31"/>
  <c r="F70" i="36" s="1"/>
  <c r="V9" i="31"/>
  <c r="E70" i="36" s="1"/>
  <c r="U9" i="31"/>
  <c r="D70" i="36" s="1"/>
  <c r="T9" i="31"/>
  <c r="C70" i="36" s="1"/>
  <c r="S9" i="31"/>
  <c r="B70" i="36" s="1"/>
  <c r="Z8" i="31"/>
  <c r="I69" i="36" s="1"/>
  <c r="Y8" i="31"/>
  <c r="H69" i="36" s="1"/>
  <c r="X8" i="31"/>
  <c r="G69" i="36" s="1"/>
  <c r="W8" i="31"/>
  <c r="F69" i="36" s="1"/>
  <c r="V8" i="31"/>
  <c r="E69" i="36"/>
  <c r="U8" i="31"/>
  <c r="D69" i="36" s="1"/>
  <c r="T8" i="31"/>
  <c r="C69" i="36" s="1"/>
  <c r="S8" i="31"/>
  <c r="B69" i="36" s="1"/>
  <c r="Z7" i="31"/>
  <c r="I68" i="36"/>
  <c r="Y7" i="31"/>
  <c r="H68" i="36" s="1"/>
  <c r="X7" i="31"/>
  <c r="G68" i="36" s="1"/>
  <c r="W7" i="31"/>
  <c r="F68" i="36" s="1"/>
  <c r="V7" i="31"/>
  <c r="E68" i="36"/>
  <c r="U7" i="31"/>
  <c r="D68" i="36" s="1"/>
  <c r="T7" i="31"/>
  <c r="C68" i="36" s="1"/>
  <c r="C66" i="37"/>
  <c r="D66" i="37"/>
  <c r="E66" i="37"/>
  <c r="F66" i="37"/>
  <c r="G66" i="37"/>
  <c r="H66" i="37"/>
  <c r="I66" i="37"/>
  <c r="AF22" i="31"/>
  <c r="G83" i="37" s="1"/>
  <c r="AB22" i="31"/>
  <c r="C83" i="37" s="1"/>
  <c r="AF21" i="31"/>
  <c r="G82" i="37" s="1"/>
  <c r="AB21" i="31"/>
  <c r="C82" i="37" s="1"/>
  <c r="AF20" i="31"/>
  <c r="G81" i="37" s="1"/>
  <c r="AB20" i="31"/>
  <c r="C81" i="37" s="1"/>
  <c r="AF19" i="31"/>
  <c r="G80" i="37" s="1"/>
  <c r="AB19" i="31"/>
  <c r="C80" i="37" s="1"/>
  <c r="AF18" i="31"/>
  <c r="G79" i="37" s="1"/>
  <c r="AB18" i="31"/>
  <c r="C79" i="37" s="1"/>
  <c r="AF17" i="31"/>
  <c r="G78" i="37" s="1"/>
  <c r="AC17" i="31"/>
  <c r="D78" i="37"/>
  <c r="AA17" i="31"/>
  <c r="B78" i="37"/>
  <c r="AG16" i="31"/>
  <c r="H77" i="37"/>
  <c r="AE16" i="31"/>
  <c r="F77" i="37"/>
  <c r="AC16" i="31"/>
  <c r="D77" i="37"/>
  <c r="AA16" i="31"/>
  <c r="B77" i="37"/>
  <c r="AG15" i="31"/>
  <c r="H76" i="37"/>
  <c r="AE15" i="31"/>
  <c r="F76" i="37"/>
  <c r="AC15" i="31"/>
  <c r="D76" i="37"/>
  <c r="AA15" i="31"/>
  <c r="B76" i="37"/>
  <c r="AG14" i="31"/>
  <c r="H75" i="37"/>
  <c r="AE14" i="31"/>
  <c r="F75" i="37"/>
  <c r="AC14" i="31"/>
  <c r="D75" i="37"/>
  <c r="AA14" i="31"/>
  <c r="B75" i="37"/>
  <c r="AG13" i="31"/>
  <c r="H74" i="37"/>
  <c r="AE13" i="31"/>
  <c r="F74" i="37"/>
  <c r="AC13" i="31"/>
  <c r="D74" i="37"/>
  <c r="AA13" i="31"/>
  <c r="B74" i="37"/>
  <c r="AG12" i="31"/>
  <c r="H73" i="37"/>
  <c r="AE12" i="31"/>
  <c r="F73" i="37"/>
  <c r="AC12" i="31"/>
  <c r="D73" i="37"/>
  <c r="AA12" i="31"/>
  <c r="B73" i="37"/>
  <c r="AG11" i="31"/>
  <c r="H72" i="37"/>
  <c r="AE11" i="31"/>
  <c r="F72" i="37"/>
  <c r="AC11" i="31"/>
  <c r="D72" i="37"/>
  <c r="AA11" i="31"/>
  <c r="B72" i="37"/>
  <c r="AG10" i="31"/>
  <c r="H71" i="37"/>
  <c r="AE10" i="31"/>
  <c r="F71" i="37"/>
  <c r="AC10" i="31"/>
  <c r="D71" i="37"/>
  <c r="AA10" i="31"/>
  <c r="B71" i="37"/>
  <c r="AG9" i="31"/>
  <c r="H70" i="37"/>
  <c r="AE9" i="31"/>
  <c r="F70" i="37"/>
  <c r="AC9" i="31"/>
  <c r="D70" i="37"/>
  <c r="AA9" i="31"/>
  <c r="B70" i="37"/>
  <c r="AG8" i="31"/>
  <c r="H69" i="37"/>
  <c r="AD8" i="31"/>
  <c r="E69" i="37"/>
  <c r="AC8" i="31"/>
  <c r="D69" i="37"/>
  <c r="AH7" i="31"/>
  <c r="I68" i="37"/>
  <c r="AG7" i="31"/>
  <c r="H68" i="37"/>
  <c r="AD7" i="31"/>
  <c r="E68" i="37"/>
  <c r="AC7" i="31"/>
  <c r="D68" i="37"/>
  <c r="C66" i="38"/>
  <c r="D66" i="38"/>
  <c r="E66" i="38"/>
  <c r="F66" i="38"/>
  <c r="G66" i="38"/>
  <c r="H66" i="38"/>
  <c r="I66" i="38"/>
  <c r="AN22" i="31"/>
  <c r="G83" i="38" s="1"/>
  <c r="AJ22" i="31"/>
  <c r="C83" i="38" s="1"/>
  <c r="AN21" i="31"/>
  <c r="G82" i="38" s="1"/>
  <c r="AJ21" i="31"/>
  <c r="C82" i="38" s="1"/>
  <c r="AN20" i="31"/>
  <c r="G81" i="38" s="1"/>
  <c r="AJ20" i="31"/>
  <c r="C81" i="38" s="1"/>
  <c r="AN19" i="31"/>
  <c r="G80" i="38" s="1"/>
  <c r="AJ19" i="31"/>
  <c r="C80" i="38" s="1"/>
  <c r="AN18" i="31"/>
  <c r="G79" i="38" s="1"/>
  <c r="AJ18" i="31"/>
  <c r="C79" i="38" s="1"/>
  <c r="AN17" i="31"/>
  <c r="G78" i="38" s="1"/>
  <c r="AK17" i="31"/>
  <c r="D78" i="38" s="1"/>
  <c r="AI17" i="31"/>
  <c r="B78" i="38" s="1"/>
  <c r="AO16" i="31"/>
  <c r="H77" i="38" s="1"/>
  <c r="AM16" i="31"/>
  <c r="F77" i="38" s="1"/>
  <c r="AK16" i="31"/>
  <c r="D77" i="38" s="1"/>
  <c r="AI16" i="31"/>
  <c r="B77" i="38" s="1"/>
  <c r="AO15" i="31"/>
  <c r="H76" i="38" s="1"/>
  <c r="AM15" i="31"/>
  <c r="F76" i="38" s="1"/>
  <c r="AK15" i="31"/>
  <c r="D76" i="38" s="1"/>
  <c r="AI15" i="31"/>
  <c r="B76" i="38" s="1"/>
  <c r="AO14" i="31"/>
  <c r="H75" i="38" s="1"/>
  <c r="AM14" i="31"/>
  <c r="F75" i="38" s="1"/>
  <c r="AK14" i="31"/>
  <c r="D75" i="38" s="1"/>
  <c r="AI14" i="31"/>
  <c r="B75" i="38" s="1"/>
  <c r="AO13" i="31"/>
  <c r="H74" i="38" s="1"/>
  <c r="AM13" i="31"/>
  <c r="F74" i="38" s="1"/>
  <c r="AK13" i="31"/>
  <c r="D74" i="38" s="1"/>
  <c r="AI13" i="31"/>
  <c r="B74" i="38" s="1"/>
  <c r="AO12" i="31"/>
  <c r="H73" i="38" s="1"/>
  <c r="AM12" i="31"/>
  <c r="F73" i="38" s="1"/>
  <c r="AK12" i="31"/>
  <c r="D73" i="38" s="1"/>
  <c r="AI12" i="31"/>
  <c r="B73" i="38" s="1"/>
  <c r="AO11" i="31"/>
  <c r="H72" i="38" s="1"/>
  <c r="AM11" i="31"/>
  <c r="F72" i="38" s="1"/>
  <c r="AK11" i="31"/>
  <c r="D72" i="38" s="1"/>
  <c r="AI11" i="31"/>
  <c r="B72" i="38" s="1"/>
  <c r="AO10" i="31"/>
  <c r="H71" i="38" s="1"/>
  <c r="AM10" i="31"/>
  <c r="F71" i="38" s="1"/>
  <c r="AK10" i="31"/>
  <c r="D71" i="38" s="1"/>
  <c r="AI10" i="31"/>
  <c r="B71" i="38" s="1"/>
  <c r="AO9" i="31"/>
  <c r="H70" i="38" s="1"/>
  <c r="AM9" i="31"/>
  <c r="F70" i="38" s="1"/>
  <c r="AK9" i="31"/>
  <c r="D70" i="38" s="1"/>
  <c r="AI9" i="31"/>
  <c r="B70" i="38" s="1"/>
  <c r="AO8" i="31"/>
  <c r="H69" i="38" s="1"/>
  <c r="AL8" i="31"/>
  <c r="E69" i="38" s="1"/>
  <c r="AK8" i="31"/>
  <c r="D69" i="38" s="1"/>
  <c r="AP7" i="31"/>
  <c r="I68" i="38" s="1"/>
  <c r="AO7" i="31"/>
  <c r="H68" i="38" s="1"/>
  <c r="AL7" i="31"/>
  <c r="E68" i="38"/>
  <c r="AK7" i="31"/>
  <c r="D68" i="38" s="1"/>
  <c r="C66" i="34"/>
  <c r="D66" i="34"/>
  <c r="E66" i="34"/>
  <c r="F66" i="34"/>
  <c r="G66" i="34"/>
  <c r="H66" i="34"/>
  <c r="I66" i="34"/>
  <c r="I83" i="34"/>
  <c r="H83" i="34"/>
  <c r="G83" i="34"/>
  <c r="F83" i="34"/>
  <c r="E83" i="34"/>
  <c r="D83" i="34"/>
  <c r="C83" i="34"/>
  <c r="B83" i="34"/>
  <c r="I82" i="34"/>
  <c r="H82" i="34"/>
  <c r="G82" i="34"/>
  <c r="F82" i="34"/>
  <c r="E82" i="34"/>
  <c r="D82" i="34"/>
  <c r="C82" i="34"/>
  <c r="B82" i="34"/>
  <c r="I81" i="34"/>
  <c r="H81" i="34"/>
  <c r="G81" i="34"/>
  <c r="F81" i="34"/>
  <c r="E81" i="34"/>
  <c r="D81" i="34"/>
  <c r="C81" i="34"/>
  <c r="B81" i="34"/>
  <c r="I80" i="34"/>
  <c r="H80" i="34"/>
  <c r="G80" i="34"/>
  <c r="F80" i="34"/>
  <c r="E80" i="34"/>
  <c r="D80" i="34"/>
  <c r="C80" i="34"/>
  <c r="B80" i="34"/>
  <c r="I79" i="34"/>
  <c r="H79" i="34"/>
  <c r="G79" i="34"/>
  <c r="F79" i="34"/>
  <c r="E79" i="34"/>
  <c r="D79" i="34"/>
  <c r="C79" i="34"/>
  <c r="B79" i="34"/>
  <c r="I78" i="34"/>
  <c r="H78" i="34"/>
  <c r="G78" i="34"/>
  <c r="F78" i="34"/>
  <c r="E78" i="34"/>
  <c r="D78" i="34"/>
  <c r="C78" i="34"/>
  <c r="B78" i="34"/>
  <c r="I77" i="34"/>
  <c r="H77" i="34"/>
  <c r="G77" i="34"/>
  <c r="F77" i="34"/>
  <c r="E77" i="34"/>
  <c r="D77" i="34"/>
  <c r="C77" i="34"/>
  <c r="B77" i="34"/>
  <c r="I76" i="34"/>
  <c r="H76" i="34"/>
  <c r="G76" i="34"/>
  <c r="F76" i="34"/>
  <c r="E76" i="34"/>
  <c r="D76" i="34"/>
  <c r="C76" i="34"/>
  <c r="B76" i="34"/>
  <c r="I75" i="34"/>
  <c r="H75" i="34"/>
  <c r="G75" i="34"/>
  <c r="F75" i="34"/>
  <c r="E75" i="34"/>
  <c r="D75" i="34"/>
  <c r="C75" i="34"/>
  <c r="B75" i="34"/>
  <c r="I74" i="34"/>
  <c r="H74" i="34"/>
  <c r="G74" i="34"/>
  <c r="F74" i="34"/>
  <c r="E74" i="34"/>
  <c r="D74" i="34"/>
  <c r="C74" i="34"/>
  <c r="B74" i="34"/>
  <c r="I73" i="34"/>
  <c r="H73" i="34"/>
  <c r="G73" i="34"/>
  <c r="F73" i="34"/>
  <c r="E73" i="34"/>
  <c r="D73" i="34"/>
  <c r="C73" i="34"/>
  <c r="B73" i="34"/>
  <c r="I72" i="34"/>
  <c r="H72" i="34"/>
  <c r="G72" i="34"/>
  <c r="F72" i="34"/>
  <c r="E72" i="34"/>
  <c r="D72" i="34"/>
  <c r="C72" i="34"/>
  <c r="B72" i="34"/>
  <c r="I71" i="34"/>
  <c r="H71" i="34"/>
  <c r="G71" i="34"/>
  <c r="F71" i="34"/>
  <c r="E71" i="34"/>
  <c r="D71" i="34"/>
  <c r="C71" i="34"/>
  <c r="B71" i="34"/>
  <c r="I70" i="34"/>
  <c r="H70" i="34"/>
  <c r="G70" i="34"/>
  <c r="F70" i="34"/>
  <c r="E70" i="34"/>
  <c r="D70" i="34"/>
  <c r="C70" i="34"/>
  <c r="B70" i="34"/>
  <c r="I69" i="34"/>
  <c r="H69" i="34"/>
  <c r="G69" i="34"/>
  <c r="F69" i="34"/>
  <c r="E69" i="34"/>
  <c r="D69" i="34"/>
  <c r="C69" i="34"/>
  <c r="B69" i="34"/>
  <c r="I68" i="34"/>
  <c r="H68" i="34"/>
  <c r="G68" i="34"/>
  <c r="F68" i="34"/>
  <c r="E68" i="34"/>
  <c r="D68" i="34"/>
  <c r="C68" i="34"/>
  <c r="L37" i="31"/>
  <c r="Q37" i="31" s="1"/>
  <c r="K37" i="31"/>
  <c r="P37" i="31" s="1"/>
  <c r="J37" i="31"/>
  <c r="O37" i="31" s="1"/>
  <c r="I37" i="31"/>
  <c r="N37" i="31" s="1"/>
  <c r="H37" i="31"/>
  <c r="M37" i="31" s="1"/>
  <c r="L36" i="31"/>
  <c r="Q36" i="31" s="1"/>
  <c r="K36" i="31"/>
  <c r="P36" i="31" s="1"/>
  <c r="J36" i="31"/>
  <c r="O36" i="31" s="1"/>
  <c r="I36" i="31"/>
  <c r="N36" i="31" s="1"/>
  <c r="H36" i="31"/>
  <c r="M36" i="31" s="1"/>
  <c r="L35" i="31"/>
  <c r="Q35" i="31" s="1"/>
  <c r="K35" i="31"/>
  <c r="P35" i="31" s="1"/>
  <c r="J35" i="31"/>
  <c r="O35" i="31" s="1"/>
  <c r="I35" i="31"/>
  <c r="N35" i="31" s="1"/>
  <c r="H35" i="31"/>
  <c r="M35" i="31" s="1"/>
  <c r="L34" i="31"/>
  <c r="Q34" i="31" s="1"/>
  <c r="K34" i="31"/>
  <c r="P34" i="31" s="1"/>
  <c r="J34" i="31"/>
  <c r="O34" i="31" s="1"/>
  <c r="I34" i="31"/>
  <c r="N34" i="31" s="1"/>
  <c r="H34" i="31"/>
  <c r="M34" i="31" s="1"/>
  <c r="R29" i="31"/>
  <c r="Z29" i="31" s="1"/>
  <c r="Q29" i="31"/>
  <c r="Y29" i="31" s="1"/>
  <c r="P29" i="31"/>
  <c r="X29" i="31" s="1"/>
  <c r="O29" i="31"/>
  <c r="W29" i="31" s="1"/>
  <c r="N29" i="31"/>
  <c r="V29" i="31" s="1"/>
  <c r="M29" i="31"/>
  <c r="U29" i="31" s="1"/>
  <c r="L29" i="31"/>
  <c r="T29" i="31" s="1"/>
  <c r="K29" i="31"/>
  <c r="S29" i="31" s="1"/>
  <c r="K7" i="31"/>
  <c r="S7" i="31" s="1"/>
  <c r="A2" i="28"/>
  <c r="B325" i="34"/>
  <c r="B325" i="35"/>
  <c r="B325" i="36"/>
  <c r="B325" i="37"/>
  <c r="B325" i="38"/>
  <c r="B1" i="30"/>
  <c r="D7" i="28"/>
  <c r="E7" i="28"/>
  <c r="F7" i="28"/>
  <c r="G7" i="28"/>
  <c r="H7" i="28"/>
  <c r="I7" i="28"/>
  <c r="J7" i="28"/>
  <c r="C93" i="34"/>
  <c r="D93" i="34"/>
  <c r="E93" i="34"/>
  <c r="F93" i="34"/>
  <c r="F98" i="34"/>
  <c r="E98" i="34"/>
  <c r="D98" i="34"/>
  <c r="C98" i="34"/>
  <c r="B98" i="34"/>
  <c r="F97" i="34"/>
  <c r="E97" i="34"/>
  <c r="D97" i="34"/>
  <c r="C97" i="34"/>
  <c r="B97" i="34"/>
  <c r="F96" i="34"/>
  <c r="E96" i="34"/>
  <c r="D96" i="34"/>
  <c r="C96" i="34"/>
  <c r="B96" i="34"/>
  <c r="F95" i="34"/>
  <c r="E95" i="34"/>
  <c r="D95" i="34"/>
  <c r="C95" i="34"/>
  <c r="B95" i="34"/>
  <c r="I90" i="34"/>
  <c r="H90" i="34"/>
  <c r="G90" i="34"/>
  <c r="F90" i="34"/>
  <c r="E90" i="34"/>
  <c r="D90" i="34"/>
  <c r="C90" i="34"/>
  <c r="B90" i="34"/>
  <c r="B68" i="34"/>
  <c r="D51" i="28"/>
  <c r="D30" i="28"/>
  <c r="D11" i="28"/>
  <c r="D17" i="28"/>
  <c r="D39" i="28"/>
  <c r="D45" i="28"/>
  <c r="C93" i="36"/>
  <c r="D93" i="36"/>
  <c r="E93" i="36"/>
  <c r="F93" i="36"/>
  <c r="C93" i="37"/>
  <c r="D93" i="37"/>
  <c r="E93" i="37"/>
  <c r="F93" i="37"/>
  <c r="C93" i="38"/>
  <c r="D93" i="38"/>
  <c r="E93" i="38"/>
  <c r="F93" i="38"/>
  <c r="C93" i="35"/>
  <c r="D93" i="35"/>
  <c r="E93" i="35"/>
  <c r="F93" i="35"/>
  <c r="E98" i="35"/>
  <c r="C98" i="35"/>
  <c r="B98" i="35"/>
  <c r="F97" i="35"/>
  <c r="E97" i="35"/>
  <c r="D97" i="35"/>
  <c r="C97" i="35"/>
  <c r="B97" i="35"/>
  <c r="F96" i="35"/>
  <c r="E96" i="35"/>
  <c r="D96" i="35"/>
  <c r="C96" i="35"/>
  <c r="B96" i="35"/>
  <c r="F95" i="35"/>
  <c r="E95" i="35"/>
  <c r="D95" i="35"/>
  <c r="C95" i="35"/>
  <c r="B13" i="40"/>
  <c r="C18" i="40"/>
  <c r="D18" i="40"/>
  <c r="E18" i="40"/>
  <c r="F18" i="40"/>
  <c r="G18" i="40"/>
  <c r="C19" i="40"/>
  <c r="D19" i="40"/>
  <c r="E19" i="40"/>
  <c r="F19" i="40"/>
  <c r="G19" i="40"/>
  <c r="B2" i="39"/>
  <c r="G6" i="32"/>
  <c r="D6" i="39"/>
  <c r="H6" i="32"/>
  <c r="D7" i="39"/>
  <c r="I6" i="32"/>
  <c r="D8" i="39"/>
  <c r="J6" i="32"/>
  <c r="D9" i="39"/>
  <c r="K6" i="32"/>
  <c r="D10" i="39"/>
  <c r="C17" i="39"/>
  <c r="C96" i="39"/>
  <c r="C175" i="39"/>
  <c r="C254" i="39"/>
  <c r="C333" i="39"/>
  <c r="B68" i="35"/>
  <c r="B90" i="35"/>
  <c r="C90" i="35"/>
  <c r="D90" i="35"/>
  <c r="E90" i="35"/>
  <c r="F90" i="35"/>
  <c r="G90" i="35"/>
  <c r="H90" i="35"/>
  <c r="I90" i="35"/>
  <c r="B95" i="35"/>
  <c r="L6" i="32"/>
  <c r="M6" i="32"/>
  <c r="N6" i="32"/>
  <c r="O6" i="32"/>
  <c r="P6" i="32"/>
  <c r="Q6" i="32"/>
  <c r="R6" i="32"/>
  <c r="S6" i="32"/>
  <c r="T6" i="32"/>
  <c r="U6" i="32"/>
  <c r="V6" i="32"/>
  <c r="W6" i="32"/>
  <c r="X6" i="32"/>
  <c r="Y6" i="32"/>
  <c r="Z6" i="32"/>
  <c r="AA6" i="32"/>
  <c r="AB6" i="32"/>
  <c r="AC6" i="32"/>
  <c r="AD6" i="32"/>
  <c r="AE6" i="32"/>
  <c r="G18" i="32"/>
  <c r="H18" i="32"/>
  <c r="I18" i="32"/>
  <c r="J18" i="32"/>
  <c r="K18" i="32"/>
  <c r="G19" i="32"/>
  <c r="H19" i="32"/>
  <c r="I19" i="32"/>
  <c r="G20" i="32"/>
  <c r="H20" i="32"/>
  <c r="I20" i="32"/>
  <c r="G21" i="32"/>
  <c r="H21" i="32"/>
  <c r="I21" i="32"/>
  <c r="J21" i="32"/>
  <c r="G22" i="32"/>
  <c r="H22" i="32"/>
  <c r="I22" i="32"/>
  <c r="J22" i="32"/>
  <c r="D25" i="32"/>
  <c r="J25" i="32"/>
  <c r="P25" i="32"/>
  <c r="V25" i="32"/>
  <c r="AB25" i="32"/>
  <c r="C5" i="31"/>
  <c r="K5" i="31"/>
  <c r="S5" i="31"/>
  <c r="AA5" i="31"/>
  <c r="AI5" i="31"/>
  <c r="C27" i="31"/>
  <c r="K27" i="31"/>
  <c r="S27" i="31"/>
  <c r="AA27" i="31"/>
  <c r="AI27" i="31"/>
  <c r="C32" i="31"/>
  <c r="H32" i="31"/>
  <c r="M32" i="31"/>
  <c r="R32" i="31"/>
  <c r="W32" i="31"/>
  <c r="B2" i="30"/>
  <c r="B4" i="30"/>
  <c r="E15" i="30"/>
  <c r="E71" i="29" s="1"/>
  <c r="F71" i="29" s="1"/>
  <c r="G71" i="29" s="1"/>
  <c r="H71" i="29" s="1"/>
  <c r="I71" i="29" s="1"/>
  <c r="E16" i="30"/>
  <c r="E72" i="29" s="1"/>
  <c r="F72" i="29" s="1"/>
  <c r="G72" i="29" s="1"/>
  <c r="H72" i="29" s="1"/>
  <c r="I72" i="29" s="1"/>
  <c r="E18" i="30"/>
  <c r="E74" i="29" s="1"/>
  <c r="F74" i="29" s="1"/>
  <c r="G74" i="29" s="1"/>
  <c r="H74" i="29" s="1"/>
  <c r="I74" i="29" s="1"/>
  <c r="E19" i="30"/>
  <c r="E75" i="29" s="1"/>
  <c r="F75" i="29" s="1"/>
  <c r="G75" i="29" s="1"/>
  <c r="H75" i="29" s="1"/>
  <c r="I75" i="29" s="1"/>
  <c r="E21" i="30"/>
  <c r="E77" i="29" s="1"/>
  <c r="F77" i="29" s="1"/>
  <c r="G77" i="29" s="1"/>
  <c r="H77" i="29" s="1"/>
  <c r="I77" i="29" s="1"/>
  <c r="E22" i="30"/>
  <c r="E78" i="29" s="1"/>
  <c r="F78" i="29" s="1"/>
  <c r="G78" i="29" s="1"/>
  <c r="H78" i="29" s="1"/>
  <c r="I78" i="29" s="1"/>
  <c r="E23" i="30"/>
  <c r="E79" i="29" s="1"/>
  <c r="F79" i="29" s="1"/>
  <c r="G79" i="29" s="1"/>
  <c r="H79" i="29" s="1"/>
  <c r="I79" i="29" s="1"/>
  <c r="E26" i="30"/>
  <c r="E82" i="29" s="1"/>
  <c r="F82" i="29" s="1"/>
  <c r="G82" i="29" s="1"/>
  <c r="H82" i="29" s="1"/>
  <c r="I82" i="29" s="1"/>
  <c r="E27" i="30"/>
  <c r="E83" i="29" s="1"/>
  <c r="F83" i="29" s="1"/>
  <c r="G83" i="29" s="1"/>
  <c r="H83" i="29" s="1"/>
  <c r="I83" i="29" s="1"/>
  <c r="E28" i="30"/>
  <c r="E84" i="29" s="1"/>
  <c r="F84" i="29" s="1"/>
  <c r="G84" i="29" s="1"/>
  <c r="H84" i="29" s="1"/>
  <c r="I84" i="29" s="1"/>
  <c r="E32" i="30"/>
  <c r="E88" i="29" s="1"/>
  <c r="F88" i="29" s="1"/>
  <c r="G88" i="29" s="1"/>
  <c r="H88" i="29" s="1"/>
  <c r="I88" i="29" s="1"/>
  <c r="E33" i="30"/>
  <c r="E89" i="29" s="1"/>
  <c r="F89" i="29" s="1"/>
  <c r="G89" i="29" s="1"/>
  <c r="H89" i="29" s="1"/>
  <c r="I89" i="29" s="1"/>
  <c r="E42" i="30"/>
  <c r="E91" i="29" s="1"/>
  <c r="F91" i="29" s="1"/>
  <c r="G91" i="29" s="1"/>
  <c r="H91" i="29" s="1"/>
  <c r="I91" i="29" s="1"/>
  <c r="E43" i="30"/>
  <c r="E92" i="29" s="1"/>
  <c r="F92" i="29" s="1"/>
  <c r="G92" i="29" s="1"/>
  <c r="H92" i="29" s="1"/>
  <c r="I92" i="29" s="1"/>
  <c r="E44" i="30"/>
  <c r="E93" i="29" s="1"/>
  <c r="F93" i="29" s="1"/>
  <c r="G93" i="29" s="1"/>
  <c r="H93" i="29" s="1"/>
  <c r="I93" i="29" s="1"/>
  <c r="E45" i="30"/>
  <c r="E94" i="29" s="1"/>
  <c r="F94" i="29" s="1"/>
  <c r="G94" i="29" s="1"/>
  <c r="H94" i="29" s="1"/>
  <c r="I94" i="29" s="1"/>
  <c r="E46" i="30"/>
  <c r="E95" i="29" s="1"/>
  <c r="F95" i="29" s="1"/>
  <c r="G95" i="29" s="1"/>
  <c r="H95" i="29" s="1"/>
  <c r="I95" i="29" s="1"/>
  <c r="E47" i="30"/>
  <c r="E96" i="29" s="1"/>
  <c r="F96" i="29" s="1"/>
  <c r="G96" i="29" s="1"/>
  <c r="H96" i="29" s="1"/>
  <c r="I96" i="29" s="1"/>
  <c r="E48" i="30"/>
  <c r="E97" i="29" s="1"/>
  <c r="F97" i="29" s="1"/>
  <c r="G97" i="29" s="1"/>
  <c r="H97" i="29" s="1"/>
  <c r="I97" i="29" s="1"/>
  <c r="E49" i="30"/>
  <c r="E98" i="29" s="1"/>
  <c r="F98" i="29" s="1"/>
  <c r="G98" i="29" s="1"/>
  <c r="H98" i="29" s="1"/>
  <c r="I98" i="29" s="1"/>
  <c r="E50" i="30"/>
  <c r="E99" i="29" s="1"/>
  <c r="F99" i="29" s="1"/>
  <c r="G99" i="29" s="1"/>
  <c r="H99" i="29" s="1"/>
  <c r="I99" i="29" s="1"/>
  <c r="E53" i="30"/>
  <c r="E102" i="29" s="1"/>
  <c r="F102" i="29" s="1"/>
  <c r="G102" i="29" s="1"/>
  <c r="H102" i="29" s="1"/>
  <c r="I102" i="29" s="1"/>
  <c r="E54" i="30"/>
  <c r="E103" i="29" s="1"/>
  <c r="F103" i="29" s="1"/>
  <c r="G103" i="29" s="1"/>
  <c r="H103" i="29" s="1"/>
  <c r="I103" i="29" s="1"/>
  <c r="E55" i="30"/>
  <c r="E104" i="29" s="1"/>
  <c r="F104" i="29" s="1"/>
  <c r="G104" i="29" s="1"/>
  <c r="H104" i="29" s="1"/>
  <c r="I104" i="29" s="1"/>
  <c r="E59" i="30"/>
  <c r="E108" i="29" s="1"/>
  <c r="F108" i="29" s="1"/>
  <c r="G108" i="29" s="1"/>
  <c r="H108" i="29" s="1"/>
  <c r="I108" i="29" s="1"/>
  <c r="E60" i="30"/>
  <c r="E109" i="29" s="1"/>
  <c r="F109" i="29" s="1"/>
  <c r="G109" i="29" s="1"/>
  <c r="H109" i="29" s="1"/>
  <c r="I109" i="29" s="1"/>
  <c r="K70" i="30"/>
  <c r="E149" i="29" s="1"/>
  <c r="F149" i="29" s="1"/>
  <c r="G149" i="29" s="1"/>
  <c r="H149" i="29" s="1"/>
  <c r="I149" i="29" s="1"/>
  <c r="L70" i="30"/>
  <c r="E159" i="29" s="1"/>
  <c r="F159" i="29" s="1"/>
  <c r="G159" i="29" s="1"/>
  <c r="H159" i="29" s="1"/>
  <c r="I159" i="29" s="1"/>
  <c r="M70" i="30"/>
  <c r="E169" i="29" s="1"/>
  <c r="F169" i="29" s="1"/>
  <c r="G169" i="29" s="1"/>
  <c r="H169" i="29" s="1"/>
  <c r="I169" i="29" s="1"/>
  <c r="K73" i="30"/>
  <c r="E152" i="29" s="1"/>
  <c r="F152" i="29" s="1"/>
  <c r="G152" i="29" s="1"/>
  <c r="H152" i="29" s="1"/>
  <c r="I152" i="29" s="1"/>
  <c r="L73" i="30"/>
  <c r="E162" i="29" s="1"/>
  <c r="F162" i="29" s="1"/>
  <c r="G162" i="29" s="1"/>
  <c r="H162" i="29" s="1"/>
  <c r="I162" i="29" s="1"/>
  <c r="M73" i="30"/>
  <c r="E172" i="29" s="1"/>
  <c r="F172" i="29" s="1"/>
  <c r="G172" i="29" s="1"/>
  <c r="H172" i="29" s="1"/>
  <c r="I172" i="29" s="1"/>
  <c r="K74" i="30"/>
  <c r="E153" i="29" s="1"/>
  <c r="F153" i="29" s="1"/>
  <c r="G153" i="29" s="1"/>
  <c r="H153" i="29" s="1"/>
  <c r="I153" i="29" s="1"/>
  <c r="L74" i="30"/>
  <c r="E163" i="29" s="1"/>
  <c r="F163" i="29" s="1"/>
  <c r="G163" i="29" s="1"/>
  <c r="H163" i="29" s="1"/>
  <c r="I163" i="29" s="1"/>
  <c r="M74" i="30"/>
  <c r="E173" i="29" s="1"/>
  <c r="F173" i="29" s="1"/>
  <c r="G173" i="29" s="1"/>
  <c r="H173" i="29" s="1"/>
  <c r="I173" i="29" s="1"/>
  <c r="K75" i="30"/>
  <c r="E154" i="29" s="1"/>
  <c r="F154" i="29" s="1"/>
  <c r="G154" i="29" s="1"/>
  <c r="H154" i="29" s="1"/>
  <c r="I154" i="29" s="1"/>
  <c r="L75" i="30"/>
  <c r="E164" i="29" s="1"/>
  <c r="F164" i="29" s="1"/>
  <c r="G164" i="29" s="1"/>
  <c r="H164" i="29" s="1"/>
  <c r="I164" i="29" s="1"/>
  <c r="M75" i="30"/>
  <c r="E174" i="29" s="1"/>
  <c r="F174" i="29" s="1"/>
  <c r="G174" i="29" s="1"/>
  <c r="H174" i="29" s="1"/>
  <c r="I174" i="29" s="1"/>
  <c r="K76" i="30"/>
  <c r="E155" i="29" s="1"/>
  <c r="F155" i="29" s="1"/>
  <c r="G155" i="29" s="1"/>
  <c r="H155" i="29" s="1"/>
  <c r="I155" i="29" s="1"/>
  <c r="L76" i="30"/>
  <c r="E165" i="29" s="1"/>
  <c r="F165" i="29" s="1"/>
  <c r="G165" i="29" s="1"/>
  <c r="H165" i="29" s="1"/>
  <c r="I165" i="29" s="1"/>
  <c r="M76" i="30"/>
  <c r="E175" i="29" s="1"/>
  <c r="F175" i="29" s="1"/>
  <c r="G175" i="29" s="1"/>
  <c r="H175" i="29" s="1"/>
  <c r="I175" i="29" s="1"/>
  <c r="K77" i="30"/>
  <c r="E156" i="29" s="1"/>
  <c r="F156" i="29" s="1"/>
  <c r="G156" i="29" s="1"/>
  <c r="H156" i="29" s="1"/>
  <c r="I156" i="29" s="1"/>
  <c r="L77" i="30"/>
  <c r="E166" i="29" s="1"/>
  <c r="F166" i="29" s="1"/>
  <c r="G166" i="29" s="1"/>
  <c r="H166" i="29" s="1"/>
  <c r="I166" i="29" s="1"/>
  <c r="M77" i="30"/>
  <c r="E176" i="29" s="1"/>
  <c r="F176" i="29" s="1"/>
  <c r="G176" i="29" s="1"/>
  <c r="H176" i="29" s="1"/>
  <c r="I176" i="29" s="1"/>
  <c r="K78" i="30"/>
  <c r="E157" i="29" s="1"/>
  <c r="F157" i="29" s="1"/>
  <c r="G157" i="29" s="1"/>
  <c r="H157" i="29" s="1"/>
  <c r="I157" i="29" s="1"/>
  <c r="L78" i="30"/>
  <c r="E167" i="29" s="1"/>
  <c r="F167" i="29" s="1"/>
  <c r="G167" i="29" s="1"/>
  <c r="H167" i="29" s="1"/>
  <c r="I167" i="29" s="1"/>
  <c r="M78" i="30"/>
  <c r="E177" i="29" s="1"/>
  <c r="F177" i="29" s="1"/>
  <c r="G177" i="29" s="1"/>
  <c r="H177" i="29" s="1"/>
  <c r="I177" i="29" s="1"/>
  <c r="K88" i="30"/>
  <c r="E180" i="29" s="1"/>
  <c r="F180" i="29" s="1"/>
  <c r="G180" i="29" s="1"/>
  <c r="H180" i="29" s="1"/>
  <c r="I180" i="29" s="1"/>
  <c r="B278" i="38" s="1"/>
  <c r="L88" i="30"/>
  <c r="E186" i="29" s="1"/>
  <c r="F186" i="29" s="1"/>
  <c r="G186" i="29" s="1"/>
  <c r="H186" i="29" s="1"/>
  <c r="I186" i="29" s="1"/>
  <c r="C278" i="38" s="1"/>
  <c r="M88" i="30"/>
  <c r="E192" i="29" s="1"/>
  <c r="F192" i="29" s="1"/>
  <c r="G192" i="29" s="1"/>
  <c r="H192" i="29" s="1"/>
  <c r="I192" i="29" s="1"/>
  <c r="D278" i="38" s="1"/>
  <c r="K89" i="30"/>
  <c r="E181" i="29" s="1"/>
  <c r="F181" i="29" s="1"/>
  <c r="G181" i="29" s="1"/>
  <c r="H181" i="29" s="1"/>
  <c r="I181" i="29" s="1"/>
  <c r="B279" i="38" s="1"/>
  <c r="L89" i="30"/>
  <c r="E187" i="29" s="1"/>
  <c r="F187" i="29" s="1"/>
  <c r="G187" i="29" s="1"/>
  <c r="H187" i="29" s="1"/>
  <c r="I187" i="29" s="1"/>
  <c r="C279" i="38" s="1"/>
  <c r="M89" i="30"/>
  <c r="E193" i="29" s="1"/>
  <c r="F193" i="29" s="1"/>
  <c r="G193" i="29" s="1"/>
  <c r="H193" i="29" s="1"/>
  <c r="I193" i="29" s="1"/>
  <c r="D279" i="38" s="1"/>
  <c r="K90" i="30"/>
  <c r="E182" i="29" s="1"/>
  <c r="F182" i="29" s="1"/>
  <c r="G182" i="29" s="1"/>
  <c r="H182" i="29" s="1"/>
  <c r="I182" i="29" s="1"/>
  <c r="B280" i="38" s="1"/>
  <c r="L90" i="30"/>
  <c r="E188" i="29" s="1"/>
  <c r="F188" i="29" s="1"/>
  <c r="G188" i="29" s="1"/>
  <c r="H188" i="29" s="1"/>
  <c r="I188" i="29" s="1"/>
  <c r="C280" i="38" s="1"/>
  <c r="M90" i="30"/>
  <c r="E194" i="29" s="1"/>
  <c r="F194" i="29" s="1"/>
  <c r="G194" i="29" s="1"/>
  <c r="H194" i="29" s="1"/>
  <c r="I194" i="29" s="1"/>
  <c r="D280" i="38" s="1"/>
  <c r="K91" i="30"/>
  <c r="E183" i="29" s="1"/>
  <c r="F183" i="29" s="1"/>
  <c r="G183" i="29" s="1"/>
  <c r="H183" i="29" s="1"/>
  <c r="I183" i="29" s="1"/>
  <c r="B281" i="38" s="1"/>
  <c r="L91" i="30"/>
  <c r="E189" i="29" s="1"/>
  <c r="F189" i="29" s="1"/>
  <c r="G189" i="29" s="1"/>
  <c r="H189" i="29" s="1"/>
  <c r="I189" i="29" s="1"/>
  <c r="C281" i="38" s="1"/>
  <c r="M91" i="30"/>
  <c r="E195" i="29" s="1"/>
  <c r="F195" i="29" s="1"/>
  <c r="G195" i="29" s="1"/>
  <c r="H195" i="29" s="1"/>
  <c r="I195" i="29" s="1"/>
  <c r="D281" i="38" s="1"/>
  <c r="K92" i="30"/>
  <c r="E184" i="29" s="1"/>
  <c r="F184" i="29" s="1"/>
  <c r="G184" i="29" s="1"/>
  <c r="H184" i="29" s="1"/>
  <c r="I184" i="29" s="1"/>
  <c r="B282" i="38" s="1"/>
  <c r="L92" i="30"/>
  <c r="E190" i="29" s="1"/>
  <c r="F190" i="29" s="1"/>
  <c r="G190" i="29" s="1"/>
  <c r="H190" i="29" s="1"/>
  <c r="I190" i="29" s="1"/>
  <c r="C282" i="38" s="1"/>
  <c r="M92" i="30"/>
  <c r="E196" i="29" s="1"/>
  <c r="F196" i="29" s="1"/>
  <c r="G196" i="29" s="1"/>
  <c r="H196" i="29" s="1"/>
  <c r="I196" i="29" s="1"/>
  <c r="D282" i="38" s="1"/>
  <c r="K115" i="30"/>
  <c r="E223" i="29" s="1"/>
  <c r="F223" i="29" s="1"/>
  <c r="G223" i="29" s="1"/>
  <c r="H223" i="29" s="1"/>
  <c r="I223" i="29" s="1"/>
  <c r="B311" i="38" s="1"/>
  <c r="L115" i="30"/>
  <c r="E233" i="29" s="1"/>
  <c r="F233" i="29" s="1"/>
  <c r="G233" i="29" s="1"/>
  <c r="H233" i="29" s="1"/>
  <c r="I233" i="29" s="1"/>
  <c r="C311" i="38" s="1"/>
  <c r="M115" i="30"/>
  <c r="E243" i="29" s="1"/>
  <c r="F243" i="29" s="1"/>
  <c r="G243" i="29" s="1"/>
  <c r="H243" i="29" s="1"/>
  <c r="I243" i="29" s="1"/>
  <c r="D311" i="38" s="1"/>
  <c r="K116" i="30"/>
  <c r="E224" i="29" s="1"/>
  <c r="F224" i="29" s="1"/>
  <c r="G224" i="29" s="1"/>
  <c r="H224" i="29" s="1"/>
  <c r="I224" i="29" s="1"/>
  <c r="B312" i="38" s="1"/>
  <c r="L116" i="30"/>
  <c r="E234" i="29" s="1"/>
  <c r="F234" i="29" s="1"/>
  <c r="G234" i="29" s="1"/>
  <c r="H234" i="29" s="1"/>
  <c r="I234" i="29" s="1"/>
  <c r="C312" i="38" s="1"/>
  <c r="M116" i="30"/>
  <c r="E244" i="29" s="1"/>
  <c r="F244" i="29" s="1"/>
  <c r="G244" i="29" s="1"/>
  <c r="H244" i="29" s="1"/>
  <c r="I244" i="29" s="1"/>
  <c r="D312" i="38" s="1"/>
  <c r="K117" i="30"/>
  <c r="E225" i="29" s="1"/>
  <c r="F225" i="29" s="1"/>
  <c r="G225" i="29" s="1"/>
  <c r="H225" i="29" s="1"/>
  <c r="I225" i="29" s="1"/>
  <c r="B313" i="38" s="1"/>
  <c r="L117" i="30"/>
  <c r="E235" i="29" s="1"/>
  <c r="F235" i="29" s="1"/>
  <c r="G235" i="29" s="1"/>
  <c r="H235" i="29" s="1"/>
  <c r="I235" i="29" s="1"/>
  <c r="C313" i="38" s="1"/>
  <c r="M117" i="30"/>
  <c r="E245" i="29" s="1"/>
  <c r="F245" i="29" s="1"/>
  <c r="G245" i="29" s="1"/>
  <c r="H245" i="29" s="1"/>
  <c r="I245" i="29" s="1"/>
  <c r="D313" i="38" s="1"/>
  <c r="K118" i="30"/>
  <c r="E226" i="29" s="1"/>
  <c r="F226" i="29" s="1"/>
  <c r="G226" i="29" s="1"/>
  <c r="H226" i="29" s="1"/>
  <c r="I226" i="29" s="1"/>
  <c r="B314" i="38" s="1"/>
  <c r="L118" i="30"/>
  <c r="E236" i="29" s="1"/>
  <c r="F236" i="29" s="1"/>
  <c r="G236" i="29" s="1"/>
  <c r="H236" i="29" s="1"/>
  <c r="I236" i="29" s="1"/>
  <c r="C314" i="38" s="1"/>
  <c r="M118" i="30"/>
  <c r="E246" i="29" s="1"/>
  <c r="F246" i="29" s="1"/>
  <c r="G246" i="29" s="1"/>
  <c r="H246" i="29" s="1"/>
  <c r="I246" i="29" s="1"/>
  <c r="D314" i="38" s="1"/>
  <c r="K119" i="30"/>
  <c r="E227" i="29" s="1"/>
  <c r="F227" i="29" s="1"/>
  <c r="G227" i="29" s="1"/>
  <c r="H227" i="29" s="1"/>
  <c r="I227" i="29" s="1"/>
  <c r="B315" i="38" s="1"/>
  <c r="L119" i="30"/>
  <c r="E237" i="29" s="1"/>
  <c r="F237" i="29" s="1"/>
  <c r="G237" i="29" s="1"/>
  <c r="H237" i="29" s="1"/>
  <c r="I237" i="29" s="1"/>
  <c r="C315" i="38" s="1"/>
  <c r="M119" i="30"/>
  <c r="E247" i="29" s="1"/>
  <c r="F247" i="29" s="1"/>
  <c r="G247" i="29" s="1"/>
  <c r="H247" i="29" s="1"/>
  <c r="I247" i="29" s="1"/>
  <c r="D315" i="38" s="1"/>
  <c r="K120" i="30"/>
  <c r="E228" i="29" s="1"/>
  <c r="F228" i="29" s="1"/>
  <c r="G228" i="29" s="1"/>
  <c r="H228" i="29" s="1"/>
  <c r="I228" i="29" s="1"/>
  <c r="B316" i="38" s="1"/>
  <c r="L120" i="30"/>
  <c r="E238" i="29" s="1"/>
  <c r="F238" i="29" s="1"/>
  <c r="G238" i="29" s="1"/>
  <c r="H238" i="29" s="1"/>
  <c r="I238" i="29" s="1"/>
  <c r="C316" i="38" s="1"/>
  <c r="M120" i="30"/>
  <c r="E248" i="29" s="1"/>
  <c r="F248" i="29" s="1"/>
  <c r="G248" i="29" s="1"/>
  <c r="H248" i="29" s="1"/>
  <c r="I248" i="29" s="1"/>
  <c r="D316" i="38" s="1"/>
  <c r="K121" i="30"/>
  <c r="E229" i="29" s="1"/>
  <c r="F229" i="29" s="1"/>
  <c r="G229" i="29" s="1"/>
  <c r="H229" i="29" s="1"/>
  <c r="I229" i="29" s="1"/>
  <c r="B317" i="38" s="1"/>
  <c r="L121" i="30"/>
  <c r="E239" i="29" s="1"/>
  <c r="F239" i="29" s="1"/>
  <c r="G239" i="29" s="1"/>
  <c r="H239" i="29" s="1"/>
  <c r="I239" i="29" s="1"/>
  <c r="C317" i="38" s="1"/>
  <c r="M121" i="30"/>
  <c r="E249" i="29" s="1"/>
  <c r="F249" i="29" s="1"/>
  <c r="G249" i="29" s="1"/>
  <c r="H249" i="29" s="1"/>
  <c r="I249" i="29" s="1"/>
  <c r="D317" i="38" s="1"/>
  <c r="K122" i="30"/>
  <c r="E230" i="29" s="1"/>
  <c r="F230" i="29" s="1"/>
  <c r="G230" i="29" s="1"/>
  <c r="H230" i="29" s="1"/>
  <c r="I230" i="29" s="1"/>
  <c r="B318" i="38" s="1"/>
  <c r="L122" i="30"/>
  <c r="E240" i="29" s="1"/>
  <c r="F240" i="29" s="1"/>
  <c r="G240" i="29" s="1"/>
  <c r="H240" i="29" s="1"/>
  <c r="I240" i="29" s="1"/>
  <c r="C318" i="38" s="1"/>
  <c r="M122" i="30"/>
  <c r="E250" i="29" s="1"/>
  <c r="F250" i="29" s="1"/>
  <c r="G250" i="29" s="1"/>
  <c r="H250" i="29" s="1"/>
  <c r="I250" i="29" s="1"/>
  <c r="D318" i="38" s="1"/>
  <c r="K123" i="30"/>
  <c r="E231" i="29" s="1"/>
  <c r="F231" i="29" s="1"/>
  <c r="G231" i="29" s="1"/>
  <c r="H231" i="29" s="1"/>
  <c r="I231" i="29" s="1"/>
  <c r="B319" i="38" s="1"/>
  <c r="L123" i="30"/>
  <c r="E241" i="29" s="1"/>
  <c r="F241" i="29" s="1"/>
  <c r="G241" i="29" s="1"/>
  <c r="H241" i="29" s="1"/>
  <c r="I241" i="29" s="1"/>
  <c r="C319" i="38" s="1"/>
  <c r="M123" i="30"/>
  <c r="E251" i="29" s="1"/>
  <c r="F251" i="29" s="1"/>
  <c r="G251" i="29" s="1"/>
  <c r="H251" i="29" s="1"/>
  <c r="I251" i="29" s="1"/>
  <c r="D319" i="38" s="1"/>
  <c r="E9" i="29"/>
  <c r="E11" i="28"/>
  <c r="F11" i="28"/>
  <c r="G11" i="28"/>
  <c r="H11" i="28"/>
  <c r="I11" i="28"/>
  <c r="J11" i="28"/>
  <c r="E17" i="28"/>
  <c r="F17" i="28"/>
  <c r="G17" i="28"/>
  <c r="H17" i="28"/>
  <c r="I17" i="28"/>
  <c r="J17" i="28"/>
  <c r="E30" i="28"/>
  <c r="F30" i="28"/>
  <c r="G30" i="28"/>
  <c r="H30" i="28"/>
  <c r="I30" i="28"/>
  <c r="J30" i="28"/>
  <c r="E39" i="28"/>
  <c r="F39" i="28"/>
  <c r="G39" i="28"/>
  <c r="H39" i="28"/>
  <c r="I39" i="28"/>
  <c r="J39" i="28"/>
  <c r="E45" i="28"/>
  <c r="F45" i="28"/>
  <c r="G45" i="28"/>
  <c r="H45" i="28"/>
  <c r="I45" i="28"/>
  <c r="J45" i="28"/>
  <c r="E51" i="28"/>
  <c r="F51" i="28"/>
  <c r="G51" i="28"/>
  <c r="H51" i="28"/>
  <c r="I51" i="28"/>
  <c r="J51" i="28"/>
  <c r="B3" i="27"/>
  <c r="B4" i="26"/>
  <c r="B5" i="26"/>
  <c r="A7" i="26"/>
  <c r="E498" i="50" l="1"/>
  <c r="E534" i="50" s="1"/>
  <c r="E570" i="50" s="1"/>
  <c r="E499" i="50"/>
  <c r="E535" i="50" s="1"/>
  <c r="E571" i="50" s="1"/>
  <c r="E500" i="50"/>
  <c r="E536" i="50" s="1"/>
  <c r="E572" i="50" s="1"/>
  <c r="E501" i="50"/>
  <c r="E537" i="50" s="1"/>
  <c r="E573" i="50" s="1"/>
  <c r="E502" i="50"/>
  <c r="E538" i="50" s="1"/>
  <c r="E574" i="50" s="1"/>
  <c r="E503" i="50"/>
  <c r="E539" i="50" s="1"/>
  <c r="E575" i="50" s="1"/>
  <c r="E504" i="50"/>
  <c r="E540" i="50" s="1"/>
  <c r="E576" i="50" s="1"/>
  <c r="E505" i="50"/>
  <c r="E541" i="50" s="1"/>
  <c r="E577" i="50" s="1"/>
  <c r="E506" i="50"/>
  <c r="E542" i="50" s="1"/>
  <c r="E578" i="50" s="1"/>
  <c r="E507" i="50"/>
  <c r="E543" i="50" s="1"/>
  <c r="E579" i="50" s="1"/>
  <c r="E508" i="50"/>
  <c r="E544" i="50" s="1"/>
  <c r="E580" i="50" s="1"/>
  <c r="E509" i="50"/>
  <c r="E545" i="50" s="1"/>
  <c r="E581" i="50" s="1"/>
  <c r="E510" i="50"/>
  <c r="E546" i="50" s="1"/>
  <c r="E582" i="50" s="1"/>
  <c r="E511" i="50"/>
  <c r="E547" i="50" s="1"/>
  <c r="E583" i="50" s="1"/>
  <c r="E512" i="50"/>
  <c r="E548" i="50" s="1"/>
  <c r="E584" i="50" s="1"/>
  <c r="E513" i="50"/>
  <c r="E549" i="50" s="1"/>
  <c r="E585" i="50" s="1"/>
  <c r="E514" i="50"/>
  <c r="E550" i="50" s="1"/>
  <c r="E586" i="50" s="1"/>
  <c r="E515" i="50"/>
  <c r="E551" i="50" s="1"/>
  <c r="E587" i="50" s="1"/>
  <c r="E516" i="50"/>
  <c r="E552" i="50" s="1"/>
  <c r="E588" i="50" s="1"/>
  <c r="E517" i="50"/>
  <c r="E553" i="50" s="1"/>
  <c r="E589" i="50" s="1"/>
  <c r="E518" i="50"/>
  <c r="E554" i="50" s="1"/>
  <c r="E590" i="50" s="1"/>
  <c r="E519" i="50"/>
  <c r="E555" i="50" s="1"/>
  <c r="E591" i="50" s="1"/>
  <c r="E520" i="50"/>
  <c r="E556" i="50" s="1"/>
  <c r="E592" i="50" s="1"/>
  <c r="E521" i="50"/>
  <c r="E557" i="50" s="1"/>
  <c r="E593" i="50" s="1"/>
  <c r="E522" i="50"/>
  <c r="E558" i="50" s="1"/>
  <c r="E594" i="50" s="1"/>
  <c r="E523" i="50"/>
  <c r="E559" i="50" s="1"/>
  <c r="E595" i="50" s="1"/>
  <c r="E524" i="50"/>
  <c r="E560" i="50" s="1"/>
  <c r="E596" i="50" s="1"/>
  <c r="G123" i="49"/>
  <c r="M119" i="49"/>
  <c r="I60" i="49"/>
  <c r="H588" i="50"/>
  <c r="J586" i="50"/>
  <c r="C582" i="50"/>
  <c r="B581" i="50"/>
  <c r="I573" i="50"/>
  <c r="H78" i="48"/>
  <c r="H35" i="48"/>
  <c r="M109" i="49"/>
  <c r="G105" i="49"/>
  <c r="H102" i="49"/>
  <c r="N94" i="49"/>
  <c r="N90" i="49"/>
  <c r="I58" i="49"/>
  <c r="C593" i="50"/>
  <c r="C591" i="50"/>
  <c r="C579" i="50"/>
  <c r="C575" i="50"/>
  <c r="H572" i="50"/>
  <c r="B2774" i="50"/>
  <c r="B2931" i="50" s="1"/>
  <c r="H83" i="48"/>
  <c r="H79" i="48"/>
  <c r="F78" i="48"/>
  <c r="I74" i="48"/>
  <c r="H73" i="48"/>
  <c r="H56" i="48"/>
  <c r="H36" i="48"/>
  <c r="I21" i="48"/>
  <c r="H20" i="48"/>
  <c r="B2779" i="50"/>
  <c r="B2936" i="50" s="1"/>
  <c r="B2771" i="50"/>
  <c r="B2928" i="50" s="1"/>
  <c r="J596" i="50"/>
  <c r="C595" i="50"/>
  <c r="J593" i="50"/>
  <c r="B592" i="50"/>
  <c r="B2793" i="50" s="1"/>
  <c r="J588" i="50"/>
  <c r="J585" i="50"/>
  <c r="H583" i="50"/>
  <c r="H576" i="50"/>
  <c r="B2781" i="50"/>
  <c r="B2938" i="50" s="1"/>
  <c r="H81" i="48"/>
  <c r="E40" i="48"/>
  <c r="E36" i="48"/>
  <c r="E35" i="48"/>
  <c r="E34" i="48"/>
  <c r="C594" i="50"/>
  <c r="B593" i="50"/>
  <c r="B2794" i="50" s="1"/>
  <c r="B3226" i="50" s="1"/>
  <c r="C590" i="50"/>
  <c r="C586" i="50"/>
  <c r="B585" i="50"/>
  <c r="C583" i="50"/>
  <c r="J578" i="50"/>
  <c r="I577" i="50"/>
  <c r="C574" i="50"/>
  <c r="G578" i="50"/>
  <c r="G577" i="50"/>
  <c r="G576" i="50"/>
  <c r="G575" i="50"/>
  <c r="G574" i="50"/>
  <c r="G573" i="50"/>
  <c r="H573" i="50"/>
  <c r="B2786" i="50"/>
  <c r="B2943" i="50" s="1"/>
  <c r="B2778" i="50"/>
  <c r="B2935" i="50" s="1"/>
  <c r="C596" i="50"/>
  <c r="G112" i="49"/>
  <c r="C696" i="50"/>
  <c r="I596" i="50"/>
  <c r="H595" i="50"/>
  <c r="H594" i="50"/>
  <c r="H592" i="50"/>
  <c r="H591" i="50"/>
  <c r="H590" i="50"/>
  <c r="H589" i="50"/>
  <c r="C587" i="50"/>
  <c r="H586" i="50"/>
  <c r="C584" i="50"/>
  <c r="C580" i="50"/>
  <c r="C578" i="50"/>
  <c r="H575" i="50"/>
  <c r="H574" i="50"/>
  <c r="C573" i="50"/>
  <c r="H571" i="50"/>
  <c r="H570" i="50"/>
  <c r="C588" i="50"/>
  <c r="I108" i="49"/>
  <c r="I580" i="50"/>
  <c r="I576" i="50"/>
  <c r="I572" i="50"/>
  <c r="I33" i="28"/>
  <c r="B2787" i="50"/>
  <c r="B2944" i="50" s="1"/>
  <c r="B2775" i="50"/>
  <c r="B2932" i="50" s="1"/>
  <c r="J582" i="50"/>
  <c r="J581" i="50"/>
  <c r="J573" i="50"/>
  <c r="J572" i="50"/>
  <c r="B2699" i="50"/>
  <c r="C2735" i="50" s="1"/>
  <c r="G571" i="50"/>
  <c r="C570" i="50"/>
  <c r="I64" i="49"/>
  <c r="C1420" i="50"/>
  <c r="B2776" i="50"/>
  <c r="B2933" i="50" s="1"/>
  <c r="I67" i="48"/>
  <c r="I97" i="49"/>
  <c r="I67" i="49"/>
  <c r="B2782" i="50"/>
  <c r="B2939" i="50" s="1"/>
  <c r="B3126" i="50" s="1"/>
  <c r="B3138" i="50" s="1"/>
  <c r="B3397" i="50" s="1"/>
  <c r="H593" i="50"/>
  <c r="J590" i="50"/>
  <c r="B588" i="50"/>
  <c r="B2789" i="50" s="1"/>
  <c r="B2946" i="50" s="1"/>
  <c r="H585" i="50"/>
  <c r="H584" i="50"/>
  <c r="H582" i="50"/>
  <c r="J580" i="50"/>
  <c r="H579" i="50"/>
  <c r="C576" i="50"/>
  <c r="C572" i="50"/>
  <c r="C2704" i="50"/>
  <c r="D2740" i="50" s="1"/>
  <c r="B2711" i="50"/>
  <c r="C2747" i="50" s="1"/>
  <c r="B851" i="50"/>
  <c r="K3327" i="50" s="1"/>
  <c r="F586" i="50"/>
  <c r="F585" i="50"/>
  <c r="F584" i="50"/>
  <c r="F583" i="50"/>
  <c r="F582" i="50"/>
  <c r="J594" i="50"/>
  <c r="J589" i="50"/>
  <c r="J584" i="50"/>
  <c r="H580" i="50"/>
  <c r="J577" i="50"/>
  <c r="J576" i="50"/>
  <c r="J574" i="50"/>
  <c r="B572" i="50"/>
  <c r="B2773" i="50" s="1"/>
  <c r="B2930" i="50" s="1"/>
  <c r="B2710" i="50"/>
  <c r="C2746" i="50" s="1"/>
  <c r="H2706" i="50"/>
  <c r="I2742" i="50" s="1"/>
  <c r="G2707" i="50"/>
  <c r="H2743" i="50" s="1"/>
  <c r="F581" i="50"/>
  <c r="F580" i="50"/>
  <c r="F579" i="50"/>
  <c r="B2785" i="50"/>
  <c r="B2942" i="50" s="1"/>
  <c r="E83" i="48"/>
  <c r="J595" i="50"/>
  <c r="J591" i="50"/>
  <c r="J587" i="50"/>
  <c r="J583" i="50"/>
  <c r="J579" i="50"/>
  <c r="H577" i="50"/>
  <c r="J575" i="50"/>
  <c r="F2711" i="50"/>
  <c r="G2747" i="50" s="1"/>
  <c r="D2710" i="50"/>
  <c r="E2746" i="50" s="1"/>
  <c r="C2702" i="50"/>
  <c r="D2738" i="50" s="1"/>
  <c r="B863" i="50"/>
  <c r="K3339" i="50" s="1"/>
  <c r="F578" i="50"/>
  <c r="F577" i="50"/>
  <c r="F576" i="50"/>
  <c r="F575" i="50"/>
  <c r="F574" i="50"/>
  <c r="F573" i="50"/>
  <c r="F571" i="50"/>
  <c r="H2710" i="50"/>
  <c r="I2746" i="50" s="1"/>
  <c r="G2711" i="50"/>
  <c r="H2747" i="50" s="1"/>
  <c r="E2709" i="50"/>
  <c r="F2745" i="50" s="1"/>
  <c r="I2704" i="50"/>
  <c r="J2740" i="50" s="1"/>
  <c r="E2708" i="50"/>
  <c r="F2744" i="50" s="1"/>
  <c r="D2711" i="50"/>
  <c r="E2747" i="50" s="1"/>
  <c r="C2710" i="50"/>
  <c r="D2746" i="50" s="1"/>
  <c r="B2701" i="50"/>
  <c r="C2737" i="50" s="1"/>
  <c r="C2703" i="50"/>
  <c r="D2739" i="50" s="1"/>
  <c r="C2693" i="50"/>
  <c r="D2729" i="50" s="1"/>
  <c r="I2703" i="50"/>
  <c r="J2739" i="50" s="1"/>
  <c r="H2703" i="50"/>
  <c r="I2739" i="50" s="1"/>
  <c r="G2700" i="50"/>
  <c r="H2736" i="50" s="1"/>
  <c r="F2698" i="50"/>
  <c r="G2734" i="50" s="1"/>
  <c r="E2699" i="50"/>
  <c r="F2735" i="50" s="1"/>
  <c r="D2703" i="50"/>
  <c r="E2739" i="50" s="1"/>
  <c r="C2696" i="50"/>
  <c r="D2732" i="50" s="1"/>
  <c r="B2697" i="50"/>
  <c r="C2733" i="50" s="1"/>
  <c r="C2709" i="50"/>
  <c r="D2745" i="50" s="1"/>
  <c r="H2705" i="50"/>
  <c r="I2741" i="50" s="1"/>
  <c r="H2711" i="50"/>
  <c r="I2747" i="50" s="1"/>
  <c r="C2711" i="50"/>
  <c r="D2747" i="50" s="1"/>
  <c r="F2710" i="50"/>
  <c r="G2746" i="50" s="1"/>
  <c r="H2709" i="50"/>
  <c r="I2745" i="50" s="1"/>
  <c r="I2708" i="50"/>
  <c r="J2744" i="50" s="1"/>
  <c r="C2708" i="50"/>
  <c r="D2744" i="50" s="1"/>
  <c r="C2707" i="50"/>
  <c r="D2743" i="50" s="1"/>
  <c r="D2706" i="50"/>
  <c r="E2742" i="50" s="1"/>
  <c r="E2705" i="50"/>
  <c r="F2741" i="50" s="1"/>
  <c r="E2704" i="50"/>
  <c r="F2740" i="50" s="1"/>
  <c r="G2703" i="50"/>
  <c r="H2739" i="50" s="1"/>
  <c r="H2702" i="50"/>
  <c r="I2738" i="50" s="1"/>
  <c r="F2701" i="50"/>
  <c r="G2737" i="50" s="1"/>
  <c r="C2700" i="50"/>
  <c r="D2736" i="50" s="1"/>
  <c r="C2698" i="50"/>
  <c r="D2734" i="50" s="1"/>
  <c r="G2709" i="50"/>
  <c r="H2745" i="50" s="1"/>
  <c r="H2708" i="50"/>
  <c r="I2744" i="50" s="1"/>
  <c r="H2707" i="50"/>
  <c r="I2743" i="50" s="1"/>
  <c r="I2706" i="50"/>
  <c r="J2742" i="50" s="1"/>
  <c r="C2706" i="50"/>
  <c r="D2742" i="50" s="1"/>
  <c r="C2705" i="50"/>
  <c r="D2741" i="50" s="1"/>
  <c r="D2704" i="50"/>
  <c r="E2740" i="50" s="1"/>
  <c r="E2703" i="50"/>
  <c r="F2739" i="50" s="1"/>
  <c r="D2702" i="50"/>
  <c r="E2738" i="50" s="1"/>
  <c r="D2701" i="50"/>
  <c r="E2737" i="50" s="1"/>
  <c r="B2700" i="50"/>
  <c r="C2736" i="50" s="1"/>
  <c r="F2709" i="50"/>
  <c r="G2745" i="50" s="1"/>
  <c r="G2710" i="50"/>
  <c r="H2746" i="50" s="1"/>
  <c r="D2708" i="50"/>
  <c r="E2744" i="50" s="1"/>
  <c r="E2707" i="50"/>
  <c r="F2743" i="50" s="1"/>
  <c r="E2706" i="50"/>
  <c r="F2742" i="50" s="1"/>
  <c r="G2705" i="50"/>
  <c r="H2741" i="50" s="1"/>
  <c r="H2704" i="50"/>
  <c r="I2740" i="50" s="1"/>
  <c r="I2702" i="50"/>
  <c r="J2738" i="50" s="1"/>
  <c r="B2702" i="50"/>
  <c r="C2738" i="50" s="1"/>
  <c r="F2700" i="50"/>
  <c r="G2736" i="50" s="1"/>
  <c r="I2711" i="50"/>
  <c r="J2747" i="50" s="1"/>
  <c r="E2711" i="50"/>
  <c r="F2747" i="50" s="1"/>
  <c r="I2710" i="50"/>
  <c r="J2746" i="50" s="1"/>
  <c r="E2710" i="50"/>
  <c r="F2746" i="50" s="1"/>
  <c r="I2709" i="50"/>
  <c r="J2745" i="50" s="1"/>
  <c r="D2709" i="50"/>
  <c r="E2745" i="50" s="1"/>
  <c r="G2708" i="50"/>
  <c r="H2744" i="50" s="1"/>
  <c r="I2707" i="50"/>
  <c r="J2743" i="50" s="1"/>
  <c r="D2707" i="50"/>
  <c r="E2743" i="50" s="1"/>
  <c r="G2706" i="50"/>
  <c r="H2742" i="50" s="1"/>
  <c r="I2705" i="50"/>
  <c r="J2741" i="50" s="1"/>
  <c r="D2705" i="50"/>
  <c r="E2741" i="50" s="1"/>
  <c r="G2704" i="50"/>
  <c r="H2740" i="50" s="1"/>
  <c r="G2702" i="50"/>
  <c r="H2738" i="50" s="1"/>
  <c r="G2701" i="50"/>
  <c r="H2737" i="50" s="1"/>
  <c r="I2695" i="50"/>
  <c r="J2731" i="50" s="1"/>
  <c r="G2694" i="50"/>
  <c r="H2730" i="50" s="1"/>
  <c r="F2695" i="50"/>
  <c r="G2731" i="50" s="1"/>
  <c r="B2708" i="50"/>
  <c r="C2744" i="50" s="1"/>
  <c r="I2701" i="50"/>
  <c r="J2737" i="50" s="1"/>
  <c r="F2697" i="50"/>
  <c r="G2733" i="50" s="1"/>
  <c r="E2700" i="50"/>
  <c r="F2736" i="50" s="1"/>
  <c r="C2699" i="50"/>
  <c r="D2735" i="50" s="1"/>
  <c r="B2703" i="50"/>
  <c r="C2739" i="50" s="1"/>
  <c r="E1170" i="50"/>
  <c r="C3034" i="50" s="1"/>
  <c r="G33" i="28"/>
  <c r="B311" i="35"/>
  <c r="B312" i="35"/>
  <c r="B313" i="35"/>
  <c r="B314" i="35"/>
  <c r="B315" i="35"/>
  <c r="B316" i="35"/>
  <c r="B317" i="35"/>
  <c r="B318" i="35"/>
  <c r="B319" i="35"/>
  <c r="D311" i="36"/>
  <c r="D312" i="36"/>
  <c r="D313" i="36"/>
  <c r="D314" i="36"/>
  <c r="D315" i="36"/>
  <c r="D316" i="36"/>
  <c r="D317" i="36"/>
  <c r="D318" i="36"/>
  <c r="D319" i="36"/>
  <c r="D311" i="37"/>
  <c r="D312" i="37"/>
  <c r="D313" i="37"/>
  <c r="D314" i="37"/>
  <c r="D315" i="37"/>
  <c r="D316" i="37"/>
  <c r="D317" i="37"/>
  <c r="D318" i="37"/>
  <c r="D319" i="37"/>
  <c r="B311" i="34"/>
  <c r="B312" i="34"/>
  <c r="B313" i="34"/>
  <c r="B314" i="34"/>
  <c r="B315" i="34"/>
  <c r="B316" i="34"/>
  <c r="B317" i="34"/>
  <c r="B318" i="34"/>
  <c r="B319" i="34"/>
  <c r="C311" i="35"/>
  <c r="C312" i="35"/>
  <c r="C313" i="35"/>
  <c r="C314" i="35"/>
  <c r="C315" i="35"/>
  <c r="C316" i="35"/>
  <c r="C317" i="35"/>
  <c r="C318" i="35"/>
  <c r="C319" i="35"/>
  <c r="C311" i="34"/>
  <c r="C312" i="34"/>
  <c r="C313" i="34"/>
  <c r="C314" i="34"/>
  <c r="C315" i="34"/>
  <c r="C316" i="34"/>
  <c r="C317" i="34"/>
  <c r="C318" i="34"/>
  <c r="C319" i="34"/>
  <c r="D311" i="35"/>
  <c r="D312" i="35"/>
  <c r="D313" i="35"/>
  <c r="D314" i="35"/>
  <c r="D315" i="35"/>
  <c r="D316" i="35"/>
  <c r="D317" i="35"/>
  <c r="D318" i="35"/>
  <c r="D319" i="35"/>
  <c r="B311" i="36"/>
  <c r="B312" i="36"/>
  <c r="B313" i="36"/>
  <c r="B314" i="36"/>
  <c r="B315" i="36"/>
  <c r="B316" i="36"/>
  <c r="B317" i="36"/>
  <c r="B318" i="36"/>
  <c r="B319" i="36"/>
  <c r="B311" i="37"/>
  <c r="B312" i="37"/>
  <c r="B313" i="37"/>
  <c r="B314" i="37"/>
  <c r="B315" i="37"/>
  <c r="B316" i="37"/>
  <c r="B317" i="37"/>
  <c r="B318" i="37"/>
  <c r="B319" i="37"/>
  <c r="D311" i="34"/>
  <c r="D312" i="34"/>
  <c r="D313" i="34"/>
  <c r="D314" i="34"/>
  <c r="D315" i="34"/>
  <c r="D316" i="34"/>
  <c r="D317" i="34"/>
  <c r="D318" i="34"/>
  <c r="D319" i="34"/>
  <c r="C311" i="36"/>
  <c r="C312" i="36"/>
  <c r="C313" i="36"/>
  <c r="C314" i="36"/>
  <c r="C315" i="36"/>
  <c r="C316" i="36"/>
  <c r="C317" i="36"/>
  <c r="C318" i="36"/>
  <c r="C319" i="36"/>
  <c r="C311" i="37"/>
  <c r="C312" i="37"/>
  <c r="C313" i="37"/>
  <c r="C314" i="37"/>
  <c r="C315" i="37"/>
  <c r="C316" i="37"/>
  <c r="C317" i="37"/>
  <c r="C318" i="37"/>
  <c r="C319" i="37"/>
  <c r="D278" i="35"/>
  <c r="B280" i="35"/>
  <c r="C281" i="35"/>
  <c r="D282" i="35"/>
  <c r="C278" i="36"/>
  <c r="D279" i="36"/>
  <c r="B281" i="36"/>
  <c r="C282" i="36"/>
  <c r="D278" i="37"/>
  <c r="B280" i="37"/>
  <c r="C281" i="37"/>
  <c r="D282" i="37"/>
  <c r="C278" i="34"/>
  <c r="D279" i="34"/>
  <c r="B281" i="34"/>
  <c r="C282" i="34"/>
  <c r="B279" i="35"/>
  <c r="C280" i="35"/>
  <c r="D281" i="35"/>
  <c r="D278" i="36"/>
  <c r="B280" i="36"/>
  <c r="C281" i="36"/>
  <c r="D282" i="36"/>
  <c r="B279" i="37"/>
  <c r="C280" i="37"/>
  <c r="D281" i="37"/>
  <c r="B278" i="35"/>
  <c r="C279" i="35"/>
  <c r="D280" i="35"/>
  <c r="B282" i="35"/>
  <c r="B279" i="36"/>
  <c r="C280" i="36"/>
  <c r="D281" i="36"/>
  <c r="B278" i="37"/>
  <c r="C279" i="37"/>
  <c r="D280" i="37"/>
  <c r="B282" i="37"/>
  <c r="B279" i="34"/>
  <c r="C280" i="34"/>
  <c r="D281" i="34"/>
  <c r="C278" i="35"/>
  <c r="D279" i="35"/>
  <c r="B281" i="35"/>
  <c r="C282" i="35"/>
  <c r="B278" i="36"/>
  <c r="C279" i="36"/>
  <c r="D280" i="36"/>
  <c r="B282" i="36"/>
  <c r="C278" i="37"/>
  <c r="D279" i="37"/>
  <c r="B281" i="37"/>
  <c r="C282" i="37"/>
  <c r="B273" i="34"/>
  <c r="D271" i="34"/>
  <c r="C270" i="34"/>
  <c r="B269" i="34"/>
  <c r="D267" i="34"/>
  <c r="C266" i="34"/>
  <c r="B265" i="34"/>
  <c r="D272" i="38"/>
  <c r="C271" i="38"/>
  <c r="B270" i="38"/>
  <c r="D268" i="38"/>
  <c r="C267" i="38"/>
  <c r="B266" i="38"/>
  <c r="D273" i="37"/>
  <c r="C272" i="37"/>
  <c r="B271" i="37"/>
  <c r="D269" i="37"/>
  <c r="C268" i="37"/>
  <c r="B267" i="37"/>
  <c r="D265" i="37"/>
  <c r="C273" i="36"/>
  <c r="B272" i="36"/>
  <c r="D270" i="36"/>
  <c r="C269" i="36"/>
  <c r="B268" i="36"/>
  <c r="D266" i="36"/>
  <c r="C265" i="36"/>
  <c r="C273" i="35"/>
  <c r="D272" i="35"/>
  <c r="B272" i="35"/>
  <c r="C271" i="35"/>
  <c r="D270" i="35"/>
  <c r="B270" i="35"/>
  <c r="C269" i="35"/>
  <c r="D268" i="35"/>
  <c r="B268" i="35"/>
  <c r="C267" i="35"/>
  <c r="D266" i="35"/>
  <c r="B266" i="35"/>
  <c r="C265" i="35"/>
  <c r="D272" i="34"/>
  <c r="C271" i="34"/>
  <c r="B270" i="34"/>
  <c r="D268" i="34"/>
  <c r="C267" i="34"/>
  <c r="B266" i="34"/>
  <c r="D273" i="38"/>
  <c r="C272" i="38"/>
  <c r="B271" i="38"/>
  <c r="D269" i="38"/>
  <c r="C268" i="38"/>
  <c r="B267" i="38"/>
  <c r="D265" i="38"/>
  <c r="C273" i="37"/>
  <c r="B272" i="37"/>
  <c r="D270" i="37"/>
  <c r="C269" i="37"/>
  <c r="B268" i="37"/>
  <c r="D266" i="37"/>
  <c r="C265" i="37"/>
  <c r="B273" i="36"/>
  <c r="D271" i="36"/>
  <c r="C270" i="36"/>
  <c r="B269" i="36"/>
  <c r="D267" i="36"/>
  <c r="C266" i="36"/>
  <c r="B265" i="36"/>
  <c r="D273" i="34"/>
  <c r="C272" i="34"/>
  <c r="B271" i="34"/>
  <c r="D269" i="34"/>
  <c r="C268" i="34"/>
  <c r="B267" i="34"/>
  <c r="D265" i="34"/>
  <c r="C273" i="38"/>
  <c r="B272" i="38"/>
  <c r="D270" i="38"/>
  <c r="C269" i="38"/>
  <c r="B268" i="38"/>
  <c r="D266" i="38"/>
  <c r="C265" i="38"/>
  <c r="B273" i="37"/>
  <c r="D271" i="37"/>
  <c r="C270" i="37"/>
  <c r="B269" i="37"/>
  <c r="D267" i="37"/>
  <c r="C266" i="37"/>
  <c r="B265" i="37"/>
  <c r="D272" i="36"/>
  <c r="C271" i="36"/>
  <c r="B270" i="36"/>
  <c r="D268" i="36"/>
  <c r="C267" i="36"/>
  <c r="B266" i="36"/>
  <c r="D273" i="35"/>
  <c r="B273" i="35"/>
  <c r="C272" i="35"/>
  <c r="D271" i="35"/>
  <c r="B271" i="35"/>
  <c r="C270" i="35"/>
  <c r="D269" i="35"/>
  <c r="B269" i="35"/>
  <c r="C268" i="35"/>
  <c r="D267" i="35"/>
  <c r="B267" i="35"/>
  <c r="C266" i="35"/>
  <c r="D265" i="35"/>
  <c r="B265" i="35"/>
  <c r="C273" i="34"/>
  <c r="B272" i="34"/>
  <c r="D270" i="34"/>
  <c r="C269" i="34"/>
  <c r="B268" i="34"/>
  <c r="D266" i="34"/>
  <c r="C265" i="34"/>
  <c r="B273" i="38"/>
  <c r="D271" i="38"/>
  <c r="C270" i="38"/>
  <c r="B269" i="38"/>
  <c r="D267" i="38"/>
  <c r="C266" i="38"/>
  <c r="B265" i="38"/>
  <c r="D272" i="37"/>
  <c r="C271" i="37"/>
  <c r="B270" i="37"/>
  <c r="D268" i="37"/>
  <c r="C267" i="37"/>
  <c r="B266" i="37"/>
  <c r="D273" i="36"/>
  <c r="C272" i="36"/>
  <c r="B271" i="36"/>
  <c r="D269" i="36"/>
  <c r="C268" i="36"/>
  <c r="B267" i="36"/>
  <c r="D265" i="36"/>
  <c r="C133" i="36"/>
  <c r="C133" i="34"/>
  <c r="C133" i="35"/>
  <c r="C134" i="36"/>
  <c r="C133" i="37"/>
  <c r="C134" i="34"/>
  <c r="C134" i="35"/>
  <c r="C134" i="37"/>
  <c r="C134" i="38"/>
  <c r="C133" i="38"/>
  <c r="C127" i="34"/>
  <c r="C128" i="35"/>
  <c r="C129" i="38"/>
  <c r="C129" i="35"/>
  <c r="C127" i="36"/>
  <c r="C127" i="37"/>
  <c r="C128" i="38"/>
  <c r="C129" i="34"/>
  <c r="C128" i="36"/>
  <c r="C128" i="37"/>
  <c r="C127" i="38"/>
  <c r="C127" i="35"/>
  <c r="C129" i="36"/>
  <c r="C129" i="37"/>
  <c r="C117" i="35"/>
  <c r="C123" i="34"/>
  <c r="C117" i="34"/>
  <c r="C120" i="34"/>
  <c r="C124" i="34"/>
  <c r="C119" i="35"/>
  <c r="C123" i="35"/>
  <c r="C118" i="36"/>
  <c r="C122" i="36"/>
  <c r="C117" i="37"/>
  <c r="C121" i="37"/>
  <c r="C117" i="38"/>
  <c r="C120" i="38"/>
  <c r="C123" i="38"/>
  <c r="C118" i="37"/>
  <c r="C122" i="37"/>
  <c r="C116" i="38"/>
  <c r="C119" i="38"/>
  <c r="C122" i="38"/>
  <c r="C121" i="34"/>
  <c r="C116" i="36"/>
  <c r="C120" i="36"/>
  <c r="C124" i="36"/>
  <c r="C119" i="37"/>
  <c r="C123" i="37"/>
  <c r="C118" i="38"/>
  <c r="C121" i="38"/>
  <c r="C121" i="35"/>
  <c r="C116" i="34"/>
  <c r="C118" i="35"/>
  <c r="C122" i="35"/>
  <c r="C117" i="36"/>
  <c r="C121" i="36"/>
  <c r="C116" i="37"/>
  <c r="C120" i="37"/>
  <c r="C124" i="37"/>
  <c r="C124" i="38"/>
  <c r="B133" i="34"/>
  <c r="B134" i="36"/>
  <c r="B133" i="38"/>
  <c r="B134" i="38"/>
  <c r="B134" i="35"/>
  <c r="B133" i="37"/>
  <c r="B134" i="34"/>
  <c r="B133" i="36"/>
  <c r="B133" i="35"/>
  <c r="B134" i="37"/>
  <c r="B127" i="34"/>
  <c r="B129" i="34"/>
  <c r="B128" i="35"/>
  <c r="B127" i="36"/>
  <c r="B129" i="36"/>
  <c r="B128" i="37"/>
  <c r="B127" i="38"/>
  <c r="B128" i="38"/>
  <c r="B129" i="38"/>
  <c r="B128" i="34"/>
  <c r="B127" i="35"/>
  <c r="B129" i="35"/>
  <c r="B128" i="36"/>
  <c r="B127" i="37"/>
  <c r="B129" i="37"/>
  <c r="B116" i="34"/>
  <c r="B123" i="34"/>
  <c r="B120" i="35"/>
  <c r="B117" i="36"/>
  <c r="B122" i="36"/>
  <c r="B124" i="36"/>
  <c r="B119" i="37"/>
  <c r="B116" i="38"/>
  <c r="B117" i="38"/>
  <c r="B122" i="38"/>
  <c r="B123" i="38"/>
  <c r="B124" i="38"/>
  <c r="B116" i="35"/>
  <c r="B123" i="35"/>
  <c r="B120" i="36"/>
  <c r="B117" i="37"/>
  <c r="B122" i="37"/>
  <c r="B124" i="37"/>
  <c r="B119" i="34"/>
  <c r="B117" i="34"/>
  <c r="B122" i="34"/>
  <c r="B124" i="34"/>
  <c r="B119" i="35"/>
  <c r="B116" i="36"/>
  <c r="B123" i="36"/>
  <c r="B120" i="37"/>
  <c r="B119" i="38"/>
  <c r="B120" i="38"/>
  <c r="B117" i="35"/>
  <c r="B122" i="35"/>
  <c r="B124" i="35"/>
  <c r="B119" i="36"/>
  <c r="B116" i="37"/>
  <c r="B123" i="37"/>
  <c r="D185" i="37"/>
  <c r="AD70" i="32"/>
  <c r="D185" i="38" s="1"/>
  <c r="B184" i="37"/>
  <c r="AB69" i="32"/>
  <c r="B184" i="38" s="1"/>
  <c r="D181" i="37"/>
  <c r="AD66" i="32"/>
  <c r="D181" i="38" s="1"/>
  <c r="E155" i="37"/>
  <c r="AE40" i="32"/>
  <c r="E155" i="38" s="1"/>
  <c r="AG122" i="32"/>
  <c r="G237" i="38" s="1"/>
  <c r="G237" i="37"/>
  <c r="AC122" i="32"/>
  <c r="C237" i="38" s="1"/>
  <c r="C237" i="37"/>
  <c r="AE119" i="32"/>
  <c r="E234" i="38" s="1"/>
  <c r="E234" i="37"/>
  <c r="AG116" i="32"/>
  <c r="G231" i="38" s="1"/>
  <c r="G231" i="37"/>
  <c r="AC116" i="32"/>
  <c r="C231" i="38" s="1"/>
  <c r="C231" i="37"/>
  <c r="F187" i="37"/>
  <c r="AF72" i="32"/>
  <c r="F187" i="38" s="1"/>
  <c r="B185" i="37"/>
  <c r="AB70" i="32"/>
  <c r="B185" i="38" s="1"/>
  <c r="F183" i="37"/>
  <c r="AF68" i="32"/>
  <c r="F183" i="38" s="1"/>
  <c r="B181" i="37"/>
  <c r="AB66" i="32"/>
  <c r="B181" i="38" s="1"/>
  <c r="AE122" i="32"/>
  <c r="E237" i="38" s="1"/>
  <c r="E237" i="37"/>
  <c r="AG119" i="32"/>
  <c r="G234" i="38" s="1"/>
  <c r="G234" i="37"/>
  <c r="AE116" i="32"/>
  <c r="E231" i="38" s="1"/>
  <c r="E231" i="37"/>
  <c r="AE113" i="32"/>
  <c r="E228" i="38" s="1"/>
  <c r="E228" i="37"/>
  <c r="AE109" i="32"/>
  <c r="E224" i="38" s="1"/>
  <c r="E224" i="37"/>
  <c r="AE105" i="32"/>
  <c r="E220" i="38" s="1"/>
  <c r="E220" i="37"/>
  <c r="AC94" i="32"/>
  <c r="C209" i="38" s="1"/>
  <c r="C209" i="37"/>
  <c r="AG113" i="32"/>
  <c r="G228" i="38" s="1"/>
  <c r="G228" i="37"/>
  <c r="AG109" i="32"/>
  <c r="G224" i="38" s="1"/>
  <c r="G224" i="37"/>
  <c r="AC109" i="32"/>
  <c r="C224" i="38" s="1"/>
  <c r="C224" i="37"/>
  <c r="AG107" i="32"/>
  <c r="G222" i="38" s="1"/>
  <c r="G222" i="37"/>
  <c r="AG105" i="32"/>
  <c r="G220" i="38" s="1"/>
  <c r="G220" i="37"/>
  <c r="AE98" i="32"/>
  <c r="E213" i="38" s="1"/>
  <c r="E213" i="37"/>
  <c r="AE94" i="32"/>
  <c r="E209" i="38" s="1"/>
  <c r="E209" i="37"/>
  <c r="AE90" i="32"/>
  <c r="E205" i="38" s="1"/>
  <c r="E205" i="37"/>
  <c r="AG76" i="32"/>
  <c r="G191" i="38" s="1"/>
  <c r="G191" i="37"/>
  <c r="AC76" i="32"/>
  <c r="C191" i="38" s="1"/>
  <c r="C191" i="37"/>
  <c r="AE75" i="32"/>
  <c r="E190" i="38" s="1"/>
  <c r="E190" i="37"/>
  <c r="AG72" i="32"/>
  <c r="G187" i="38" s="1"/>
  <c r="G187" i="37"/>
  <c r="AC72" i="32"/>
  <c r="C187" i="38" s="1"/>
  <c r="C187" i="37"/>
  <c r="AG70" i="32"/>
  <c r="G185" i="38" s="1"/>
  <c r="G185" i="37"/>
  <c r="AC70" i="32"/>
  <c r="C185" i="38" s="1"/>
  <c r="C185" i="37"/>
  <c r="AE69" i="32"/>
  <c r="E184" i="38" s="1"/>
  <c r="E184" i="37"/>
  <c r="AG68" i="32"/>
  <c r="G183" i="38" s="1"/>
  <c r="G183" i="37"/>
  <c r="AC68" i="32"/>
  <c r="C183" i="38" s="1"/>
  <c r="C183" i="37"/>
  <c r="AC66" i="32"/>
  <c r="C181" i="38" s="1"/>
  <c r="C181" i="37"/>
  <c r="AE86" i="32"/>
  <c r="E201" i="38" s="1"/>
  <c r="E201" i="37"/>
  <c r="AE82" i="32"/>
  <c r="E197" i="38" s="1"/>
  <c r="E197" i="37"/>
  <c r="AE78" i="32"/>
  <c r="E193" i="38" s="1"/>
  <c r="E193" i="37"/>
  <c r="AE76" i="32"/>
  <c r="E191" i="38" s="1"/>
  <c r="E191" i="37"/>
  <c r="AG75" i="32"/>
  <c r="G190" i="38" s="1"/>
  <c r="G190" i="37"/>
  <c r="AC75" i="32"/>
  <c r="C190" i="38" s="1"/>
  <c r="C190" i="37"/>
  <c r="AE72" i="32"/>
  <c r="E187" i="38" s="1"/>
  <c r="E187" i="37"/>
  <c r="AE70" i="32"/>
  <c r="E185" i="38" s="1"/>
  <c r="E185" i="37"/>
  <c r="AG69" i="32"/>
  <c r="G184" i="38" s="1"/>
  <c r="G184" i="37"/>
  <c r="AC69" i="32"/>
  <c r="C184" i="38" s="1"/>
  <c r="C184" i="37"/>
  <c r="AE68" i="32"/>
  <c r="E183" i="38" s="1"/>
  <c r="E183" i="37"/>
  <c r="AE66" i="32"/>
  <c r="E181" i="38" s="1"/>
  <c r="E181" i="37"/>
  <c r="B2709" i="50"/>
  <c r="C2745" i="50" s="1"/>
  <c r="F2708" i="50"/>
  <c r="G2744" i="50" s="1"/>
  <c r="F2707" i="50"/>
  <c r="G2743" i="50" s="1"/>
  <c r="B2707" i="50"/>
  <c r="C2743" i="50" s="1"/>
  <c r="F2706" i="50"/>
  <c r="G2742" i="50" s="1"/>
  <c r="B2706" i="50"/>
  <c r="C2742" i="50" s="1"/>
  <c r="F2705" i="50"/>
  <c r="G2741" i="50" s="1"/>
  <c r="B2705" i="50"/>
  <c r="C2741" i="50" s="1"/>
  <c r="F2704" i="50"/>
  <c r="G2740" i="50" s="1"/>
  <c r="B2704" i="50"/>
  <c r="C2740" i="50" s="1"/>
  <c r="F2703" i="50"/>
  <c r="G2739" i="50" s="1"/>
  <c r="E2702" i="50"/>
  <c r="F2738" i="50" s="1"/>
  <c r="C2701" i="50"/>
  <c r="D2737" i="50" s="1"/>
  <c r="B862" i="50"/>
  <c r="K3338" i="50" s="1"/>
  <c r="B847" i="50"/>
  <c r="K3323" i="50" s="1"/>
  <c r="E2697" i="50"/>
  <c r="F2733" i="50" s="1"/>
  <c r="D2699" i="50"/>
  <c r="E2735" i="50" s="1"/>
  <c r="C2697" i="50"/>
  <c r="D2733" i="50" s="1"/>
  <c r="B2694" i="50"/>
  <c r="C2730" i="50" s="1"/>
  <c r="I2698" i="50"/>
  <c r="J2734" i="50" s="1"/>
  <c r="G2697" i="50"/>
  <c r="H2733" i="50" s="1"/>
  <c r="F2699" i="50"/>
  <c r="G2735" i="50" s="1"/>
  <c r="E2696" i="50"/>
  <c r="F2732" i="50" s="1"/>
  <c r="F2702" i="50"/>
  <c r="G2738" i="50" s="1"/>
  <c r="E2701" i="50"/>
  <c r="F2737" i="50" s="1"/>
  <c r="I2700" i="50"/>
  <c r="J2736" i="50" s="1"/>
  <c r="D2700" i="50"/>
  <c r="E2736" i="50" s="1"/>
  <c r="E2698" i="50"/>
  <c r="F2734" i="50" s="1"/>
  <c r="D2695" i="50"/>
  <c r="E2731" i="50" s="1"/>
  <c r="G2699" i="50"/>
  <c r="H2735" i="50" s="1"/>
  <c r="I2696" i="50"/>
  <c r="J2732" i="50" s="1"/>
  <c r="I2699" i="50"/>
  <c r="J2735" i="50" s="1"/>
  <c r="G2698" i="50"/>
  <c r="H2734" i="50" s="1"/>
  <c r="B2698" i="50"/>
  <c r="C2734" i="50" s="1"/>
  <c r="G2696" i="50"/>
  <c r="H2732" i="50" s="1"/>
  <c r="B2696" i="50"/>
  <c r="C2732" i="50" s="1"/>
  <c r="B2695" i="50"/>
  <c r="C2731" i="50" s="1"/>
  <c r="C2692" i="50"/>
  <c r="D2728" i="50" s="1"/>
  <c r="I2688" i="50"/>
  <c r="J2724" i="50" s="1"/>
  <c r="H2694" i="50"/>
  <c r="I2730" i="50" s="1"/>
  <c r="G2688" i="50"/>
  <c r="H2724" i="50" s="1"/>
  <c r="F2689" i="50"/>
  <c r="G2725" i="50" s="1"/>
  <c r="E2689" i="50"/>
  <c r="F2725" i="50" s="1"/>
  <c r="D2694" i="50"/>
  <c r="E2730" i="50" s="1"/>
  <c r="C2691" i="50"/>
  <c r="D2727" i="50" s="1"/>
  <c r="B1180" i="50"/>
  <c r="B2777" i="50"/>
  <c r="B2934" i="50" s="1"/>
  <c r="B859" i="50"/>
  <c r="I2697" i="50"/>
  <c r="J2733" i="50" s="1"/>
  <c r="F2696" i="50"/>
  <c r="G2732" i="50" s="1"/>
  <c r="F2690" i="50"/>
  <c r="G2726" i="50" s="1"/>
  <c r="B1969" i="50"/>
  <c r="B1965" i="50"/>
  <c r="H2701" i="50"/>
  <c r="I2737" i="50" s="1"/>
  <c r="H2700" i="50"/>
  <c r="I2736" i="50" s="1"/>
  <c r="H2699" i="50"/>
  <c r="I2735" i="50" s="1"/>
  <c r="H2698" i="50"/>
  <c r="I2734" i="50" s="1"/>
  <c r="D2698" i="50"/>
  <c r="E2734" i="50" s="1"/>
  <c r="H2697" i="50"/>
  <c r="I2733" i="50" s="1"/>
  <c r="D2697" i="50"/>
  <c r="E2733" i="50" s="1"/>
  <c r="H2696" i="50"/>
  <c r="I2732" i="50" s="1"/>
  <c r="D2696" i="50"/>
  <c r="E2732" i="50" s="1"/>
  <c r="H2695" i="50"/>
  <c r="I2731" i="50" s="1"/>
  <c r="C2695" i="50"/>
  <c r="D2731" i="50" s="1"/>
  <c r="C2694" i="50"/>
  <c r="D2730" i="50" s="1"/>
  <c r="F2692" i="50"/>
  <c r="G2728" i="50" s="1"/>
  <c r="E2688" i="50"/>
  <c r="F2724" i="50" s="1"/>
  <c r="I2691" i="50"/>
  <c r="J2727" i="50" s="1"/>
  <c r="G2692" i="50"/>
  <c r="H2728" i="50" s="1"/>
  <c r="F2693" i="50"/>
  <c r="G2729" i="50" s="1"/>
  <c r="C2689" i="50"/>
  <c r="D2725" i="50" s="1"/>
  <c r="B2692" i="50"/>
  <c r="C2728" i="50" s="1"/>
  <c r="H1142" i="50"/>
  <c r="B1181" i="50"/>
  <c r="E1171" i="50"/>
  <c r="C3035" i="50" s="1"/>
  <c r="B2784" i="50"/>
  <c r="B2941" i="50" s="1"/>
  <c r="B3128" i="50" s="1"/>
  <c r="B3140" i="50" s="1"/>
  <c r="B3399" i="50" s="1"/>
  <c r="C856" i="50"/>
  <c r="C866" i="50"/>
  <c r="L3342" i="50" s="1"/>
  <c r="E2695" i="50"/>
  <c r="F2731" i="50" s="1"/>
  <c r="I2694" i="50"/>
  <c r="J2730" i="50" s="1"/>
  <c r="E2693" i="50"/>
  <c r="F2729" i="50" s="1"/>
  <c r="B1966" i="50"/>
  <c r="C1224" i="50"/>
  <c r="B1241" i="50" s="1"/>
  <c r="G2695" i="50"/>
  <c r="H2731" i="50" s="1"/>
  <c r="F2694" i="50"/>
  <c r="G2730" i="50" s="1"/>
  <c r="I2693" i="50"/>
  <c r="J2729" i="50" s="1"/>
  <c r="I2692" i="50"/>
  <c r="J2728" i="50" s="1"/>
  <c r="I2689" i="50"/>
  <c r="J2725" i="50" s="1"/>
  <c r="B1968" i="50"/>
  <c r="B1964" i="50"/>
  <c r="H1143" i="50"/>
  <c r="E2694" i="50"/>
  <c r="F2730" i="50" s="1"/>
  <c r="B1972" i="50"/>
  <c r="B1967" i="50"/>
  <c r="I1156" i="50"/>
  <c r="F1065" i="50"/>
  <c r="C144" i="49"/>
  <c r="C2687" i="50"/>
  <c r="D2723" i="50" s="1"/>
  <c r="B2690" i="50"/>
  <c r="C2726" i="50" s="1"/>
  <c r="B1971" i="50"/>
  <c r="G2686" i="50"/>
  <c r="H2722" i="50" s="1"/>
  <c r="G2693" i="50"/>
  <c r="H2729" i="50" s="1"/>
  <c r="B2693" i="50"/>
  <c r="C2729" i="50" s="1"/>
  <c r="E2692" i="50"/>
  <c r="F2728" i="50" s="1"/>
  <c r="G2691" i="50"/>
  <c r="H2727" i="50" s="1"/>
  <c r="B2691" i="50"/>
  <c r="C2727" i="50" s="1"/>
  <c r="E2690" i="50"/>
  <c r="F2726" i="50" s="1"/>
  <c r="G2689" i="50"/>
  <c r="H2725" i="50" s="1"/>
  <c r="B2689" i="50"/>
  <c r="C2725" i="50" s="1"/>
  <c r="C2688" i="50"/>
  <c r="D2724" i="50" s="1"/>
  <c r="B2685" i="50"/>
  <c r="C2721" i="50" s="1"/>
  <c r="I2685" i="50"/>
  <c r="J2721" i="50" s="1"/>
  <c r="H2685" i="50"/>
  <c r="I2721" i="50" s="1"/>
  <c r="F2688" i="50"/>
  <c r="G2724" i="50" s="1"/>
  <c r="D2688" i="50"/>
  <c r="E2724" i="50" s="1"/>
  <c r="C2685" i="50"/>
  <c r="D2721" i="50" s="1"/>
  <c r="B2687" i="50"/>
  <c r="C2723" i="50" s="1"/>
  <c r="F1142" i="50"/>
  <c r="H1133" i="50"/>
  <c r="B867" i="50"/>
  <c r="K3343" i="50" s="1"/>
  <c r="B843" i="50"/>
  <c r="B844" i="50"/>
  <c r="K3320" i="50" s="1"/>
  <c r="C854" i="50"/>
  <c r="L3330" i="50" s="1"/>
  <c r="B661" i="50"/>
  <c r="F2691" i="50"/>
  <c r="G2727" i="50" s="1"/>
  <c r="I2690" i="50"/>
  <c r="J2726" i="50" s="1"/>
  <c r="C2690" i="50"/>
  <c r="D2726" i="50" s="1"/>
  <c r="G2687" i="50"/>
  <c r="H2723" i="50" s="1"/>
  <c r="E1225" i="50"/>
  <c r="D1242" i="50" s="1"/>
  <c r="D1587" i="50" s="1"/>
  <c r="H1155" i="50"/>
  <c r="E1143" i="50"/>
  <c r="D1142" i="50"/>
  <c r="H1139" i="50"/>
  <c r="E2691" i="50"/>
  <c r="F2727" i="50" s="1"/>
  <c r="G2690" i="50"/>
  <c r="H2726" i="50" s="1"/>
  <c r="F1155" i="50"/>
  <c r="H2693" i="50"/>
  <c r="I2729" i="50" s="1"/>
  <c r="D2693" i="50"/>
  <c r="E2729" i="50" s="1"/>
  <c r="H2692" i="50"/>
  <c r="I2728" i="50" s="1"/>
  <c r="D2692" i="50"/>
  <c r="E2728" i="50" s="1"/>
  <c r="H2691" i="50"/>
  <c r="I2727" i="50" s="1"/>
  <c r="D2691" i="50"/>
  <c r="E2727" i="50" s="1"/>
  <c r="H2690" i="50"/>
  <c r="I2726" i="50" s="1"/>
  <c r="D2690" i="50"/>
  <c r="E2726" i="50" s="1"/>
  <c r="H2689" i="50"/>
  <c r="I2725" i="50" s="1"/>
  <c r="D2689" i="50"/>
  <c r="E2725" i="50" s="1"/>
  <c r="H2688" i="50"/>
  <c r="I2724" i="50" s="1"/>
  <c r="F2687" i="50"/>
  <c r="G2723" i="50" s="1"/>
  <c r="C2686" i="50"/>
  <c r="D2722" i="50" s="1"/>
  <c r="E1229" i="50"/>
  <c r="D1246" i="50" s="1"/>
  <c r="F1062" i="50"/>
  <c r="C864" i="50"/>
  <c r="L3340" i="50" s="1"/>
  <c r="C848" i="50"/>
  <c r="L3324" i="50" s="1"/>
  <c r="K116" i="49"/>
  <c r="B2686" i="50"/>
  <c r="C2722" i="50" s="1"/>
  <c r="H1153" i="50"/>
  <c r="B2688" i="50"/>
  <c r="C2724" i="50" s="1"/>
  <c r="F1067" i="50"/>
  <c r="G2685" i="50"/>
  <c r="H2721" i="50" s="1"/>
  <c r="F2685" i="50"/>
  <c r="G2721" i="50" s="1"/>
  <c r="E2685" i="50"/>
  <c r="F2721" i="50" s="1"/>
  <c r="E1859" i="50"/>
  <c r="D1871" i="50" s="1"/>
  <c r="E1858" i="50"/>
  <c r="D1870" i="50" s="1"/>
  <c r="E1857" i="50"/>
  <c r="D1869" i="50" s="1"/>
  <c r="E1856" i="50"/>
  <c r="D1868" i="50" s="1"/>
  <c r="E1843" i="50"/>
  <c r="D1226" i="50"/>
  <c r="C1243" i="50" s="1"/>
  <c r="C1514" i="50" s="1"/>
  <c r="C1226" i="50"/>
  <c r="B1243" i="50" s="1"/>
  <c r="B1514" i="50" s="1"/>
  <c r="B1970" i="50"/>
  <c r="D1859" i="50"/>
  <c r="C1871" i="50" s="1"/>
  <c r="D1858" i="50"/>
  <c r="C1870" i="50" s="1"/>
  <c r="D1857" i="50"/>
  <c r="C1869" i="50" s="1"/>
  <c r="D1856" i="50"/>
  <c r="C1868" i="50" s="1"/>
  <c r="D1843" i="50"/>
  <c r="D1230" i="50"/>
  <c r="C1247" i="50" s="1"/>
  <c r="C1230" i="50"/>
  <c r="B1247" i="50" s="1"/>
  <c r="D1228" i="50"/>
  <c r="C1245" i="50" s="1"/>
  <c r="C1588" i="50" s="1"/>
  <c r="E1228" i="50"/>
  <c r="D1245" i="50" s="1"/>
  <c r="D1588" i="50" s="1"/>
  <c r="E1156" i="50"/>
  <c r="D1155" i="50"/>
  <c r="E1192" i="50"/>
  <c r="F1135" i="50"/>
  <c r="E1133" i="50"/>
  <c r="F1066" i="50"/>
  <c r="F1063" i="50"/>
  <c r="H1061" i="50"/>
  <c r="B855" i="50"/>
  <c r="C849" i="50"/>
  <c r="L3325" i="50" s="1"/>
  <c r="B842" i="50"/>
  <c r="E1224" i="50"/>
  <c r="D1241" i="50" s="1"/>
  <c r="C1210" i="50"/>
  <c r="E1196" i="50"/>
  <c r="D1152" i="50"/>
  <c r="C1149" i="50"/>
  <c r="G1149" i="50" s="1"/>
  <c r="E1194" i="50" s="1"/>
  <c r="F1146" i="50"/>
  <c r="I1136" i="50"/>
  <c r="B1190" i="50"/>
  <c r="F1061" i="50"/>
  <c r="C860" i="50"/>
  <c r="L3336" i="50" s="1"/>
  <c r="C852" i="50"/>
  <c r="L3328" i="50" s="1"/>
  <c r="C844" i="50"/>
  <c r="L3320" i="50" s="1"/>
  <c r="B853" i="50"/>
  <c r="K3329" i="50" s="1"/>
  <c r="B780" i="50"/>
  <c r="B852" i="50"/>
  <c r="K3328" i="50" s="1"/>
  <c r="B1196" i="50"/>
  <c r="D2685" i="50"/>
  <c r="E2721" i="50" s="1"/>
  <c r="D500" i="50"/>
  <c r="D536" i="50" s="1"/>
  <c r="D572" i="50" s="1"/>
  <c r="D504" i="50"/>
  <c r="D540" i="50" s="1"/>
  <c r="D576" i="50" s="1"/>
  <c r="D508" i="50"/>
  <c r="D544" i="50" s="1"/>
  <c r="D580" i="50" s="1"/>
  <c r="D512" i="50"/>
  <c r="D548" i="50" s="1"/>
  <c r="D584" i="50" s="1"/>
  <c r="D516" i="50"/>
  <c r="D552" i="50" s="1"/>
  <c r="D588" i="50" s="1"/>
  <c r="D520" i="50"/>
  <c r="D556" i="50" s="1"/>
  <c r="D592" i="50" s="1"/>
  <c r="D524" i="50"/>
  <c r="D560" i="50" s="1"/>
  <c r="D596" i="50" s="1"/>
  <c r="D501" i="50"/>
  <c r="D537" i="50" s="1"/>
  <c r="D573" i="50" s="1"/>
  <c r="D505" i="50"/>
  <c r="D541" i="50" s="1"/>
  <c r="D577" i="50" s="1"/>
  <c r="D509" i="50"/>
  <c r="D545" i="50" s="1"/>
  <c r="D581" i="50" s="1"/>
  <c r="D513" i="50"/>
  <c r="D549" i="50" s="1"/>
  <c r="D585" i="50" s="1"/>
  <c r="D517" i="50"/>
  <c r="D553" i="50" s="1"/>
  <c r="D589" i="50" s="1"/>
  <c r="D521" i="50"/>
  <c r="D557" i="50" s="1"/>
  <c r="D593" i="50" s="1"/>
  <c r="D498" i="50"/>
  <c r="D534" i="50" s="1"/>
  <c r="D570" i="50" s="1"/>
  <c r="D502" i="50"/>
  <c r="D538" i="50" s="1"/>
  <c r="D574" i="50" s="1"/>
  <c r="D506" i="50"/>
  <c r="D542" i="50" s="1"/>
  <c r="D578" i="50" s="1"/>
  <c r="D510" i="50"/>
  <c r="D546" i="50" s="1"/>
  <c r="D582" i="50" s="1"/>
  <c r="D514" i="50"/>
  <c r="D550" i="50" s="1"/>
  <c r="D586" i="50" s="1"/>
  <c r="D518" i="50"/>
  <c r="D554" i="50" s="1"/>
  <c r="D590" i="50" s="1"/>
  <c r="D522" i="50"/>
  <c r="D558" i="50" s="1"/>
  <c r="D594" i="50" s="1"/>
  <c r="D499" i="50"/>
  <c r="D535" i="50" s="1"/>
  <c r="D571" i="50" s="1"/>
  <c r="D503" i="50"/>
  <c r="D539" i="50" s="1"/>
  <c r="D575" i="50" s="1"/>
  <c r="D507" i="50"/>
  <c r="D543" i="50" s="1"/>
  <c r="D579" i="50" s="1"/>
  <c r="D511" i="50"/>
  <c r="D547" i="50" s="1"/>
  <c r="D583" i="50" s="1"/>
  <c r="D515" i="50"/>
  <c r="D551" i="50" s="1"/>
  <c r="D587" i="50" s="1"/>
  <c r="D519" i="50"/>
  <c r="D555" i="50" s="1"/>
  <c r="D591" i="50" s="1"/>
  <c r="D523" i="50"/>
  <c r="D559" i="50" s="1"/>
  <c r="D595" i="50" s="1"/>
  <c r="F2686" i="50"/>
  <c r="G2722" i="50" s="1"/>
  <c r="D1269" i="50"/>
  <c r="C1282" i="50" s="1"/>
  <c r="C1231" i="50"/>
  <c r="B1248" i="50" s="1"/>
  <c r="C1227" i="50"/>
  <c r="B1244" i="50" s="1"/>
  <c r="C1223" i="50"/>
  <c r="B1240" i="50" s="1"/>
  <c r="B1513" i="50" s="1"/>
  <c r="F1156" i="50"/>
  <c r="D1196" i="50" s="1"/>
  <c r="I1155" i="50"/>
  <c r="G1196" i="50" s="1"/>
  <c r="E1155" i="50"/>
  <c r="C1196" i="50" s="1"/>
  <c r="I1153" i="50"/>
  <c r="D1153" i="50"/>
  <c r="F1152" i="50"/>
  <c r="D1195" i="50" s="1"/>
  <c r="H1150" i="50"/>
  <c r="F1149" i="50"/>
  <c r="H1144" i="50"/>
  <c r="F1192" i="50" s="1"/>
  <c r="D1144" i="50"/>
  <c r="I1142" i="50"/>
  <c r="E1142" i="50"/>
  <c r="C1192" i="50" s="1"/>
  <c r="H1140" i="50"/>
  <c r="E1136" i="50"/>
  <c r="C1135" i="50"/>
  <c r="G1135" i="50" s="1"/>
  <c r="E1190" i="50" s="1"/>
  <c r="C1103" i="50"/>
  <c r="G1103" i="50" s="1"/>
  <c r="C1102" i="50"/>
  <c r="G1102" i="50" s="1"/>
  <c r="C1101" i="50"/>
  <c r="G1101" i="50" s="1"/>
  <c r="C1099" i="50"/>
  <c r="G1099" i="50" s="1"/>
  <c r="C1098" i="50"/>
  <c r="G1098" i="50" s="1"/>
  <c r="C1097" i="50"/>
  <c r="G1097" i="50" s="1"/>
  <c r="C1095" i="50"/>
  <c r="G1095" i="50" s="1"/>
  <c r="C1094" i="50"/>
  <c r="G1094" i="50" s="1"/>
  <c r="H1067" i="50"/>
  <c r="H1066" i="50"/>
  <c r="H1065" i="50"/>
  <c r="H1063" i="50"/>
  <c r="H1062" i="50"/>
  <c r="D645" i="50"/>
  <c r="E1230" i="50"/>
  <c r="D1247" i="50" s="1"/>
  <c r="C1229" i="50"/>
  <c r="B1246" i="50" s="1"/>
  <c r="E1226" i="50"/>
  <c r="D1243" i="50" s="1"/>
  <c r="D1514" i="50" s="1"/>
  <c r="C1225" i="50"/>
  <c r="B1242" i="50" s="1"/>
  <c r="B1587" i="50" s="1"/>
  <c r="E1210" i="50"/>
  <c r="H1156" i="50"/>
  <c r="F1196" i="50" s="1"/>
  <c r="H1152" i="50"/>
  <c r="F1195" i="50" s="1"/>
  <c r="C1152" i="50"/>
  <c r="G1152" i="50" s="1"/>
  <c r="E1195" i="50" s="1"/>
  <c r="D1150" i="50"/>
  <c r="B1194" i="50" s="1"/>
  <c r="F1144" i="50"/>
  <c r="D1192" i="50" s="1"/>
  <c r="I1143" i="50"/>
  <c r="D1143" i="50"/>
  <c r="I1135" i="50"/>
  <c r="G1190" i="50" s="1"/>
  <c r="E1135" i="50"/>
  <c r="I1133" i="50"/>
  <c r="D1133" i="50"/>
  <c r="D1067" i="50"/>
  <c r="D1066" i="50"/>
  <c r="D1065" i="50"/>
  <c r="D1063" i="50"/>
  <c r="D1062" i="50"/>
  <c r="D1061" i="50"/>
  <c r="E1231" i="50"/>
  <c r="D1248" i="50" s="1"/>
  <c r="E1227" i="50"/>
  <c r="D1244" i="50" s="1"/>
  <c r="E1223" i="50"/>
  <c r="D1240" i="50" s="1"/>
  <c r="D1513" i="50" s="1"/>
  <c r="E1153" i="50"/>
  <c r="C1195" i="50" s="1"/>
  <c r="I1144" i="50"/>
  <c r="F1136" i="50"/>
  <c r="H1135" i="50"/>
  <c r="F1103" i="50"/>
  <c r="F1102" i="50"/>
  <c r="F1101" i="50"/>
  <c r="F1099" i="50"/>
  <c r="F1098" i="50"/>
  <c r="F1097" i="50"/>
  <c r="F1095" i="50"/>
  <c r="F1094" i="50"/>
  <c r="B841" i="50"/>
  <c r="K3317" i="50" s="1"/>
  <c r="B144" i="49"/>
  <c r="I129" i="49"/>
  <c r="I123" i="49"/>
  <c r="K120" i="49"/>
  <c r="I112" i="49"/>
  <c r="K109" i="49"/>
  <c r="I106" i="49"/>
  <c r="I101" i="49"/>
  <c r="K98" i="49"/>
  <c r="K93" i="49"/>
  <c r="I68" i="49"/>
  <c r="K66" i="49"/>
  <c r="I62" i="49"/>
  <c r="K59" i="49"/>
  <c r="I56" i="49"/>
  <c r="K43" i="49"/>
  <c r="I2687" i="50"/>
  <c r="J2723" i="50" s="1"/>
  <c r="E2687" i="50"/>
  <c r="F2723" i="50" s="1"/>
  <c r="I2686" i="50"/>
  <c r="J2722" i="50" s="1"/>
  <c r="E2686" i="50"/>
  <c r="F2722" i="50" s="1"/>
  <c r="H2687" i="50"/>
  <c r="I2723" i="50" s="1"/>
  <c r="D2687" i="50"/>
  <c r="E2723" i="50" s="1"/>
  <c r="H2686" i="50"/>
  <c r="I2722" i="50" s="1"/>
  <c r="D2686" i="50"/>
  <c r="E2722" i="50" s="1"/>
  <c r="W1476" i="50"/>
  <c r="W1579" i="50" s="1"/>
  <c r="W1473" i="50"/>
  <c r="W1578" i="50" s="1"/>
  <c r="G1476" i="50"/>
  <c r="G1579" i="50" s="1"/>
  <c r="G1473" i="50"/>
  <c r="G1578" i="50" s="1"/>
  <c r="AI1473" i="50"/>
  <c r="AI1578" i="50" s="1"/>
  <c r="AI1476" i="50"/>
  <c r="AI1579" i="50" s="1"/>
  <c r="S1473" i="50"/>
  <c r="S1578" i="50" s="1"/>
  <c r="S1476" i="50"/>
  <c r="S1579" i="50" s="1"/>
  <c r="C1473" i="50"/>
  <c r="C1578" i="50" s="1"/>
  <c r="C1476" i="50"/>
  <c r="C1579" i="50" s="1"/>
  <c r="AE1473" i="50"/>
  <c r="AE1578" i="50" s="1"/>
  <c r="AE1476" i="50"/>
  <c r="AE1579" i="50" s="1"/>
  <c r="O1473" i="50"/>
  <c r="O1578" i="50" s="1"/>
  <c r="O1476" i="50"/>
  <c r="O1579" i="50" s="1"/>
  <c r="AA1473" i="50"/>
  <c r="AA1578" i="50" s="1"/>
  <c r="AA1476" i="50"/>
  <c r="AA1579" i="50" s="1"/>
  <c r="K1473" i="50"/>
  <c r="K1578" i="50" s="1"/>
  <c r="K1476" i="50"/>
  <c r="K1579" i="50" s="1"/>
  <c r="D1147" i="50"/>
  <c r="H1147" i="50"/>
  <c r="E1147" i="50"/>
  <c r="I1147" i="50"/>
  <c r="F1147" i="50"/>
  <c r="D1193" i="50" s="1"/>
  <c r="E1452" i="50"/>
  <c r="E1451" i="50"/>
  <c r="E1450" i="50"/>
  <c r="E1449" i="50"/>
  <c r="E1448" i="50"/>
  <c r="E1447" i="50"/>
  <c r="E1446" i="50"/>
  <c r="E1445" i="50"/>
  <c r="E1444" i="50"/>
  <c r="E1272" i="50"/>
  <c r="D1285" i="50" s="1"/>
  <c r="C1272" i="50"/>
  <c r="B1285" i="50" s="1"/>
  <c r="E1270" i="50"/>
  <c r="D1283" i="50" s="1"/>
  <c r="C1270" i="50"/>
  <c r="B1283" i="50" s="1"/>
  <c r="D1452" i="50"/>
  <c r="D1451" i="50"/>
  <c r="D1450" i="50"/>
  <c r="D1449" i="50"/>
  <c r="D1448" i="50"/>
  <c r="D1447" i="50"/>
  <c r="D1446" i="50"/>
  <c r="D1445" i="50"/>
  <c r="D1444" i="50"/>
  <c r="E1193" i="50"/>
  <c r="E1273" i="50"/>
  <c r="D1286" i="50" s="1"/>
  <c r="C1273" i="50"/>
  <c r="B1286" i="50" s="1"/>
  <c r="E1271" i="50"/>
  <c r="D1284" i="50" s="1"/>
  <c r="C1271" i="50"/>
  <c r="B1284" i="50" s="1"/>
  <c r="E1132" i="50"/>
  <c r="I1132" i="50"/>
  <c r="F1132" i="50"/>
  <c r="D1131" i="50"/>
  <c r="H1131" i="50"/>
  <c r="E1131" i="50"/>
  <c r="I1131" i="50"/>
  <c r="D1129" i="50"/>
  <c r="H1129" i="50"/>
  <c r="E1129" i="50"/>
  <c r="I1129" i="50"/>
  <c r="D1128" i="50"/>
  <c r="H1128" i="50"/>
  <c r="E1128" i="50"/>
  <c r="I1128" i="50"/>
  <c r="D1127" i="50"/>
  <c r="H1127" i="50"/>
  <c r="F1188" i="50" s="1"/>
  <c r="E1127" i="50"/>
  <c r="C1188" i="50" s="1"/>
  <c r="I1127" i="50"/>
  <c r="G1188" i="50" s="1"/>
  <c r="D1125" i="50"/>
  <c r="H1125" i="50"/>
  <c r="E1125" i="50"/>
  <c r="I1125" i="50"/>
  <c r="D1124" i="50"/>
  <c r="H1124" i="50"/>
  <c r="E1124" i="50"/>
  <c r="I1124" i="50"/>
  <c r="D1123" i="50"/>
  <c r="H1123" i="50"/>
  <c r="F1187" i="50" s="1"/>
  <c r="E1123" i="50"/>
  <c r="C1187" i="50" s="1"/>
  <c r="I1123" i="50"/>
  <c r="G1187" i="50" s="1"/>
  <c r="D1121" i="50"/>
  <c r="H1121" i="50"/>
  <c r="E1121" i="50"/>
  <c r="I1121" i="50"/>
  <c r="D1120" i="50"/>
  <c r="H1120" i="50"/>
  <c r="E1120" i="50"/>
  <c r="I1120" i="50"/>
  <c r="D1119" i="50"/>
  <c r="H1119" i="50"/>
  <c r="F1186" i="50" s="1"/>
  <c r="E1119" i="50"/>
  <c r="C1186" i="50" s="1"/>
  <c r="I1119" i="50"/>
  <c r="G1186" i="50" s="1"/>
  <c r="D1117" i="50"/>
  <c r="H1117" i="50"/>
  <c r="E1117" i="50"/>
  <c r="I1117" i="50"/>
  <c r="D1116" i="50"/>
  <c r="H1116" i="50"/>
  <c r="E1116" i="50"/>
  <c r="I1116" i="50"/>
  <c r="D1115" i="50"/>
  <c r="B1185" i="50" s="1"/>
  <c r="H1115" i="50"/>
  <c r="F1185" i="50" s="1"/>
  <c r="E1115" i="50"/>
  <c r="I1115" i="50"/>
  <c r="G1185" i="50" s="1"/>
  <c r="D1113" i="50"/>
  <c r="H1113" i="50"/>
  <c r="E1113" i="50"/>
  <c r="I1113" i="50"/>
  <c r="D1112" i="50"/>
  <c r="H1112" i="50"/>
  <c r="E1112" i="50"/>
  <c r="I1112" i="50"/>
  <c r="D1111" i="50"/>
  <c r="B1184" i="50" s="1"/>
  <c r="H1111" i="50"/>
  <c r="F1184" i="50" s="1"/>
  <c r="E1111" i="50"/>
  <c r="I1111" i="50"/>
  <c r="G1184" i="50" s="1"/>
  <c r="D1109" i="50"/>
  <c r="H1109" i="50"/>
  <c r="E1109" i="50"/>
  <c r="I1109" i="50"/>
  <c r="D1108" i="50"/>
  <c r="B1183" i="50" s="1"/>
  <c r="H1108" i="50"/>
  <c r="F1183" i="50" s="1"/>
  <c r="E1108" i="50"/>
  <c r="C1183" i="50" s="1"/>
  <c r="I1108" i="50"/>
  <c r="G1183" i="50" s="1"/>
  <c r="D1106" i="50"/>
  <c r="H1106" i="50"/>
  <c r="E1106" i="50"/>
  <c r="I1106" i="50"/>
  <c r="D1105" i="50"/>
  <c r="B1182" i="50" s="1"/>
  <c r="H1105" i="50"/>
  <c r="F1182" i="50" s="1"/>
  <c r="E1105" i="50"/>
  <c r="C1182" i="50" s="1"/>
  <c r="I1105" i="50"/>
  <c r="G1182" i="50" s="1"/>
  <c r="C1089" i="50"/>
  <c r="G1089" i="50" s="1"/>
  <c r="E1177" i="50" s="1"/>
  <c r="C3039" i="50" s="1"/>
  <c r="E1089" i="50"/>
  <c r="C1177" i="50" s="1"/>
  <c r="I1089" i="50"/>
  <c r="G1177" i="50" s="1"/>
  <c r="D1089" i="50"/>
  <c r="B1177" i="50" s="1"/>
  <c r="F1089" i="50"/>
  <c r="D1177" i="50" s="1"/>
  <c r="H1089" i="50"/>
  <c r="F1177" i="50" s="1"/>
  <c r="C1269" i="50"/>
  <c r="B1282" i="50" s="1"/>
  <c r="I1146" i="50"/>
  <c r="E1146" i="50"/>
  <c r="E1139" i="50"/>
  <c r="I1139" i="50"/>
  <c r="C1138" i="50"/>
  <c r="G1138" i="50" s="1"/>
  <c r="E1191" i="50" s="1"/>
  <c r="D1138" i="50"/>
  <c r="H1138" i="50"/>
  <c r="F1191" i="50" s="1"/>
  <c r="H1132" i="50"/>
  <c r="C1087" i="50"/>
  <c r="G1087" i="50" s="1"/>
  <c r="E1087" i="50"/>
  <c r="I1087" i="50"/>
  <c r="D1087" i="50"/>
  <c r="F1087" i="50"/>
  <c r="H1087" i="50"/>
  <c r="F1150" i="50"/>
  <c r="D1194" i="50" s="1"/>
  <c r="I1149" i="50"/>
  <c r="E1149" i="50"/>
  <c r="C1194" i="50" s="1"/>
  <c r="H1146" i="50"/>
  <c r="D1146" i="50"/>
  <c r="E1140" i="50"/>
  <c r="I1138" i="50"/>
  <c r="F1131" i="50"/>
  <c r="F1129" i="50"/>
  <c r="F1128" i="50"/>
  <c r="F1127" i="50"/>
  <c r="F1125" i="50"/>
  <c r="F1124" i="50"/>
  <c r="F1123" i="50"/>
  <c r="F1121" i="50"/>
  <c r="F1120" i="50"/>
  <c r="F1119" i="50"/>
  <c r="F1117" i="50"/>
  <c r="F1116" i="50"/>
  <c r="F1115" i="50"/>
  <c r="F1113" i="50"/>
  <c r="F1112" i="50"/>
  <c r="F1111" i="50"/>
  <c r="F1109" i="50"/>
  <c r="F1108" i="50"/>
  <c r="F1106" i="50"/>
  <c r="F1105" i="50"/>
  <c r="E1093" i="50"/>
  <c r="C1093" i="50"/>
  <c r="G1093" i="50" s="1"/>
  <c r="H1093" i="50"/>
  <c r="D1093" i="50"/>
  <c r="B1179" i="50" s="1"/>
  <c r="I1093" i="50"/>
  <c r="F1093" i="50"/>
  <c r="I1152" i="50"/>
  <c r="G1195" i="50" s="1"/>
  <c r="I1150" i="50"/>
  <c r="H1149" i="50"/>
  <c r="I1140" i="50"/>
  <c r="D1140" i="50"/>
  <c r="F1139" i="50"/>
  <c r="F1138" i="50"/>
  <c r="D1132" i="50"/>
  <c r="C1131" i="50"/>
  <c r="G1131" i="50" s="1"/>
  <c r="E1189" i="50" s="1"/>
  <c r="C1129" i="50"/>
  <c r="C1128" i="50"/>
  <c r="C1127" i="50"/>
  <c r="C1125" i="50"/>
  <c r="C1124" i="50"/>
  <c r="C1123" i="50"/>
  <c r="C1121" i="50"/>
  <c r="C1120" i="50"/>
  <c r="C1119" i="50"/>
  <c r="C1117" i="50"/>
  <c r="C1116" i="50"/>
  <c r="C1115" i="50"/>
  <c r="C1113" i="50"/>
  <c r="C1112" i="50"/>
  <c r="C1111" i="50"/>
  <c r="C1109" i="50"/>
  <c r="G1109" i="50" s="1"/>
  <c r="C1108" i="50"/>
  <c r="G1108" i="50" s="1"/>
  <c r="C1106" i="50"/>
  <c r="G1106" i="50" s="1"/>
  <c r="C1105" i="50"/>
  <c r="G1105" i="50" s="1"/>
  <c r="C1091" i="50"/>
  <c r="G1091" i="50" s="1"/>
  <c r="E1178" i="50" s="1"/>
  <c r="C3040" i="50" s="1"/>
  <c r="E1091" i="50"/>
  <c r="C1178" i="50" s="1"/>
  <c r="I1091" i="50"/>
  <c r="G1178" i="50" s="1"/>
  <c r="D1091" i="50"/>
  <c r="B1178" i="50" s="1"/>
  <c r="F1091" i="50"/>
  <c r="D1178" i="50" s="1"/>
  <c r="H1091" i="50"/>
  <c r="F1178" i="50" s="1"/>
  <c r="C1086" i="50"/>
  <c r="G1086" i="50" s="1"/>
  <c r="E1086" i="50"/>
  <c r="I1086" i="50"/>
  <c r="C1085" i="50"/>
  <c r="G1085" i="50" s="1"/>
  <c r="E1085" i="50"/>
  <c r="I1085" i="50"/>
  <c r="C1083" i="50"/>
  <c r="E1083" i="50"/>
  <c r="I1083" i="50"/>
  <c r="C1082" i="50"/>
  <c r="E1082" i="50"/>
  <c r="I1082" i="50"/>
  <c r="C1081" i="50"/>
  <c r="E1081" i="50"/>
  <c r="I1081" i="50"/>
  <c r="C1079" i="50"/>
  <c r="G1079" i="50" s="1"/>
  <c r="E1079" i="50"/>
  <c r="I1079" i="50"/>
  <c r="C1078" i="50"/>
  <c r="G1078" i="50" s="1"/>
  <c r="E1078" i="50"/>
  <c r="I1078" i="50"/>
  <c r="C1077" i="50"/>
  <c r="G1077" i="50" s="1"/>
  <c r="E1077" i="50"/>
  <c r="I1077" i="50"/>
  <c r="C1075" i="50"/>
  <c r="G1075" i="50" s="1"/>
  <c r="E1075" i="50"/>
  <c r="I1075" i="50"/>
  <c r="C1074" i="50"/>
  <c r="G1074" i="50" s="1"/>
  <c r="E1074" i="50"/>
  <c r="I1074" i="50"/>
  <c r="C1073" i="50"/>
  <c r="G1073" i="50" s="1"/>
  <c r="E1073" i="50"/>
  <c r="I1073" i="50"/>
  <c r="C1071" i="50"/>
  <c r="E1071" i="50"/>
  <c r="I1071" i="50"/>
  <c r="C1070" i="50"/>
  <c r="E1070" i="50"/>
  <c r="I1070" i="50"/>
  <c r="C1069" i="50"/>
  <c r="E1069" i="50"/>
  <c r="I1069" i="50"/>
  <c r="H1086" i="50"/>
  <c r="H1085" i="50"/>
  <c r="H1083" i="50"/>
  <c r="H1082" i="50"/>
  <c r="H1081" i="50"/>
  <c r="H1079" i="50"/>
  <c r="H1078" i="50"/>
  <c r="H1077" i="50"/>
  <c r="H1075" i="50"/>
  <c r="H1074" i="50"/>
  <c r="H1073" i="50"/>
  <c r="H1071" i="50"/>
  <c r="H1070" i="50"/>
  <c r="H1069" i="50"/>
  <c r="D844" i="50"/>
  <c r="D646" i="50"/>
  <c r="B677" i="50"/>
  <c r="C647" i="50"/>
  <c r="H1136" i="50"/>
  <c r="F1190" i="50" s="1"/>
  <c r="I1103" i="50"/>
  <c r="E1103" i="50"/>
  <c r="I1102" i="50"/>
  <c r="E1102" i="50"/>
  <c r="I1101" i="50"/>
  <c r="E1101" i="50"/>
  <c r="I1099" i="50"/>
  <c r="E1099" i="50"/>
  <c r="I1098" i="50"/>
  <c r="E1098" i="50"/>
  <c r="I1097" i="50"/>
  <c r="E1097" i="50"/>
  <c r="I1095" i="50"/>
  <c r="E1095" i="50"/>
  <c r="I1094" i="50"/>
  <c r="E1094" i="50"/>
  <c r="F1086" i="50"/>
  <c r="F1085" i="50"/>
  <c r="F1083" i="50"/>
  <c r="F1082" i="50"/>
  <c r="F1081" i="50"/>
  <c r="F1079" i="50"/>
  <c r="F1078" i="50"/>
  <c r="F1077" i="50"/>
  <c r="F1075" i="50"/>
  <c r="F1074" i="50"/>
  <c r="F1073" i="50"/>
  <c r="F1071" i="50"/>
  <c r="F1070" i="50"/>
  <c r="F1069" i="50"/>
  <c r="H1103" i="50"/>
  <c r="H1102" i="50"/>
  <c r="H1101" i="50"/>
  <c r="H1099" i="50"/>
  <c r="H1098" i="50"/>
  <c r="H1097" i="50"/>
  <c r="H1095" i="50"/>
  <c r="H1094" i="50"/>
  <c r="D1086" i="50"/>
  <c r="D1085" i="50"/>
  <c r="D1083" i="50"/>
  <c r="D1082" i="50"/>
  <c r="D1081" i="50"/>
  <c r="D1079" i="50"/>
  <c r="D1078" i="50"/>
  <c r="D1077" i="50"/>
  <c r="D1075" i="50"/>
  <c r="D1074" i="50"/>
  <c r="D1073" i="50"/>
  <c r="D1071" i="50"/>
  <c r="D1070" i="50"/>
  <c r="D1069" i="50"/>
  <c r="D852" i="50"/>
  <c r="I1067" i="50"/>
  <c r="E1067" i="50"/>
  <c r="I1066" i="50"/>
  <c r="E1066" i="50"/>
  <c r="I1065" i="50"/>
  <c r="E1065" i="50"/>
  <c r="I1063" i="50"/>
  <c r="E1063" i="50"/>
  <c r="I1062" i="50"/>
  <c r="E1062" i="50"/>
  <c r="I1061" i="50"/>
  <c r="E1061" i="50"/>
  <c r="C867" i="50"/>
  <c r="L3343" i="50" s="1"/>
  <c r="B866" i="50"/>
  <c r="C863" i="50"/>
  <c r="L3339" i="50" s="1"/>
  <c r="C859" i="50"/>
  <c r="D859" i="50" s="1"/>
  <c r="B858" i="50"/>
  <c r="C855" i="50"/>
  <c r="D855" i="50" s="1"/>
  <c r="B854" i="50"/>
  <c r="C851" i="50"/>
  <c r="L3327" i="50" s="1"/>
  <c r="B850" i="50"/>
  <c r="C847" i="50"/>
  <c r="L3323" i="50" s="1"/>
  <c r="B846" i="50"/>
  <c r="C843" i="50"/>
  <c r="D843" i="50" s="1"/>
  <c r="C865" i="50"/>
  <c r="L3341" i="50" s="1"/>
  <c r="B864" i="50"/>
  <c r="C861" i="50"/>
  <c r="L3337" i="50" s="1"/>
  <c r="B860" i="50"/>
  <c r="C857" i="50"/>
  <c r="B856" i="50"/>
  <c r="D856" i="50" s="1"/>
  <c r="C853" i="50"/>
  <c r="B848" i="50"/>
  <c r="C845" i="50"/>
  <c r="L3321" i="50" s="1"/>
  <c r="C841" i="50"/>
  <c r="B648" i="50"/>
  <c r="B865" i="50"/>
  <c r="C862" i="50"/>
  <c r="L3338" i="50" s="1"/>
  <c r="B861" i="50"/>
  <c r="C858" i="50"/>
  <c r="B857" i="50"/>
  <c r="C850" i="50"/>
  <c r="L3326" i="50" s="1"/>
  <c r="B849" i="50"/>
  <c r="C846" i="50"/>
  <c r="B845" i="50"/>
  <c r="K21" i="32"/>
  <c r="K22" i="32"/>
  <c r="AE64" i="32"/>
  <c r="E179" i="38" s="1"/>
  <c r="E179" i="37"/>
  <c r="AE44" i="32"/>
  <c r="E159" i="37"/>
  <c r="AB42" i="32"/>
  <c r="B157" i="38" s="1"/>
  <c r="B157" i="37"/>
  <c r="AC46" i="32"/>
  <c r="C161" i="38" s="1"/>
  <c r="C161" i="37"/>
  <c r="AB41" i="32"/>
  <c r="B156" i="38" s="1"/>
  <c r="B156" i="37"/>
  <c r="J19" i="32"/>
  <c r="J20" i="32"/>
  <c r="AC65" i="32"/>
  <c r="C180" i="38" s="1"/>
  <c r="C180" i="37"/>
  <c r="AE46" i="32"/>
  <c r="E161" i="38" s="1"/>
  <c r="E161" i="37"/>
  <c r="AC45" i="32"/>
  <c r="C160" i="38" s="1"/>
  <c r="C160" i="37"/>
  <c r="AB40" i="32"/>
  <c r="B155" i="37"/>
  <c r="AE65" i="32"/>
  <c r="E180" i="38" s="1"/>
  <c r="E180" i="37"/>
  <c r="AC64" i="32"/>
  <c r="C179" i="38" s="1"/>
  <c r="C179" i="37"/>
  <c r="AE45" i="32"/>
  <c r="E160" i="38" s="1"/>
  <c r="E160" i="37"/>
  <c r="AC44" i="32"/>
  <c r="C159" i="38" s="1"/>
  <c r="C159" i="37"/>
  <c r="C151" i="37"/>
  <c r="R34" i="31"/>
  <c r="B95" i="36"/>
  <c r="F95" i="36"/>
  <c r="V34" i="31"/>
  <c r="E96" i="36"/>
  <c r="U35" i="31"/>
  <c r="D97" i="36"/>
  <c r="T36" i="31"/>
  <c r="C98" i="36"/>
  <c r="S37" i="31"/>
  <c r="C95" i="36"/>
  <c r="S34" i="31"/>
  <c r="R35" i="31"/>
  <c r="B96" i="36"/>
  <c r="F96" i="36"/>
  <c r="V35" i="31"/>
  <c r="U36" i="31"/>
  <c r="E97" i="36"/>
  <c r="D98" i="36"/>
  <c r="T37" i="31"/>
  <c r="T34" i="31"/>
  <c r="D95" i="36"/>
  <c r="S35" i="31"/>
  <c r="C96" i="36"/>
  <c r="R36" i="31"/>
  <c r="B97" i="36"/>
  <c r="V36" i="31"/>
  <c r="F97" i="36"/>
  <c r="U37" i="31"/>
  <c r="E98" i="36"/>
  <c r="U34" i="31"/>
  <c r="E95" i="36"/>
  <c r="D96" i="36"/>
  <c r="T35" i="31"/>
  <c r="S36" i="31"/>
  <c r="C97" i="36"/>
  <c r="B98" i="36"/>
  <c r="R37" i="31"/>
  <c r="V37" i="31"/>
  <c r="F98" i="36"/>
  <c r="F98" i="35"/>
  <c r="D98" i="35"/>
  <c r="AA29" i="31"/>
  <c r="B90" i="36"/>
  <c r="AE29" i="31"/>
  <c r="F90" i="36"/>
  <c r="AF29" i="31"/>
  <c r="G90" i="36"/>
  <c r="AB29" i="31"/>
  <c r="C90" i="36"/>
  <c r="D90" i="36"/>
  <c r="AC29" i="31"/>
  <c r="H90" i="36"/>
  <c r="AG29" i="31"/>
  <c r="AD29" i="31"/>
  <c r="E90" i="36"/>
  <c r="I90" i="36"/>
  <c r="AH29" i="31"/>
  <c r="AA7" i="31"/>
  <c r="B68" i="36"/>
  <c r="AB7" i="31"/>
  <c r="AF7" i="31"/>
  <c r="AB8" i="31"/>
  <c r="AF8" i="31"/>
  <c r="AH8" i="31"/>
  <c r="AB9" i="31"/>
  <c r="AD9" i="31"/>
  <c r="AF9" i="31"/>
  <c r="AH9" i="31"/>
  <c r="AB10" i="31"/>
  <c r="AD10" i="31"/>
  <c r="AF10" i="31"/>
  <c r="AH10" i="31"/>
  <c r="AB11" i="31"/>
  <c r="AD11" i="31"/>
  <c r="AF11" i="31"/>
  <c r="AH11" i="31"/>
  <c r="AB12" i="31"/>
  <c r="AD12" i="31"/>
  <c r="AF12" i="31"/>
  <c r="AH12" i="31"/>
  <c r="AB13" i="31"/>
  <c r="AD13" i="31"/>
  <c r="AF13" i="31"/>
  <c r="AH13" i="31"/>
  <c r="AB14" i="31"/>
  <c r="AD14" i="31"/>
  <c r="AF14" i="31"/>
  <c r="AH14" i="31"/>
  <c r="AB15" i="31"/>
  <c r="AD15" i="31"/>
  <c r="AF15" i="31"/>
  <c r="AH15" i="31"/>
  <c r="AB16" i="31"/>
  <c r="AD16" i="31"/>
  <c r="AF16" i="31"/>
  <c r="AH16" i="31"/>
  <c r="AB17" i="31"/>
  <c r="AD17" i="31"/>
  <c r="AD18" i="31"/>
  <c r="AD19" i="31"/>
  <c r="AD20" i="31"/>
  <c r="AD21" i="31"/>
  <c r="AD22" i="31"/>
  <c r="F78" i="36"/>
  <c r="AE17" i="31"/>
  <c r="B79" i="36"/>
  <c r="AA18" i="31"/>
  <c r="F79" i="36"/>
  <c r="AE18" i="31"/>
  <c r="B80" i="36"/>
  <c r="AA19" i="31"/>
  <c r="F80" i="36"/>
  <c r="AE19" i="31"/>
  <c r="B81" i="36"/>
  <c r="AA20" i="31"/>
  <c r="F81" i="36"/>
  <c r="AE20" i="31"/>
  <c r="B82" i="36"/>
  <c r="AA21" i="31"/>
  <c r="F82" i="36"/>
  <c r="AE21" i="31"/>
  <c r="B83" i="36"/>
  <c r="AA22" i="31"/>
  <c r="F83" i="36"/>
  <c r="AE22" i="31"/>
  <c r="AE7" i="31"/>
  <c r="AA8" i="31"/>
  <c r="AE8" i="31"/>
  <c r="AH17" i="31"/>
  <c r="AH18" i="31"/>
  <c r="AH19" i="31"/>
  <c r="AH20" i="31"/>
  <c r="AH21" i="31"/>
  <c r="AH22" i="31"/>
  <c r="H78" i="36"/>
  <c r="AG17" i="31"/>
  <c r="D79" i="36"/>
  <c r="AC18" i="31"/>
  <c r="H79" i="36"/>
  <c r="AG18" i="31"/>
  <c r="D80" i="36"/>
  <c r="AC19" i="31"/>
  <c r="H80" i="36"/>
  <c r="AG19" i="31"/>
  <c r="D81" i="36"/>
  <c r="AC20" i="31"/>
  <c r="H81" i="36"/>
  <c r="AG20" i="31"/>
  <c r="D82" i="36"/>
  <c r="AC21" i="31"/>
  <c r="H82" i="36"/>
  <c r="AG21" i="31"/>
  <c r="D83" i="36"/>
  <c r="AC22" i="31"/>
  <c r="H83" i="36"/>
  <c r="AG22" i="31"/>
  <c r="I49" i="28"/>
  <c r="G40" i="28"/>
  <c r="G46" i="28" s="1"/>
  <c r="E33" i="28"/>
  <c r="E40" i="28" s="1"/>
  <c r="E46" i="28" s="1"/>
  <c r="J33" i="28"/>
  <c r="J50" i="28" s="1"/>
  <c r="F33" i="28"/>
  <c r="G50" i="28" s="1"/>
  <c r="D33" i="28"/>
  <c r="D49" i="28" s="1"/>
  <c r="H33" i="28"/>
  <c r="H40" i="28" s="1"/>
  <c r="H46" i="28" s="1"/>
  <c r="I40" i="28"/>
  <c r="I46" i="28" s="1"/>
  <c r="G49" i="28"/>
  <c r="J40" i="28"/>
  <c r="J46" i="28" s="1"/>
  <c r="F1194" i="50" l="1"/>
  <c r="D1189" i="50"/>
  <c r="F1193" i="50"/>
  <c r="C1184" i="50"/>
  <c r="C1185" i="50"/>
  <c r="G1193" i="50"/>
  <c r="D1190" i="50"/>
  <c r="J49" i="28"/>
  <c r="B1195" i="50"/>
  <c r="H3953" i="50" s="1"/>
  <c r="D1179" i="50"/>
  <c r="E1179" i="50"/>
  <c r="C3041" i="50" s="1"/>
  <c r="B1193" i="50"/>
  <c r="B1186" i="50"/>
  <c r="B1187" i="50"/>
  <c r="B1188" i="50"/>
  <c r="D1171" i="50"/>
  <c r="C1171" i="50"/>
  <c r="C1190" i="50"/>
  <c r="D1173" i="50"/>
  <c r="C1180" i="50"/>
  <c r="C1193" i="50"/>
  <c r="G1180" i="50"/>
  <c r="B1170" i="50"/>
  <c r="H3954" i="50"/>
  <c r="C1173" i="50"/>
  <c r="G1174" i="50"/>
  <c r="E1176" i="50"/>
  <c r="C3038" i="50" s="1"/>
  <c r="E1183" i="50"/>
  <c r="B1341" i="50"/>
  <c r="D2205" i="50" s="1"/>
  <c r="D2242" i="50" s="1"/>
  <c r="D1182" i="50"/>
  <c r="B1328" i="50" s="1"/>
  <c r="D1184" i="50"/>
  <c r="B1330" i="50" s="1"/>
  <c r="C1189" i="50"/>
  <c r="D1188" i="50"/>
  <c r="B1340" i="50"/>
  <c r="D2204" i="50" s="1"/>
  <c r="C1172" i="50"/>
  <c r="I50" i="28"/>
  <c r="H49" i="28"/>
  <c r="E49" i="28"/>
  <c r="E50" i="28"/>
  <c r="H50" i="28"/>
  <c r="B1192" i="50"/>
  <c r="B1338" i="50" s="1"/>
  <c r="E2202" i="50" s="1"/>
  <c r="F1171" i="50"/>
  <c r="G1189" i="50"/>
  <c r="F1170" i="50"/>
  <c r="D1170" i="50"/>
  <c r="D842" i="50"/>
  <c r="K3318" i="50"/>
  <c r="D858" i="50"/>
  <c r="G1171" i="50"/>
  <c r="E1181" i="50"/>
  <c r="D1181" i="50"/>
  <c r="E1180" i="50"/>
  <c r="C3042" i="50" s="1"/>
  <c r="K1485" i="50"/>
  <c r="K1767" i="50" s="1"/>
  <c r="AA1485" i="50"/>
  <c r="AA1767" i="50" s="1"/>
  <c r="G1486" i="50"/>
  <c r="G1768" i="50" s="1"/>
  <c r="W1486" i="50"/>
  <c r="W1768" i="50" s="1"/>
  <c r="C1487" i="50"/>
  <c r="C1769" i="50" s="1"/>
  <c r="S1487" i="50"/>
  <c r="S1769" i="50" s="1"/>
  <c r="AI1487" i="50"/>
  <c r="AI1769" i="50" s="1"/>
  <c r="G1485" i="50"/>
  <c r="G1767" i="50" s="1"/>
  <c r="AE1485" i="50"/>
  <c r="AE1767" i="50" s="1"/>
  <c r="O1486" i="50"/>
  <c r="O1768" i="50" s="1"/>
  <c r="AI1486" i="50"/>
  <c r="AI1768" i="50" s="1"/>
  <c r="W1487" i="50"/>
  <c r="W1769" i="50" s="1"/>
  <c r="O1485" i="50"/>
  <c r="O1767" i="50" s="1"/>
  <c r="AI1485" i="50"/>
  <c r="AI1767" i="50" s="1"/>
  <c r="S1486" i="50"/>
  <c r="S1768" i="50" s="1"/>
  <c r="G1487" i="50"/>
  <c r="G1769" i="50" s="1"/>
  <c r="AA1487" i="50"/>
  <c r="AA1769" i="50" s="1"/>
  <c r="S1485" i="50"/>
  <c r="S1767" i="50" s="1"/>
  <c r="C1486" i="50"/>
  <c r="C1768" i="50" s="1"/>
  <c r="AA1486" i="50"/>
  <c r="AA1768" i="50" s="1"/>
  <c r="K1487" i="50"/>
  <c r="K1769" i="50" s="1"/>
  <c r="AE1487" i="50"/>
  <c r="AE1769" i="50" s="1"/>
  <c r="C1485" i="50"/>
  <c r="C1767" i="50" s="1"/>
  <c r="W1485" i="50"/>
  <c r="W1767" i="50" s="1"/>
  <c r="K1486" i="50"/>
  <c r="K1768" i="50" s="1"/>
  <c r="AE1486" i="50"/>
  <c r="AE1768" i="50" s="1"/>
  <c r="O1487" i="50"/>
  <c r="O1769" i="50" s="1"/>
  <c r="G1173" i="50"/>
  <c r="C1176" i="50"/>
  <c r="D1191" i="50"/>
  <c r="D863" i="50"/>
  <c r="G1191" i="50"/>
  <c r="D1176" i="50"/>
  <c r="D1180" i="50"/>
  <c r="B1172" i="50"/>
  <c r="B1176" i="50"/>
  <c r="F1180" i="50"/>
  <c r="F1174" i="50"/>
  <c r="C1191" i="50"/>
  <c r="B1171" i="50"/>
  <c r="G1192" i="50"/>
  <c r="B1342" i="50"/>
  <c r="D849" i="50"/>
  <c r="K3325" i="50"/>
  <c r="D861" i="50"/>
  <c r="K3337" i="50"/>
  <c r="D841" i="50"/>
  <c r="L3317" i="50"/>
  <c r="D864" i="50"/>
  <c r="K3340" i="50"/>
  <c r="D866" i="50"/>
  <c r="K3342" i="50"/>
  <c r="D867" i="50"/>
  <c r="B1173" i="50"/>
  <c r="F1181" i="50"/>
  <c r="D847" i="50"/>
  <c r="D1174" i="50"/>
  <c r="F1175" i="50"/>
  <c r="G1070" i="50"/>
  <c r="E4187" i="50"/>
  <c r="G1081" i="50"/>
  <c r="E4198" i="50"/>
  <c r="G1112" i="50"/>
  <c r="E4229" i="50"/>
  <c r="G1117" i="50"/>
  <c r="E4234" i="50"/>
  <c r="G1123" i="50"/>
  <c r="E4240" i="50"/>
  <c r="G1128" i="50"/>
  <c r="E4245" i="50"/>
  <c r="G1179" i="50"/>
  <c r="C1179" i="50"/>
  <c r="D1185" i="50"/>
  <c r="B1331" i="50" s="1"/>
  <c r="B1191" i="50"/>
  <c r="B1189" i="50"/>
  <c r="G2205" i="50"/>
  <c r="G2242" i="50" s="1"/>
  <c r="J2205" i="50"/>
  <c r="J2242" i="50" s="1"/>
  <c r="L1460" i="50"/>
  <c r="C1966" i="50"/>
  <c r="AB1460" i="50"/>
  <c r="C1970" i="50"/>
  <c r="E1460" i="50"/>
  <c r="D1964" i="50"/>
  <c r="D1982" i="50" s="1"/>
  <c r="E1998" i="50" s="1"/>
  <c r="U1460" i="50"/>
  <c r="D1968" i="50"/>
  <c r="D1986" i="50" s="1"/>
  <c r="U1998" i="50" s="1"/>
  <c r="AK1460" i="50"/>
  <c r="D1972" i="50"/>
  <c r="D1990" i="50" s="1"/>
  <c r="AK1998" i="50" s="1"/>
  <c r="D850" i="50"/>
  <c r="K3326" i="50"/>
  <c r="D647" i="50"/>
  <c r="C648" i="50"/>
  <c r="D862" i="50"/>
  <c r="G1069" i="50"/>
  <c r="E4186" i="50"/>
  <c r="G1113" i="50"/>
  <c r="E4230" i="50"/>
  <c r="G1119" i="50"/>
  <c r="E4236" i="50"/>
  <c r="G1124" i="50"/>
  <c r="E4241" i="50"/>
  <c r="G1129" i="50"/>
  <c r="E4246" i="50"/>
  <c r="B1323" i="50"/>
  <c r="P1460" i="50"/>
  <c r="C1967" i="50"/>
  <c r="AF1460" i="50"/>
  <c r="C1971" i="50"/>
  <c r="I1460" i="50"/>
  <c r="D1965" i="50"/>
  <c r="D1983" i="50" s="1"/>
  <c r="I1998" i="50" s="1"/>
  <c r="Y1460" i="50"/>
  <c r="D1969" i="50"/>
  <c r="D1987" i="50" s="1"/>
  <c r="Y1998" i="50" s="1"/>
  <c r="D857" i="50"/>
  <c r="D865" i="50"/>
  <c r="K3341" i="50"/>
  <c r="D848" i="50"/>
  <c r="K3324" i="50"/>
  <c r="D860" i="50"/>
  <c r="K3336" i="50"/>
  <c r="C1170" i="50"/>
  <c r="B1175" i="50"/>
  <c r="D1172" i="50"/>
  <c r="C1181" i="50"/>
  <c r="F1173" i="50"/>
  <c r="E1173" i="50"/>
  <c r="C3036" i="50" s="1"/>
  <c r="C1174" i="50"/>
  <c r="G1175" i="50"/>
  <c r="G1083" i="50"/>
  <c r="E4200" i="50"/>
  <c r="G1115" i="50"/>
  <c r="E4232" i="50"/>
  <c r="G1120" i="50"/>
  <c r="E4237" i="50"/>
  <c r="G1125" i="50"/>
  <c r="E4242" i="50"/>
  <c r="F1179" i="50"/>
  <c r="D1187" i="50"/>
  <c r="G1194" i="50"/>
  <c r="H3952" i="50" s="1"/>
  <c r="D1460" i="50"/>
  <c r="C1964" i="50"/>
  <c r="T1460" i="50"/>
  <c r="C1968" i="50"/>
  <c r="AJ1460" i="50"/>
  <c r="C1972" i="50"/>
  <c r="M1460" i="50"/>
  <c r="D1966" i="50"/>
  <c r="D1984" i="50" s="1"/>
  <c r="M1998" i="50" s="1"/>
  <c r="AC1460" i="50"/>
  <c r="D1970" i="50"/>
  <c r="D1988" i="50" s="1"/>
  <c r="AC1998" i="50" s="1"/>
  <c r="D845" i="50"/>
  <c r="K3321" i="50"/>
  <c r="B649" i="50"/>
  <c r="B663" i="50"/>
  <c r="B679" i="50" s="1"/>
  <c r="D853" i="50"/>
  <c r="L3329" i="50"/>
  <c r="D846" i="50"/>
  <c r="D854" i="50"/>
  <c r="K3330" i="50"/>
  <c r="G1170" i="50"/>
  <c r="D851" i="50"/>
  <c r="B1174" i="50"/>
  <c r="B678" i="50"/>
  <c r="D1175" i="50"/>
  <c r="G1181" i="50"/>
  <c r="F1172" i="50"/>
  <c r="F1176" i="50"/>
  <c r="G1172" i="50"/>
  <c r="G1071" i="50"/>
  <c r="E4188" i="50"/>
  <c r="E1174" i="50"/>
  <c r="C3037" i="50" s="1"/>
  <c r="C1175" i="50"/>
  <c r="G1082" i="50"/>
  <c r="E4199" i="50"/>
  <c r="G1176" i="50"/>
  <c r="B1324" i="50"/>
  <c r="E1182" i="50"/>
  <c r="G1111" i="50"/>
  <c r="E4228" i="50"/>
  <c r="G1116" i="50"/>
  <c r="E4233" i="50"/>
  <c r="G1121" i="50"/>
  <c r="E4238" i="50"/>
  <c r="G1127" i="50"/>
  <c r="E4244" i="50"/>
  <c r="D1183" i="50"/>
  <c r="B1329" i="50" s="1"/>
  <c r="D1186" i="50"/>
  <c r="B1332" i="50" s="1"/>
  <c r="C2323" i="50"/>
  <c r="C2363" i="50" s="1"/>
  <c r="G2323" i="50"/>
  <c r="G2363" i="50" s="1"/>
  <c r="D2323" i="50"/>
  <c r="D2363" i="50" s="1"/>
  <c r="H2323" i="50"/>
  <c r="H2363" i="50" s="1"/>
  <c r="E2323" i="50"/>
  <c r="E2363" i="50" s="1"/>
  <c r="I2323" i="50"/>
  <c r="I2363" i="50" s="1"/>
  <c r="B2323" i="50"/>
  <c r="B2363" i="50" s="1"/>
  <c r="F2323" i="50"/>
  <c r="F2363" i="50" s="1"/>
  <c r="J2323" i="50"/>
  <c r="J2363" i="50" s="1"/>
  <c r="B2324" i="50"/>
  <c r="B2364" i="50" s="1"/>
  <c r="F2324" i="50"/>
  <c r="F2364" i="50" s="1"/>
  <c r="J2324" i="50"/>
  <c r="J2364" i="50" s="1"/>
  <c r="C2324" i="50"/>
  <c r="C2364" i="50" s="1"/>
  <c r="G2324" i="50"/>
  <c r="G2364" i="50" s="1"/>
  <c r="D2324" i="50"/>
  <c r="D2364" i="50" s="1"/>
  <c r="H2324" i="50"/>
  <c r="H2364" i="50" s="1"/>
  <c r="E2324" i="50"/>
  <c r="E2364" i="50" s="1"/>
  <c r="I2324" i="50"/>
  <c r="I2364" i="50" s="1"/>
  <c r="F1189" i="50"/>
  <c r="H1460" i="50"/>
  <c r="C1965" i="50"/>
  <c r="X1460" i="50"/>
  <c r="C1969" i="50"/>
  <c r="Q1460" i="50"/>
  <c r="D1967" i="50"/>
  <c r="D1985" i="50" s="1"/>
  <c r="Q1998" i="50" s="1"/>
  <c r="AG1460" i="50"/>
  <c r="D1971" i="50"/>
  <c r="D1989" i="50" s="1"/>
  <c r="AG1998" i="50" s="1"/>
  <c r="B155" i="38"/>
  <c r="K19" i="32"/>
  <c r="E159" i="38"/>
  <c r="K20" i="32"/>
  <c r="C96" i="37"/>
  <c r="X35" i="31"/>
  <c r="C96" i="38" s="1"/>
  <c r="Y37" i="31"/>
  <c r="D98" i="38" s="1"/>
  <c r="D98" i="37"/>
  <c r="AA35" i="31"/>
  <c r="F96" i="38" s="1"/>
  <c r="F96" i="37"/>
  <c r="X34" i="31"/>
  <c r="C95" i="38" s="1"/>
  <c r="C95" i="37"/>
  <c r="D97" i="37"/>
  <c r="Y36" i="31"/>
  <c r="D97" i="38" s="1"/>
  <c r="F95" i="37"/>
  <c r="AA34" i="31"/>
  <c r="F95" i="38" s="1"/>
  <c r="F98" i="37"/>
  <c r="AA37" i="31"/>
  <c r="F98" i="38" s="1"/>
  <c r="E95" i="37"/>
  <c r="Z34" i="31"/>
  <c r="E95" i="38" s="1"/>
  <c r="B98" i="37"/>
  <c r="W37" i="31"/>
  <c r="B98" i="38" s="1"/>
  <c r="D96" i="37"/>
  <c r="Y35" i="31"/>
  <c r="D96" i="38" s="1"/>
  <c r="X37" i="31"/>
  <c r="C98" i="38" s="1"/>
  <c r="C98" i="37"/>
  <c r="Z35" i="31"/>
  <c r="E96" i="38" s="1"/>
  <c r="E96" i="37"/>
  <c r="C97" i="37"/>
  <c r="X36" i="31"/>
  <c r="C97" i="38" s="1"/>
  <c r="F97" i="37"/>
  <c r="AA36" i="31"/>
  <c r="F97" i="38" s="1"/>
  <c r="E98" i="37"/>
  <c r="Z37" i="31"/>
  <c r="E98" i="38" s="1"/>
  <c r="B97" i="37"/>
  <c r="W36" i="31"/>
  <c r="B97" i="38" s="1"/>
  <c r="D95" i="37"/>
  <c r="Y34" i="31"/>
  <c r="D95" i="38" s="1"/>
  <c r="Z36" i="31"/>
  <c r="E97" i="38" s="1"/>
  <c r="E97" i="37"/>
  <c r="W35" i="31"/>
  <c r="B96" i="38" s="1"/>
  <c r="B96" i="37"/>
  <c r="B95" i="37"/>
  <c r="W34" i="31"/>
  <c r="B95" i="38" s="1"/>
  <c r="I90" i="37"/>
  <c r="AP29" i="31"/>
  <c r="I90" i="38" s="1"/>
  <c r="H90" i="37"/>
  <c r="AO29" i="31"/>
  <c r="H90" i="38" s="1"/>
  <c r="AJ29" i="31"/>
  <c r="C90" i="38" s="1"/>
  <c r="C90" i="37"/>
  <c r="F90" i="37"/>
  <c r="AM29" i="31"/>
  <c r="F90" i="38" s="1"/>
  <c r="AK29" i="31"/>
  <c r="D90" i="38" s="1"/>
  <c r="D90" i="37"/>
  <c r="E90" i="37"/>
  <c r="AL29" i="31"/>
  <c r="E90" i="38" s="1"/>
  <c r="AN29" i="31"/>
  <c r="G90" i="38" s="1"/>
  <c r="G90" i="37"/>
  <c r="B90" i="37"/>
  <c r="AI29" i="31"/>
  <c r="B90" i="38" s="1"/>
  <c r="H81" i="37"/>
  <c r="AO20" i="31"/>
  <c r="H81" i="38" s="1"/>
  <c r="H79" i="37"/>
  <c r="AO18" i="31"/>
  <c r="H79" i="38" s="1"/>
  <c r="F69" i="37"/>
  <c r="AM8" i="31"/>
  <c r="F69" i="38" s="1"/>
  <c r="D81" i="37"/>
  <c r="AK20" i="31"/>
  <c r="D81" i="38" s="1"/>
  <c r="I82" i="37"/>
  <c r="AP21" i="31"/>
  <c r="I82" i="38" s="1"/>
  <c r="I78" i="37"/>
  <c r="AP17" i="31"/>
  <c r="I78" i="38" s="1"/>
  <c r="F83" i="37"/>
  <c r="AM22" i="31"/>
  <c r="F83" i="38" s="1"/>
  <c r="F82" i="37"/>
  <c r="AM21" i="31"/>
  <c r="F82" i="38" s="1"/>
  <c r="F81" i="37"/>
  <c r="AM20" i="31"/>
  <c r="F81" i="38" s="1"/>
  <c r="F80" i="37"/>
  <c r="AM19" i="31"/>
  <c r="F80" i="38" s="1"/>
  <c r="F79" i="37"/>
  <c r="AM18" i="31"/>
  <c r="F79" i="38" s="1"/>
  <c r="F78" i="37"/>
  <c r="AM17" i="31"/>
  <c r="F78" i="38" s="1"/>
  <c r="E81" i="37"/>
  <c r="AL20" i="31"/>
  <c r="E81" i="38" s="1"/>
  <c r="C78" i="37"/>
  <c r="AJ17" i="31"/>
  <c r="C78" i="38" s="1"/>
  <c r="C77" i="37"/>
  <c r="AJ16" i="31"/>
  <c r="C77" i="38" s="1"/>
  <c r="C76" i="37"/>
  <c r="AJ15" i="31"/>
  <c r="C76" i="38" s="1"/>
  <c r="C75" i="37"/>
  <c r="AJ14" i="31"/>
  <c r="C75" i="38" s="1"/>
  <c r="C74" i="37"/>
  <c r="AJ13" i="31"/>
  <c r="C74" i="38" s="1"/>
  <c r="C73" i="37"/>
  <c r="AJ12" i="31"/>
  <c r="C73" i="38" s="1"/>
  <c r="C72" i="37"/>
  <c r="AJ11" i="31"/>
  <c r="C72" i="38" s="1"/>
  <c r="C71" i="37"/>
  <c r="AJ10" i="31"/>
  <c r="C71" i="38" s="1"/>
  <c r="C70" i="37"/>
  <c r="AJ9" i="31"/>
  <c r="C70" i="38" s="1"/>
  <c r="AN7" i="31"/>
  <c r="G68" i="38" s="1"/>
  <c r="G68" i="37"/>
  <c r="H83" i="37"/>
  <c r="AO22" i="31"/>
  <c r="H83" i="38" s="1"/>
  <c r="H78" i="37"/>
  <c r="AO17" i="31"/>
  <c r="H78" i="38" s="1"/>
  <c r="E80" i="37"/>
  <c r="AL19" i="31"/>
  <c r="E80" i="38" s="1"/>
  <c r="I77" i="37"/>
  <c r="AP16" i="31"/>
  <c r="I77" i="38" s="1"/>
  <c r="I76" i="37"/>
  <c r="AP15" i="31"/>
  <c r="I76" i="38" s="1"/>
  <c r="I75" i="37"/>
  <c r="AP14" i="31"/>
  <c r="I75" i="38" s="1"/>
  <c r="I74" i="37"/>
  <c r="AP13" i="31"/>
  <c r="I74" i="38" s="1"/>
  <c r="I73" i="37"/>
  <c r="AP12" i="31"/>
  <c r="I73" i="38" s="1"/>
  <c r="I72" i="37"/>
  <c r="AP11" i="31"/>
  <c r="I72" i="38" s="1"/>
  <c r="I71" i="37"/>
  <c r="AP10" i="31"/>
  <c r="I71" i="38" s="1"/>
  <c r="AP9" i="31"/>
  <c r="I70" i="38" s="1"/>
  <c r="I70" i="37"/>
  <c r="AP8" i="31"/>
  <c r="I69" i="38" s="1"/>
  <c r="I69" i="37"/>
  <c r="C68" i="37"/>
  <c r="AJ7" i="31"/>
  <c r="C68" i="38" s="1"/>
  <c r="I80" i="37"/>
  <c r="AP19" i="31"/>
  <c r="I80" i="38" s="1"/>
  <c r="AI8" i="31"/>
  <c r="B69" i="38" s="1"/>
  <c r="B69" i="37"/>
  <c r="B83" i="37"/>
  <c r="AI22" i="31"/>
  <c r="B83" i="38" s="1"/>
  <c r="B82" i="37"/>
  <c r="AI21" i="31"/>
  <c r="B82" i="38" s="1"/>
  <c r="B81" i="37"/>
  <c r="AI20" i="31"/>
  <c r="B81" i="38" s="1"/>
  <c r="B80" i="37"/>
  <c r="AI19" i="31"/>
  <c r="B80" i="38" s="1"/>
  <c r="B79" i="37"/>
  <c r="AI18" i="31"/>
  <c r="B79" i="38" s="1"/>
  <c r="E83" i="37"/>
  <c r="AL22" i="31"/>
  <c r="E83" i="38" s="1"/>
  <c r="E79" i="37"/>
  <c r="AL18" i="31"/>
  <c r="E79" i="38" s="1"/>
  <c r="G77" i="37"/>
  <c r="AN16" i="31"/>
  <c r="G77" i="38" s="1"/>
  <c r="G76" i="37"/>
  <c r="AN15" i="31"/>
  <c r="G76" i="38" s="1"/>
  <c r="G75" i="37"/>
  <c r="AN14" i="31"/>
  <c r="G75" i="38" s="1"/>
  <c r="G74" i="37"/>
  <c r="AN13" i="31"/>
  <c r="G74" i="38" s="1"/>
  <c r="G73" i="37"/>
  <c r="AN12" i="31"/>
  <c r="G73" i="38" s="1"/>
  <c r="G72" i="37"/>
  <c r="AN11" i="31"/>
  <c r="G72" i="38" s="1"/>
  <c r="G71" i="37"/>
  <c r="AN10" i="31"/>
  <c r="G71" i="38" s="1"/>
  <c r="G70" i="37"/>
  <c r="AN9" i="31"/>
  <c r="G70" i="38" s="1"/>
  <c r="G69" i="37"/>
  <c r="AN8" i="31"/>
  <c r="G69" i="38" s="1"/>
  <c r="H82" i="37"/>
  <c r="AO21" i="31"/>
  <c r="H82" i="38" s="1"/>
  <c r="H80" i="37"/>
  <c r="AO19" i="31"/>
  <c r="H80" i="38" s="1"/>
  <c r="I81" i="37"/>
  <c r="AP20" i="31"/>
  <c r="I81" i="38" s="1"/>
  <c r="D83" i="37"/>
  <c r="AK22" i="31"/>
  <c r="D83" i="38" s="1"/>
  <c r="D82" i="37"/>
  <c r="AK21" i="31"/>
  <c r="D82" i="38" s="1"/>
  <c r="D80" i="37"/>
  <c r="AK19" i="31"/>
  <c r="D80" i="38" s="1"/>
  <c r="D79" i="37"/>
  <c r="AK18" i="31"/>
  <c r="D79" i="38" s="1"/>
  <c r="I83" i="37"/>
  <c r="AP22" i="31"/>
  <c r="I83" i="38" s="1"/>
  <c r="I79" i="37"/>
  <c r="AP18" i="31"/>
  <c r="I79" i="38" s="1"/>
  <c r="AM7" i="31"/>
  <c r="F68" i="38" s="1"/>
  <c r="F68" i="37"/>
  <c r="E82" i="37"/>
  <c r="AL21" i="31"/>
  <c r="E82" i="38" s="1"/>
  <c r="E78" i="37"/>
  <c r="AL17" i="31"/>
  <c r="E78" i="38" s="1"/>
  <c r="E77" i="37"/>
  <c r="AL16" i="31"/>
  <c r="E77" i="38" s="1"/>
  <c r="E76" i="37"/>
  <c r="AL15" i="31"/>
  <c r="E76" i="38" s="1"/>
  <c r="E75" i="37"/>
  <c r="AL14" i="31"/>
  <c r="E75" i="38" s="1"/>
  <c r="E74" i="37"/>
  <c r="AL13" i="31"/>
  <c r="E74" i="38" s="1"/>
  <c r="E73" i="37"/>
  <c r="AL12" i="31"/>
  <c r="E73" i="38" s="1"/>
  <c r="E72" i="37"/>
  <c r="AL11" i="31"/>
  <c r="E72" i="38" s="1"/>
  <c r="AL10" i="31"/>
  <c r="E71" i="38" s="1"/>
  <c r="E71" i="37"/>
  <c r="AL9" i="31"/>
  <c r="E70" i="38" s="1"/>
  <c r="E70" i="37"/>
  <c r="C69" i="37"/>
  <c r="AJ8" i="31"/>
  <c r="C69" i="38" s="1"/>
  <c r="B68" i="37"/>
  <c r="AI7" i="31"/>
  <c r="B68" i="38" s="1"/>
  <c r="D40" i="28"/>
  <c r="D46" i="28" s="1"/>
  <c r="D50" i="28"/>
  <c r="F40" i="28"/>
  <c r="F46" i="28" s="1"/>
  <c r="F49" i="28"/>
  <c r="F50" i="28"/>
  <c r="B1316" i="50" l="1"/>
  <c r="B1317" i="50"/>
  <c r="B2181" i="50" s="1"/>
  <c r="B1334" i="50"/>
  <c r="B1336" i="50"/>
  <c r="B2200" i="50" s="1"/>
  <c r="B2237" i="50" s="1"/>
  <c r="B1335" i="50"/>
  <c r="I2199" i="50" s="1"/>
  <c r="I2236" i="50" s="1"/>
  <c r="J2202" i="50"/>
  <c r="B1326" i="50"/>
  <c r="G2190" i="50" s="1"/>
  <c r="H3948" i="50"/>
  <c r="F2205" i="50"/>
  <c r="F2242" i="50" s="1"/>
  <c r="G2202" i="50"/>
  <c r="B1327" i="50"/>
  <c r="B1400" i="50" s="1"/>
  <c r="E1400" i="50" s="1"/>
  <c r="B1426" i="50" s="1"/>
  <c r="C1426" i="50" s="1"/>
  <c r="E2205" i="50"/>
  <c r="E2242" i="50" s="1"/>
  <c r="C2202" i="50"/>
  <c r="E1184" i="50"/>
  <c r="J2204" i="50"/>
  <c r="B1339" i="50"/>
  <c r="B2203" i="50" s="1"/>
  <c r="B2240" i="50" s="1"/>
  <c r="B1325" i="50"/>
  <c r="E2204" i="50"/>
  <c r="B1333" i="50"/>
  <c r="D1900" i="50" s="1"/>
  <c r="H2200" i="50"/>
  <c r="H2237" i="50" s="1"/>
  <c r="F2204" i="50"/>
  <c r="B1322" i="50"/>
  <c r="D1377" i="50" s="1"/>
  <c r="H2205" i="50"/>
  <c r="H2242" i="50" s="1"/>
  <c r="C2204" i="50"/>
  <c r="H2204" i="50"/>
  <c r="D2202" i="50"/>
  <c r="I2202" i="50"/>
  <c r="J2200" i="50"/>
  <c r="J2237" i="50" s="1"/>
  <c r="H3951" i="50"/>
  <c r="B1318" i="50"/>
  <c r="F2182" i="50" s="1"/>
  <c r="I2205" i="50"/>
  <c r="I2242" i="50" s="1"/>
  <c r="C2205" i="50"/>
  <c r="C2242" i="50" s="1"/>
  <c r="I2204" i="50"/>
  <c r="H3950" i="50"/>
  <c r="B2202" i="50"/>
  <c r="G2200" i="50"/>
  <c r="G2237" i="50" s="1"/>
  <c r="E1188" i="50"/>
  <c r="H3947" i="50"/>
  <c r="B2205" i="50"/>
  <c r="B2242" i="50" s="1"/>
  <c r="B1337" i="50"/>
  <c r="G2204" i="50"/>
  <c r="B2204" i="50"/>
  <c r="F2202" i="50"/>
  <c r="H2202" i="50"/>
  <c r="I2200" i="50"/>
  <c r="I2237" i="50" s="1"/>
  <c r="D1375" i="50"/>
  <c r="D1550" i="50" s="1"/>
  <c r="D2181" i="50"/>
  <c r="H2337" i="50"/>
  <c r="H2354" i="50" s="1"/>
  <c r="F2337" i="50"/>
  <c r="F2354" i="50" s="1"/>
  <c r="B3035" i="50"/>
  <c r="H2181" i="50"/>
  <c r="F2181" i="50"/>
  <c r="E2337" i="50"/>
  <c r="E2354" i="50" s="1"/>
  <c r="C1375" i="50"/>
  <c r="C1550" i="50" s="1"/>
  <c r="C2181" i="50"/>
  <c r="E2181" i="50"/>
  <c r="I2337" i="50"/>
  <c r="I2354" i="50" s="1"/>
  <c r="C2337" i="50"/>
  <c r="C2354" i="50" s="1"/>
  <c r="B1375" i="50"/>
  <c r="I2181" i="50"/>
  <c r="D2337" i="50"/>
  <c r="D2354" i="50" s="1"/>
  <c r="B2337" i="50"/>
  <c r="B2354" i="50" s="1"/>
  <c r="C1399" i="50"/>
  <c r="C1625" i="50" s="1"/>
  <c r="I2190" i="50"/>
  <c r="F2344" i="50"/>
  <c r="F2361" i="50" s="1"/>
  <c r="D2344" i="50"/>
  <c r="D2361" i="50" s="1"/>
  <c r="F2190" i="50"/>
  <c r="D2190" i="50"/>
  <c r="E2344" i="50"/>
  <c r="E2361" i="50" s="1"/>
  <c r="H2344" i="50"/>
  <c r="H2361" i="50" s="1"/>
  <c r="D1399" i="50"/>
  <c r="D1625" i="50" s="1"/>
  <c r="J2190" i="50"/>
  <c r="I2344" i="50"/>
  <c r="I2361" i="50" s="1"/>
  <c r="C2344" i="50"/>
  <c r="C2361" i="50" s="1"/>
  <c r="B3042" i="50"/>
  <c r="C2190" i="50"/>
  <c r="E2190" i="50"/>
  <c r="B2344" i="50"/>
  <c r="B2361" i="50" s="1"/>
  <c r="D2206" i="50"/>
  <c r="H2206" i="50"/>
  <c r="B2206" i="50"/>
  <c r="F2206" i="50"/>
  <c r="J2206" i="50"/>
  <c r="G2206" i="50"/>
  <c r="I2206" i="50"/>
  <c r="C2206" i="50"/>
  <c r="E2206" i="50"/>
  <c r="B1569" i="50"/>
  <c r="B1899" i="50"/>
  <c r="E1899" i="50" s="1"/>
  <c r="B1935" i="50" s="1"/>
  <c r="C1935" i="50" s="1"/>
  <c r="D1935" i="50"/>
  <c r="C1899" i="50"/>
  <c r="D1899" i="50"/>
  <c r="D2196" i="50"/>
  <c r="H2196" i="50"/>
  <c r="E2196" i="50"/>
  <c r="I2196" i="50"/>
  <c r="B2196" i="50"/>
  <c r="F2196" i="50"/>
  <c r="J2196" i="50"/>
  <c r="C2196" i="50"/>
  <c r="G2196" i="50"/>
  <c r="B2496" i="50"/>
  <c r="B1900" i="50"/>
  <c r="E1900" i="50" s="1"/>
  <c r="B1936" i="50" s="1"/>
  <c r="C1936" i="50" s="1"/>
  <c r="C2197" i="50"/>
  <c r="H2197" i="50"/>
  <c r="E2197" i="50"/>
  <c r="J2197" i="50"/>
  <c r="C1402" i="50"/>
  <c r="D1402" i="50"/>
  <c r="B1402" i="50"/>
  <c r="E1402" i="50" s="1"/>
  <c r="B1428" i="50" s="1"/>
  <c r="C1428" i="50" s="1"/>
  <c r="C2193" i="50"/>
  <c r="G2193" i="50"/>
  <c r="D2193" i="50"/>
  <c r="H2193" i="50"/>
  <c r="E2193" i="50"/>
  <c r="I2193" i="50"/>
  <c r="B2193" i="50"/>
  <c r="F2193" i="50"/>
  <c r="J2193" i="50"/>
  <c r="E1969" i="50"/>
  <c r="F1969" i="50"/>
  <c r="F2203" i="50"/>
  <c r="F2240" i="50" s="1"/>
  <c r="J2203" i="50"/>
  <c r="J2240" i="50" s="1"/>
  <c r="D2203" i="50"/>
  <c r="D2240" i="50" s="1"/>
  <c r="B1320" i="50"/>
  <c r="F1968" i="50"/>
  <c r="E1968" i="50"/>
  <c r="F98" i="49"/>
  <c r="G75" i="48"/>
  <c r="F88" i="49"/>
  <c r="G30" i="48"/>
  <c r="C1400" i="50"/>
  <c r="D1400" i="50"/>
  <c r="I2191" i="50"/>
  <c r="F2191" i="50"/>
  <c r="C2191" i="50"/>
  <c r="D2191" i="50"/>
  <c r="E1971" i="50"/>
  <c r="F1971" i="50"/>
  <c r="F102" i="49"/>
  <c r="G76" i="48"/>
  <c r="F92" i="49"/>
  <c r="G31" i="48"/>
  <c r="F42" i="49"/>
  <c r="G17" i="48"/>
  <c r="U1473" i="50"/>
  <c r="U1578" i="50" s="1"/>
  <c r="U1476" i="50"/>
  <c r="U1579" i="50" s="1"/>
  <c r="U1486" i="50"/>
  <c r="U1768" i="50" s="1"/>
  <c r="U1485" i="50"/>
  <c r="U1767" i="50" s="1"/>
  <c r="U1487" i="50"/>
  <c r="U1769" i="50" s="1"/>
  <c r="AB1476" i="50"/>
  <c r="AB1579" i="50" s="1"/>
  <c r="AB1473" i="50"/>
  <c r="AB1578" i="50" s="1"/>
  <c r="AB1487" i="50"/>
  <c r="AB1769" i="50" s="1"/>
  <c r="AB1486" i="50"/>
  <c r="AB1768" i="50" s="1"/>
  <c r="AB1485" i="50"/>
  <c r="AB1767" i="50" s="1"/>
  <c r="E2199" i="50"/>
  <c r="E2236" i="50" s="1"/>
  <c r="B2199" i="50"/>
  <c r="B2236" i="50" s="1"/>
  <c r="F2199" i="50"/>
  <c r="F2236" i="50" s="1"/>
  <c r="J2199" i="50"/>
  <c r="J2236" i="50" s="1"/>
  <c r="G2199" i="50"/>
  <c r="G2236" i="50" s="1"/>
  <c r="D2199" i="50"/>
  <c r="D2236" i="50" s="1"/>
  <c r="H2199" i="50"/>
  <c r="H2236" i="50" s="1"/>
  <c r="B1898" i="50"/>
  <c r="E1898" i="50" s="1"/>
  <c r="B1934" i="50" s="1"/>
  <c r="C1934" i="50" s="1"/>
  <c r="C1898" i="50"/>
  <c r="D1934" i="50"/>
  <c r="D1898" i="50"/>
  <c r="E2195" i="50"/>
  <c r="I2195" i="50"/>
  <c r="B2195" i="50"/>
  <c r="F2195" i="50"/>
  <c r="J2195" i="50"/>
  <c r="C2195" i="50"/>
  <c r="G2195" i="50"/>
  <c r="D2195" i="50"/>
  <c r="H2195" i="50"/>
  <c r="B2495" i="50"/>
  <c r="F101" i="49"/>
  <c r="G56" i="48"/>
  <c r="F90" i="49"/>
  <c r="G73" i="48"/>
  <c r="F54" i="49"/>
  <c r="G20" i="48"/>
  <c r="B1319" i="50"/>
  <c r="AG1476" i="50"/>
  <c r="AG1579" i="50" s="1"/>
  <c r="AG1473" i="50"/>
  <c r="AG1578" i="50" s="1"/>
  <c r="AG1487" i="50"/>
  <c r="AG1769" i="50" s="1"/>
  <c r="AG1486" i="50"/>
  <c r="AG1768" i="50" s="1"/>
  <c r="AG1485" i="50"/>
  <c r="AG1767" i="50" s="1"/>
  <c r="X1473" i="50"/>
  <c r="X1578" i="50" s="1"/>
  <c r="X1476" i="50"/>
  <c r="X1579" i="50" s="1"/>
  <c r="X1487" i="50"/>
  <c r="X1769" i="50" s="1"/>
  <c r="X1486" i="50"/>
  <c r="X1768" i="50" s="1"/>
  <c r="X1485" i="50"/>
  <c r="X1767" i="50" s="1"/>
  <c r="F94" i="49"/>
  <c r="G74" i="48"/>
  <c r="F84" i="49"/>
  <c r="G29" i="48"/>
  <c r="C1379" i="50"/>
  <c r="B1379" i="50"/>
  <c r="E1379" i="50" s="1"/>
  <c r="B1423" i="50" s="1"/>
  <c r="C1423" i="50" s="1"/>
  <c r="D1379" i="50"/>
  <c r="D2188" i="50"/>
  <c r="H2188" i="50"/>
  <c r="E2188" i="50"/>
  <c r="I2188" i="50"/>
  <c r="B2188" i="50"/>
  <c r="F2188" i="50"/>
  <c r="J2188" i="50"/>
  <c r="C2188" i="50"/>
  <c r="G2188" i="50"/>
  <c r="C2342" i="50"/>
  <c r="C2359" i="50" s="1"/>
  <c r="G2342" i="50"/>
  <c r="G2359" i="50" s="1"/>
  <c r="D2342" i="50"/>
  <c r="D2359" i="50" s="1"/>
  <c r="H2342" i="50"/>
  <c r="H2359" i="50" s="1"/>
  <c r="E2342" i="50"/>
  <c r="E2359" i="50" s="1"/>
  <c r="I2342" i="50"/>
  <c r="I2359" i="50" s="1"/>
  <c r="B2342" i="50"/>
  <c r="B2359" i="50" s="1"/>
  <c r="F2342" i="50"/>
  <c r="F2359" i="50" s="1"/>
  <c r="J2342" i="50"/>
  <c r="J2359" i="50" s="1"/>
  <c r="B3040" i="50"/>
  <c r="M1473" i="50"/>
  <c r="M1578" i="50" s="1"/>
  <c r="M1476" i="50"/>
  <c r="M1579" i="50" s="1"/>
  <c r="M1487" i="50"/>
  <c r="M1769" i="50" s="1"/>
  <c r="M1486" i="50"/>
  <c r="M1768" i="50" s="1"/>
  <c r="M1485" i="50"/>
  <c r="M1767" i="50" s="1"/>
  <c r="T1473" i="50"/>
  <c r="T1578" i="50" s="1"/>
  <c r="T1476" i="50"/>
  <c r="T1579" i="50" s="1"/>
  <c r="T1485" i="50"/>
  <c r="T1767" i="50" s="1"/>
  <c r="T1487" i="50"/>
  <c r="T1769" i="50" s="1"/>
  <c r="T1486" i="50"/>
  <c r="T1768" i="50" s="1"/>
  <c r="E1185" i="50"/>
  <c r="Y1473" i="50"/>
  <c r="Y1578" i="50" s="1"/>
  <c r="Y1476" i="50"/>
  <c r="Y1579" i="50" s="1"/>
  <c r="Y1485" i="50"/>
  <c r="Y1767" i="50" s="1"/>
  <c r="Y1487" i="50"/>
  <c r="Y1769" i="50" s="1"/>
  <c r="Y1486" i="50"/>
  <c r="Y1768" i="50" s="1"/>
  <c r="AF1473" i="50"/>
  <c r="AF1578" i="50" s="1"/>
  <c r="AF1476" i="50"/>
  <c r="AF1579" i="50" s="1"/>
  <c r="AF1486" i="50"/>
  <c r="AF1768" i="50" s="1"/>
  <c r="AF1485" i="50"/>
  <c r="AF1767" i="50" s="1"/>
  <c r="AF1487" i="50"/>
  <c r="AF1769" i="50" s="1"/>
  <c r="C1378" i="50"/>
  <c r="B1378" i="50"/>
  <c r="E1378" i="50" s="1"/>
  <c r="B1422" i="50" s="1"/>
  <c r="C1422" i="50" s="1"/>
  <c r="D1378" i="50"/>
  <c r="E2187" i="50"/>
  <c r="I2187" i="50"/>
  <c r="B2187" i="50"/>
  <c r="F2187" i="50"/>
  <c r="J2187" i="50"/>
  <c r="C2187" i="50"/>
  <c r="G2187" i="50"/>
  <c r="D2187" i="50"/>
  <c r="H2187" i="50"/>
  <c r="D2341" i="50"/>
  <c r="D2358" i="50" s="1"/>
  <c r="H2341" i="50"/>
  <c r="H2358" i="50" s="1"/>
  <c r="E2341" i="50"/>
  <c r="E2358" i="50" s="1"/>
  <c r="I2341" i="50"/>
  <c r="I2358" i="50" s="1"/>
  <c r="B2341" i="50"/>
  <c r="B2358" i="50" s="1"/>
  <c r="F2341" i="50"/>
  <c r="F2358" i="50" s="1"/>
  <c r="J2341" i="50"/>
  <c r="J2358" i="50" s="1"/>
  <c r="C2341" i="50"/>
  <c r="C2358" i="50" s="1"/>
  <c r="G2341" i="50"/>
  <c r="G2358" i="50" s="1"/>
  <c r="B3039" i="50"/>
  <c r="E1186" i="50"/>
  <c r="E1172" i="50"/>
  <c r="F1966" i="50"/>
  <c r="E1966" i="50"/>
  <c r="E1175" i="50"/>
  <c r="E1965" i="50"/>
  <c r="F1965" i="50"/>
  <c r="F1972" i="50"/>
  <c r="E1972" i="50"/>
  <c r="F1964" i="50"/>
  <c r="E1964" i="50"/>
  <c r="F93" i="49"/>
  <c r="G54" i="48"/>
  <c r="F56" i="49"/>
  <c r="G65" i="48"/>
  <c r="C3060" i="50"/>
  <c r="C3070" i="50" s="1"/>
  <c r="D3060" i="50"/>
  <c r="D3070" i="50" s="1"/>
  <c r="E3060" i="50"/>
  <c r="E3070" i="50" s="1"/>
  <c r="B3060" i="50"/>
  <c r="B1321" i="50"/>
  <c r="E1967" i="50"/>
  <c r="F1967" i="50"/>
  <c r="F97" i="49"/>
  <c r="G55" i="48"/>
  <c r="F86" i="49"/>
  <c r="G72" i="48"/>
  <c r="C1377" i="50"/>
  <c r="B1377" i="50"/>
  <c r="E1377" i="50" s="1"/>
  <c r="B1421" i="50" s="1"/>
  <c r="C1421" i="50" s="1"/>
  <c r="B2186" i="50"/>
  <c r="F2186" i="50"/>
  <c r="J2186" i="50"/>
  <c r="G2186" i="50"/>
  <c r="D2186" i="50"/>
  <c r="H2186" i="50"/>
  <c r="I2186" i="50"/>
  <c r="E2340" i="50"/>
  <c r="E2357" i="50" s="1"/>
  <c r="I2340" i="50"/>
  <c r="I2357" i="50" s="1"/>
  <c r="F2340" i="50"/>
  <c r="F2357" i="50" s="1"/>
  <c r="J2340" i="50"/>
  <c r="J2357" i="50" s="1"/>
  <c r="C2340" i="50"/>
  <c r="C2357" i="50" s="1"/>
  <c r="D2340" i="50"/>
  <c r="D2357" i="50" s="1"/>
  <c r="H2340" i="50"/>
  <c r="H2357" i="50" s="1"/>
  <c r="B3038" i="50"/>
  <c r="AK1473" i="50"/>
  <c r="AK1578" i="50" s="1"/>
  <c r="AK1476" i="50"/>
  <c r="AK1579" i="50" s="1"/>
  <c r="AK1486" i="50"/>
  <c r="AK1768" i="50" s="1"/>
  <c r="AK1485" i="50"/>
  <c r="AK1767" i="50" s="1"/>
  <c r="AK1487" i="50"/>
  <c r="AK1769" i="50" s="1"/>
  <c r="E1473" i="50"/>
  <c r="E1578" i="50" s="1"/>
  <c r="E1476" i="50"/>
  <c r="E1579" i="50" s="1"/>
  <c r="E1486" i="50"/>
  <c r="E1768" i="50" s="1"/>
  <c r="E1485" i="50"/>
  <c r="E1767" i="50" s="1"/>
  <c r="E1487" i="50"/>
  <c r="E1769" i="50" s="1"/>
  <c r="L1476" i="50"/>
  <c r="L1579" i="50" s="1"/>
  <c r="L1473" i="50"/>
  <c r="L1578" i="50" s="1"/>
  <c r="L1487" i="50"/>
  <c r="L1769" i="50" s="1"/>
  <c r="L1486" i="50"/>
  <c r="L1768" i="50" s="1"/>
  <c r="L1485" i="50"/>
  <c r="L1767" i="50" s="1"/>
  <c r="B1919" i="50"/>
  <c r="E1919" i="50" s="1"/>
  <c r="B1937" i="50" s="1"/>
  <c r="C1937" i="50" s="1"/>
  <c r="C1919" i="50"/>
  <c r="D1919" i="50"/>
  <c r="D1937" i="50"/>
  <c r="B2198" i="50"/>
  <c r="F2198" i="50"/>
  <c r="J2198" i="50"/>
  <c r="C2198" i="50"/>
  <c r="G2198" i="50"/>
  <c r="D2198" i="50"/>
  <c r="H2198" i="50"/>
  <c r="E2198" i="50"/>
  <c r="I2198" i="50"/>
  <c r="B2498" i="50"/>
  <c r="B1897" i="50"/>
  <c r="E1897" i="50" s="1"/>
  <c r="B1933" i="50" s="1"/>
  <c r="C1933" i="50" s="1"/>
  <c r="C1897" i="50"/>
  <c r="D1897" i="50"/>
  <c r="D1933" i="50"/>
  <c r="B2194" i="50"/>
  <c r="F2194" i="50"/>
  <c r="J2194" i="50"/>
  <c r="C2194" i="50"/>
  <c r="G2194" i="50"/>
  <c r="D2194" i="50"/>
  <c r="H2194" i="50"/>
  <c r="E2194" i="50"/>
  <c r="I2194" i="50"/>
  <c r="B2494" i="50"/>
  <c r="C1401" i="50"/>
  <c r="B1401" i="50"/>
  <c r="E1401" i="50" s="1"/>
  <c r="B1427" i="50" s="1"/>
  <c r="C1427" i="50" s="1"/>
  <c r="D1401" i="50"/>
  <c r="D2192" i="50"/>
  <c r="H2192" i="50"/>
  <c r="E2192" i="50"/>
  <c r="I2192" i="50"/>
  <c r="B2192" i="50"/>
  <c r="F2192" i="50"/>
  <c r="J2192" i="50"/>
  <c r="C2192" i="50"/>
  <c r="G2192" i="50"/>
  <c r="F96" i="49"/>
  <c r="G32" i="48"/>
  <c r="F85" i="49"/>
  <c r="G52" i="48"/>
  <c r="F43" i="49"/>
  <c r="G44" i="48"/>
  <c r="Q1476" i="50"/>
  <c r="Q1579" i="50" s="1"/>
  <c r="Q1473" i="50"/>
  <c r="Q1578" i="50" s="1"/>
  <c r="Q1487" i="50"/>
  <c r="Q1769" i="50" s="1"/>
  <c r="Q1486" i="50"/>
  <c r="Q1768" i="50" s="1"/>
  <c r="Q1485" i="50"/>
  <c r="Q1767" i="50" s="1"/>
  <c r="H1473" i="50"/>
  <c r="H1578" i="50" s="1"/>
  <c r="H1476" i="50"/>
  <c r="H1579" i="50" s="1"/>
  <c r="H1487" i="50"/>
  <c r="H1769" i="50" s="1"/>
  <c r="H1486" i="50"/>
  <c r="H1768" i="50" s="1"/>
  <c r="H1485" i="50"/>
  <c r="H1767" i="50" s="1"/>
  <c r="F100" i="49"/>
  <c r="G33" i="48"/>
  <c r="F89" i="49"/>
  <c r="G53" i="48"/>
  <c r="F55" i="49"/>
  <c r="G47" i="48"/>
  <c r="F44" i="49"/>
  <c r="G62" i="48"/>
  <c r="B664" i="50"/>
  <c r="B650" i="50"/>
  <c r="AC1473" i="50"/>
  <c r="AC1578" i="50" s="1"/>
  <c r="AC1476" i="50"/>
  <c r="AC1579" i="50" s="1"/>
  <c r="AC1487" i="50"/>
  <c r="AC1769" i="50" s="1"/>
  <c r="AC1486" i="50"/>
  <c r="AC1768" i="50" s="1"/>
  <c r="AC1485" i="50"/>
  <c r="AC1767" i="50" s="1"/>
  <c r="AJ1473" i="50"/>
  <c r="AJ1578" i="50" s="1"/>
  <c r="AJ1476" i="50"/>
  <c r="AJ1579" i="50" s="1"/>
  <c r="AJ1485" i="50"/>
  <c r="AJ1767" i="50" s="1"/>
  <c r="AJ1487" i="50"/>
  <c r="AJ1769" i="50" s="1"/>
  <c r="AJ1486" i="50"/>
  <c r="AJ1768" i="50" s="1"/>
  <c r="D1473" i="50"/>
  <c r="D1578" i="50" s="1"/>
  <c r="D1476" i="50"/>
  <c r="D1579" i="50" s="1"/>
  <c r="D1485" i="50"/>
  <c r="D1767" i="50" s="1"/>
  <c r="D1487" i="50"/>
  <c r="D1769" i="50" s="1"/>
  <c r="D1486" i="50"/>
  <c r="D1768" i="50" s="1"/>
  <c r="C1357" i="50"/>
  <c r="D1357" i="50"/>
  <c r="B1357" i="50"/>
  <c r="E1357" i="50" s="1"/>
  <c r="B1415" i="50" s="1"/>
  <c r="C1415" i="50" s="1"/>
  <c r="B1504" i="50"/>
  <c r="D2180" i="50"/>
  <c r="H2180" i="50"/>
  <c r="E2180" i="50"/>
  <c r="I2180" i="50"/>
  <c r="B2180" i="50"/>
  <c r="F2180" i="50"/>
  <c r="J2180" i="50"/>
  <c r="C2180" i="50"/>
  <c r="G2180" i="50"/>
  <c r="E2336" i="50"/>
  <c r="E2353" i="50" s="1"/>
  <c r="I2336" i="50"/>
  <c r="I2353" i="50" s="1"/>
  <c r="B2336" i="50"/>
  <c r="B2353" i="50" s="1"/>
  <c r="F2336" i="50"/>
  <c r="F2353" i="50" s="1"/>
  <c r="J2336" i="50"/>
  <c r="J2353" i="50" s="1"/>
  <c r="C2336" i="50"/>
  <c r="C2353" i="50" s="1"/>
  <c r="G2336" i="50"/>
  <c r="G2353" i="50" s="1"/>
  <c r="D2336" i="50"/>
  <c r="D2353" i="50" s="1"/>
  <c r="H2336" i="50"/>
  <c r="H2353" i="50" s="1"/>
  <c r="B3034" i="50"/>
  <c r="I1473" i="50"/>
  <c r="I1578" i="50" s="1"/>
  <c r="I1476" i="50"/>
  <c r="I1579" i="50" s="1"/>
  <c r="I1485" i="50"/>
  <c r="I1767" i="50" s="1"/>
  <c r="I1487" i="50"/>
  <c r="I1769" i="50" s="1"/>
  <c r="I1486" i="50"/>
  <c r="I1768" i="50" s="1"/>
  <c r="P1473" i="50"/>
  <c r="P1578" i="50" s="1"/>
  <c r="P1476" i="50"/>
  <c r="P1579" i="50" s="1"/>
  <c r="P1486" i="50"/>
  <c r="P1768" i="50" s="1"/>
  <c r="P1485" i="50"/>
  <c r="P1767" i="50" s="1"/>
  <c r="P1487" i="50"/>
  <c r="P1769" i="50" s="1"/>
  <c r="C1398" i="50"/>
  <c r="C1624" i="50" s="1"/>
  <c r="D1398" i="50"/>
  <c r="D1624" i="50" s="1"/>
  <c r="B1398" i="50"/>
  <c r="B1606" i="50"/>
  <c r="C2189" i="50"/>
  <c r="G2189" i="50"/>
  <c r="D2189" i="50"/>
  <c r="H2189" i="50"/>
  <c r="E2189" i="50"/>
  <c r="I2189" i="50"/>
  <c r="B2189" i="50"/>
  <c r="F2189" i="50"/>
  <c r="J2189" i="50"/>
  <c r="B2343" i="50"/>
  <c r="B2360" i="50" s="1"/>
  <c r="F2343" i="50"/>
  <c r="F2360" i="50" s="1"/>
  <c r="J2343" i="50"/>
  <c r="J2360" i="50" s="1"/>
  <c r="C2343" i="50"/>
  <c r="C2360" i="50" s="1"/>
  <c r="G2343" i="50"/>
  <c r="G2360" i="50" s="1"/>
  <c r="D2343" i="50"/>
  <c r="D2360" i="50" s="1"/>
  <c r="H2343" i="50"/>
  <c r="H2360" i="50" s="1"/>
  <c r="E2343" i="50"/>
  <c r="E2360" i="50" s="1"/>
  <c r="I2343" i="50"/>
  <c r="I2360" i="50" s="1"/>
  <c r="B3041" i="50"/>
  <c r="C649" i="50"/>
  <c r="D648" i="50"/>
  <c r="F1970" i="50"/>
  <c r="E1970" i="50"/>
  <c r="C2201" i="50"/>
  <c r="C2238" i="50" s="1"/>
  <c r="G2201" i="50"/>
  <c r="G2238" i="50" s="1"/>
  <c r="D2201" i="50"/>
  <c r="D2238" i="50" s="1"/>
  <c r="H2201" i="50"/>
  <c r="H2238" i="50" s="1"/>
  <c r="E2201" i="50"/>
  <c r="E2238" i="50" s="1"/>
  <c r="I2201" i="50"/>
  <c r="I2238" i="50" s="1"/>
  <c r="B2201" i="50"/>
  <c r="B2238" i="50" s="1"/>
  <c r="F2201" i="50"/>
  <c r="F2238" i="50" s="1"/>
  <c r="J2201" i="50"/>
  <c r="J2238" i="50" s="1"/>
  <c r="E1187" i="50"/>
  <c r="D2322" i="50"/>
  <c r="D2362" i="50" s="1"/>
  <c r="H2322" i="50"/>
  <c r="H2362" i="50" s="1"/>
  <c r="E2322" i="50"/>
  <c r="E2362" i="50" s="1"/>
  <c r="I2322" i="50"/>
  <c r="I2362" i="50" s="1"/>
  <c r="B2322" i="50"/>
  <c r="B2362" i="50" s="1"/>
  <c r="F2322" i="50"/>
  <c r="F2362" i="50" s="1"/>
  <c r="J2322" i="50"/>
  <c r="J2362" i="50" s="1"/>
  <c r="C2322" i="50"/>
  <c r="C2362" i="50" s="1"/>
  <c r="G2322" i="50"/>
  <c r="G2362" i="50" s="1"/>
  <c r="E1375" i="50"/>
  <c r="B1416" i="50" s="1"/>
  <c r="C1416" i="50" s="1"/>
  <c r="B1550" i="50"/>
  <c r="H3949" i="50"/>
  <c r="B2190" i="50" l="1"/>
  <c r="H2203" i="50"/>
  <c r="H2240" i="50" s="1"/>
  <c r="E2203" i="50"/>
  <c r="E2240" i="50" s="1"/>
  <c r="F2197" i="50"/>
  <c r="D1936" i="50"/>
  <c r="B1946" i="50" s="1"/>
  <c r="C2182" i="50"/>
  <c r="G2337" i="50"/>
  <c r="G2354" i="50" s="1"/>
  <c r="G2181" i="50"/>
  <c r="J2181" i="50"/>
  <c r="J2337" i="50"/>
  <c r="J2354" i="50" s="1"/>
  <c r="B1532" i="50"/>
  <c r="C1662" i="50" s="1"/>
  <c r="D2200" i="50"/>
  <c r="D2237" i="50" s="1"/>
  <c r="E2200" i="50"/>
  <c r="E2237" i="50" s="1"/>
  <c r="C2200" i="50"/>
  <c r="C2237" i="50" s="1"/>
  <c r="F2200" i="50"/>
  <c r="F2237" i="50" s="1"/>
  <c r="G2340" i="50"/>
  <c r="G2357" i="50" s="1"/>
  <c r="B2340" i="50"/>
  <c r="B2357" i="50" s="1"/>
  <c r="E2186" i="50"/>
  <c r="C2186" i="50"/>
  <c r="C2199" i="50"/>
  <c r="C2236" i="50" s="1"/>
  <c r="C2203" i="50"/>
  <c r="C2240" i="50" s="1"/>
  <c r="I2203" i="50"/>
  <c r="I2240" i="50" s="1"/>
  <c r="B2497" i="50"/>
  <c r="I2197" i="50"/>
  <c r="G2197" i="50"/>
  <c r="C1900" i="50"/>
  <c r="E2182" i="50"/>
  <c r="G2344" i="50"/>
  <c r="G2361" i="50" s="1"/>
  <c r="B1607" i="50"/>
  <c r="H2190" i="50"/>
  <c r="J2344" i="50"/>
  <c r="J2361" i="50" s="1"/>
  <c r="B1399" i="50"/>
  <c r="G2203" i="50"/>
  <c r="G2240" i="50" s="1"/>
  <c r="B2197" i="50"/>
  <c r="D2197" i="50"/>
  <c r="H2191" i="50"/>
  <c r="J2191" i="50"/>
  <c r="E2191" i="50"/>
  <c r="G2191" i="50"/>
  <c r="B2191" i="50"/>
  <c r="I2182" i="50"/>
  <c r="G2182" i="50"/>
  <c r="B2182" i="50"/>
  <c r="H2182" i="50"/>
  <c r="J2182" i="50"/>
  <c r="D2182" i="50"/>
  <c r="B2506" i="50"/>
  <c r="D2522" i="50" s="1"/>
  <c r="E2522" i="50" s="1"/>
  <c r="C650" i="50"/>
  <c r="D649" i="50"/>
  <c r="E1794" i="50"/>
  <c r="E2070" i="50" s="1"/>
  <c r="E1815" i="50"/>
  <c r="E2092" i="50" s="1"/>
  <c r="E1831" i="50"/>
  <c r="E2109" i="50" s="1"/>
  <c r="E1597" i="50"/>
  <c r="B1792" i="50"/>
  <c r="B2068" i="50" s="1"/>
  <c r="B1813" i="50"/>
  <c r="B2090" i="50" s="1"/>
  <c r="B1829" i="50"/>
  <c r="B2107" i="50" s="1"/>
  <c r="J1794" i="50"/>
  <c r="J2070" i="50" s="1"/>
  <c r="J1815" i="50"/>
  <c r="J2092" i="50" s="1"/>
  <c r="J1831" i="50"/>
  <c r="J2109" i="50" s="1"/>
  <c r="C1793" i="50"/>
  <c r="C2069" i="50" s="1"/>
  <c r="C1814" i="50"/>
  <c r="C2091" i="50" s="1"/>
  <c r="C1830" i="50"/>
  <c r="C2108" i="50" s="1"/>
  <c r="D1792" i="50"/>
  <c r="D2068" i="50" s="1"/>
  <c r="D1813" i="50"/>
  <c r="D2090" i="50" s="1"/>
  <c r="D1829" i="50"/>
  <c r="D2107" i="50" s="1"/>
  <c r="D1598" i="50"/>
  <c r="G1964" i="50"/>
  <c r="B1982" i="50" s="1"/>
  <c r="C1998" i="50" s="1"/>
  <c r="C1982" i="50"/>
  <c r="D1998" i="50" s="1"/>
  <c r="C2522" i="50"/>
  <c r="H2522" i="50" s="1"/>
  <c r="L2534" i="50" s="1"/>
  <c r="B2522" i="50"/>
  <c r="G2522" i="50" s="1"/>
  <c r="K2534" i="50" s="1"/>
  <c r="I1794" i="50"/>
  <c r="I2070" i="50" s="1"/>
  <c r="I1815" i="50"/>
  <c r="I2092" i="50" s="1"/>
  <c r="I1831" i="50"/>
  <c r="I2109" i="50" s="1"/>
  <c r="I1597" i="50"/>
  <c r="F1598" i="50"/>
  <c r="G1598" i="50"/>
  <c r="C1358" i="50"/>
  <c r="B1358" i="50"/>
  <c r="E1358" i="50" s="1"/>
  <c r="B1418" i="50" s="1"/>
  <c r="C1418" i="50" s="1"/>
  <c r="D1358" i="50"/>
  <c r="B1505" i="50"/>
  <c r="E2183" i="50"/>
  <c r="I2183" i="50"/>
  <c r="B2183" i="50"/>
  <c r="F2183" i="50"/>
  <c r="J2183" i="50"/>
  <c r="C2183" i="50"/>
  <c r="G2183" i="50"/>
  <c r="D2183" i="50"/>
  <c r="H2183" i="50"/>
  <c r="C2338" i="50"/>
  <c r="C2355" i="50" s="1"/>
  <c r="G2338" i="50"/>
  <c r="G2355" i="50" s="1"/>
  <c r="D2338" i="50"/>
  <c r="D2355" i="50" s="1"/>
  <c r="H2338" i="50"/>
  <c r="H2355" i="50" s="1"/>
  <c r="E2338" i="50"/>
  <c r="E2355" i="50" s="1"/>
  <c r="I2338" i="50"/>
  <c r="I2355" i="50" s="1"/>
  <c r="B2338" i="50"/>
  <c r="B2355" i="50" s="1"/>
  <c r="F2338" i="50"/>
  <c r="F2355" i="50" s="1"/>
  <c r="J2338" i="50"/>
  <c r="J2355" i="50" s="1"/>
  <c r="B3036" i="50"/>
  <c r="H1597" i="50"/>
  <c r="C1989" i="50"/>
  <c r="AF1998" i="50" s="1"/>
  <c r="G1971" i="50"/>
  <c r="B1989" i="50" s="1"/>
  <c r="AE1998" i="50" s="1"/>
  <c r="E1482" i="50"/>
  <c r="E1764" i="50" s="1"/>
  <c r="K1482" i="50"/>
  <c r="K1764" i="50" s="1"/>
  <c r="P1482" i="50"/>
  <c r="P1764" i="50" s="1"/>
  <c r="U1482" i="50"/>
  <c r="U1764" i="50" s="1"/>
  <c r="AA1482" i="50"/>
  <c r="AA1764" i="50" s="1"/>
  <c r="AF1482" i="50"/>
  <c r="AF1764" i="50" s="1"/>
  <c r="AK1482" i="50"/>
  <c r="AK1764" i="50" s="1"/>
  <c r="G1482" i="50"/>
  <c r="G1764" i="50" s="1"/>
  <c r="L1482" i="50"/>
  <c r="L1764" i="50" s="1"/>
  <c r="Q1482" i="50"/>
  <c r="Q1764" i="50" s="1"/>
  <c r="W1482" i="50"/>
  <c r="W1764" i="50" s="1"/>
  <c r="AB1482" i="50"/>
  <c r="AB1764" i="50" s="1"/>
  <c r="AG1482" i="50"/>
  <c r="AG1764" i="50" s="1"/>
  <c r="C1482" i="50"/>
  <c r="C1764" i="50" s="1"/>
  <c r="H1482" i="50"/>
  <c r="H1764" i="50" s="1"/>
  <c r="M1482" i="50"/>
  <c r="M1764" i="50" s="1"/>
  <c r="S1482" i="50"/>
  <c r="S1764" i="50" s="1"/>
  <c r="X1482" i="50"/>
  <c r="X1764" i="50" s="1"/>
  <c r="AC1482" i="50"/>
  <c r="AC1764" i="50" s="1"/>
  <c r="AI1482" i="50"/>
  <c r="AI1764" i="50" s="1"/>
  <c r="D1482" i="50"/>
  <c r="D1764" i="50" s="1"/>
  <c r="I1482" i="50"/>
  <c r="I1764" i="50" s="1"/>
  <c r="O1482" i="50"/>
  <c r="O1764" i="50" s="1"/>
  <c r="T1482" i="50"/>
  <c r="T1764" i="50" s="1"/>
  <c r="Y1482" i="50"/>
  <c r="Y1764" i="50" s="1"/>
  <c r="AE1482" i="50"/>
  <c r="AE1764" i="50" s="1"/>
  <c r="AJ1482" i="50"/>
  <c r="AJ1764" i="50" s="1"/>
  <c r="G1472" i="50"/>
  <c r="G1541" i="50" s="1"/>
  <c r="L1472" i="50"/>
  <c r="L1541" i="50" s="1"/>
  <c r="Q1472" i="50"/>
  <c r="Q1541" i="50" s="1"/>
  <c r="W1472" i="50"/>
  <c r="W1541" i="50" s="1"/>
  <c r="AB1472" i="50"/>
  <c r="AB1541" i="50" s="1"/>
  <c r="AG1472" i="50"/>
  <c r="AG1541" i="50" s="1"/>
  <c r="C1472" i="50"/>
  <c r="C1541" i="50" s="1"/>
  <c r="H1472" i="50"/>
  <c r="H1541" i="50" s="1"/>
  <c r="M1472" i="50"/>
  <c r="M1541" i="50" s="1"/>
  <c r="S1472" i="50"/>
  <c r="S1541" i="50" s="1"/>
  <c r="X1472" i="50"/>
  <c r="X1541" i="50" s="1"/>
  <c r="AC1472" i="50"/>
  <c r="AC1541" i="50" s="1"/>
  <c r="AI1472" i="50"/>
  <c r="AI1541" i="50" s="1"/>
  <c r="D1472" i="50"/>
  <c r="D1541" i="50" s="1"/>
  <c r="I1472" i="50"/>
  <c r="I1541" i="50" s="1"/>
  <c r="O1472" i="50"/>
  <c r="O1541" i="50" s="1"/>
  <c r="T1472" i="50"/>
  <c r="T1541" i="50" s="1"/>
  <c r="Y1472" i="50"/>
  <c r="Y1541" i="50" s="1"/>
  <c r="AE1472" i="50"/>
  <c r="AE1541" i="50" s="1"/>
  <c r="AJ1472" i="50"/>
  <c r="AJ1541" i="50" s="1"/>
  <c r="E1472" i="50"/>
  <c r="E1541" i="50" s="1"/>
  <c r="K1472" i="50"/>
  <c r="K1541" i="50" s="1"/>
  <c r="P1472" i="50"/>
  <c r="P1541" i="50" s="1"/>
  <c r="U1472" i="50"/>
  <c r="U1541" i="50" s="1"/>
  <c r="AA1472" i="50"/>
  <c r="AA1541" i="50" s="1"/>
  <c r="AF1472" i="50"/>
  <c r="AF1541" i="50" s="1"/>
  <c r="AK1472" i="50"/>
  <c r="AK1541" i="50" s="1"/>
  <c r="E1398" i="50"/>
  <c r="B1424" i="50" s="1"/>
  <c r="C1424" i="50" s="1"/>
  <c r="B1624" i="50"/>
  <c r="E1813" i="50"/>
  <c r="E2090" i="50" s="1"/>
  <c r="E1829" i="50"/>
  <c r="E2107" i="50" s="1"/>
  <c r="E1792" i="50"/>
  <c r="E2068" i="50" s="1"/>
  <c r="D1662" i="50"/>
  <c r="B1662" i="50"/>
  <c r="B1598" i="50"/>
  <c r="J1792" i="50"/>
  <c r="J2068" i="50" s="1"/>
  <c r="J1813" i="50"/>
  <c r="J2090" i="50" s="1"/>
  <c r="J1829" i="50"/>
  <c r="J2107" i="50" s="1"/>
  <c r="B651" i="50"/>
  <c r="B665" i="50"/>
  <c r="C1815" i="50"/>
  <c r="C2092" i="50" s="1"/>
  <c r="C1831" i="50"/>
  <c r="C2109" i="50" s="1"/>
  <c r="C1794" i="50"/>
  <c r="C2070" i="50" s="1"/>
  <c r="D1814" i="50"/>
  <c r="D2091" i="50" s="1"/>
  <c r="D1830" i="50"/>
  <c r="D2108" i="50" s="1"/>
  <c r="D1793" i="50"/>
  <c r="D2069" i="50" s="1"/>
  <c r="C1983" i="50"/>
  <c r="H1998" i="50" s="1"/>
  <c r="G1965" i="50"/>
  <c r="B1983" i="50" s="1"/>
  <c r="G1998" i="50" s="1"/>
  <c r="I1813" i="50"/>
  <c r="I2090" i="50" s="1"/>
  <c r="I1829" i="50"/>
  <c r="I2107" i="50" s="1"/>
  <c r="I1792" i="50"/>
  <c r="I2068" i="50" s="1"/>
  <c r="F1793" i="50"/>
  <c r="F2069" i="50" s="1"/>
  <c r="F1814" i="50"/>
  <c r="F2091" i="50" s="1"/>
  <c r="F1830" i="50"/>
  <c r="F2108" i="50" s="1"/>
  <c r="F1597" i="50"/>
  <c r="G1479" i="50"/>
  <c r="G1761" i="50" s="1"/>
  <c r="L1479" i="50"/>
  <c r="L1761" i="50" s="1"/>
  <c r="Q1479" i="50"/>
  <c r="Q1761" i="50" s="1"/>
  <c r="W1479" i="50"/>
  <c r="W1761" i="50" s="1"/>
  <c r="AB1479" i="50"/>
  <c r="AB1761" i="50" s="1"/>
  <c r="AG1479" i="50"/>
  <c r="AG1761" i="50" s="1"/>
  <c r="C1479" i="50"/>
  <c r="C1761" i="50" s="1"/>
  <c r="H1479" i="50"/>
  <c r="H1761" i="50" s="1"/>
  <c r="M1479" i="50"/>
  <c r="M1761" i="50" s="1"/>
  <c r="S1479" i="50"/>
  <c r="S1761" i="50" s="1"/>
  <c r="X1479" i="50"/>
  <c r="X1761" i="50" s="1"/>
  <c r="AC1479" i="50"/>
  <c r="AC1761" i="50" s="1"/>
  <c r="AI1479" i="50"/>
  <c r="AI1761" i="50" s="1"/>
  <c r="D1479" i="50"/>
  <c r="D1761" i="50" s="1"/>
  <c r="I1479" i="50"/>
  <c r="I1761" i="50" s="1"/>
  <c r="O1479" i="50"/>
  <c r="O1761" i="50" s="1"/>
  <c r="T1479" i="50"/>
  <c r="T1761" i="50" s="1"/>
  <c r="Y1479" i="50"/>
  <c r="Y1761" i="50" s="1"/>
  <c r="AE1479" i="50"/>
  <c r="AE1761" i="50" s="1"/>
  <c r="AJ1479" i="50"/>
  <c r="AJ1761" i="50" s="1"/>
  <c r="E1479" i="50"/>
  <c r="E1761" i="50" s="1"/>
  <c r="K1479" i="50"/>
  <c r="K1761" i="50" s="1"/>
  <c r="P1479" i="50"/>
  <c r="P1761" i="50" s="1"/>
  <c r="U1479" i="50"/>
  <c r="U1761" i="50" s="1"/>
  <c r="AA1479" i="50"/>
  <c r="AA1761" i="50" s="1"/>
  <c r="AF1479" i="50"/>
  <c r="AF1761" i="50" s="1"/>
  <c r="AK1479" i="50"/>
  <c r="AK1761" i="50" s="1"/>
  <c r="G1792" i="50"/>
  <c r="G2068" i="50" s="1"/>
  <c r="G1813" i="50"/>
  <c r="G2090" i="50" s="1"/>
  <c r="G1829" i="50"/>
  <c r="G2107" i="50" s="1"/>
  <c r="G1597" i="50"/>
  <c r="H1792" i="50"/>
  <c r="H2068" i="50" s="1"/>
  <c r="H1813" i="50"/>
  <c r="H2090" i="50" s="1"/>
  <c r="H1829" i="50"/>
  <c r="H2107" i="50" s="1"/>
  <c r="H1598" i="50"/>
  <c r="G1970" i="50"/>
  <c r="B1988" i="50" s="1"/>
  <c r="AA1998" i="50" s="1"/>
  <c r="C1988" i="50"/>
  <c r="AB1998" i="50" s="1"/>
  <c r="E1793" i="50"/>
  <c r="E2069" i="50" s="1"/>
  <c r="E1814" i="50"/>
  <c r="E2091" i="50" s="1"/>
  <c r="E1830" i="50"/>
  <c r="E2108" i="50" s="1"/>
  <c r="E1471" i="50"/>
  <c r="E1495" i="50" s="1"/>
  <c r="K1471" i="50"/>
  <c r="K1495" i="50" s="1"/>
  <c r="P1471" i="50"/>
  <c r="P1495" i="50" s="1"/>
  <c r="U1471" i="50"/>
  <c r="U1495" i="50" s="1"/>
  <c r="AA1471" i="50"/>
  <c r="AA1495" i="50" s="1"/>
  <c r="AF1471" i="50"/>
  <c r="AF1495" i="50" s="1"/>
  <c r="AK1471" i="50"/>
  <c r="AK1495" i="50" s="1"/>
  <c r="G1471" i="50"/>
  <c r="G1495" i="50" s="1"/>
  <c r="L1471" i="50"/>
  <c r="L1495" i="50" s="1"/>
  <c r="Q1471" i="50"/>
  <c r="Q1495" i="50" s="1"/>
  <c r="W1471" i="50"/>
  <c r="W1495" i="50" s="1"/>
  <c r="AB1471" i="50"/>
  <c r="AB1495" i="50" s="1"/>
  <c r="AG1471" i="50"/>
  <c r="AG1495" i="50" s="1"/>
  <c r="C1471" i="50"/>
  <c r="C1495" i="50" s="1"/>
  <c r="H1471" i="50"/>
  <c r="H1495" i="50" s="1"/>
  <c r="M1471" i="50"/>
  <c r="M1495" i="50" s="1"/>
  <c r="S1471" i="50"/>
  <c r="S1495" i="50" s="1"/>
  <c r="X1471" i="50"/>
  <c r="X1495" i="50" s="1"/>
  <c r="AC1471" i="50"/>
  <c r="AC1495" i="50" s="1"/>
  <c r="AI1471" i="50"/>
  <c r="AI1495" i="50" s="1"/>
  <c r="D1471" i="50"/>
  <c r="D1495" i="50" s="1"/>
  <c r="I1471" i="50"/>
  <c r="I1495" i="50" s="1"/>
  <c r="O1471" i="50"/>
  <c r="O1495" i="50" s="1"/>
  <c r="T1471" i="50"/>
  <c r="T1495" i="50" s="1"/>
  <c r="Y1471" i="50"/>
  <c r="Y1495" i="50" s="1"/>
  <c r="AE1471" i="50"/>
  <c r="AE1495" i="50" s="1"/>
  <c r="AJ1471" i="50"/>
  <c r="AJ1495" i="50" s="1"/>
  <c r="B1793" i="50"/>
  <c r="B2069" i="50" s="1"/>
  <c r="B1814" i="50"/>
  <c r="B2091" i="50" s="1"/>
  <c r="B1830" i="50"/>
  <c r="B2108" i="50" s="1"/>
  <c r="B1597" i="50"/>
  <c r="J1598" i="50"/>
  <c r="B680" i="50"/>
  <c r="C1598" i="50"/>
  <c r="G1483" i="50"/>
  <c r="G1765" i="50" s="1"/>
  <c r="L1483" i="50"/>
  <c r="L1765" i="50" s="1"/>
  <c r="Q1483" i="50"/>
  <c r="Q1765" i="50" s="1"/>
  <c r="W1483" i="50"/>
  <c r="W1765" i="50" s="1"/>
  <c r="AB1483" i="50"/>
  <c r="AB1765" i="50" s="1"/>
  <c r="AG1483" i="50"/>
  <c r="AG1765" i="50" s="1"/>
  <c r="C1483" i="50"/>
  <c r="C1765" i="50" s="1"/>
  <c r="H1483" i="50"/>
  <c r="H1765" i="50" s="1"/>
  <c r="M1483" i="50"/>
  <c r="M1765" i="50" s="1"/>
  <c r="S1483" i="50"/>
  <c r="S1765" i="50" s="1"/>
  <c r="X1483" i="50"/>
  <c r="X1765" i="50" s="1"/>
  <c r="AC1483" i="50"/>
  <c r="AC1765" i="50" s="1"/>
  <c r="AI1483" i="50"/>
  <c r="AI1765" i="50" s="1"/>
  <c r="D1483" i="50"/>
  <c r="D1765" i="50" s="1"/>
  <c r="I1483" i="50"/>
  <c r="I1765" i="50" s="1"/>
  <c r="O1483" i="50"/>
  <c r="O1765" i="50" s="1"/>
  <c r="T1483" i="50"/>
  <c r="T1765" i="50" s="1"/>
  <c r="Y1483" i="50"/>
  <c r="Y1765" i="50" s="1"/>
  <c r="AE1483" i="50"/>
  <c r="AE1765" i="50" s="1"/>
  <c r="AJ1483" i="50"/>
  <c r="AJ1765" i="50" s="1"/>
  <c r="E1483" i="50"/>
  <c r="E1765" i="50" s="1"/>
  <c r="K1483" i="50"/>
  <c r="K1765" i="50" s="1"/>
  <c r="P1483" i="50"/>
  <c r="P1765" i="50" s="1"/>
  <c r="U1483" i="50"/>
  <c r="U1765" i="50" s="1"/>
  <c r="AA1483" i="50"/>
  <c r="AA1765" i="50" s="1"/>
  <c r="AF1483" i="50"/>
  <c r="AF1765" i="50" s="1"/>
  <c r="AK1483" i="50"/>
  <c r="AK1765" i="50" s="1"/>
  <c r="D1794" i="50"/>
  <c r="D2070" i="50" s="1"/>
  <c r="D1815" i="50"/>
  <c r="D2092" i="50" s="1"/>
  <c r="D1831" i="50"/>
  <c r="D2109" i="50" s="1"/>
  <c r="B1570" i="50"/>
  <c r="C2185" i="50"/>
  <c r="G2185" i="50"/>
  <c r="D2185" i="50"/>
  <c r="H2185" i="50"/>
  <c r="E2185" i="50"/>
  <c r="I2185" i="50"/>
  <c r="B2185" i="50"/>
  <c r="F2185" i="50"/>
  <c r="J2185" i="50"/>
  <c r="G1972" i="50"/>
  <c r="B1990" i="50" s="1"/>
  <c r="AI1998" i="50" s="1"/>
  <c r="C1990" i="50"/>
  <c r="AJ1998" i="50" s="1"/>
  <c r="D1478" i="50"/>
  <c r="D1760" i="50" s="1"/>
  <c r="I1478" i="50"/>
  <c r="I1760" i="50" s="1"/>
  <c r="O1478" i="50"/>
  <c r="O1760" i="50" s="1"/>
  <c r="E1478" i="50"/>
  <c r="E1760" i="50" s="1"/>
  <c r="K1478" i="50"/>
  <c r="K1760" i="50" s="1"/>
  <c r="P1478" i="50"/>
  <c r="P1760" i="50" s="1"/>
  <c r="G1478" i="50"/>
  <c r="G1760" i="50" s="1"/>
  <c r="L1478" i="50"/>
  <c r="L1760" i="50" s="1"/>
  <c r="Q1478" i="50"/>
  <c r="Q1760" i="50" s="1"/>
  <c r="W1478" i="50"/>
  <c r="W1760" i="50" s="1"/>
  <c r="C1478" i="50"/>
  <c r="C1760" i="50" s="1"/>
  <c r="H1478" i="50"/>
  <c r="H1760" i="50" s="1"/>
  <c r="M1478" i="50"/>
  <c r="M1760" i="50" s="1"/>
  <c r="T1478" i="50"/>
  <c r="T1760" i="50" s="1"/>
  <c r="AA1478" i="50"/>
  <c r="AA1760" i="50" s="1"/>
  <c r="AF1478" i="50"/>
  <c r="AF1760" i="50" s="1"/>
  <c r="AK1478" i="50"/>
  <c r="AK1760" i="50" s="1"/>
  <c r="U1478" i="50"/>
  <c r="U1760" i="50" s="1"/>
  <c r="AB1478" i="50"/>
  <c r="AB1760" i="50" s="1"/>
  <c r="AG1478" i="50"/>
  <c r="AG1760" i="50" s="1"/>
  <c r="X1478" i="50"/>
  <c r="X1760" i="50" s="1"/>
  <c r="AC1478" i="50"/>
  <c r="AC1760" i="50" s="1"/>
  <c r="AI1478" i="50"/>
  <c r="AI1760" i="50" s="1"/>
  <c r="S1478" i="50"/>
  <c r="S1760" i="50" s="1"/>
  <c r="Y1478" i="50"/>
  <c r="Y1760" i="50" s="1"/>
  <c r="AE1478" i="50"/>
  <c r="AE1760" i="50" s="1"/>
  <c r="AJ1478" i="50"/>
  <c r="AJ1760" i="50" s="1"/>
  <c r="I1793" i="50"/>
  <c r="I2069" i="50" s="1"/>
  <c r="I1814" i="50"/>
  <c r="I2091" i="50" s="1"/>
  <c r="I1830" i="50"/>
  <c r="I2108" i="50" s="1"/>
  <c r="F1794" i="50"/>
  <c r="F2070" i="50" s="1"/>
  <c r="F1815" i="50"/>
  <c r="F2092" i="50" s="1"/>
  <c r="F1831" i="50"/>
  <c r="F2109" i="50" s="1"/>
  <c r="G1793" i="50"/>
  <c r="G2069" i="50" s="1"/>
  <c r="G1814" i="50"/>
  <c r="G2091" i="50" s="1"/>
  <c r="G1830" i="50"/>
  <c r="G2108" i="50" s="1"/>
  <c r="H1814" i="50"/>
  <c r="H2091" i="50" s="1"/>
  <c r="H1830" i="50"/>
  <c r="H2108" i="50" s="1"/>
  <c r="H1793" i="50"/>
  <c r="H2069" i="50" s="1"/>
  <c r="C1484" i="50"/>
  <c r="C1766" i="50" s="1"/>
  <c r="H1484" i="50"/>
  <c r="H1766" i="50" s="1"/>
  <c r="M1484" i="50"/>
  <c r="M1766" i="50" s="1"/>
  <c r="S1484" i="50"/>
  <c r="S1766" i="50" s="1"/>
  <c r="X1484" i="50"/>
  <c r="X1766" i="50" s="1"/>
  <c r="AC1484" i="50"/>
  <c r="AC1766" i="50" s="1"/>
  <c r="AI1484" i="50"/>
  <c r="AI1766" i="50" s="1"/>
  <c r="D1484" i="50"/>
  <c r="D1766" i="50" s="1"/>
  <c r="I1484" i="50"/>
  <c r="I1766" i="50" s="1"/>
  <c r="O1484" i="50"/>
  <c r="O1766" i="50" s="1"/>
  <c r="T1484" i="50"/>
  <c r="T1766" i="50" s="1"/>
  <c r="Y1484" i="50"/>
  <c r="Y1766" i="50" s="1"/>
  <c r="AE1484" i="50"/>
  <c r="AE1766" i="50" s="1"/>
  <c r="AJ1484" i="50"/>
  <c r="AJ1766" i="50" s="1"/>
  <c r="E1484" i="50"/>
  <c r="E1766" i="50" s="1"/>
  <c r="K1484" i="50"/>
  <c r="K1766" i="50" s="1"/>
  <c r="P1484" i="50"/>
  <c r="P1766" i="50" s="1"/>
  <c r="U1484" i="50"/>
  <c r="U1766" i="50" s="1"/>
  <c r="AA1484" i="50"/>
  <c r="AA1766" i="50" s="1"/>
  <c r="AF1484" i="50"/>
  <c r="AF1766" i="50" s="1"/>
  <c r="AK1484" i="50"/>
  <c r="AK1766" i="50" s="1"/>
  <c r="G1484" i="50"/>
  <c r="G1766" i="50" s="1"/>
  <c r="L1484" i="50"/>
  <c r="L1766" i="50" s="1"/>
  <c r="Q1484" i="50"/>
  <c r="Q1766" i="50" s="1"/>
  <c r="W1484" i="50"/>
  <c r="W1766" i="50" s="1"/>
  <c r="AB1484" i="50"/>
  <c r="AB1766" i="50" s="1"/>
  <c r="AG1484" i="50"/>
  <c r="AG1766" i="50" s="1"/>
  <c r="E1598" i="50"/>
  <c r="B1794" i="50"/>
  <c r="B2070" i="50" s="1"/>
  <c r="B1815" i="50"/>
  <c r="B2092" i="50" s="1"/>
  <c r="B1831" i="50"/>
  <c r="B2109" i="50" s="1"/>
  <c r="J1793" i="50"/>
  <c r="J2069" i="50" s="1"/>
  <c r="J1814" i="50"/>
  <c r="J2091" i="50" s="1"/>
  <c r="J1830" i="50"/>
  <c r="J2108" i="50" s="1"/>
  <c r="J1597" i="50"/>
  <c r="C1792" i="50"/>
  <c r="C2068" i="50" s="1"/>
  <c r="C1813" i="50"/>
  <c r="C2090" i="50" s="1"/>
  <c r="C1829" i="50"/>
  <c r="C2107" i="50" s="1"/>
  <c r="C1597" i="50"/>
  <c r="D1597" i="50"/>
  <c r="C1477" i="50"/>
  <c r="C1759" i="50" s="1"/>
  <c r="H1477" i="50"/>
  <c r="H1759" i="50" s="1"/>
  <c r="M1477" i="50"/>
  <c r="M1759" i="50" s="1"/>
  <c r="S1477" i="50"/>
  <c r="S1759" i="50" s="1"/>
  <c r="X1477" i="50"/>
  <c r="X1759" i="50" s="1"/>
  <c r="AC1477" i="50"/>
  <c r="AC1759" i="50" s="1"/>
  <c r="AI1477" i="50"/>
  <c r="AI1759" i="50" s="1"/>
  <c r="D1477" i="50"/>
  <c r="D1759" i="50" s="1"/>
  <c r="I1477" i="50"/>
  <c r="I1759" i="50" s="1"/>
  <c r="O1477" i="50"/>
  <c r="O1759" i="50" s="1"/>
  <c r="T1477" i="50"/>
  <c r="T1759" i="50" s="1"/>
  <c r="Y1477" i="50"/>
  <c r="Y1759" i="50" s="1"/>
  <c r="AE1477" i="50"/>
  <c r="AE1759" i="50" s="1"/>
  <c r="AJ1477" i="50"/>
  <c r="AJ1759" i="50" s="1"/>
  <c r="E1477" i="50"/>
  <c r="E1759" i="50" s="1"/>
  <c r="K1477" i="50"/>
  <c r="K1759" i="50" s="1"/>
  <c r="P1477" i="50"/>
  <c r="P1759" i="50" s="1"/>
  <c r="U1477" i="50"/>
  <c r="U1759" i="50" s="1"/>
  <c r="AA1477" i="50"/>
  <c r="AA1759" i="50" s="1"/>
  <c r="AF1477" i="50"/>
  <c r="AF1759" i="50" s="1"/>
  <c r="AK1477" i="50"/>
  <c r="AK1759" i="50" s="1"/>
  <c r="G1477" i="50"/>
  <c r="G1759" i="50" s="1"/>
  <c r="L1477" i="50"/>
  <c r="L1759" i="50" s="1"/>
  <c r="Q1477" i="50"/>
  <c r="Q1759" i="50" s="1"/>
  <c r="W1477" i="50"/>
  <c r="W1759" i="50" s="1"/>
  <c r="AB1477" i="50"/>
  <c r="AB1759" i="50" s="1"/>
  <c r="AG1477" i="50"/>
  <c r="AG1759" i="50" s="1"/>
  <c r="C1985" i="50"/>
  <c r="P1998" i="50" s="1"/>
  <c r="G1967" i="50"/>
  <c r="B1985" i="50" s="1"/>
  <c r="O1998" i="50" s="1"/>
  <c r="G1966" i="50"/>
  <c r="B1984" i="50" s="1"/>
  <c r="K1998" i="50" s="1"/>
  <c r="C1984" i="50"/>
  <c r="L1998" i="50" s="1"/>
  <c r="I1598" i="50"/>
  <c r="F1792" i="50"/>
  <c r="F2068" i="50" s="1"/>
  <c r="F1813" i="50"/>
  <c r="F2090" i="50" s="1"/>
  <c r="F1829" i="50"/>
  <c r="F2107" i="50" s="1"/>
  <c r="G1815" i="50"/>
  <c r="G2092" i="50" s="1"/>
  <c r="G1831" i="50"/>
  <c r="G2109" i="50" s="1"/>
  <c r="G1794" i="50"/>
  <c r="G2070" i="50" s="1"/>
  <c r="H1794" i="50"/>
  <c r="H2070" i="50" s="1"/>
  <c r="H1815" i="50"/>
  <c r="H2092" i="50" s="1"/>
  <c r="H1831" i="50"/>
  <c r="H2109" i="50" s="1"/>
  <c r="G1968" i="50"/>
  <c r="B1986" i="50" s="1"/>
  <c r="S1998" i="50" s="1"/>
  <c r="C1986" i="50"/>
  <c r="T1998" i="50" s="1"/>
  <c r="C1376" i="50"/>
  <c r="C1551" i="50" s="1"/>
  <c r="D1376" i="50"/>
  <c r="D1551" i="50" s="1"/>
  <c r="B1376" i="50"/>
  <c r="B1533" i="50"/>
  <c r="D2184" i="50"/>
  <c r="H2184" i="50"/>
  <c r="E2184" i="50"/>
  <c r="I2184" i="50"/>
  <c r="B2184" i="50"/>
  <c r="F2184" i="50"/>
  <c r="J2184" i="50"/>
  <c r="C2184" i="50"/>
  <c r="G2184" i="50"/>
  <c r="B2339" i="50"/>
  <c r="B2356" i="50" s="1"/>
  <c r="B2372" i="50" s="1"/>
  <c r="F2339" i="50"/>
  <c r="F2356" i="50" s="1"/>
  <c r="J2339" i="50"/>
  <c r="J2356" i="50" s="1"/>
  <c r="J2372" i="50" s="1"/>
  <c r="C2339" i="50"/>
  <c r="C2356" i="50" s="1"/>
  <c r="C2372" i="50" s="1"/>
  <c r="G2339" i="50"/>
  <c r="G2356" i="50" s="1"/>
  <c r="G2372" i="50" s="1"/>
  <c r="D2339" i="50"/>
  <c r="D2356" i="50" s="1"/>
  <c r="H2339" i="50"/>
  <c r="H2356" i="50" s="1"/>
  <c r="H2372" i="50" s="1"/>
  <c r="E2339" i="50"/>
  <c r="E2356" i="50" s="1"/>
  <c r="E2372" i="50" s="1"/>
  <c r="I2339" i="50"/>
  <c r="I2356" i="50" s="1"/>
  <c r="I2372" i="50" s="1"/>
  <c r="B3037" i="50"/>
  <c r="C3051" i="50" s="1"/>
  <c r="C1987" i="50"/>
  <c r="X1998" i="50" s="1"/>
  <c r="G1969" i="50"/>
  <c r="B1987" i="50" s="1"/>
  <c r="W1998" i="50" s="1"/>
  <c r="M2009" i="50" l="1"/>
  <c r="Y2009" i="50"/>
  <c r="E2009" i="50"/>
  <c r="X2009" i="50"/>
  <c r="L2009" i="50"/>
  <c r="S2009" i="50"/>
  <c r="K2009" i="50"/>
  <c r="D2021" i="50" s="1"/>
  <c r="D2066" i="50" s="1"/>
  <c r="AB2009" i="50"/>
  <c r="G2009" i="50"/>
  <c r="C2009" i="50"/>
  <c r="O2009" i="50"/>
  <c r="W2009" i="50"/>
  <c r="P2009" i="50"/>
  <c r="AI2009" i="50"/>
  <c r="T2009" i="50"/>
  <c r="AJ2009" i="50"/>
  <c r="AA2009" i="50"/>
  <c r="H2009" i="50"/>
  <c r="AK2009" i="50"/>
  <c r="J2021" i="50" s="1"/>
  <c r="J2066" i="50" s="1"/>
  <c r="B1625" i="50"/>
  <c r="E1399" i="50"/>
  <c r="B1425" i="50" s="1"/>
  <c r="C1425" i="50" s="1"/>
  <c r="AG2009" i="50"/>
  <c r="I2009" i="50"/>
  <c r="AF2009" i="50"/>
  <c r="U2009" i="50"/>
  <c r="F2020" i="50" s="1"/>
  <c r="F2065" i="50" s="1"/>
  <c r="AC2009" i="50"/>
  <c r="Q2009" i="50"/>
  <c r="E2021" i="50" s="1"/>
  <c r="E2066" i="50" s="1"/>
  <c r="AE2009" i="50"/>
  <c r="I2021" i="50" s="1"/>
  <c r="I2066" i="50" s="1"/>
  <c r="B681" i="50"/>
  <c r="D2009" i="50"/>
  <c r="F2372" i="50"/>
  <c r="D2372" i="50"/>
  <c r="F2019" i="50"/>
  <c r="F2064" i="50" s="1"/>
  <c r="D2018" i="50"/>
  <c r="D2063" i="50" s="1"/>
  <c r="D2019" i="50"/>
  <c r="D2064" i="50" s="1"/>
  <c r="D2031" i="50"/>
  <c r="D2089" i="50" s="1"/>
  <c r="D2020" i="50"/>
  <c r="D2065" i="50" s="1"/>
  <c r="E2022" i="50"/>
  <c r="E2067" i="50" s="1"/>
  <c r="G2018" i="50"/>
  <c r="G2063" i="50" s="1"/>
  <c r="G2022" i="50"/>
  <c r="G2067" i="50" s="1"/>
  <c r="G2019" i="50"/>
  <c r="G2064" i="50" s="1"/>
  <c r="G2031" i="50"/>
  <c r="G2089" i="50" s="1"/>
  <c r="G2020" i="50"/>
  <c r="G2065" i="50" s="1"/>
  <c r="G2040" i="50"/>
  <c r="G2106" i="50" s="1"/>
  <c r="G2021" i="50"/>
  <c r="G2066" i="50" s="1"/>
  <c r="J2019" i="50"/>
  <c r="J2064" i="50" s="1"/>
  <c r="J2031" i="50"/>
  <c r="J2089" i="50" s="1"/>
  <c r="J2040" i="50"/>
  <c r="J2106" i="50" s="1"/>
  <c r="J2018" i="50"/>
  <c r="J2063" i="50" s="1"/>
  <c r="H1784" i="50"/>
  <c r="H2055" i="50" s="1"/>
  <c r="H1805" i="50"/>
  <c r="H2081" i="50" s="1"/>
  <c r="J1784" i="50"/>
  <c r="J2055" i="50" s="1"/>
  <c r="J1805" i="50"/>
  <c r="J2081" i="50" s="1"/>
  <c r="J2168" i="50"/>
  <c r="J2241" i="50" s="1"/>
  <c r="G1791" i="50"/>
  <c r="G2062" i="50" s="1"/>
  <c r="G1812" i="50"/>
  <c r="G2088" i="50" s="1"/>
  <c r="G1828" i="50"/>
  <c r="G2105" i="50" s="1"/>
  <c r="I1791" i="50"/>
  <c r="I2062" i="50" s="1"/>
  <c r="I1812" i="50"/>
  <c r="I2088" i="50" s="1"/>
  <c r="I1828" i="50"/>
  <c r="I2105" i="50" s="1"/>
  <c r="B1812" i="50"/>
  <c r="B2088" i="50" s="1"/>
  <c r="B1828" i="50"/>
  <c r="B2105" i="50" s="1"/>
  <c r="B1791" i="50"/>
  <c r="B2062" i="50" s="1"/>
  <c r="G2168" i="50"/>
  <c r="G2241" i="50" s="1"/>
  <c r="F2169" i="50"/>
  <c r="F2243" i="50" s="1"/>
  <c r="J1785" i="50"/>
  <c r="J2056" i="50" s="1"/>
  <c r="J1806" i="50"/>
  <c r="J2082" i="50" s="1"/>
  <c r="H1785" i="50"/>
  <c r="H2056" i="50" s="1"/>
  <c r="H1806" i="50"/>
  <c r="H2082" i="50" s="1"/>
  <c r="B1785" i="50"/>
  <c r="B2056" i="50" s="1"/>
  <c r="B1806" i="50"/>
  <c r="B2082" i="50" s="1"/>
  <c r="C1785" i="50"/>
  <c r="C2056" i="50" s="1"/>
  <c r="C1806" i="50"/>
  <c r="C2082" i="50" s="1"/>
  <c r="E1785" i="50"/>
  <c r="E2056" i="50" s="1"/>
  <c r="E1806" i="50"/>
  <c r="E2082" i="50" s="1"/>
  <c r="D1790" i="50"/>
  <c r="D2061" i="50" s="1"/>
  <c r="D1811" i="50"/>
  <c r="D2087" i="50" s="1"/>
  <c r="D1827" i="50"/>
  <c r="D2104" i="50" s="1"/>
  <c r="F1790" i="50"/>
  <c r="F2061" i="50" s="1"/>
  <c r="F1811" i="50"/>
  <c r="F2087" i="50" s="1"/>
  <c r="F1827" i="50"/>
  <c r="F2104" i="50" s="1"/>
  <c r="B2874" i="50"/>
  <c r="B3303" i="50" s="1"/>
  <c r="I1523" i="50"/>
  <c r="B1523" i="50"/>
  <c r="D1523" i="50"/>
  <c r="B3051" i="50"/>
  <c r="B3070" i="50" s="1"/>
  <c r="G2167" i="50"/>
  <c r="G2239" i="50" s="1"/>
  <c r="E1786" i="50"/>
  <c r="E2057" i="50" s="1"/>
  <c r="E1807" i="50"/>
  <c r="E2083" i="50" s="1"/>
  <c r="G1786" i="50"/>
  <c r="G2057" i="50" s="1"/>
  <c r="G1807" i="50"/>
  <c r="G2083" i="50" s="1"/>
  <c r="I2020" i="50"/>
  <c r="I2065" i="50" s="1"/>
  <c r="I2019" i="50"/>
  <c r="I2064" i="50" s="1"/>
  <c r="B2031" i="50"/>
  <c r="B2089" i="50" s="1"/>
  <c r="J2167" i="50"/>
  <c r="J2239" i="50" s="1"/>
  <c r="I1560" i="50"/>
  <c r="B1560" i="50"/>
  <c r="I1789" i="50"/>
  <c r="I2060" i="50" s="1"/>
  <c r="I1810" i="50"/>
  <c r="I2086" i="50" s="1"/>
  <c r="I1826" i="50"/>
  <c r="I2103" i="50" s="1"/>
  <c r="B1789" i="50"/>
  <c r="B2060" i="50" s="1"/>
  <c r="B1810" i="50"/>
  <c r="B2086" i="50" s="1"/>
  <c r="B1826" i="50"/>
  <c r="B2103" i="50" s="1"/>
  <c r="D1810" i="50"/>
  <c r="D2086" i="50" s="1"/>
  <c r="D1826" i="50"/>
  <c r="D2103" i="50" s="1"/>
  <c r="D1789" i="50"/>
  <c r="D2060" i="50" s="1"/>
  <c r="I2169" i="50"/>
  <c r="I2243" i="50" s="1"/>
  <c r="D2167" i="50"/>
  <c r="D2239" i="50" s="1"/>
  <c r="C2168" i="50"/>
  <c r="C2241" i="50" s="1"/>
  <c r="J2169" i="50"/>
  <c r="J2243" i="50" s="1"/>
  <c r="E1376" i="50"/>
  <c r="B1419" i="50" s="1"/>
  <c r="C1419" i="50" s="1"/>
  <c r="B1551" i="50"/>
  <c r="B1663" i="50" s="1"/>
  <c r="G2169" i="50"/>
  <c r="G2243" i="50" s="1"/>
  <c r="F2167" i="50"/>
  <c r="F2239" i="50" s="1"/>
  <c r="C1784" i="50"/>
  <c r="C2055" i="50" s="1"/>
  <c r="C1805" i="50"/>
  <c r="C2081" i="50" s="1"/>
  <c r="E1784" i="50"/>
  <c r="E2055" i="50" s="1"/>
  <c r="E1805" i="50"/>
  <c r="E2081" i="50" s="1"/>
  <c r="B2875" i="50"/>
  <c r="B3305" i="50" s="1"/>
  <c r="D1791" i="50"/>
  <c r="D2062" i="50" s="1"/>
  <c r="D1812" i="50"/>
  <c r="D2088" i="50" s="1"/>
  <c r="D1828" i="50"/>
  <c r="D2105" i="50" s="1"/>
  <c r="F1812" i="50"/>
  <c r="F2088" i="50" s="1"/>
  <c r="F1828" i="50"/>
  <c r="F2105" i="50" s="1"/>
  <c r="F1791" i="50"/>
  <c r="F2062" i="50" s="1"/>
  <c r="I1785" i="50"/>
  <c r="I2056" i="50" s="1"/>
  <c r="I1806" i="50"/>
  <c r="I2082" i="50" s="1"/>
  <c r="G1785" i="50"/>
  <c r="G2056" i="50" s="1"/>
  <c r="G1806" i="50"/>
  <c r="G2082" i="50" s="1"/>
  <c r="H1790" i="50"/>
  <c r="H2061" i="50" s="1"/>
  <c r="H1811" i="50"/>
  <c r="H2087" i="50" s="1"/>
  <c r="H1827" i="50"/>
  <c r="H2104" i="50" s="1"/>
  <c r="J1790" i="50"/>
  <c r="J2061" i="50" s="1"/>
  <c r="J1811" i="50"/>
  <c r="J2087" i="50" s="1"/>
  <c r="J1827" i="50"/>
  <c r="J2104" i="50" s="1"/>
  <c r="C1811" i="50"/>
  <c r="C2087" i="50" s="1"/>
  <c r="C1827" i="50"/>
  <c r="C2104" i="50" s="1"/>
  <c r="C1790" i="50"/>
  <c r="C2061" i="50" s="1"/>
  <c r="B2854" i="50"/>
  <c r="B3265" i="50" s="1"/>
  <c r="F1523" i="50"/>
  <c r="H1523" i="50"/>
  <c r="E3051" i="50"/>
  <c r="I1786" i="50"/>
  <c r="I2057" i="50" s="1"/>
  <c r="I1807" i="50"/>
  <c r="I2083" i="50" s="1"/>
  <c r="B1786" i="50"/>
  <c r="B2057" i="50" s="1"/>
  <c r="B1807" i="50"/>
  <c r="B2083" i="50" s="1"/>
  <c r="F2168" i="50"/>
  <c r="F2241" i="50" s="1"/>
  <c r="C2169" i="50"/>
  <c r="C2243" i="50" s="1"/>
  <c r="B666" i="50"/>
  <c r="B652" i="50"/>
  <c r="B667" i="50" s="1"/>
  <c r="D1560" i="50"/>
  <c r="F1560" i="50"/>
  <c r="F1789" i="50"/>
  <c r="F2060" i="50" s="1"/>
  <c r="F1810" i="50"/>
  <c r="F2086" i="50" s="1"/>
  <c r="F1826" i="50"/>
  <c r="F2103" i="50" s="1"/>
  <c r="H1810" i="50"/>
  <c r="H2086" i="50" s="1"/>
  <c r="H1826" i="50"/>
  <c r="H2103" i="50" s="1"/>
  <c r="H1789" i="50"/>
  <c r="H2060" i="50" s="1"/>
  <c r="C1663" i="50"/>
  <c r="D1663" i="50"/>
  <c r="B2873" i="50"/>
  <c r="B3301" i="50" s="1"/>
  <c r="D650" i="50"/>
  <c r="C651" i="50"/>
  <c r="G1784" i="50"/>
  <c r="G2055" i="50" s="1"/>
  <c r="G1805" i="50"/>
  <c r="G2081" i="50" s="1"/>
  <c r="I1784" i="50"/>
  <c r="I2055" i="50" s="1"/>
  <c r="I1805" i="50"/>
  <c r="I2081" i="50" s="1"/>
  <c r="B1784" i="50"/>
  <c r="B2055" i="50" s="1"/>
  <c r="B1805" i="50"/>
  <c r="B2081" i="50" s="1"/>
  <c r="C2167" i="50"/>
  <c r="C2239" i="50" s="1"/>
  <c r="B2855" i="50"/>
  <c r="B3267" i="50" s="1"/>
  <c r="H1791" i="50"/>
  <c r="H2062" i="50" s="1"/>
  <c r="H1812" i="50"/>
  <c r="H2088" i="50" s="1"/>
  <c r="H1828" i="50"/>
  <c r="H2105" i="50" s="1"/>
  <c r="J1812" i="50"/>
  <c r="J2088" i="50" s="1"/>
  <c r="J1828" i="50"/>
  <c r="J2105" i="50" s="1"/>
  <c r="J1791" i="50"/>
  <c r="J2062" i="50" s="1"/>
  <c r="H2168" i="50"/>
  <c r="H2241" i="50" s="1"/>
  <c r="D1785" i="50"/>
  <c r="D2056" i="50" s="1"/>
  <c r="D1806" i="50"/>
  <c r="D2082" i="50" s="1"/>
  <c r="D2169" i="50"/>
  <c r="D2243" i="50" s="1"/>
  <c r="E1790" i="50"/>
  <c r="E2061" i="50" s="1"/>
  <c r="E1811" i="50"/>
  <c r="E2087" i="50" s="1"/>
  <c r="E1827" i="50"/>
  <c r="E2104" i="50" s="1"/>
  <c r="G1811" i="50"/>
  <c r="G2087" i="50" s="1"/>
  <c r="G1827" i="50"/>
  <c r="G2104" i="50" s="1"/>
  <c r="G1790" i="50"/>
  <c r="G2061" i="50" s="1"/>
  <c r="B2168" i="50"/>
  <c r="B2241" i="50" s="1"/>
  <c r="B2829" i="50"/>
  <c r="B3227" i="50" s="1"/>
  <c r="J1523" i="50"/>
  <c r="C1523" i="50"/>
  <c r="D3051" i="50"/>
  <c r="E2168" i="50"/>
  <c r="E2241" i="50" s="1"/>
  <c r="H2167" i="50"/>
  <c r="H2239" i="50" s="1"/>
  <c r="D1786" i="50"/>
  <c r="D2057" i="50" s="1"/>
  <c r="D1807" i="50"/>
  <c r="D2083" i="50" s="1"/>
  <c r="F1786" i="50"/>
  <c r="F2057" i="50" s="1"/>
  <c r="F1807" i="50"/>
  <c r="F2083" i="50" s="1"/>
  <c r="H1560" i="50"/>
  <c r="J1560" i="50"/>
  <c r="C1560" i="50"/>
  <c r="J1789" i="50"/>
  <c r="J2060" i="50" s="1"/>
  <c r="J1810" i="50"/>
  <c r="J2086" i="50" s="1"/>
  <c r="J1826" i="50"/>
  <c r="J2103" i="50" s="1"/>
  <c r="C1789" i="50"/>
  <c r="C2060" i="50" s="1"/>
  <c r="C1810" i="50"/>
  <c r="C2086" i="50" s="1"/>
  <c r="C1826" i="50"/>
  <c r="C2103" i="50" s="1"/>
  <c r="B2853" i="50"/>
  <c r="B3263" i="50" s="1"/>
  <c r="H2169" i="50"/>
  <c r="H2243" i="50" s="1"/>
  <c r="D1784" i="50"/>
  <c r="D2055" i="50" s="1"/>
  <c r="D1805" i="50"/>
  <c r="D2081" i="50" s="1"/>
  <c r="F1784" i="50"/>
  <c r="F2055" i="50" s="1"/>
  <c r="F1805" i="50"/>
  <c r="F2081" i="50" s="1"/>
  <c r="B2169" i="50"/>
  <c r="B2243" i="50" s="1"/>
  <c r="B2830" i="50"/>
  <c r="B3229" i="50" s="1"/>
  <c r="C1791" i="50"/>
  <c r="C2062" i="50" s="1"/>
  <c r="C1812" i="50"/>
  <c r="C2088" i="50" s="1"/>
  <c r="C1828" i="50"/>
  <c r="C2105" i="50" s="1"/>
  <c r="E1791" i="50"/>
  <c r="E2062" i="50" s="1"/>
  <c r="E1812" i="50"/>
  <c r="E2088" i="50" s="1"/>
  <c r="E1828" i="50"/>
  <c r="E2105" i="50" s="1"/>
  <c r="I2168" i="50"/>
  <c r="I2241" i="50" s="1"/>
  <c r="F1785" i="50"/>
  <c r="F2056" i="50" s="1"/>
  <c r="F1806" i="50"/>
  <c r="F2082" i="50" s="1"/>
  <c r="I1790" i="50"/>
  <c r="I2061" i="50" s="1"/>
  <c r="I1811" i="50"/>
  <c r="I2087" i="50" s="1"/>
  <c r="I1827" i="50"/>
  <c r="I2104" i="50" s="1"/>
  <c r="B1790" i="50"/>
  <c r="B2061" i="50" s="1"/>
  <c r="B1811" i="50"/>
  <c r="B2087" i="50" s="1"/>
  <c r="B1827" i="50"/>
  <c r="B2104" i="50" s="1"/>
  <c r="E1523" i="50"/>
  <c r="G1523" i="50"/>
  <c r="H1786" i="50"/>
  <c r="H2057" i="50" s="1"/>
  <c r="H1807" i="50"/>
  <c r="H2083" i="50" s="1"/>
  <c r="J1786" i="50"/>
  <c r="J2057" i="50" s="1"/>
  <c r="J1807" i="50"/>
  <c r="J2083" i="50" s="1"/>
  <c r="C1786" i="50"/>
  <c r="C2057" i="50" s="1"/>
  <c r="C1807" i="50"/>
  <c r="C2083" i="50" s="1"/>
  <c r="I2167" i="50"/>
  <c r="I2239" i="50" s="1"/>
  <c r="D2168" i="50"/>
  <c r="D2241" i="50" s="1"/>
  <c r="C2018" i="50"/>
  <c r="C2063" i="50" s="1"/>
  <c r="C2022" i="50"/>
  <c r="C2067" i="50" s="1"/>
  <c r="C2019" i="50"/>
  <c r="C2064" i="50" s="1"/>
  <c r="C2031" i="50"/>
  <c r="C2089" i="50" s="1"/>
  <c r="C2020" i="50"/>
  <c r="C2065" i="50" s="1"/>
  <c r="C2040" i="50"/>
  <c r="C2106" i="50" s="1"/>
  <c r="C2021" i="50"/>
  <c r="C2066" i="50" s="1"/>
  <c r="E2167" i="50"/>
  <c r="E2239" i="50" s="1"/>
  <c r="C1480" i="50"/>
  <c r="C1615" i="50" s="1"/>
  <c r="H1480" i="50"/>
  <c r="H1615" i="50" s="1"/>
  <c r="M1480" i="50"/>
  <c r="M1615" i="50" s="1"/>
  <c r="S1480" i="50"/>
  <c r="S1615" i="50" s="1"/>
  <c r="X1480" i="50"/>
  <c r="X1615" i="50" s="1"/>
  <c r="AC1480" i="50"/>
  <c r="AC1615" i="50" s="1"/>
  <c r="AI1480" i="50"/>
  <c r="AI1615" i="50" s="1"/>
  <c r="D1480" i="50"/>
  <c r="D1615" i="50" s="1"/>
  <c r="I1480" i="50"/>
  <c r="I1615" i="50" s="1"/>
  <c r="O1480" i="50"/>
  <c r="O1615" i="50" s="1"/>
  <c r="T1480" i="50"/>
  <c r="T1615" i="50" s="1"/>
  <c r="Y1480" i="50"/>
  <c r="Y1615" i="50" s="1"/>
  <c r="AE1480" i="50"/>
  <c r="AE1615" i="50" s="1"/>
  <c r="AJ1480" i="50"/>
  <c r="AJ1615" i="50" s="1"/>
  <c r="E1480" i="50"/>
  <c r="E1615" i="50" s="1"/>
  <c r="K1480" i="50"/>
  <c r="K1615" i="50" s="1"/>
  <c r="P1480" i="50"/>
  <c r="P1615" i="50" s="1"/>
  <c r="U1480" i="50"/>
  <c r="U1615" i="50" s="1"/>
  <c r="AA1480" i="50"/>
  <c r="AA1615" i="50" s="1"/>
  <c r="AF1480" i="50"/>
  <c r="AF1615" i="50" s="1"/>
  <c r="AK1480" i="50"/>
  <c r="AK1615" i="50" s="1"/>
  <c r="G1480" i="50"/>
  <c r="G1615" i="50" s="1"/>
  <c r="L1480" i="50"/>
  <c r="L1615" i="50" s="1"/>
  <c r="Q1480" i="50"/>
  <c r="Q1615" i="50" s="1"/>
  <c r="W1480" i="50"/>
  <c r="W1615" i="50" s="1"/>
  <c r="AB1480" i="50"/>
  <c r="AB1615" i="50" s="1"/>
  <c r="AG1480" i="50"/>
  <c r="AG1615" i="50" s="1"/>
  <c r="E1560" i="50"/>
  <c r="G1560" i="50"/>
  <c r="E1789" i="50"/>
  <c r="E2060" i="50" s="1"/>
  <c r="E1810" i="50"/>
  <c r="E2086" i="50" s="1"/>
  <c r="E1826" i="50"/>
  <c r="E2103" i="50" s="1"/>
  <c r="G1789" i="50"/>
  <c r="G2060" i="50" s="1"/>
  <c r="G1810" i="50"/>
  <c r="G2086" i="50" s="1"/>
  <c r="G1826" i="50"/>
  <c r="G2103" i="50" s="1"/>
  <c r="D1474" i="50"/>
  <c r="D1496" i="50" s="1"/>
  <c r="I1474" i="50"/>
  <c r="I1496" i="50" s="1"/>
  <c r="O1474" i="50"/>
  <c r="O1496" i="50" s="1"/>
  <c r="T1474" i="50"/>
  <c r="T1496" i="50" s="1"/>
  <c r="Y1474" i="50"/>
  <c r="Y1496" i="50" s="1"/>
  <c r="AE1474" i="50"/>
  <c r="AE1496" i="50" s="1"/>
  <c r="AJ1474" i="50"/>
  <c r="AJ1496" i="50" s="1"/>
  <c r="E1474" i="50"/>
  <c r="E1496" i="50" s="1"/>
  <c r="K1474" i="50"/>
  <c r="K1496" i="50" s="1"/>
  <c r="P1474" i="50"/>
  <c r="P1496" i="50" s="1"/>
  <c r="U1474" i="50"/>
  <c r="U1496" i="50" s="1"/>
  <c r="AA1474" i="50"/>
  <c r="AA1496" i="50" s="1"/>
  <c r="AF1474" i="50"/>
  <c r="AF1496" i="50" s="1"/>
  <c r="AK1474" i="50"/>
  <c r="AK1496" i="50" s="1"/>
  <c r="G1474" i="50"/>
  <c r="G1496" i="50" s="1"/>
  <c r="L1474" i="50"/>
  <c r="L1496" i="50" s="1"/>
  <c r="Q1474" i="50"/>
  <c r="Q1496" i="50" s="1"/>
  <c r="W1474" i="50"/>
  <c r="W1496" i="50" s="1"/>
  <c r="AB1474" i="50"/>
  <c r="AB1496" i="50" s="1"/>
  <c r="AG1474" i="50"/>
  <c r="AG1496" i="50" s="1"/>
  <c r="C1474" i="50"/>
  <c r="C1496" i="50" s="1"/>
  <c r="H1474" i="50"/>
  <c r="H1496" i="50" s="1"/>
  <c r="M1474" i="50"/>
  <c r="M1496" i="50" s="1"/>
  <c r="S1474" i="50"/>
  <c r="S1496" i="50" s="1"/>
  <c r="X1474" i="50"/>
  <c r="X1496" i="50" s="1"/>
  <c r="AC1474" i="50"/>
  <c r="AC1496" i="50" s="1"/>
  <c r="AI1474" i="50"/>
  <c r="AI1496" i="50" s="1"/>
  <c r="B2167" i="50"/>
  <c r="B2239" i="50" s="1"/>
  <c r="B2828" i="50"/>
  <c r="B3225" i="50" s="1"/>
  <c r="E2169" i="50"/>
  <c r="E2243" i="50" s="1"/>
  <c r="D2040" i="50" l="1"/>
  <c r="D2106" i="50" s="1"/>
  <c r="D2022" i="50"/>
  <c r="D2067" i="50" s="1"/>
  <c r="J2020" i="50"/>
  <c r="J2065" i="50" s="1"/>
  <c r="B2020" i="50"/>
  <c r="B2065" i="50" s="1"/>
  <c r="H2021" i="50"/>
  <c r="H2066" i="50" s="1"/>
  <c r="I2018" i="50"/>
  <c r="I2063" i="50" s="1"/>
  <c r="J2022" i="50"/>
  <c r="J2067" i="50" s="1"/>
  <c r="B2040" i="50"/>
  <c r="B2106" i="50" s="1"/>
  <c r="I2022" i="50"/>
  <c r="I2067" i="50" s="1"/>
  <c r="B2019" i="50"/>
  <c r="B2064" i="50" s="1"/>
  <c r="B2824" i="50" s="1"/>
  <c r="I2040" i="50"/>
  <c r="I2106" i="50" s="1"/>
  <c r="D1481" i="50"/>
  <c r="D1616" i="50" s="1"/>
  <c r="Y1481" i="50"/>
  <c r="Y1616" i="50" s="1"/>
  <c r="K1481" i="50"/>
  <c r="K1616" i="50" s="1"/>
  <c r="AF1481" i="50"/>
  <c r="AF1616" i="50" s="1"/>
  <c r="Q1481" i="50"/>
  <c r="Q1616" i="50" s="1"/>
  <c r="C1481" i="50"/>
  <c r="C1616" i="50" s="1"/>
  <c r="X1481" i="50"/>
  <c r="X1616" i="50" s="1"/>
  <c r="I1481" i="50"/>
  <c r="I1616" i="50" s="1"/>
  <c r="AE1481" i="50"/>
  <c r="AE1616" i="50" s="1"/>
  <c r="P1481" i="50"/>
  <c r="P1616" i="50" s="1"/>
  <c r="AK1481" i="50"/>
  <c r="AK1616" i="50" s="1"/>
  <c r="W1481" i="50"/>
  <c r="W1616" i="50" s="1"/>
  <c r="G1673" i="50" s="1"/>
  <c r="H1481" i="50"/>
  <c r="H1616" i="50" s="1"/>
  <c r="AC1481" i="50"/>
  <c r="AC1616" i="50" s="1"/>
  <c r="O1481" i="50"/>
  <c r="O1616" i="50" s="1"/>
  <c r="E1635" i="50" s="1"/>
  <c r="AJ1481" i="50"/>
  <c r="AJ1616" i="50" s="1"/>
  <c r="U1481" i="50"/>
  <c r="U1616" i="50" s="1"/>
  <c r="G1481" i="50"/>
  <c r="G1616" i="50" s="1"/>
  <c r="AB1481" i="50"/>
  <c r="AB1616" i="50" s="1"/>
  <c r="M1481" i="50"/>
  <c r="M1616" i="50" s="1"/>
  <c r="AI1481" i="50"/>
  <c r="AI1616" i="50" s="1"/>
  <c r="T1481" i="50"/>
  <c r="T1616" i="50" s="1"/>
  <c r="E1481" i="50"/>
  <c r="E1616" i="50" s="1"/>
  <c r="AA1481" i="50"/>
  <c r="AA1616" i="50" s="1"/>
  <c r="L1481" i="50"/>
  <c r="L1616" i="50" s="1"/>
  <c r="AG1481" i="50"/>
  <c r="AG1616" i="50" s="1"/>
  <c r="S1481" i="50"/>
  <c r="S1616" i="50" s="1"/>
  <c r="F1635" i="50" s="1"/>
  <c r="B2018" i="50"/>
  <c r="B2063" i="50" s="1"/>
  <c r="I2031" i="50"/>
  <c r="I2089" i="50" s="1"/>
  <c r="E2020" i="50"/>
  <c r="E2065" i="50" s="1"/>
  <c r="E2019" i="50"/>
  <c r="E2064" i="50" s="1"/>
  <c r="E2127" i="50" s="1"/>
  <c r="E2232" i="50" s="1"/>
  <c r="E2396" i="50" s="1"/>
  <c r="E2018" i="50"/>
  <c r="E2063" i="50" s="1"/>
  <c r="F2021" i="50"/>
  <c r="F2066" i="50" s="1"/>
  <c r="F2031" i="50"/>
  <c r="F2089" i="50" s="1"/>
  <c r="H2040" i="50"/>
  <c r="H2106" i="50" s="1"/>
  <c r="H2019" i="50"/>
  <c r="H2064" i="50" s="1"/>
  <c r="B2021" i="50"/>
  <c r="B2066" i="50" s="1"/>
  <c r="E2040" i="50"/>
  <c r="E2106" i="50" s="1"/>
  <c r="H2022" i="50"/>
  <c r="H2067" i="50" s="1"/>
  <c r="F2018" i="50"/>
  <c r="F2063" i="50" s="1"/>
  <c r="B2022" i="50"/>
  <c r="B2067" i="50" s="1"/>
  <c r="B2166" i="50" s="1"/>
  <c r="B2235" i="50" s="1"/>
  <c r="B2399" i="50" s="1"/>
  <c r="E2031" i="50"/>
  <c r="E2089" i="50" s="1"/>
  <c r="E2166" i="50" s="1"/>
  <c r="E2235" i="50" s="1"/>
  <c r="E2399" i="50" s="1"/>
  <c r="H2020" i="50"/>
  <c r="H2065" i="50" s="1"/>
  <c r="H2128" i="50" s="1"/>
  <c r="H2233" i="50" s="1"/>
  <c r="H2397" i="50" s="1"/>
  <c r="H2018" i="50"/>
  <c r="H2063" i="50" s="1"/>
  <c r="F2040" i="50"/>
  <c r="F2106" i="50" s="1"/>
  <c r="H2031" i="50"/>
  <c r="H2089" i="50" s="1"/>
  <c r="F2022" i="50"/>
  <c r="F2067" i="50" s="1"/>
  <c r="C1673" i="50"/>
  <c r="J1524" i="50"/>
  <c r="C1524" i="50"/>
  <c r="E1524" i="50"/>
  <c r="E2163" i="50"/>
  <c r="E2228" i="50" s="1"/>
  <c r="E2392" i="50" s="1"/>
  <c r="D1634" i="50"/>
  <c r="D1672" i="50"/>
  <c r="F1672" i="50"/>
  <c r="F1634" i="50"/>
  <c r="C2166" i="50"/>
  <c r="C2235" i="50" s="1"/>
  <c r="C2399" i="50" s="1"/>
  <c r="G1648" i="50"/>
  <c r="B2821" i="50"/>
  <c r="B2967" i="50" s="1"/>
  <c r="B3215" i="50" s="1"/>
  <c r="B2164" i="50"/>
  <c r="B2229" i="50" s="1"/>
  <c r="B2393" i="50" s="1"/>
  <c r="C2165" i="50"/>
  <c r="C2230" i="50" s="1"/>
  <c r="C2394" i="50" s="1"/>
  <c r="J2163" i="50"/>
  <c r="J2228" i="50" s="1"/>
  <c r="J2392" i="50" s="1"/>
  <c r="F2146" i="50"/>
  <c r="F2225" i="50" s="1"/>
  <c r="F2389" i="50" s="1"/>
  <c r="G2164" i="50"/>
  <c r="G2229" i="50" s="1"/>
  <c r="G2393" i="50" s="1"/>
  <c r="J2165" i="50"/>
  <c r="J2230" i="50" s="1"/>
  <c r="J2394" i="50" s="1"/>
  <c r="I2144" i="50"/>
  <c r="I2223" i="50" s="1"/>
  <c r="I2387" i="50" s="1"/>
  <c r="B682" i="50"/>
  <c r="B2817" i="50"/>
  <c r="B2963" i="50" s="1"/>
  <c r="B3211" i="50" s="1"/>
  <c r="B2146" i="50"/>
  <c r="B2225" i="50" s="1"/>
  <c r="B2389" i="50" s="1"/>
  <c r="F1673" i="50"/>
  <c r="B2869" i="50"/>
  <c r="B3003" i="50" s="1"/>
  <c r="B3290" i="50" s="1"/>
  <c r="B2827" i="50"/>
  <c r="B2825" i="50"/>
  <c r="B2128" i="50"/>
  <c r="B2233" i="50" s="1"/>
  <c r="B2397" i="50" s="1"/>
  <c r="I2127" i="50"/>
  <c r="I2232" i="50" s="1"/>
  <c r="I2396" i="50" s="1"/>
  <c r="D2164" i="50"/>
  <c r="D2229" i="50" s="1"/>
  <c r="D2393" i="50" s="1"/>
  <c r="E2145" i="50"/>
  <c r="E2224" i="50" s="1"/>
  <c r="E2388" i="50" s="1"/>
  <c r="B2816" i="50"/>
  <c r="B2962" i="50" s="1"/>
  <c r="B3210" i="50" s="1"/>
  <c r="B2145" i="50"/>
  <c r="B2224" i="50" s="1"/>
  <c r="B2388" i="50" s="1"/>
  <c r="J2145" i="50"/>
  <c r="J2224" i="50" s="1"/>
  <c r="J2388" i="50" s="1"/>
  <c r="J2144" i="50"/>
  <c r="J2223" i="50" s="1"/>
  <c r="J2387" i="50" s="1"/>
  <c r="J2129" i="50"/>
  <c r="J2234" i="50" s="1"/>
  <c r="J2398" i="50" s="1"/>
  <c r="J2127" i="50"/>
  <c r="J2232" i="50" s="1"/>
  <c r="J2396" i="50" s="1"/>
  <c r="E2129" i="50"/>
  <c r="E2234" i="50" s="1"/>
  <c r="E2398" i="50" s="1"/>
  <c r="H2126" i="50"/>
  <c r="H2231" i="50" s="1"/>
  <c r="H2395" i="50" s="1"/>
  <c r="D2129" i="50"/>
  <c r="D2234" i="50" s="1"/>
  <c r="D2398" i="50" s="1"/>
  <c r="G1524" i="50"/>
  <c r="I1524" i="50"/>
  <c r="G2163" i="50"/>
  <c r="G2228" i="50" s="1"/>
  <c r="G2392" i="50" s="1"/>
  <c r="H1634" i="50"/>
  <c r="H1672" i="50"/>
  <c r="J1672" i="50"/>
  <c r="J1634" i="50"/>
  <c r="C2128" i="50"/>
  <c r="C2233" i="50" s="1"/>
  <c r="C2397" i="50" s="1"/>
  <c r="C2126" i="50"/>
  <c r="C2231" i="50" s="1"/>
  <c r="C2395" i="50" s="1"/>
  <c r="J2146" i="50"/>
  <c r="J2225" i="50" s="1"/>
  <c r="J2389" i="50" s="1"/>
  <c r="E1648" i="50"/>
  <c r="F2145" i="50"/>
  <c r="F2224" i="50" s="1"/>
  <c r="F2388" i="50" s="1"/>
  <c r="E2165" i="50"/>
  <c r="E2230" i="50" s="1"/>
  <c r="E2394" i="50" s="1"/>
  <c r="D2144" i="50"/>
  <c r="D2223" i="50" s="1"/>
  <c r="D2387" i="50" s="1"/>
  <c r="C2163" i="50"/>
  <c r="C2228" i="50" s="1"/>
  <c r="C2392" i="50" s="1"/>
  <c r="C1648" i="50"/>
  <c r="E2164" i="50"/>
  <c r="E2229" i="50" s="1"/>
  <c r="E2393" i="50" s="1"/>
  <c r="H2165" i="50"/>
  <c r="H2230" i="50" s="1"/>
  <c r="H2394" i="50" s="1"/>
  <c r="B2844" i="50"/>
  <c r="B2984" i="50" s="1"/>
  <c r="B3247" i="50" s="1"/>
  <c r="C2164" i="50"/>
  <c r="C2229" i="50" s="1"/>
  <c r="C2393" i="50" s="1"/>
  <c r="H2164" i="50"/>
  <c r="H2229" i="50" s="1"/>
  <c r="H2393" i="50" s="1"/>
  <c r="G2145" i="50"/>
  <c r="G2224" i="50" s="1"/>
  <c r="G2388" i="50" s="1"/>
  <c r="E2144" i="50"/>
  <c r="E2223" i="50" s="1"/>
  <c r="E2387" i="50" s="1"/>
  <c r="D2163" i="50"/>
  <c r="D2228" i="50" s="1"/>
  <c r="D2392" i="50" s="1"/>
  <c r="B2849" i="50"/>
  <c r="B2989" i="50" s="1"/>
  <c r="B3252" i="50" s="1"/>
  <c r="I2163" i="50"/>
  <c r="I2228" i="50" s="1"/>
  <c r="I2392" i="50" s="1"/>
  <c r="B2823" i="50"/>
  <c r="B2126" i="50"/>
  <c r="B2231" i="50" s="1"/>
  <c r="B2395" i="50" s="1"/>
  <c r="B2852" i="50"/>
  <c r="I2128" i="50"/>
  <c r="I2233" i="50" s="1"/>
  <c r="I2397" i="50" s="1"/>
  <c r="G2146" i="50"/>
  <c r="G2225" i="50" s="1"/>
  <c r="G2389" i="50" s="1"/>
  <c r="D1648" i="50"/>
  <c r="B1648" i="50"/>
  <c r="I1648" i="50"/>
  <c r="B1673" i="50"/>
  <c r="F2164" i="50"/>
  <c r="F2229" i="50" s="1"/>
  <c r="F2393" i="50" s="1"/>
  <c r="B2822" i="50"/>
  <c r="B2968" i="50" s="1"/>
  <c r="B3216" i="50" s="1"/>
  <c r="B2165" i="50"/>
  <c r="B2230" i="50" s="1"/>
  <c r="B2394" i="50" s="1"/>
  <c r="G2165" i="50"/>
  <c r="G2230" i="50" s="1"/>
  <c r="G2394" i="50" s="1"/>
  <c r="G2129" i="50"/>
  <c r="G2234" i="50" s="1"/>
  <c r="G2398" i="50" s="1"/>
  <c r="G2127" i="50"/>
  <c r="G2232" i="50" s="1"/>
  <c r="G2396" i="50" s="1"/>
  <c r="H2129" i="50"/>
  <c r="H2234" i="50" s="1"/>
  <c r="H2398" i="50" s="1"/>
  <c r="D2127" i="50"/>
  <c r="D2232" i="50" s="1"/>
  <c r="D2396" i="50" s="1"/>
  <c r="F2128" i="50"/>
  <c r="F2233" i="50" s="1"/>
  <c r="F2397" i="50" s="1"/>
  <c r="B1524" i="50"/>
  <c r="D1524" i="50"/>
  <c r="C1672" i="50"/>
  <c r="C1634" i="50"/>
  <c r="E1634" i="50"/>
  <c r="E1672" i="50"/>
  <c r="B2870" i="50"/>
  <c r="B3004" i="50" s="1"/>
  <c r="B3291" i="50" s="1"/>
  <c r="D2146" i="50"/>
  <c r="D2225" i="50" s="1"/>
  <c r="D2389" i="50" s="1"/>
  <c r="J1648" i="50"/>
  <c r="D2145" i="50"/>
  <c r="D2224" i="50" s="1"/>
  <c r="D2388" i="50" s="1"/>
  <c r="B2815" i="50"/>
  <c r="B2961" i="50" s="1"/>
  <c r="B3209" i="50" s="1"/>
  <c r="B2144" i="50"/>
  <c r="B2223" i="50" s="1"/>
  <c r="B2387" i="50" s="1"/>
  <c r="G2144" i="50"/>
  <c r="G2223" i="50" s="1"/>
  <c r="G2387" i="50" s="1"/>
  <c r="H2163" i="50"/>
  <c r="H2228" i="50" s="1"/>
  <c r="H2392" i="50" s="1"/>
  <c r="I2146" i="50"/>
  <c r="I2225" i="50" s="1"/>
  <c r="I2389" i="50" s="1"/>
  <c r="H1648" i="50"/>
  <c r="F1648" i="50"/>
  <c r="H1673" i="50"/>
  <c r="J2164" i="50"/>
  <c r="J2229" i="50" s="1"/>
  <c r="J2393" i="50" s="1"/>
  <c r="F2165" i="50"/>
  <c r="F2230" i="50" s="1"/>
  <c r="F2394" i="50" s="1"/>
  <c r="B2163" i="50"/>
  <c r="B2228" i="50" s="1"/>
  <c r="B2392" i="50" s="1"/>
  <c r="B2820" i="50"/>
  <c r="B2966" i="50" s="1"/>
  <c r="B3214" i="50" s="1"/>
  <c r="B2826" i="50"/>
  <c r="B2129" i="50"/>
  <c r="B2234" i="50" s="1"/>
  <c r="B2398" i="50" s="1"/>
  <c r="I2126" i="50"/>
  <c r="I2231" i="50" s="1"/>
  <c r="I2395" i="50" s="1"/>
  <c r="C2145" i="50"/>
  <c r="C2224" i="50" s="1"/>
  <c r="C2388" i="50" s="1"/>
  <c r="H2145" i="50"/>
  <c r="H2224" i="50" s="1"/>
  <c r="H2388" i="50" s="1"/>
  <c r="B2871" i="50"/>
  <c r="B3005" i="50" s="1"/>
  <c r="B3292" i="50" s="1"/>
  <c r="I2165" i="50"/>
  <c r="I2230" i="50" s="1"/>
  <c r="I2394" i="50" s="1"/>
  <c r="H2144" i="50"/>
  <c r="H2223" i="50" s="1"/>
  <c r="H2387" i="50" s="1"/>
  <c r="J2166" i="50"/>
  <c r="J2235" i="50" s="1"/>
  <c r="J2399" i="50" s="1"/>
  <c r="J2128" i="50"/>
  <c r="J2233" i="50" s="1"/>
  <c r="J2397" i="50" s="1"/>
  <c r="G2166" i="50"/>
  <c r="G2235" i="50" s="1"/>
  <c r="G2399" i="50" s="1"/>
  <c r="E2128" i="50"/>
  <c r="E2233" i="50" s="1"/>
  <c r="E2397" i="50" s="1"/>
  <c r="H2127" i="50"/>
  <c r="H2232" i="50" s="1"/>
  <c r="H2396" i="50" s="1"/>
  <c r="D2166" i="50"/>
  <c r="D2235" i="50" s="1"/>
  <c r="D2399" i="50" s="1"/>
  <c r="F2126" i="50"/>
  <c r="F2231" i="50" s="1"/>
  <c r="F2395" i="50" s="1"/>
  <c r="F1524" i="50"/>
  <c r="H1524" i="50"/>
  <c r="G1672" i="50"/>
  <c r="G1634" i="50"/>
  <c r="I1634" i="50"/>
  <c r="I1672" i="50"/>
  <c r="B1672" i="50"/>
  <c r="B1634" i="50"/>
  <c r="C2129" i="50"/>
  <c r="C2234" i="50" s="1"/>
  <c r="C2398" i="50" s="1"/>
  <c r="C2127" i="50"/>
  <c r="C2232" i="50" s="1"/>
  <c r="C2396" i="50" s="1"/>
  <c r="C2146" i="50"/>
  <c r="C2225" i="50" s="1"/>
  <c r="C2389" i="50" s="1"/>
  <c r="H2146" i="50"/>
  <c r="H2225" i="50" s="1"/>
  <c r="H2389" i="50" s="1"/>
  <c r="B2850" i="50"/>
  <c r="B2990" i="50" s="1"/>
  <c r="B3253" i="50" s="1"/>
  <c r="I2164" i="50"/>
  <c r="I2229" i="50" s="1"/>
  <c r="I2393" i="50" s="1"/>
  <c r="F2144" i="50"/>
  <c r="F2223" i="50" s="1"/>
  <c r="F2387" i="50" s="1"/>
  <c r="D651" i="50"/>
  <c r="B2442" i="50" s="1"/>
  <c r="G2454" i="50" s="1"/>
  <c r="C652" i="50"/>
  <c r="B683" i="50" s="1"/>
  <c r="F2163" i="50"/>
  <c r="F2228" i="50" s="1"/>
  <c r="F2392" i="50" s="1"/>
  <c r="B2846" i="50"/>
  <c r="B2986" i="50" s="1"/>
  <c r="B3249" i="50" s="1"/>
  <c r="I2145" i="50"/>
  <c r="I2224" i="50" s="1"/>
  <c r="I2388" i="50" s="1"/>
  <c r="D2165" i="50"/>
  <c r="D2230" i="50" s="1"/>
  <c r="D2394" i="50" s="1"/>
  <c r="C2144" i="50"/>
  <c r="C2223" i="50" s="1"/>
  <c r="C2387" i="50" s="1"/>
  <c r="E1475" i="50"/>
  <c r="E1542" i="50" s="1"/>
  <c r="K1475" i="50"/>
  <c r="K1542" i="50" s="1"/>
  <c r="P1475" i="50"/>
  <c r="P1542" i="50" s="1"/>
  <c r="U1475" i="50"/>
  <c r="U1542" i="50" s="1"/>
  <c r="AA1475" i="50"/>
  <c r="AA1542" i="50" s="1"/>
  <c r="AF1475" i="50"/>
  <c r="AF1542" i="50" s="1"/>
  <c r="AK1475" i="50"/>
  <c r="AK1542" i="50" s="1"/>
  <c r="G1475" i="50"/>
  <c r="G1542" i="50" s="1"/>
  <c r="L1475" i="50"/>
  <c r="L1542" i="50" s="1"/>
  <c r="Q1475" i="50"/>
  <c r="Q1542" i="50" s="1"/>
  <c r="W1475" i="50"/>
  <c r="W1542" i="50" s="1"/>
  <c r="AB1475" i="50"/>
  <c r="AB1542" i="50" s="1"/>
  <c r="AG1475" i="50"/>
  <c r="AG1542" i="50" s="1"/>
  <c r="C1475" i="50"/>
  <c r="C1542" i="50" s="1"/>
  <c r="H1475" i="50"/>
  <c r="H1542" i="50" s="1"/>
  <c r="M1475" i="50"/>
  <c r="M1542" i="50" s="1"/>
  <c r="S1475" i="50"/>
  <c r="S1542" i="50" s="1"/>
  <c r="X1475" i="50"/>
  <c r="X1542" i="50" s="1"/>
  <c r="AC1475" i="50"/>
  <c r="AC1542" i="50" s="1"/>
  <c r="AI1475" i="50"/>
  <c r="AI1542" i="50" s="1"/>
  <c r="D1475" i="50"/>
  <c r="D1542" i="50" s="1"/>
  <c r="I1475" i="50"/>
  <c r="I1542" i="50" s="1"/>
  <c r="O1475" i="50"/>
  <c r="O1542" i="50" s="1"/>
  <c r="T1475" i="50"/>
  <c r="T1542" i="50" s="1"/>
  <c r="Y1475" i="50"/>
  <c r="Y1542" i="50" s="1"/>
  <c r="AE1475" i="50"/>
  <c r="AE1542" i="50" s="1"/>
  <c r="AJ1475" i="50"/>
  <c r="AJ1542" i="50" s="1"/>
  <c r="B2872" i="50"/>
  <c r="I2129" i="50"/>
  <c r="I2234" i="50" s="1"/>
  <c r="I2398" i="50" s="1"/>
  <c r="E2146" i="50"/>
  <c r="E2225" i="50" s="1"/>
  <c r="E2389" i="50" s="1"/>
  <c r="B3080" i="50"/>
  <c r="B3084" i="50"/>
  <c r="B3081" i="50"/>
  <c r="B3085" i="50"/>
  <c r="B3082" i="50"/>
  <c r="B3086" i="50"/>
  <c r="B3079" i="50"/>
  <c r="B3083" i="50"/>
  <c r="B3087" i="50"/>
  <c r="B2845" i="50"/>
  <c r="B2985" i="50" s="1"/>
  <c r="B3248" i="50" s="1"/>
  <c r="B2851" i="50"/>
  <c r="B2991" i="50" s="1"/>
  <c r="B3254" i="50" s="1"/>
  <c r="J2126" i="50"/>
  <c r="J2231" i="50" s="1"/>
  <c r="J2395" i="50" s="1"/>
  <c r="G2128" i="50"/>
  <c r="G2233" i="50" s="1"/>
  <c r="G2397" i="50" s="1"/>
  <c r="G2126" i="50"/>
  <c r="G2231" i="50" s="1"/>
  <c r="G2395" i="50" s="1"/>
  <c r="E2126" i="50"/>
  <c r="E2231" i="50" s="1"/>
  <c r="E2395" i="50" s="1"/>
  <c r="H2166" i="50"/>
  <c r="H2235" i="50" s="1"/>
  <c r="H2399" i="50" s="1"/>
  <c r="D2128" i="50"/>
  <c r="D2233" i="50" s="1"/>
  <c r="D2397" i="50" s="1"/>
  <c r="D2126" i="50"/>
  <c r="D2231" i="50" s="1"/>
  <c r="D2395" i="50" s="1"/>
  <c r="F2129" i="50"/>
  <c r="F2234" i="50" s="1"/>
  <c r="F2398" i="50" s="1"/>
  <c r="F2127" i="50"/>
  <c r="F2232" i="50" s="1"/>
  <c r="F2396" i="50" s="1"/>
  <c r="I2166" i="50" l="1"/>
  <c r="I2235" i="50" s="1"/>
  <c r="I2399" i="50" s="1"/>
  <c r="J1673" i="50"/>
  <c r="I1635" i="50"/>
  <c r="B2127" i="50"/>
  <c r="B2232" i="50" s="1"/>
  <c r="B2396" i="50" s="1"/>
  <c r="D1635" i="50"/>
  <c r="I1673" i="50"/>
  <c r="H1635" i="50"/>
  <c r="G1635" i="50"/>
  <c r="D1682" i="50"/>
  <c r="D1699" i="50" s="1"/>
  <c r="K1729" i="50" s="1"/>
  <c r="K1755" i="50" s="1"/>
  <c r="E1673" i="50"/>
  <c r="F2166" i="50"/>
  <c r="F2235" i="50" s="1"/>
  <c r="F2399" i="50" s="1"/>
  <c r="C1635" i="50"/>
  <c r="B1635" i="50"/>
  <c r="D1673" i="50"/>
  <c r="J1635" i="50"/>
  <c r="J1682" i="50"/>
  <c r="J1699" i="50" s="1"/>
  <c r="H1682" i="50"/>
  <c r="H1699" i="50" s="1"/>
  <c r="AA1729" i="50" s="1"/>
  <c r="AA1755" i="50" s="1"/>
  <c r="F1682" i="50"/>
  <c r="F1699" i="50" s="1"/>
  <c r="T1729" i="50" s="1"/>
  <c r="T1755" i="50" s="1"/>
  <c r="L1729" i="50"/>
  <c r="L1755" i="50" s="1"/>
  <c r="L1709" i="50"/>
  <c r="L1753" i="50" s="1"/>
  <c r="L1719" i="50"/>
  <c r="L1754" i="50" s="1"/>
  <c r="M1709" i="50"/>
  <c r="M1753" i="50" s="1"/>
  <c r="M1740" i="50"/>
  <c r="M1762" i="50" s="1"/>
  <c r="K1740" i="50"/>
  <c r="K1762" i="50" s="1"/>
  <c r="E1561" i="50"/>
  <c r="E1649" i="50" s="1"/>
  <c r="G1561" i="50"/>
  <c r="G1649" i="50" s="1"/>
  <c r="G1683" i="50" s="1"/>
  <c r="G1700" i="50" s="1"/>
  <c r="E1682" i="50"/>
  <c r="E1699" i="50" s="1"/>
  <c r="B2444" i="50"/>
  <c r="I2454" i="50" s="1"/>
  <c r="B2443" i="50"/>
  <c r="H2454" i="50" s="1"/>
  <c r="I1561" i="50"/>
  <c r="I1649" i="50" s="1"/>
  <c r="B1561" i="50"/>
  <c r="B1649" i="50" s="1"/>
  <c r="B1683" i="50" s="1"/>
  <c r="B1700" i="50" s="1"/>
  <c r="D1561" i="50"/>
  <c r="B2972" i="50"/>
  <c r="B3220" i="50"/>
  <c r="B2969" i="50"/>
  <c r="B3217" i="50"/>
  <c r="C1682" i="50"/>
  <c r="C1699" i="50" s="1"/>
  <c r="B2973" i="50"/>
  <c r="B3221" i="50"/>
  <c r="B2438" i="50"/>
  <c r="C2454" i="50" s="1"/>
  <c r="B2437" i="50"/>
  <c r="B2454" i="50" s="1"/>
  <c r="B2887" i="50" s="1"/>
  <c r="F1561" i="50"/>
  <c r="H1561" i="50"/>
  <c r="B2970" i="50"/>
  <c r="B3218" i="50"/>
  <c r="B1682" i="50"/>
  <c r="B1699" i="50" s="1"/>
  <c r="B2992" i="50"/>
  <c r="B3259" i="50"/>
  <c r="B2971" i="50"/>
  <c r="B3219" i="50"/>
  <c r="B2440" i="50"/>
  <c r="E2454" i="50" s="1"/>
  <c r="B2441" i="50"/>
  <c r="F2454" i="50" s="1"/>
  <c r="B2445" i="50"/>
  <c r="B3006" i="50"/>
  <c r="B3297" i="50"/>
  <c r="J1561" i="50"/>
  <c r="J1649" i="50" s="1"/>
  <c r="J1683" i="50" s="1"/>
  <c r="C1561" i="50"/>
  <c r="F1649" i="50"/>
  <c r="F1683" i="50" s="1"/>
  <c r="F1700" i="50" s="1"/>
  <c r="I1682" i="50"/>
  <c r="I1699" i="50" s="1"/>
  <c r="B717" i="50"/>
  <c r="B715" i="50"/>
  <c r="B713" i="50"/>
  <c r="B714" i="50"/>
  <c r="B716" i="50"/>
  <c r="B710" i="50"/>
  <c r="B712" i="50"/>
  <c r="B711" i="50"/>
  <c r="B2439" i="50"/>
  <c r="D2454" i="50" s="1"/>
  <c r="G1682" i="50"/>
  <c r="G1699" i="50" s="1"/>
  <c r="C1649" i="50"/>
  <c r="C1683" i="50" s="1"/>
  <c r="C1700" i="50" s="1"/>
  <c r="I1683" i="50" l="1"/>
  <c r="I1700" i="50" s="1"/>
  <c r="L1740" i="50"/>
  <c r="L1762" i="50" s="1"/>
  <c r="K1709" i="50"/>
  <c r="K1753" i="50" s="1"/>
  <c r="M1729" i="50"/>
  <c r="M1755" i="50" s="1"/>
  <c r="E1683" i="50"/>
  <c r="E1700" i="50" s="1"/>
  <c r="M1719" i="50"/>
  <c r="M1754" i="50" s="1"/>
  <c r="K1719" i="50"/>
  <c r="K1754" i="50" s="1"/>
  <c r="AJ1740" i="50"/>
  <c r="AJ1762" i="50" s="1"/>
  <c r="AK1709" i="50"/>
  <c r="AK1753" i="50" s="1"/>
  <c r="AK1719" i="50"/>
  <c r="AK1754" i="50" s="1"/>
  <c r="AI1740" i="50"/>
  <c r="AI1762" i="50" s="1"/>
  <c r="AB1709" i="50"/>
  <c r="AB1753" i="50" s="1"/>
  <c r="AA1719" i="50"/>
  <c r="AA1754" i="50" s="1"/>
  <c r="AC1709" i="50"/>
  <c r="AC1753" i="50" s="1"/>
  <c r="AC1740" i="50"/>
  <c r="AC1762" i="50" s="1"/>
  <c r="AB1740" i="50"/>
  <c r="AB1762" i="50" s="1"/>
  <c r="AB1729" i="50"/>
  <c r="AB1755" i="50" s="1"/>
  <c r="AI1709" i="50"/>
  <c r="AI1753" i="50" s="1"/>
  <c r="AJ1729" i="50"/>
  <c r="AJ1755" i="50" s="1"/>
  <c r="AJ1709" i="50"/>
  <c r="AJ1753" i="50" s="1"/>
  <c r="AK1729" i="50"/>
  <c r="AK1755" i="50" s="1"/>
  <c r="AA1740" i="50"/>
  <c r="AA1762" i="50" s="1"/>
  <c r="AA1709" i="50"/>
  <c r="AA1753" i="50" s="1"/>
  <c r="AC1729" i="50"/>
  <c r="AC1755" i="50" s="1"/>
  <c r="AI1719" i="50"/>
  <c r="AI1754" i="50" s="1"/>
  <c r="AJ1719" i="50"/>
  <c r="AJ1754" i="50" s="1"/>
  <c r="AI1729" i="50"/>
  <c r="AI1755" i="50" s="1"/>
  <c r="AC1719" i="50"/>
  <c r="AC1754" i="50" s="1"/>
  <c r="AB1719" i="50"/>
  <c r="AB1754" i="50" s="1"/>
  <c r="U1709" i="50"/>
  <c r="U1753" i="50" s="1"/>
  <c r="T1709" i="50"/>
  <c r="T1753" i="50" s="1"/>
  <c r="U1740" i="50"/>
  <c r="U1762" i="50" s="1"/>
  <c r="AK1740" i="50"/>
  <c r="AK1762" i="50" s="1"/>
  <c r="J1808" i="50" s="1"/>
  <c r="J2084" i="50" s="1"/>
  <c r="U1719" i="50"/>
  <c r="U1754" i="50" s="1"/>
  <c r="T1719" i="50"/>
  <c r="T1754" i="50" s="1"/>
  <c r="S1729" i="50"/>
  <c r="S1755" i="50" s="1"/>
  <c r="T1740" i="50"/>
  <c r="T1762" i="50" s="1"/>
  <c r="S1709" i="50"/>
  <c r="S1753" i="50" s="1"/>
  <c r="F1778" i="50" s="1"/>
  <c r="F2049" i="50" s="1"/>
  <c r="U1729" i="50"/>
  <c r="U1755" i="50" s="1"/>
  <c r="H1778" i="50"/>
  <c r="H2049" i="50" s="1"/>
  <c r="H2122" i="50" s="1"/>
  <c r="H2217" i="50" s="1"/>
  <c r="D1778" i="50"/>
  <c r="D2049" i="50" s="1"/>
  <c r="D2122" i="50" s="1"/>
  <c r="D2217" i="50" s="1"/>
  <c r="S1740" i="50"/>
  <c r="S1762" i="50" s="1"/>
  <c r="S1719" i="50"/>
  <c r="S1754" i="50" s="1"/>
  <c r="J1700" i="50"/>
  <c r="AI1730" i="50" s="1"/>
  <c r="AI1758" i="50" s="1"/>
  <c r="W1729" i="50"/>
  <c r="W1755" i="50" s="1"/>
  <c r="Y1729" i="50"/>
  <c r="Y1755" i="50" s="1"/>
  <c r="X1729" i="50"/>
  <c r="X1755" i="50" s="1"/>
  <c r="X1709" i="50"/>
  <c r="X1753" i="50" s="1"/>
  <c r="X1719" i="50"/>
  <c r="X1754" i="50" s="1"/>
  <c r="Y1719" i="50"/>
  <c r="Y1754" i="50" s="1"/>
  <c r="W1709" i="50"/>
  <c r="W1753" i="50" s="1"/>
  <c r="W1719" i="50"/>
  <c r="W1754" i="50" s="1"/>
  <c r="Y1709" i="50"/>
  <c r="Y1753" i="50" s="1"/>
  <c r="Y1740" i="50"/>
  <c r="Y1762" i="50" s="1"/>
  <c r="X1740" i="50"/>
  <c r="X1762" i="50" s="1"/>
  <c r="W1740" i="50"/>
  <c r="W1762" i="50" s="1"/>
  <c r="O1729" i="50"/>
  <c r="O1755" i="50" s="1"/>
  <c r="Q1729" i="50"/>
  <c r="Q1755" i="50" s="1"/>
  <c r="P1729" i="50"/>
  <c r="P1755" i="50" s="1"/>
  <c r="Q1709" i="50"/>
  <c r="Q1753" i="50" s="1"/>
  <c r="Q1719" i="50"/>
  <c r="Q1754" i="50" s="1"/>
  <c r="P1709" i="50"/>
  <c r="P1753" i="50" s="1"/>
  <c r="P1719" i="50"/>
  <c r="P1754" i="50" s="1"/>
  <c r="O1719" i="50"/>
  <c r="O1754" i="50" s="1"/>
  <c r="O1709" i="50"/>
  <c r="O1753" i="50" s="1"/>
  <c r="O1740" i="50"/>
  <c r="O1762" i="50" s="1"/>
  <c r="Q1740" i="50"/>
  <c r="Q1762" i="50" s="1"/>
  <c r="P1740" i="50"/>
  <c r="P1762" i="50" s="1"/>
  <c r="G1730" i="50"/>
  <c r="G1758" i="50" s="1"/>
  <c r="I1730" i="50"/>
  <c r="I1758" i="50" s="1"/>
  <c r="H1730" i="50"/>
  <c r="H1758" i="50" s="1"/>
  <c r="I1741" i="50"/>
  <c r="I1763" i="50" s="1"/>
  <c r="G1741" i="50"/>
  <c r="G1763" i="50" s="1"/>
  <c r="H1741" i="50"/>
  <c r="H1763" i="50" s="1"/>
  <c r="H1710" i="50"/>
  <c r="H1756" i="50" s="1"/>
  <c r="G1710" i="50"/>
  <c r="G1756" i="50" s="1"/>
  <c r="I1710" i="50"/>
  <c r="I1756" i="50" s="1"/>
  <c r="H1720" i="50"/>
  <c r="H1757" i="50" s="1"/>
  <c r="I1720" i="50"/>
  <c r="I1757" i="50" s="1"/>
  <c r="G1720" i="50"/>
  <c r="G1757" i="50" s="1"/>
  <c r="W1730" i="50"/>
  <c r="W1758" i="50" s="1"/>
  <c r="Y1730" i="50"/>
  <c r="Y1758" i="50" s="1"/>
  <c r="X1730" i="50"/>
  <c r="X1758" i="50" s="1"/>
  <c r="X1741" i="50"/>
  <c r="X1763" i="50" s="1"/>
  <c r="Y1741" i="50"/>
  <c r="Y1763" i="50" s="1"/>
  <c r="W1741" i="50"/>
  <c r="W1763" i="50" s="1"/>
  <c r="Y1710" i="50"/>
  <c r="Y1756" i="50" s="1"/>
  <c r="W1710" i="50"/>
  <c r="W1756" i="50" s="1"/>
  <c r="X1710" i="50"/>
  <c r="X1756" i="50" s="1"/>
  <c r="Y1720" i="50"/>
  <c r="Y1757" i="50" s="1"/>
  <c r="X1720" i="50"/>
  <c r="X1757" i="50" s="1"/>
  <c r="W1720" i="50"/>
  <c r="W1757" i="50" s="1"/>
  <c r="C1729" i="50"/>
  <c r="C1755" i="50" s="1"/>
  <c r="D1729" i="50"/>
  <c r="D1755" i="50" s="1"/>
  <c r="E1729" i="50"/>
  <c r="E1755" i="50" s="1"/>
  <c r="D1709" i="50"/>
  <c r="D1753" i="50" s="1"/>
  <c r="C1709" i="50"/>
  <c r="C1753" i="50" s="1"/>
  <c r="C1719" i="50"/>
  <c r="C1754" i="50" s="1"/>
  <c r="E1709" i="50"/>
  <c r="E1753" i="50" s="1"/>
  <c r="D1719" i="50"/>
  <c r="D1754" i="50" s="1"/>
  <c r="E1719" i="50"/>
  <c r="E1754" i="50" s="1"/>
  <c r="E1740" i="50"/>
  <c r="E1762" i="50" s="1"/>
  <c r="D1740" i="50"/>
  <c r="D1762" i="50" s="1"/>
  <c r="C1740" i="50"/>
  <c r="C1762" i="50" s="1"/>
  <c r="O1730" i="50"/>
  <c r="O1758" i="50" s="1"/>
  <c r="Q1730" i="50"/>
  <c r="Q1758" i="50" s="1"/>
  <c r="P1730" i="50"/>
  <c r="P1758" i="50" s="1"/>
  <c r="O1741" i="50"/>
  <c r="O1763" i="50" s="1"/>
  <c r="P1741" i="50"/>
  <c r="P1763" i="50" s="1"/>
  <c r="Q1741" i="50"/>
  <c r="Q1763" i="50" s="1"/>
  <c r="P1710" i="50"/>
  <c r="P1756" i="50" s="1"/>
  <c r="O1710" i="50"/>
  <c r="O1756" i="50" s="1"/>
  <c r="Q1710" i="50"/>
  <c r="Q1756" i="50" s="1"/>
  <c r="P1720" i="50"/>
  <c r="P1757" i="50" s="1"/>
  <c r="Q1720" i="50"/>
  <c r="Q1757" i="50" s="1"/>
  <c r="O1720" i="50"/>
  <c r="O1757" i="50" s="1"/>
  <c r="AE1729" i="50"/>
  <c r="AE1755" i="50" s="1"/>
  <c r="AG1729" i="50"/>
  <c r="AG1755" i="50" s="1"/>
  <c r="AF1729" i="50"/>
  <c r="AF1755" i="50" s="1"/>
  <c r="AE1719" i="50"/>
  <c r="AE1754" i="50" s="1"/>
  <c r="AF1709" i="50"/>
  <c r="AF1753" i="50" s="1"/>
  <c r="AG1719" i="50"/>
  <c r="AG1754" i="50" s="1"/>
  <c r="AE1709" i="50"/>
  <c r="AE1753" i="50" s="1"/>
  <c r="AG1709" i="50"/>
  <c r="AG1753" i="50" s="1"/>
  <c r="AF1719" i="50"/>
  <c r="AF1754" i="50" s="1"/>
  <c r="AF1740" i="50"/>
  <c r="AF1762" i="50" s="1"/>
  <c r="AE1740" i="50"/>
  <c r="AE1762" i="50" s="1"/>
  <c r="AG1740" i="50"/>
  <c r="AG1762" i="50" s="1"/>
  <c r="S1730" i="50"/>
  <c r="S1758" i="50" s="1"/>
  <c r="U1730" i="50"/>
  <c r="U1758" i="50" s="1"/>
  <c r="T1730" i="50"/>
  <c r="T1758" i="50" s="1"/>
  <c r="T1741" i="50"/>
  <c r="T1763" i="50" s="1"/>
  <c r="U1741" i="50"/>
  <c r="U1763" i="50" s="1"/>
  <c r="S1741" i="50"/>
  <c r="S1763" i="50" s="1"/>
  <c r="U1710" i="50"/>
  <c r="U1756" i="50" s="1"/>
  <c r="T1710" i="50"/>
  <c r="T1756" i="50" s="1"/>
  <c r="S1710" i="50"/>
  <c r="S1756" i="50" s="1"/>
  <c r="U1720" i="50"/>
  <c r="U1757" i="50" s="1"/>
  <c r="S1720" i="50"/>
  <c r="S1757" i="50" s="1"/>
  <c r="T1720" i="50"/>
  <c r="T1757" i="50" s="1"/>
  <c r="AE1730" i="50"/>
  <c r="AE1758" i="50" s="1"/>
  <c r="AF1730" i="50"/>
  <c r="AF1758" i="50" s="1"/>
  <c r="AG1730" i="50"/>
  <c r="AG1758" i="50" s="1"/>
  <c r="AF1741" i="50"/>
  <c r="AF1763" i="50" s="1"/>
  <c r="AG1741" i="50"/>
  <c r="AG1763" i="50" s="1"/>
  <c r="AE1741" i="50"/>
  <c r="AE1763" i="50" s="1"/>
  <c r="AG1710" i="50"/>
  <c r="AG1756" i="50" s="1"/>
  <c r="AE1710" i="50"/>
  <c r="AE1756" i="50" s="1"/>
  <c r="AF1710" i="50"/>
  <c r="AF1756" i="50" s="1"/>
  <c r="AE1720" i="50"/>
  <c r="AE1757" i="50" s="1"/>
  <c r="AG1720" i="50"/>
  <c r="AG1757" i="50" s="1"/>
  <c r="AF1720" i="50"/>
  <c r="AF1757" i="50" s="1"/>
  <c r="G1729" i="50"/>
  <c r="G1755" i="50" s="1"/>
  <c r="H1729" i="50"/>
  <c r="H1755" i="50" s="1"/>
  <c r="I1729" i="50"/>
  <c r="I1755" i="50" s="1"/>
  <c r="I1709" i="50"/>
  <c r="I1753" i="50" s="1"/>
  <c r="H1719" i="50"/>
  <c r="H1754" i="50" s="1"/>
  <c r="I1719" i="50"/>
  <c r="I1754" i="50" s="1"/>
  <c r="G1709" i="50"/>
  <c r="G1753" i="50" s="1"/>
  <c r="H1709" i="50"/>
  <c r="H1753" i="50" s="1"/>
  <c r="G1719" i="50"/>
  <c r="G1754" i="50" s="1"/>
  <c r="G1740" i="50"/>
  <c r="G1762" i="50" s="1"/>
  <c r="H1740" i="50"/>
  <c r="H1762" i="50" s="1"/>
  <c r="I1740" i="50"/>
  <c r="I1762" i="50" s="1"/>
  <c r="B728" i="50"/>
  <c r="D2759" i="50" s="1"/>
  <c r="B731" i="50"/>
  <c r="G2759" i="50" s="1"/>
  <c r="B2901" i="50"/>
  <c r="B3096" i="50" s="1"/>
  <c r="B3317" i="50" s="1"/>
  <c r="B2903" i="50"/>
  <c r="B2905" i="50"/>
  <c r="B3099" i="50" s="1"/>
  <c r="B3321" i="50" s="1"/>
  <c r="B2907" i="50"/>
  <c r="B3100" i="50" s="1"/>
  <c r="B3323" i="50" s="1"/>
  <c r="B2909" i="50"/>
  <c r="B3102" i="50" s="1"/>
  <c r="B3325" i="50" s="1"/>
  <c r="B2911" i="50"/>
  <c r="B3104" i="50" s="1"/>
  <c r="B3327" i="50" s="1"/>
  <c r="B2913" i="50"/>
  <c r="B3363" i="50" s="1"/>
  <c r="B2915" i="50"/>
  <c r="B2917" i="50"/>
  <c r="B2919" i="50"/>
  <c r="B2902" i="50"/>
  <c r="B3097" i="50" s="1"/>
  <c r="B3318" i="50" s="1"/>
  <c r="B2904" i="50"/>
  <c r="B3098" i="50" s="1"/>
  <c r="B3320" i="50" s="1"/>
  <c r="B2906" i="50"/>
  <c r="B2908" i="50"/>
  <c r="B3101" i="50" s="1"/>
  <c r="B3324" i="50" s="1"/>
  <c r="B2910" i="50"/>
  <c r="B3103" i="50" s="1"/>
  <c r="B3326" i="50" s="1"/>
  <c r="B2912" i="50"/>
  <c r="B3362" i="50" s="1"/>
  <c r="B2914" i="50"/>
  <c r="B3364" i="50" s="1"/>
  <c r="B2916" i="50"/>
  <c r="B2918" i="50"/>
  <c r="H1649" i="50"/>
  <c r="H1683" i="50" s="1"/>
  <c r="H1700" i="50" s="1"/>
  <c r="F2122" i="50"/>
  <c r="F2217" i="50" s="1"/>
  <c r="B729" i="50"/>
  <c r="E2759" i="50" s="1"/>
  <c r="B730" i="50"/>
  <c r="F2759" i="50" s="1"/>
  <c r="F2809" i="50" s="1"/>
  <c r="F2955" i="50" s="1"/>
  <c r="F3203" i="50" s="1"/>
  <c r="J1778" i="50"/>
  <c r="J2049" i="50" s="1"/>
  <c r="F1787" i="50"/>
  <c r="F2058" i="50" s="1"/>
  <c r="F1808" i="50"/>
  <c r="F2084" i="50" s="1"/>
  <c r="F1824" i="50"/>
  <c r="F2101" i="50" s="1"/>
  <c r="F1779" i="50"/>
  <c r="F2050" i="50" s="1"/>
  <c r="F1803" i="50"/>
  <c r="F2079" i="50" s="1"/>
  <c r="B727" i="50"/>
  <c r="C2759" i="50" s="1"/>
  <c r="B732" i="50"/>
  <c r="H2759" i="50" s="1"/>
  <c r="C1730" i="50"/>
  <c r="C1758" i="50" s="1"/>
  <c r="E1730" i="50"/>
  <c r="E1758" i="50" s="1"/>
  <c r="D1730" i="50"/>
  <c r="D1758" i="50" s="1"/>
  <c r="C1741" i="50"/>
  <c r="C1763" i="50" s="1"/>
  <c r="D1741" i="50"/>
  <c r="D1763" i="50" s="1"/>
  <c r="E1741" i="50"/>
  <c r="E1763" i="50" s="1"/>
  <c r="E1710" i="50"/>
  <c r="E1756" i="50" s="1"/>
  <c r="D1710" i="50"/>
  <c r="D1756" i="50" s="1"/>
  <c r="C1710" i="50"/>
  <c r="C1756" i="50" s="1"/>
  <c r="D1720" i="50"/>
  <c r="D1757" i="50" s="1"/>
  <c r="D1649" i="50"/>
  <c r="D1683" i="50" s="1"/>
  <c r="D1700" i="50" s="1"/>
  <c r="D1779" i="50"/>
  <c r="D2050" i="50" s="1"/>
  <c r="D1803" i="50"/>
  <c r="D2079" i="50" s="1"/>
  <c r="D1780" i="50"/>
  <c r="D2051" i="50" s="1"/>
  <c r="F1780" i="50"/>
  <c r="F2051" i="50" s="1"/>
  <c r="B733" i="50"/>
  <c r="I2759" i="50" s="1"/>
  <c r="B734" i="50"/>
  <c r="J2759" i="50" s="1"/>
  <c r="E1720" i="50"/>
  <c r="E1757" i="50" s="1"/>
  <c r="C1720" i="50"/>
  <c r="C1757" i="50" s="1"/>
  <c r="D1787" i="50"/>
  <c r="D2058" i="50" s="1"/>
  <c r="D1808" i="50"/>
  <c r="D2084" i="50" s="1"/>
  <c r="D1824" i="50"/>
  <c r="D2101" i="50" s="1"/>
  <c r="H1787" i="50"/>
  <c r="H2058" i="50" s="1"/>
  <c r="H1808" i="50"/>
  <c r="H2084" i="50" s="1"/>
  <c r="H1824" i="50"/>
  <c r="H2101" i="50" s="1"/>
  <c r="H1779" i="50"/>
  <c r="H2050" i="50" s="1"/>
  <c r="H1803" i="50"/>
  <c r="H2079" i="50" s="1"/>
  <c r="J1803" i="50" l="1"/>
  <c r="J2079" i="50" s="1"/>
  <c r="J1787" i="50"/>
  <c r="J2058" i="50" s="1"/>
  <c r="J1779" i="50"/>
  <c r="J2050" i="50" s="1"/>
  <c r="J1780" i="50"/>
  <c r="J2051" i="50" s="1"/>
  <c r="J2123" i="50" s="1"/>
  <c r="J2219" i="50" s="1"/>
  <c r="J2383" i="50" s="1"/>
  <c r="J1824" i="50"/>
  <c r="J2101" i="50" s="1"/>
  <c r="H1780" i="50"/>
  <c r="H2051" i="50" s="1"/>
  <c r="H2123" i="50" s="1"/>
  <c r="H2219" i="50" s="1"/>
  <c r="H2383" i="50" s="1"/>
  <c r="AK1720" i="50"/>
  <c r="AK1757" i="50" s="1"/>
  <c r="AK1710" i="50"/>
  <c r="AK1756" i="50" s="1"/>
  <c r="AJ1720" i="50"/>
  <c r="AJ1757" i="50" s="1"/>
  <c r="AI1720" i="50"/>
  <c r="AI1757" i="50" s="1"/>
  <c r="AI1710" i="50"/>
  <c r="AI1756" i="50" s="1"/>
  <c r="AI1741" i="50"/>
  <c r="AI1763" i="50" s="1"/>
  <c r="AJ1741" i="50"/>
  <c r="AJ1763" i="50" s="1"/>
  <c r="AJ1710" i="50"/>
  <c r="AJ1756" i="50" s="1"/>
  <c r="AJ1730" i="50"/>
  <c r="AJ1758" i="50" s="1"/>
  <c r="AK1741" i="50"/>
  <c r="AK1763" i="50" s="1"/>
  <c r="AK1730" i="50"/>
  <c r="AK1758" i="50" s="1"/>
  <c r="D2809" i="50"/>
  <c r="D2955" i="50" s="1"/>
  <c r="D3203" i="50" s="1"/>
  <c r="C1780" i="50"/>
  <c r="C2051" i="50" s="1"/>
  <c r="I1783" i="50"/>
  <c r="I2054" i="50" s="1"/>
  <c r="F1781" i="50"/>
  <c r="F2052" i="50" s="1"/>
  <c r="F1783" i="50"/>
  <c r="F2054" i="50" s="1"/>
  <c r="I1780" i="50"/>
  <c r="I2051" i="50" s="1"/>
  <c r="E1783" i="50"/>
  <c r="E2054" i="50" s="1"/>
  <c r="B1778" i="50"/>
  <c r="B2049" i="50" s="1"/>
  <c r="B1780" i="50"/>
  <c r="B2051" i="50" s="1"/>
  <c r="G1783" i="50"/>
  <c r="G2054" i="50" s="1"/>
  <c r="C1783" i="50"/>
  <c r="C2054" i="50" s="1"/>
  <c r="E1778" i="50"/>
  <c r="E2049" i="50" s="1"/>
  <c r="E1780" i="50"/>
  <c r="E2051" i="50" s="1"/>
  <c r="AA1730" i="50"/>
  <c r="AA1758" i="50" s="1"/>
  <c r="AB1730" i="50"/>
  <c r="AB1758" i="50" s="1"/>
  <c r="AC1730" i="50"/>
  <c r="AC1758" i="50" s="1"/>
  <c r="AB1741" i="50"/>
  <c r="AB1763" i="50" s="1"/>
  <c r="AA1741" i="50"/>
  <c r="AA1763" i="50" s="1"/>
  <c r="AC1741" i="50"/>
  <c r="AC1763" i="50" s="1"/>
  <c r="AA1710" i="50"/>
  <c r="AA1756" i="50" s="1"/>
  <c r="AB1710" i="50"/>
  <c r="AB1756" i="50" s="1"/>
  <c r="AC1710" i="50"/>
  <c r="AC1756" i="50" s="1"/>
  <c r="AC1720" i="50"/>
  <c r="AC1757" i="50" s="1"/>
  <c r="AA1720" i="50"/>
  <c r="AA1757" i="50" s="1"/>
  <c r="AB1720" i="50"/>
  <c r="AB1757" i="50" s="1"/>
  <c r="K1730" i="50"/>
  <c r="K1758" i="50" s="1"/>
  <c r="L1730" i="50"/>
  <c r="L1758" i="50" s="1"/>
  <c r="M1730" i="50"/>
  <c r="M1758" i="50" s="1"/>
  <c r="K1741" i="50"/>
  <c r="K1763" i="50" s="1"/>
  <c r="L1741" i="50"/>
  <c r="L1763" i="50" s="1"/>
  <c r="M1741" i="50"/>
  <c r="M1763" i="50" s="1"/>
  <c r="K1710" i="50"/>
  <c r="K1756" i="50" s="1"/>
  <c r="M1710" i="50"/>
  <c r="M1756" i="50" s="1"/>
  <c r="L1710" i="50"/>
  <c r="L1756" i="50" s="1"/>
  <c r="K1720" i="50"/>
  <c r="K1757" i="50" s="1"/>
  <c r="L1720" i="50"/>
  <c r="L1757" i="50" s="1"/>
  <c r="M1720" i="50"/>
  <c r="M1757" i="50" s="1"/>
  <c r="H2847" i="50"/>
  <c r="H2987" i="50" s="1"/>
  <c r="H3250" i="50" s="1"/>
  <c r="D2818" i="50"/>
  <c r="D2964" i="50" s="1"/>
  <c r="D3212" i="50" s="1"/>
  <c r="D2161" i="50"/>
  <c r="D2226" i="50" s="1"/>
  <c r="D2390" i="50" s="1"/>
  <c r="J2771" i="50"/>
  <c r="J2928" i="50" s="1"/>
  <c r="J2773" i="50"/>
  <c r="J2930" i="50" s="1"/>
  <c r="J2775" i="50"/>
  <c r="J2932" i="50" s="1"/>
  <c r="J2777" i="50"/>
  <c r="J2934" i="50" s="1"/>
  <c r="J2779" i="50"/>
  <c r="J2936" i="50" s="1"/>
  <c r="J2781" i="50"/>
  <c r="J2938" i="50" s="1"/>
  <c r="J2783" i="50"/>
  <c r="J2940" i="50" s="1"/>
  <c r="J3127" i="50" s="1"/>
  <c r="J3139" i="50" s="1"/>
  <c r="J3398" i="50" s="1"/>
  <c r="J2785" i="50"/>
  <c r="J2942" i="50" s="1"/>
  <c r="J2787" i="50"/>
  <c r="J2944" i="50" s="1"/>
  <c r="J2772" i="50"/>
  <c r="J2929" i="50" s="1"/>
  <c r="J2774" i="50"/>
  <c r="J2931" i="50" s="1"/>
  <c r="J2776" i="50"/>
  <c r="J2933" i="50" s="1"/>
  <c r="J2778" i="50"/>
  <c r="J2935" i="50" s="1"/>
  <c r="J2780" i="50"/>
  <c r="J2937" i="50" s="1"/>
  <c r="J2782" i="50"/>
  <c r="J2939" i="50" s="1"/>
  <c r="J3126" i="50" s="1"/>
  <c r="J3138" i="50" s="1"/>
  <c r="J3397" i="50" s="1"/>
  <c r="J2784" i="50"/>
  <c r="J2941" i="50" s="1"/>
  <c r="J3128" i="50" s="1"/>
  <c r="J3140" i="50" s="1"/>
  <c r="J3399" i="50" s="1"/>
  <c r="J2790" i="50"/>
  <c r="J3222" i="50" s="1"/>
  <c r="J2794" i="50"/>
  <c r="J3226" i="50" s="1"/>
  <c r="J2797" i="50"/>
  <c r="J2786" i="50"/>
  <c r="J2943" i="50" s="1"/>
  <c r="J2791" i="50"/>
  <c r="J3223" i="50" s="1"/>
  <c r="J2795" i="50"/>
  <c r="J2792" i="50"/>
  <c r="J3224" i="50" s="1"/>
  <c r="J2796" i="50"/>
  <c r="J3228" i="50" s="1"/>
  <c r="J2788" i="50"/>
  <c r="J2945" i="50" s="1"/>
  <c r="J2789" i="50"/>
  <c r="J2946" i="50" s="1"/>
  <c r="J2793" i="50"/>
  <c r="J3167" i="50"/>
  <c r="J3182" i="50" s="1"/>
  <c r="J3407" i="50" s="1"/>
  <c r="J3169" i="50"/>
  <c r="J3184" i="50" s="1"/>
  <c r="J3409" i="50" s="1"/>
  <c r="J3168" i="50"/>
  <c r="J3183" i="50" s="1"/>
  <c r="J3408" i="50" s="1"/>
  <c r="J3170" i="50"/>
  <c r="J3185" i="50" s="1"/>
  <c r="J3410" i="50" s="1"/>
  <c r="J3172" i="50"/>
  <c r="J3187" i="50" s="1"/>
  <c r="J3412" i="50" s="1"/>
  <c r="J3171" i="50"/>
  <c r="J3186" i="50" s="1"/>
  <c r="J3411" i="50" s="1"/>
  <c r="J2873" i="50"/>
  <c r="J3301" i="50" s="1"/>
  <c r="J2875" i="50"/>
  <c r="J3305" i="50" s="1"/>
  <c r="J2829" i="50"/>
  <c r="J3227" i="50" s="1"/>
  <c r="J2828" i="50"/>
  <c r="J3225" i="50" s="1"/>
  <c r="J2830" i="50"/>
  <c r="J3229" i="50" s="1"/>
  <c r="J2874" i="50"/>
  <c r="J3303" i="50" s="1"/>
  <c r="J2854" i="50"/>
  <c r="J3265" i="50" s="1"/>
  <c r="J2853" i="50"/>
  <c r="J3263" i="50" s="1"/>
  <c r="J2855" i="50"/>
  <c r="J3267" i="50" s="1"/>
  <c r="J2844" i="50"/>
  <c r="J2984" i="50" s="1"/>
  <c r="J3247" i="50" s="1"/>
  <c r="J2820" i="50"/>
  <c r="J2966" i="50" s="1"/>
  <c r="J3214" i="50" s="1"/>
  <c r="J2822" i="50"/>
  <c r="J2968" i="50" s="1"/>
  <c r="J3216" i="50" s="1"/>
  <c r="J2870" i="50"/>
  <c r="J3004" i="50" s="1"/>
  <c r="J3291" i="50" s="1"/>
  <c r="J2816" i="50"/>
  <c r="J2962" i="50" s="1"/>
  <c r="J3210" i="50" s="1"/>
  <c r="J2815" i="50"/>
  <c r="J2961" i="50" s="1"/>
  <c r="J3209" i="50" s="1"/>
  <c r="J2817" i="50"/>
  <c r="J2963" i="50" s="1"/>
  <c r="J3211" i="50" s="1"/>
  <c r="J2850" i="50"/>
  <c r="J2990" i="50" s="1"/>
  <c r="J3253" i="50" s="1"/>
  <c r="J2825" i="50"/>
  <c r="J2845" i="50"/>
  <c r="J2985" i="50" s="1"/>
  <c r="J3248" i="50" s="1"/>
  <c r="J2852" i="50"/>
  <c r="J2824" i="50"/>
  <c r="J2851" i="50"/>
  <c r="J2991" i="50" s="1"/>
  <c r="J3254" i="50" s="1"/>
  <c r="J2821" i="50"/>
  <c r="J2967" i="50" s="1"/>
  <c r="J3215" i="50" s="1"/>
  <c r="J2827" i="50"/>
  <c r="J2849" i="50"/>
  <c r="J2989" i="50" s="1"/>
  <c r="J3252" i="50" s="1"/>
  <c r="J2823" i="50"/>
  <c r="J2846" i="50"/>
  <c r="J2986" i="50" s="1"/>
  <c r="J3249" i="50" s="1"/>
  <c r="J2826" i="50"/>
  <c r="J2871" i="50"/>
  <c r="J3005" i="50" s="1"/>
  <c r="J3292" i="50" s="1"/>
  <c r="J2872" i="50"/>
  <c r="J2869" i="50"/>
  <c r="J3003" i="50" s="1"/>
  <c r="J3290" i="50" s="1"/>
  <c r="D2842" i="50"/>
  <c r="D2982" i="50" s="1"/>
  <c r="D3242" i="50" s="1"/>
  <c r="B1781" i="50"/>
  <c r="B2052" i="50" s="1"/>
  <c r="B1783" i="50"/>
  <c r="B2054" i="50" s="1"/>
  <c r="C2772" i="50"/>
  <c r="C2929" i="50" s="1"/>
  <c r="C2774" i="50"/>
  <c r="C2931" i="50" s="1"/>
  <c r="C2776" i="50"/>
  <c r="C2933" i="50" s="1"/>
  <c r="C2778" i="50"/>
  <c r="C2935" i="50" s="1"/>
  <c r="C2780" i="50"/>
  <c r="C2937" i="50" s="1"/>
  <c r="C2782" i="50"/>
  <c r="C2939" i="50" s="1"/>
  <c r="C3126" i="50" s="1"/>
  <c r="C3138" i="50" s="1"/>
  <c r="C3397" i="50" s="1"/>
  <c r="C2784" i="50"/>
  <c r="C2941" i="50" s="1"/>
  <c r="C3128" i="50" s="1"/>
  <c r="C3140" i="50" s="1"/>
  <c r="C3399" i="50" s="1"/>
  <c r="C2786" i="50"/>
  <c r="C2943" i="50" s="1"/>
  <c r="C2788" i="50"/>
  <c r="C2945" i="50" s="1"/>
  <c r="C2790" i="50"/>
  <c r="C3222" i="50" s="1"/>
  <c r="C2792" i="50"/>
  <c r="C3224" i="50" s="1"/>
  <c r="C2794" i="50"/>
  <c r="C3226" i="50" s="1"/>
  <c r="C2796" i="50"/>
  <c r="C3228" i="50" s="1"/>
  <c r="C2771" i="50"/>
  <c r="C2928" i="50" s="1"/>
  <c r="C2773" i="50"/>
  <c r="C2930" i="50" s="1"/>
  <c r="C2775" i="50"/>
  <c r="C2932" i="50" s="1"/>
  <c r="C2777" i="50"/>
  <c r="C2934" i="50" s="1"/>
  <c r="C2779" i="50"/>
  <c r="C2936" i="50" s="1"/>
  <c r="C2781" i="50"/>
  <c r="C2938" i="50" s="1"/>
  <c r="C2783" i="50"/>
  <c r="C2940" i="50" s="1"/>
  <c r="C3127" i="50" s="1"/>
  <c r="C3139" i="50" s="1"/>
  <c r="C3398" i="50" s="1"/>
  <c r="C2785" i="50"/>
  <c r="C2942" i="50" s="1"/>
  <c r="C2787" i="50"/>
  <c r="C2944" i="50" s="1"/>
  <c r="C2789" i="50"/>
  <c r="C2946" i="50" s="1"/>
  <c r="C2791" i="50"/>
  <c r="C3223" i="50" s="1"/>
  <c r="C2793" i="50"/>
  <c r="C2795" i="50"/>
  <c r="C2797" i="50"/>
  <c r="C2887" i="50"/>
  <c r="C3168" i="50"/>
  <c r="C3183" i="50" s="1"/>
  <c r="C3408" i="50" s="1"/>
  <c r="C3170" i="50"/>
  <c r="C3185" i="50" s="1"/>
  <c r="C3410" i="50" s="1"/>
  <c r="C3172" i="50"/>
  <c r="C3187" i="50" s="1"/>
  <c r="C3412" i="50" s="1"/>
  <c r="C3167" i="50"/>
  <c r="C3182" i="50" s="1"/>
  <c r="C3407" i="50" s="1"/>
  <c r="C3169" i="50"/>
  <c r="C3184" i="50" s="1"/>
  <c r="C3409" i="50" s="1"/>
  <c r="C3171" i="50"/>
  <c r="C3186" i="50" s="1"/>
  <c r="C3411" i="50" s="1"/>
  <c r="C2853" i="50"/>
  <c r="C3263" i="50" s="1"/>
  <c r="C2828" i="50"/>
  <c r="C3225" i="50" s="1"/>
  <c r="C2873" i="50"/>
  <c r="C3301" i="50" s="1"/>
  <c r="C2830" i="50"/>
  <c r="C3229" i="50" s="1"/>
  <c r="C2875" i="50"/>
  <c r="C3305" i="50" s="1"/>
  <c r="C2874" i="50"/>
  <c r="C3303" i="50" s="1"/>
  <c r="C2855" i="50"/>
  <c r="C3267" i="50" s="1"/>
  <c r="C2854" i="50"/>
  <c r="C3265" i="50" s="1"/>
  <c r="C2829" i="50"/>
  <c r="C3227" i="50" s="1"/>
  <c r="C2852" i="50"/>
  <c r="C2826" i="50"/>
  <c r="C2869" i="50"/>
  <c r="C3003" i="50" s="1"/>
  <c r="C3290" i="50" s="1"/>
  <c r="C2872" i="50"/>
  <c r="C2822" i="50"/>
  <c r="C2968" i="50" s="1"/>
  <c r="C3216" i="50" s="1"/>
  <c r="C2823" i="50"/>
  <c r="C2820" i="50"/>
  <c r="C2966" i="50" s="1"/>
  <c r="C3214" i="50" s="1"/>
  <c r="C2821" i="50"/>
  <c r="C2967" i="50" s="1"/>
  <c r="C3215" i="50" s="1"/>
  <c r="C2845" i="50"/>
  <c r="C2985" i="50" s="1"/>
  <c r="C3248" i="50" s="1"/>
  <c r="C2849" i="50"/>
  <c r="C2989" i="50" s="1"/>
  <c r="C3252" i="50" s="1"/>
  <c r="C2825" i="50"/>
  <c r="C2846" i="50"/>
  <c r="C2986" i="50" s="1"/>
  <c r="C3249" i="50" s="1"/>
  <c r="C2871" i="50"/>
  <c r="C3005" i="50" s="1"/>
  <c r="C3292" i="50" s="1"/>
  <c r="C2817" i="50"/>
  <c r="C2963" i="50" s="1"/>
  <c r="C3211" i="50" s="1"/>
  <c r="C2850" i="50"/>
  <c r="C2990" i="50" s="1"/>
  <c r="C3253" i="50" s="1"/>
  <c r="C2815" i="50"/>
  <c r="C2961" i="50" s="1"/>
  <c r="C3209" i="50" s="1"/>
  <c r="C2827" i="50"/>
  <c r="C2870" i="50"/>
  <c r="C3004" i="50" s="1"/>
  <c r="C3291" i="50" s="1"/>
  <c r="C2844" i="50"/>
  <c r="C2984" i="50" s="1"/>
  <c r="C3247" i="50" s="1"/>
  <c r="C2816" i="50"/>
  <c r="C2962" i="50" s="1"/>
  <c r="C3210" i="50" s="1"/>
  <c r="C2824" i="50"/>
  <c r="C2851" i="50"/>
  <c r="C2991" i="50" s="1"/>
  <c r="C3254" i="50" s="1"/>
  <c r="F2847" i="50"/>
  <c r="F2987" i="50" s="1"/>
  <c r="F3250" i="50" s="1"/>
  <c r="D2381" i="50"/>
  <c r="H2381" i="50"/>
  <c r="J2811" i="50"/>
  <c r="J2957" i="50" s="1"/>
  <c r="J3205" i="50" s="1"/>
  <c r="J2847" i="50"/>
  <c r="J2987" i="50" s="1"/>
  <c r="J3250" i="50" s="1"/>
  <c r="C1787" i="50"/>
  <c r="C2058" i="50" s="1"/>
  <c r="C1808" i="50"/>
  <c r="C2084" i="50" s="1"/>
  <c r="C1824" i="50"/>
  <c r="C2101" i="50" s="1"/>
  <c r="I1782" i="50"/>
  <c r="I2053" i="50" s="1"/>
  <c r="I1804" i="50"/>
  <c r="I2080" i="50" s="1"/>
  <c r="I1809" i="50"/>
  <c r="I2085" i="50" s="1"/>
  <c r="I1825" i="50"/>
  <c r="I2102" i="50" s="1"/>
  <c r="I1788" i="50"/>
  <c r="I2059" i="50" s="1"/>
  <c r="F1788" i="50"/>
  <c r="F2059" i="50" s="1"/>
  <c r="F1809" i="50"/>
  <c r="F2085" i="50" s="1"/>
  <c r="F1825" i="50"/>
  <c r="F2102" i="50" s="1"/>
  <c r="B1779" i="50"/>
  <c r="B2050" i="50" s="1"/>
  <c r="B1803" i="50"/>
  <c r="B2079" i="50" s="1"/>
  <c r="G1788" i="50"/>
  <c r="G2059" i="50" s="1"/>
  <c r="G1809" i="50"/>
  <c r="G2085" i="50" s="1"/>
  <c r="G1825" i="50"/>
  <c r="G2102" i="50" s="1"/>
  <c r="E1787" i="50"/>
  <c r="E2058" i="50" s="1"/>
  <c r="E1808" i="50"/>
  <c r="E2084" i="50" s="1"/>
  <c r="E1824" i="50"/>
  <c r="E2101" i="50" s="1"/>
  <c r="J1781" i="50"/>
  <c r="J2052" i="50" s="1"/>
  <c r="G1787" i="50"/>
  <c r="G2058" i="50" s="1"/>
  <c r="G1808" i="50"/>
  <c r="G2084" i="50" s="1"/>
  <c r="G1824" i="50"/>
  <c r="G2101" i="50" s="1"/>
  <c r="G1779" i="50"/>
  <c r="G2050" i="50" s="1"/>
  <c r="G1803" i="50"/>
  <c r="G2079" i="50" s="1"/>
  <c r="H2842" i="50"/>
  <c r="H2982" i="50" s="1"/>
  <c r="H3242" i="50" s="1"/>
  <c r="H2818" i="50"/>
  <c r="H2964" i="50" s="1"/>
  <c r="H3212" i="50" s="1"/>
  <c r="H2161" i="50"/>
  <c r="H2226" i="50" s="1"/>
  <c r="H2390" i="50" s="1"/>
  <c r="B1782" i="50"/>
  <c r="B2053" i="50" s="1"/>
  <c r="B1804" i="50"/>
  <c r="B2080" i="50" s="1"/>
  <c r="D2142" i="50"/>
  <c r="D2218" i="50" s="1"/>
  <c r="D2382" i="50" s="1"/>
  <c r="D2810" i="50"/>
  <c r="D2956" i="50" s="1"/>
  <c r="D3204" i="50" s="1"/>
  <c r="B1788" i="50"/>
  <c r="B2059" i="50" s="1"/>
  <c r="B1809" i="50"/>
  <c r="B2085" i="50" s="1"/>
  <c r="B1825" i="50"/>
  <c r="B2102" i="50" s="1"/>
  <c r="F2842" i="50"/>
  <c r="F2982" i="50" s="1"/>
  <c r="F3242" i="50" s="1"/>
  <c r="F2818" i="50"/>
  <c r="F2964" i="50" s="1"/>
  <c r="F3212" i="50" s="1"/>
  <c r="F2161" i="50"/>
  <c r="F2226" i="50" s="1"/>
  <c r="F2390" i="50" s="1"/>
  <c r="J2122" i="50"/>
  <c r="J2217" i="50" s="1"/>
  <c r="J2809" i="50"/>
  <c r="J2955" i="50" s="1"/>
  <c r="J3203" i="50" s="1"/>
  <c r="E2771" i="50"/>
  <c r="E2928" i="50" s="1"/>
  <c r="E2773" i="50"/>
  <c r="E2930" i="50" s="1"/>
  <c r="E2775" i="50"/>
  <c r="E2932" i="50" s="1"/>
  <c r="E2777" i="50"/>
  <c r="E2934" i="50" s="1"/>
  <c r="E2779" i="50"/>
  <c r="E2936" i="50" s="1"/>
  <c r="E2781" i="50"/>
  <c r="E2938" i="50" s="1"/>
  <c r="E2783" i="50"/>
  <c r="E2940" i="50" s="1"/>
  <c r="E3127" i="50" s="1"/>
  <c r="E3139" i="50" s="1"/>
  <c r="E3398" i="50" s="1"/>
  <c r="E2785" i="50"/>
  <c r="E2942" i="50" s="1"/>
  <c r="E2787" i="50"/>
  <c r="E2944" i="50" s="1"/>
  <c r="E2789" i="50"/>
  <c r="E2946" i="50" s="1"/>
  <c r="E2791" i="50"/>
  <c r="E3223" i="50" s="1"/>
  <c r="E2793" i="50"/>
  <c r="E2795" i="50"/>
  <c r="E2772" i="50"/>
  <c r="E2929" i="50" s="1"/>
  <c r="E2774" i="50"/>
  <c r="E2931" i="50" s="1"/>
  <c r="E2776" i="50"/>
  <c r="E2933" i="50" s="1"/>
  <c r="E2778" i="50"/>
  <c r="E2935" i="50" s="1"/>
  <c r="E2780" i="50"/>
  <c r="E2937" i="50" s="1"/>
  <c r="E2782" i="50"/>
  <c r="E2939" i="50" s="1"/>
  <c r="E3126" i="50" s="1"/>
  <c r="E3138" i="50" s="1"/>
  <c r="E3397" i="50" s="1"/>
  <c r="E2784" i="50"/>
  <c r="E2941" i="50" s="1"/>
  <c r="E3128" i="50" s="1"/>
  <c r="E3140" i="50" s="1"/>
  <c r="E3399" i="50" s="1"/>
  <c r="E2786" i="50"/>
  <c r="E2943" i="50" s="1"/>
  <c r="E2788" i="50"/>
  <c r="E2945" i="50" s="1"/>
  <c r="E2790" i="50"/>
  <c r="E3222" i="50" s="1"/>
  <c r="E2792" i="50"/>
  <c r="E3224" i="50" s="1"/>
  <c r="E2794" i="50"/>
  <c r="E3226" i="50" s="1"/>
  <c r="E2796" i="50"/>
  <c r="E3228" i="50" s="1"/>
  <c r="E2797" i="50"/>
  <c r="E2887" i="50"/>
  <c r="E3167" i="50"/>
  <c r="E3182" i="50" s="1"/>
  <c r="E3407" i="50" s="1"/>
  <c r="E3169" i="50"/>
  <c r="E3184" i="50" s="1"/>
  <c r="E3409" i="50" s="1"/>
  <c r="E3171" i="50"/>
  <c r="E3186" i="50" s="1"/>
  <c r="E3411" i="50" s="1"/>
  <c r="E3168" i="50"/>
  <c r="E3183" i="50" s="1"/>
  <c r="E3408" i="50" s="1"/>
  <c r="E3170" i="50"/>
  <c r="E3185" i="50" s="1"/>
  <c r="E3410" i="50" s="1"/>
  <c r="E3172" i="50"/>
  <c r="E3187" i="50" s="1"/>
  <c r="E3412" i="50" s="1"/>
  <c r="E2874" i="50"/>
  <c r="E3303" i="50" s="1"/>
  <c r="E2854" i="50"/>
  <c r="E3265" i="50" s="1"/>
  <c r="E2853" i="50"/>
  <c r="E3263" i="50" s="1"/>
  <c r="E2875" i="50"/>
  <c r="E3305" i="50" s="1"/>
  <c r="E2830" i="50"/>
  <c r="E3229" i="50" s="1"/>
  <c r="E2829" i="50"/>
  <c r="E3227" i="50" s="1"/>
  <c r="E2828" i="50"/>
  <c r="E3225" i="50" s="1"/>
  <c r="E2873" i="50"/>
  <c r="E3301" i="50" s="1"/>
  <c r="E2855" i="50"/>
  <c r="E3267" i="50" s="1"/>
  <c r="E2827" i="50"/>
  <c r="E2823" i="50"/>
  <c r="E2820" i="50"/>
  <c r="E2966" i="50" s="1"/>
  <c r="E3214" i="50" s="1"/>
  <c r="E2826" i="50"/>
  <c r="E2821" i="50"/>
  <c r="E2967" i="50" s="1"/>
  <c r="E3215" i="50" s="1"/>
  <c r="E2849" i="50"/>
  <c r="E2989" i="50" s="1"/>
  <c r="E3252" i="50" s="1"/>
  <c r="E2871" i="50"/>
  <c r="E3005" i="50" s="1"/>
  <c r="E3292" i="50" s="1"/>
  <c r="E2845" i="50"/>
  <c r="E2985" i="50" s="1"/>
  <c r="E3248" i="50" s="1"/>
  <c r="E2822" i="50"/>
  <c r="E2968" i="50" s="1"/>
  <c r="E3216" i="50" s="1"/>
  <c r="E2815" i="50"/>
  <c r="E2961" i="50" s="1"/>
  <c r="E3209" i="50" s="1"/>
  <c r="E2872" i="50"/>
  <c r="E2870" i="50"/>
  <c r="E3004" i="50" s="1"/>
  <c r="E3291" i="50" s="1"/>
  <c r="E2851" i="50"/>
  <c r="E2991" i="50" s="1"/>
  <c r="E3254" i="50" s="1"/>
  <c r="E2850" i="50"/>
  <c r="E2990" i="50" s="1"/>
  <c r="E3253" i="50" s="1"/>
  <c r="E2844" i="50"/>
  <c r="E2984" i="50" s="1"/>
  <c r="E3247" i="50" s="1"/>
  <c r="E2816" i="50"/>
  <c r="E2962" i="50" s="1"/>
  <c r="E3210" i="50" s="1"/>
  <c r="E2852" i="50"/>
  <c r="E2824" i="50"/>
  <c r="E2869" i="50"/>
  <c r="E3003" i="50" s="1"/>
  <c r="E3290" i="50" s="1"/>
  <c r="E2846" i="50"/>
  <c r="E2986" i="50" s="1"/>
  <c r="E3249" i="50" s="1"/>
  <c r="E2825" i="50"/>
  <c r="E2817" i="50"/>
  <c r="E2963" i="50" s="1"/>
  <c r="E3211" i="50" s="1"/>
  <c r="J2842" i="50"/>
  <c r="J2982" i="50" s="1"/>
  <c r="J3242" i="50" s="1"/>
  <c r="J2818" i="50"/>
  <c r="J2964" i="50" s="1"/>
  <c r="J3212" i="50" s="1"/>
  <c r="J2161" i="50"/>
  <c r="J2226" i="50" s="1"/>
  <c r="J2390" i="50" s="1"/>
  <c r="D2772" i="50"/>
  <c r="D2929" i="50" s="1"/>
  <c r="D2774" i="50"/>
  <c r="D2931" i="50" s="1"/>
  <c r="D2776" i="50"/>
  <c r="D2933" i="50" s="1"/>
  <c r="D2778" i="50"/>
  <c r="D2935" i="50" s="1"/>
  <c r="D2780" i="50"/>
  <c r="D2937" i="50" s="1"/>
  <c r="D2782" i="50"/>
  <c r="D2939" i="50" s="1"/>
  <c r="D3126" i="50" s="1"/>
  <c r="D3138" i="50" s="1"/>
  <c r="D3397" i="50" s="1"/>
  <c r="D2784" i="50"/>
  <c r="D2941" i="50" s="1"/>
  <c r="D3128" i="50" s="1"/>
  <c r="D3140" i="50" s="1"/>
  <c r="D3399" i="50" s="1"/>
  <c r="D2786" i="50"/>
  <c r="D2943" i="50" s="1"/>
  <c r="D2788" i="50"/>
  <c r="D2945" i="50" s="1"/>
  <c r="D2771" i="50"/>
  <c r="D2928" i="50" s="1"/>
  <c r="D2773" i="50"/>
  <c r="D2930" i="50" s="1"/>
  <c r="D2775" i="50"/>
  <c r="D2932" i="50" s="1"/>
  <c r="D2777" i="50"/>
  <c r="D2934" i="50" s="1"/>
  <c r="D2779" i="50"/>
  <c r="D2936" i="50" s="1"/>
  <c r="D2781" i="50"/>
  <c r="D2938" i="50" s="1"/>
  <c r="D2783" i="50"/>
  <c r="D2940" i="50" s="1"/>
  <c r="D3127" i="50" s="1"/>
  <c r="D3139" i="50" s="1"/>
  <c r="D3398" i="50" s="1"/>
  <c r="D2785" i="50"/>
  <c r="D2942" i="50" s="1"/>
  <c r="D2789" i="50"/>
  <c r="D2946" i="50" s="1"/>
  <c r="D2793" i="50"/>
  <c r="D2887" i="50"/>
  <c r="D2787" i="50"/>
  <c r="D2944" i="50" s="1"/>
  <c r="D2790" i="50"/>
  <c r="D3222" i="50" s="1"/>
  <c r="D2794" i="50"/>
  <c r="D3226" i="50" s="1"/>
  <c r="D2791" i="50"/>
  <c r="D3223" i="50" s="1"/>
  <c r="D2795" i="50"/>
  <c r="D2792" i="50"/>
  <c r="D3224" i="50" s="1"/>
  <c r="D2796" i="50"/>
  <c r="D3228" i="50" s="1"/>
  <c r="D2797" i="50"/>
  <c r="D3168" i="50"/>
  <c r="D3183" i="50" s="1"/>
  <c r="D3408" i="50" s="1"/>
  <c r="D3170" i="50"/>
  <c r="D3185" i="50" s="1"/>
  <c r="D3410" i="50" s="1"/>
  <c r="D3167" i="50"/>
  <c r="D3182" i="50" s="1"/>
  <c r="D3407" i="50" s="1"/>
  <c r="D3169" i="50"/>
  <c r="D3184" i="50" s="1"/>
  <c r="D3409" i="50" s="1"/>
  <c r="D3171" i="50"/>
  <c r="D3186" i="50" s="1"/>
  <c r="D3411" i="50" s="1"/>
  <c r="D3172" i="50"/>
  <c r="D3187" i="50" s="1"/>
  <c r="D3412" i="50" s="1"/>
  <c r="D2829" i="50"/>
  <c r="D3227" i="50" s="1"/>
  <c r="D2853" i="50"/>
  <c r="D3263" i="50" s="1"/>
  <c r="D2875" i="50"/>
  <c r="D3305" i="50" s="1"/>
  <c r="D2874" i="50"/>
  <c r="D3303" i="50" s="1"/>
  <c r="D2828" i="50"/>
  <c r="D3225" i="50" s="1"/>
  <c r="D2855" i="50"/>
  <c r="D3267" i="50" s="1"/>
  <c r="D2830" i="50"/>
  <c r="D3229" i="50" s="1"/>
  <c r="D2854" i="50"/>
  <c r="D3265" i="50" s="1"/>
  <c r="D2873" i="50"/>
  <c r="D3301" i="50" s="1"/>
  <c r="D2844" i="50"/>
  <c r="D2984" i="50" s="1"/>
  <c r="D3247" i="50" s="1"/>
  <c r="D2821" i="50"/>
  <c r="D2967" i="50" s="1"/>
  <c r="D3215" i="50" s="1"/>
  <c r="D2871" i="50"/>
  <c r="D3005" i="50" s="1"/>
  <c r="D3292" i="50" s="1"/>
  <c r="D2817" i="50"/>
  <c r="D2963" i="50" s="1"/>
  <c r="D3211" i="50" s="1"/>
  <c r="D2816" i="50"/>
  <c r="D2962" i="50" s="1"/>
  <c r="D3210" i="50" s="1"/>
  <c r="D2822" i="50"/>
  <c r="D2968" i="50" s="1"/>
  <c r="D3216" i="50" s="1"/>
  <c r="D2825" i="50"/>
  <c r="D2826" i="50"/>
  <c r="D2815" i="50"/>
  <c r="D2961" i="50" s="1"/>
  <c r="D3209" i="50" s="1"/>
  <c r="D2845" i="50"/>
  <c r="D2985" i="50" s="1"/>
  <c r="D3248" i="50" s="1"/>
  <c r="D2869" i="50"/>
  <c r="D3003" i="50" s="1"/>
  <c r="D3290" i="50" s="1"/>
  <c r="D2849" i="50"/>
  <c r="D2989" i="50" s="1"/>
  <c r="D3252" i="50" s="1"/>
  <c r="D2852" i="50"/>
  <c r="D2824" i="50"/>
  <c r="D2851" i="50"/>
  <c r="D2991" i="50" s="1"/>
  <c r="D3254" i="50" s="1"/>
  <c r="D2870" i="50"/>
  <c r="D3004" i="50" s="1"/>
  <c r="D3291" i="50" s="1"/>
  <c r="D2872" i="50"/>
  <c r="D2846" i="50"/>
  <c r="D2986" i="50" s="1"/>
  <c r="D3249" i="50" s="1"/>
  <c r="D2820" i="50"/>
  <c r="D2966" i="50" s="1"/>
  <c r="D3214" i="50" s="1"/>
  <c r="D2827" i="50"/>
  <c r="D2850" i="50"/>
  <c r="D2990" i="50" s="1"/>
  <c r="D3253" i="50" s="1"/>
  <c r="D2823" i="50"/>
  <c r="C1779" i="50"/>
  <c r="C2050" i="50" s="1"/>
  <c r="C1803" i="50"/>
  <c r="C2079" i="50" s="1"/>
  <c r="C2811" i="50"/>
  <c r="C2957" i="50" s="1"/>
  <c r="C3205" i="50" s="1"/>
  <c r="C2123" i="50"/>
  <c r="C2219" i="50" s="1"/>
  <c r="C2383" i="50" s="1"/>
  <c r="I2814" i="50"/>
  <c r="I2960" i="50" s="1"/>
  <c r="I3208" i="50" s="1"/>
  <c r="I2125" i="50"/>
  <c r="I2222" i="50" s="1"/>
  <c r="I2386" i="50" s="1"/>
  <c r="F2812" i="50"/>
  <c r="F2958" i="50" s="1"/>
  <c r="F3206" i="50" s="1"/>
  <c r="F2124" i="50"/>
  <c r="F2220" i="50" s="1"/>
  <c r="F2384" i="50" s="1"/>
  <c r="F2814" i="50"/>
  <c r="F2960" i="50" s="1"/>
  <c r="F3208" i="50" s="1"/>
  <c r="F2125" i="50"/>
  <c r="F2222" i="50" s="1"/>
  <c r="F2386" i="50" s="1"/>
  <c r="I2811" i="50"/>
  <c r="I2957" i="50" s="1"/>
  <c r="I3205" i="50" s="1"/>
  <c r="I2123" i="50"/>
  <c r="I2219" i="50" s="1"/>
  <c r="I2383" i="50" s="1"/>
  <c r="E2814" i="50"/>
  <c r="E2960" i="50" s="1"/>
  <c r="E3208" i="50" s="1"/>
  <c r="E2125" i="50"/>
  <c r="E2222" i="50" s="1"/>
  <c r="E2386" i="50" s="1"/>
  <c r="B2122" i="50"/>
  <c r="B2217" i="50" s="1"/>
  <c r="B2809" i="50"/>
  <c r="B2955" i="50" s="1"/>
  <c r="B3203" i="50" s="1"/>
  <c r="B2811" i="50"/>
  <c r="B2957" i="50" s="1"/>
  <c r="B3205" i="50" s="1"/>
  <c r="B2123" i="50"/>
  <c r="B2219" i="50" s="1"/>
  <c r="B2383" i="50" s="1"/>
  <c r="G2814" i="50"/>
  <c r="G2960" i="50" s="1"/>
  <c r="G3208" i="50" s="1"/>
  <c r="G2125" i="50"/>
  <c r="G2222" i="50" s="1"/>
  <c r="G2386" i="50" s="1"/>
  <c r="C1788" i="50"/>
  <c r="C2059" i="50" s="1"/>
  <c r="C1809" i="50"/>
  <c r="C2085" i="50" s="1"/>
  <c r="C1825" i="50"/>
  <c r="C2102" i="50" s="1"/>
  <c r="C2814" i="50"/>
  <c r="C2960" i="50" s="1"/>
  <c r="C3208" i="50" s="1"/>
  <c r="C2125" i="50"/>
  <c r="C2222" i="50" s="1"/>
  <c r="C2386" i="50" s="1"/>
  <c r="E2122" i="50"/>
  <c r="E2217" i="50" s="1"/>
  <c r="E2809" i="50"/>
  <c r="E2955" i="50" s="1"/>
  <c r="E3203" i="50" s="1"/>
  <c r="E2811" i="50"/>
  <c r="E2957" i="50" s="1"/>
  <c r="E3205" i="50" s="1"/>
  <c r="E2123" i="50"/>
  <c r="E2219" i="50" s="1"/>
  <c r="E2383" i="50" s="1"/>
  <c r="G1778" i="50"/>
  <c r="G2049" i="50" s="1"/>
  <c r="H2142" i="50"/>
  <c r="H2218" i="50" s="1"/>
  <c r="H2382" i="50" s="1"/>
  <c r="H2810" i="50"/>
  <c r="H2956" i="50" s="1"/>
  <c r="H3204" i="50" s="1"/>
  <c r="D2867" i="50"/>
  <c r="D3001" i="50" s="1"/>
  <c r="D3288" i="50" s="1"/>
  <c r="I2771" i="50"/>
  <c r="I2928" i="50" s="1"/>
  <c r="I2773" i="50"/>
  <c r="I2930" i="50" s="1"/>
  <c r="I2775" i="50"/>
  <c r="I2932" i="50" s="1"/>
  <c r="I2777" i="50"/>
  <c r="I2934" i="50" s="1"/>
  <c r="I2779" i="50"/>
  <c r="I2936" i="50" s="1"/>
  <c r="I2781" i="50"/>
  <c r="I2938" i="50" s="1"/>
  <c r="I2783" i="50"/>
  <c r="I2940" i="50" s="1"/>
  <c r="I3127" i="50" s="1"/>
  <c r="I3139" i="50" s="1"/>
  <c r="I3398" i="50" s="1"/>
  <c r="I2785" i="50"/>
  <c r="I2942" i="50" s="1"/>
  <c r="I2787" i="50"/>
  <c r="I2944" i="50" s="1"/>
  <c r="I2789" i="50"/>
  <c r="I2946" i="50" s="1"/>
  <c r="I2791" i="50"/>
  <c r="I3223" i="50" s="1"/>
  <c r="I2793" i="50"/>
  <c r="I2795" i="50"/>
  <c r="I2772" i="50"/>
  <c r="I2929" i="50" s="1"/>
  <c r="I2774" i="50"/>
  <c r="I2931" i="50" s="1"/>
  <c r="I2776" i="50"/>
  <c r="I2933" i="50" s="1"/>
  <c r="I2778" i="50"/>
  <c r="I2935" i="50" s="1"/>
  <c r="I2780" i="50"/>
  <c r="I2937" i="50" s="1"/>
  <c r="I2782" i="50"/>
  <c r="I2939" i="50" s="1"/>
  <c r="I3126" i="50" s="1"/>
  <c r="I3138" i="50" s="1"/>
  <c r="I3397" i="50" s="1"/>
  <c r="I2784" i="50"/>
  <c r="I2941" i="50" s="1"/>
  <c r="I3128" i="50" s="1"/>
  <c r="I3140" i="50" s="1"/>
  <c r="I3399" i="50" s="1"/>
  <c r="I2786" i="50"/>
  <c r="I2943" i="50" s="1"/>
  <c r="I2788" i="50"/>
  <c r="I2945" i="50" s="1"/>
  <c r="I2790" i="50"/>
  <c r="I3222" i="50" s="1"/>
  <c r="I2792" i="50"/>
  <c r="I3224" i="50" s="1"/>
  <c r="I2794" i="50"/>
  <c r="I3226" i="50" s="1"/>
  <c r="I2796" i="50"/>
  <c r="I3228" i="50" s="1"/>
  <c r="I2887" i="50"/>
  <c r="I2797" i="50"/>
  <c r="I3167" i="50"/>
  <c r="I3182" i="50" s="1"/>
  <c r="I3407" i="50" s="1"/>
  <c r="I3169" i="50"/>
  <c r="I3184" i="50" s="1"/>
  <c r="I3409" i="50" s="1"/>
  <c r="I3171" i="50"/>
  <c r="I3186" i="50" s="1"/>
  <c r="I3411" i="50" s="1"/>
  <c r="I3168" i="50"/>
  <c r="I3183" i="50" s="1"/>
  <c r="I3408" i="50" s="1"/>
  <c r="I3170" i="50"/>
  <c r="I3185" i="50" s="1"/>
  <c r="I3410" i="50" s="1"/>
  <c r="I3172" i="50"/>
  <c r="I3187" i="50" s="1"/>
  <c r="I3412" i="50" s="1"/>
  <c r="I2830" i="50"/>
  <c r="I3229" i="50" s="1"/>
  <c r="I2853" i="50"/>
  <c r="I3263" i="50" s="1"/>
  <c r="I2829" i="50"/>
  <c r="I3227" i="50" s="1"/>
  <c r="I2855" i="50"/>
  <c r="I3267" i="50" s="1"/>
  <c r="I2875" i="50"/>
  <c r="I3305" i="50" s="1"/>
  <c r="I2828" i="50"/>
  <c r="I3225" i="50" s="1"/>
  <c r="I2873" i="50"/>
  <c r="I3301" i="50" s="1"/>
  <c r="I2874" i="50"/>
  <c r="I3303" i="50" s="1"/>
  <c r="I2854" i="50"/>
  <c r="I3265" i="50" s="1"/>
  <c r="I2871" i="50"/>
  <c r="I3005" i="50" s="1"/>
  <c r="I3292" i="50" s="1"/>
  <c r="I2851" i="50"/>
  <c r="I2991" i="50" s="1"/>
  <c r="I3254" i="50" s="1"/>
  <c r="I2850" i="50"/>
  <c r="I2990" i="50" s="1"/>
  <c r="I3253" i="50" s="1"/>
  <c r="I2845" i="50"/>
  <c r="I2985" i="50" s="1"/>
  <c r="I3248" i="50" s="1"/>
  <c r="I2823" i="50"/>
  <c r="I2844" i="50"/>
  <c r="I2984" i="50" s="1"/>
  <c r="I3247" i="50" s="1"/>
  <c r="I2826" i="50"/>
  <c r="I2870" i="50"/>
  <c r="I3004" i="50" s="1"/>
  <c r="I3291" i="50" s="1"/>
  <c r="I2846" i="50"/>
  <c r="I2986" i="50" s="1"/>
  <c r="I3249" i="50" s="1"/>
  <c r="I2825" i="50"/>
  <c r="I2815" i="50"/>
  <c r="I2961" i="50" s="1"/>
  <c r="I3209" i="50" s="1"/>
  <c r="I2872" i="50"/>
  <c r="I2827" i="50"/>
  <c r="I2821" i="50"/>
  <c r="I2967" i="50" s="1"/>
  <c r="I3215" i="50" s="1"/>
  <c r="I2816" i="50"/>
  <c r="I2962" i="50" s="1"/>
  <c r="I3210" i="50" s="1"/>
  <c r="I2869" i="50"/>
  <c r="I3003" i="50" s="1"/>
  <c r="I3290" i="50" s="1"/>
  <c r="I2852" i="50"/>
  <c r="I2849" i="50"/>
  <c r="I2989" i="50" s="1"/>
  <c r="I3252" i="50" s="1"/>
  <c r="I2824" i="50"/>
  <c r="I2820" i="50"/>
  <c r="I2966" i="50" s="1"/>
  <c r="I3214" i="50" s="1"/>
  <c r="I2817" i="50"/>
  <c r="I2963" i="50" s="1"/>
  <c r="I3211" i="50" s="1"/>
  <c r="I2822" i="50"/>
  <c r="I2968" i="50" s="1"/>
  <c r="I3216" i="50" s="1"/>
  <c r="F2811" i="50"/>
  <c r="F2957" i="50" s="1"/>
  <c r="F3205" i="50" s="1"/>
  <c r="F2123" i="50"/>
  <c r="F2219" i="50" s="1"/>
  <c r="F2383" i="50" s="1"/>
  <c r="H2772" i="50"/>
  <c r="H2929" i="50" s="1"/>
  <c r="H2774" i="50"/>
  <c r="H2931" i="50" s="1"/>
  <c r="H2776" i="50"/>
  <c r="H2933" i="50" s="1"/>
  <c r="H2778" i="50"/>
  <c r="H2935" i="50" s="1"/>
  <c r="H2780" i="50"/>
  <c r="H2937" i="50" s="1"/>
  <c r="H2782" i="50"/>
  <c r="H2939" i="50" s="1"/>
  <c r="H3126" i="50" s="1"/>
  <c r="H3138" i="50" s="1"/>
  <c r="H3397" i="50" s="1"/>
  <c r="H2784" i="50"/>
  <c r="H2941" i="50" s="1"/>
  <c r="H3128" i="50" s="1"/>
  <c r="H3140" i="50" s="1"/>
  <c r="H3399" i="50" s="1"/>
  <c r="H2786" i="50"/>
  <c r="H2943" i="50" s="1"/>
  <c r="H2788" i="50"/>
  <c r="H2945" i="50" s="1"/>
  <c r="H2771" i="50"/>
  <c r="H2928" i="50" s="1"/>
  <c r="H2773" i="50"/>
  <c r="H2930" i="50" s="1"/>
  <c r="H2775" i="50"/>
  <c r="H2932" i="50" s="1"/>
  <c r="H2777" i="50"/>
  <c r="H2934" i="50" s="1"/>
  <c r="H2779" i="50"/>
  <c r="H2936" i="50" s="1"/>
  <c r="H2781" i="50"/>
  <c r="H2938" i="50" s="1"/>
  <c r="H2783" i="50"/>
  <c r="H2940" i="50" s="1"/>
  <c r="H3127" i="50" s="1"/>
  <c r="H3139" i="50" s="1"/>
  <c r="H3398" i="50" s="1"/>
  <c r="H2785" i="50"/>
  <c r="H2942" i="50" s="1"/>
  <c r="H2791" i="50"/>
  <c r="H3223" i="50" s="1"/>
  <c r="H2795" i="50"/>
  <c r="H2887" i="50"/>
  <c r="H2792" i="50"/>
  <c r="H3224" i="50" s="1"/>
  <c r="H2796" i="50"/>
  <c r="H3228" i="50" s="1"/>
  <c r="H2787" i="50"/>
  <c r="H2944" i="50" s="1"/>
  <c r="H2789" i="50"/>
  <c r="H2946" i="50" s="1"/>
  <c r="H2793" i="50"/>
  <c r="H2797" i="50"/>
  <c r="H2790" i="50"/>
  <c r="H3222" i="50" s="1"/>
  <c r="H2794" i="50"/>
  <c r="H3226" i="50" s="1"/>
  <c r="H3168" i="50"/>
  <c r="H3183" i="50" s="1"/>
  <c r="H3408" i="50" s="1"/>
  <c r="H3170" i="50"/>
  <c r="H3185" i="50" s="1"/>
  <c r="H3410" i="50" s="1"/>
  <c r="H3167" i="50"/>
  <c r="H3182" i="50" s="1"/>
  <c r="H3407" i="50" s="1"/>
  <c r="H3169" i="50"/>
  <c r="H3184" i="50" s="1"/>
  <c r="H3409" i="50" s="1"/>
  <c r="H3171" i="50"/>
  <c r="H3186" i="50" s="1"/>
  <c r="H3411" i="50" s="1"/>
  <c r="H3172" i="50"/>
  <c r="H3187" i="50" s="1"/>
  <c r="H3412" i="50" s="1"/>
  <c r="H2853" i="50"/>
  <c r="H3263" i="50" s="1"/>
  <c r="H2875" i="50"/>
  <c r="H3305" i="50" s="1"/>
  <c r="H2829" i="50"/>
  <c r="H3227" i="50" s="1"/>
  <c r="H2855" i="50"/>
  <c r="H3267" i="50" s="1"/>
  <c r="H2828" i="50"/>
  <c r="H3225" i="50" s="1"/>
  <c r="H2874" i="50"/>
  <c r="H3303" i="50" s="1"/>
  <c r="H2854" i="50"/>
  <c r="H3265" i="50" s="1"/>
  <c r="H2873" i="50"/>
  <c r="H3301" i="50" s="1"/>
  <c r="H2830" i="50"/>
  <c r="H3229" i="50" s="1"/>
  <c r="H2825" i="50"/>
  <c r="H2845" i="50"/>
  <c r="H2985" i="50" s="1"/>
  <c r="H3248" i="50" s="1"/>
  <c r="H2852" i="50"/>
  <c r="H2846" i="50"/>
  <c r="H2986" i="50" s="1"/>
  <c r="H3249" i="50" s="1"/>
  <c r="H2820" i="50"/>
  <c r="H2966" i="50" s="1"/>
  <c r="H3214" i="50" s="1"/>
  <c r="H2871" i="50"/>
  <c r="H3005" i="50" s="1"/>
  <c r="H3292" i="50" s="1"/>
  <c r="H2872" i="50"/>
  <c r="H2851" i="50"/>
  <c r="H2991" i="50" s="1"/>
  <c r="H3254" i="50" s="1"/>
  <c r="H2822" i="50"/>
  <c r="H2968" i="50" s="1"/>
  <c r="H3216" i="50" s="1"/>
  <c r="H2844" i="50"/>
  <c r="H2984" i="50" s="1"/>
  <c r="H3247" i="50" s="1"/>
  <c r="H2817" i="50"/>
  <c r="H2963" i="50" s="1"/>
  <c r="H3211" i="50" s="1"/>
  <c r="H2870" i="50"/>
  <c r="H3004" i="50" s="1"/>
  <c r="H3291" i="50" s="1"/>
  <c r="H2827" i="50"/>
  <c r="H2821" i="50"/>
  <c r="H2967" i="50" s="1"/>
  <c r="H3215" i="50" s="1"/>
  <c r="H2815" i="50"/>
  <c r="H2961" i="50" s="1"/>
  <c r="H3209" i="50" s="1"/>
  <c r="H2869" i="50"/>
  <c r="H3003" i="50" s="1"/>
  <c r="H3290" i="50" s="1"/>
  <c r="H2849" i="50"/>
  <c r="H2989" i="50" s="1"/>
  <c r="H3252" i="50" s="1"/>
  <c r="H2850" i="50"/>
  <c r="H2990" i="50" s="1"/>
  <c r="H3253" i="50" s="1"/>
  <c r="H2823" i="50"/>
  <c r="H2826" i="50"/>
  <c r="H2816" i="50"/>
  <c r="H2962" i="50" s="1"/>
  <c r="H3210" i="50" s="1"/>
  <c r="H2824" i="50"/>
  <c r="F2142" i="50"/>
  <c r="F2218" i="50" s="1"/>
  <c r="F2382" i="50" s="1"/>
  <c r="F2810" i="50"/>
  <c r="F2956" i="50" s="1"/>
  <c r="F3204" i="50" s="1"/>
  <c r="H2809" i="50"/>
  <c r="H2955" i="50" s="1"/>
  <c r="H3203" i="50" s="1"/>
  <c r="J2142" i="50"/>
  <c r="J2218" i="50" s="1"/>
  <c r="J2382" i="50" s="1"/>
  <c r="J2810" i="50"/>
  <c r="J2956" i="50" s="1"/>
  <c r="J3204" i="50" s="1"/>
  <c r="I1781" i="50"/>
  <c r="I2052" i="50" s="1"/>
  <c r="I1779" i="50"/>
  <c r="I2050" i="50" s="1"/>
  <c r="I1803" i="50"/>
  <c r="I2079" i="50" s="1"/>
  <c r="E1782" i="50"/>
  <c r="E2053" i="50" s="1"/>
  <c r="E1804" i="50"/>
  <c r="E2080" i="50" s="1"/>
  <c r="E1781" i="50"/>
  <c r="E2052" i="50" s="1"/>
  <c r="E1809" i="50"/>
  <c r="E2085" i="50" s="1"/>
  <c r="E1825" i="50"/>
  <c r="E2102" i="50" s="1"/>
  <c r="E1788" i="50"/>
  <c r="E2059" i="50" s="1"/>
  <c r="B1787" i="50"/>
  <c r="B2058" i="50" s="1"/>
  <c r="B1808" i="50"/>
  <c r="B2084" i="50" s="1"/>
  <c r="B1824" i="50"/>
  <c r="B2101" i="50" s="1"/>
  <c r="G1782" i="50"/>
  <c r="G2053" i="50" s="1"/>
  <c r="G1804" i="50"/>
  <c r="G2080" i="50" s="1"/>
  <c r="G1781" i="50"/>
  <c r="G2052" i="50" s="1"/>
  <c r="C1782" i="50"/>
  <c r="C2053" i="50" s="1"/>
  <c r="C1804" i="50"/>
  <c r="C2080" i="50" s="1"/>
  <c r="C1781" i="50"/>
  <c r="C2052" i="50" s="1"/>
  <c r="E1779" i="50"/>
  <c r="E2050" i="50" s="1"/>
  <c r="E1803" i="50"/>
  <c r="E2079" i="50" s="1"/>
  <c r="J1788" i="50"/>
  <c r="J2059" i="50" s="1"/>
  <c r="J1809" i="50"/>
  <c r="J2085" i="50" s="1"/>
  <c r="J1825" i="50"/>
  <c r="J2102" i="50" s="1"/>
  <c r="J1783" i="50"/>
  <c r="J2054" i="50" s="1"/>
  <c r="H2867" i="50"/>
  <c r="H3001" i="50" s="1"/>
  <c r="H3288" i="50" s="1"/>
  <c r="D2847" i="50"/>
  <c r="D2987" i="50" s="1"/>
  <c r="D3250" i="50" s="1"/>
  <c r="D2811" i="50"/>
  <c r="D2957" i="50" s="1"/>
  <c r="D3205" i="50" s="1"/>
  <c r="D2123" i="50"/>
  <c r="D2219" i="50" s="1"/>
  <c r="D2383" i="50" s="1"/>
  <c r="F2867" i="50"/>
  <c r="F3001" i="50" s="1"/>
  <c r="F3288" i="50" s="1"/>
  <c r="F2771" i="50"/>
  <c r="F2928" i="50" s="1"/>
  <c r="F2773" i="50"/>
  <c r="F2930" i="50" s="1"/>
  <c r="F2775" i="50"/>
  <c r="F2932" i="50" s="1"/>
  <c r="F2777" i="50"/>
  <c r="F2934" i="50" s="1"/>
  <c r="F2779" i="50"/>
  <c r="F2936" i="50" s="1"/>
  <c r="F2781" i="50"/>
  <c r="F2938" i="50" s="1"/>
  <c r="F2783" i="50"/>
  <c r="F2940" i="50" s="1"/>
  <c r="F3127" i="50" s="1"/>
  <c r="F3139" i="50" s="1"/>
  <c r="F3398" i="50" s="1"/>
  <c r="F2785" i="50"/>
  <c r="F2942" i="50" s="1"/>
  <c r="F2787" i="50"/>
  <c r="F2944" i="50" s="1"/>
  <c r="F2772" i="50"/>
  <c r="F2929" i="50" s="1"/>
  <c r="F2774" i="50"/>
  <c r="F2931" i="50" s="1"/>
  <c r="F2776" i="50"/>
  <c r="F2933" i="50" s="1"/>
  <c r="F2778" i="50"/>
  <c r="F2935" i="50" s="1"/>
  <c r="F2780" i="50"/>
  <c r="F2937" i="50" s="1"/>
  <c r="F2782" i="50"/>
  <c r="F2939" i="50" s="1"/>
  <c r="F3126" i="50" s="1"/>
  <c r="F3138" i="50" s="1"/>
  <c r="F3397" i="50" s="1"/>
  <c r="F2784" i="50"/>
  <c r="F2941" i="50" s="1"/>
  <c r="F3128" i="50" s="1"/>
  <c r="F3140" i="50" s="1"/>
  <c r="F3399" i="50" s="1"/>
  <c r="F2786" i="50"/>
  <c r="F2943" i="50" s="1"/>
  <c r="F2792" i="50"/>
  <c r="F3224" i="50" s="1"/>
  <c r="F2796" i="50"/>
  <c r="F3228" i="50" s="1"/>
  <c r="F2789" i="50"/>
  <c r="F2946" i="50" s="1"/>
  <c r="F2793" i="50"/>
  <c r="F2797" i="50"/>
  <c r="F2788" i="50"/>
  <c r="F2945" i="50" s="1"/>
  <c r="F2790" i="50"/>
  <c r="F3222" i="50" s="1"/>
  <c r="F2794" i="50"/>
  <c r="F3226" i="50" s="1"/>
  <c r="F2887" i="50"/>
  <c r="F2791" i="50"/>
  <c r="F3223" i="50" s="1"/>
  <c r="F2795" i="50"/>
  <c r="F3167" i="50"/>
  <c r="F3182" i="50" s="1"/>
  <c r="F3407" i="50" s="1"/>
  <c r="F3169" i="50"/>
  <c r="F3184" i="50" s="1"/>
  <c r="F3409" i="50" s="1"/>
  <c r="F3168" i="50"/>
  <c r="F3183" i="50" s="1"/>
  <c r="F3408" i="50" s="1"/>
  <c r="F3170" i="50"/>
  <c r="F3185" i="50" s="1"/>
  <c r="F3410" i="50" s="1"/>
  <c r="F3172" i="50"/>
  <c r="F3187" i="50" s="1"/>
  <c r="F3412" i="50" s="1"/>
  <c r="F3171" i="50"/>
  <c r="F3186" i="50" s="1"/>
  <c r="F3411" i="50" s="1"/>
  <c r="F2830" i="50"/>
  <c r="F3229" i="50" s="1"/>
  <c r="F2854" i="50"/>
  <c r="F3265" i="50" s="1"/>
  <c r="F2873" i="50"/>
  <c r="F3301" i="50" s="1"/>
  <c r="F2855" i="50"/>
  <c r="F3267" i="50" s="1"/>
  <c r="F2828" i="50"/>
  <c r="F3225" i="50" s="1"/>
  <c r="F2875" i="50"/>
  <c r="F3305" i="50" s="1"/>
  <c r="F2874" i="50"/>
  <c r="F3303" i="50" s="1"/>
  <c r="F2853" i="50"/>
  <c r="F3263" i="50" s="1"/>
  <c r="F2829" i="50"/>
  <c r="F3227" i="50" s="1"/>
  <c r="F2817" i="50"/>
  <c r="F2963" i="50" s="1"/>
  <c r="F3211" i="50" s="1"/>
  <c r="F2869" i="50"/>
  <c r="F3003" i="50" s="1"/>
  <c r="F3290" i="50" s="1"/>
  <c r="F2825" i="50"/>
  <c r="F2845" i="50"/>
  <c r="F2985" i="50" s="1"/>
  <c r="F3248" i="50" s="1"/>
  <c r="F2827" i="50"/>
  <c r="F2849" i="50"/>
  <c r="F2989" i="50" s="1"/>
  <c r="F3252" i="50" s="1"/>
  <c r="F2846" i="50"/>
  <c r="F2986" i="50" s="1"/>
  <c r="F3249" i="50" s="1"/>
  <c r="F2820" i="50"/>
  <c r="F2966" i="50" s="1"/>
  <c r="F3214" i="50" s="1"/>
  <c r="F2870" i="50"/>
  <c r="F3004" i="50" s="1"/>
  <c r="F3291" i="50" s="1"/>
  <c r="F2824" i="50"/>
  <c r="F2822" i="50"/>
  <c r="F2968" i="50" s="1"/>
  <c r="F3216" i="50" s="1"/>
  <c r="F2852" i="50"/>
  <c r="F2815" i="50"/>
  <c r="F2961" i="50" s="1"/>
  <c r="F3209" i="50" s="1"/>
  <c r="F2871" i="50"/>
  <c r="F3005" i="50" s="1"/>
  <c r="F3292" i="50" s="1"/>
  <c r="F2826" i="50"/>
  <c r="F2851" i="50"/>
  <c r="F2991" i="50" s="1"/>
  <c r="F3254" i="50" s="1"/>
  <c r="F2850" i="50"/>
  <c r="F2990" i="50" s="1"/>
  <c r="F3253" i="50" s="1"/>
  <c r="F2872" i="50"/>
  <c r="F2816" i="50"/>
  <c r="F2962" i="50" s="1"/>
  <c r="F3210" i="50" s="1"/>
  <c r="F2821" i="50"/>
  <c r="F2967" i="50" s="1"/>
  <c r="F3215" i="50" s="1"/>
  <c r="F2844" i="50"/>
  <c r="F2984" i="50" s="1"/>
  <c r="F3247" i="50" s="1"/>
  <c r="F2823" i="50"/>
  <c r="F2381" i="50"/>
  <c r="J2867" i="50"/>
  <c r="J3001" i="50" s="1"/>
  <c r="J3288" i="50" s="1"/>
  <c r="G2772" i="50"/>
  <c r="G2929" i="50" s="1"/>
  <c r="G2774" i="50"/>
  <c r="G2931" i="50" s="1"/>
  <c r="G2776" i="50"/>
  <c r="G2933" i="50" s="1"/>
  <c r="G2778" i="50"/>
  <c r="G2935" i="50" s="1"/>
  <c r="G2780" i="50"/>
  <c r="G2937" i="50" s="1"/>
  <c r="G2782" i="50"/>
  <c r="G2939" i="50" s="1"/>
  <c r="G3126" i="50" s="1"/>
  <c r="G3138" i="50" s="1"/>
  <c r="G3397" i="50" s="1"/>
  <c r="G2784" i="50"/>
  <c r="G2941" i="50" s="1"/>
  <c r="G3128" i="50" s="1"/>
  <c r="G3140" i="50" s="1"/>
  <c r="G3399" i="50" s="1"/>
  <c r="G2786" i="50"/>
  <c r="G2943" i="50" s="1"/>
  <c r="G2788" i="50"/>
  <c r="G2945" i="50" s="1"/>
  <c r="G2790" i="50"/>
  <c r="G3222" i="50" s="1"/>
  <c r="G2792" i="50"/>
  <c r="G3224" i="50" s="1"/>
  <c r="G2794" i="50"/>
  <c r="G3226" i="50" s="1"/>
  <c r="G2796" i="50"/>
  <c r="G3228" i="50" s="1"/>
  <c r="G2771" i="50"/>
  <c r="G2928" i="50" s="1"/>
  <c r="G2773" i="50"/>
  <c r="G2930" i="50" s="1"/>
  <c r="G2775" i="50"/>
  <c r="G2932" i="50" s="1"/>
  <c r="G2777" i="50"/>
  <c r="G2934" i="50" s="1"/>
  <c r="G2779" i="50"/>
  <c r="G2936" i="50" s="1"/>
  <c r="G2781" i="50"/>
  <c r="G2938" i="50" s="1"/>
  <c r="G2783" i="50"/>
  <c r="G2940" i="50" s="1"/>
  <c r="G3127" i="50" s="1"/>
  <c r="G3139" i="50" s="1"/>
  <c r="G3398" i="50" s="1"/>
  <c r="G2785" i="50"/>
  <c r="G2942" i="50" s="1"/>
  <c r="G2787" i="50"/>
  <c r="G2944" i="50" s="1"/>
  <c r="G2789" i="50"/>
  <c r="G2946" i="50" s="1"/>
  <c r="G2791" i="50"/>
  <c r="G3223" i="50" s="1"/>
  <c r="G2793" i="50"/>
  <c r="G2795" i="50"/>
  <c r="G2797" i="50"/>
  <c r="G2887" i="50"/>
  <c r="G3168" i="50"/>
  <c r="G3183" i="50" s="1"/>
  <c r="G3408" i="50" s="1"/>
  <c r="G3170" i="50"/>
  <c r="G3185" i="50" s="1"/>
  <c r="G3410" i="50" s="1"/>
  <c r="G3172" i="50"/>
  <c r="G3187" i="50" s="1"/>
  <c r="G3412" i="50" s="1"/>
  <c r="G3167" i="50"/>
  <c r="G3182" i="50" s="1"/>
  <c r="G3407" i="50" s="1"/>
  <c r="G3169" i="50"/>
  <c r="G3184" i="50" s="1"/>
  <c r="G3409" i="50" s="1"/>
  <c r="G3171" i="50"/>
  <c r="G3186" i="50" s="1"/>
  <c r="G3411" i="50" s="1"/>
  <c r="G2829" i="50"/>
  <c r="G3227" i="50" s="1"/>
  <c r="G2828" i="50"/>
  <c r="G3225" i="50" s="1"/>
  <c r="G2853" i="50"/>
  <c r="G3263" i="50" s="1"/>
  <c r="G2830" i="50"/>
  <c r="G3229" i="50" s="1"/>
  <c r="G2875" i="50"/>
  <c r="G3305" i="50" s="1"/>
  <c r="G2855" i="50"/>
  <c r="G3267" i="50" s="1"/>
  <c r="G2874" i="50"/>
  <c r="G3303" i="50" s="1"/>
  <c r="G2873" i="50"/>
  <c r="G3301" i="50" s="1"/>
  <c r="G2854" i="50"/>
  <c r="G3265" i="50" s="1"/>
  <c r="G2821" i="50"/>
  <c r="G2967" i="50" s="1"/>
  <c r="G3215" i="50" s="1"/>
  <c r="G2846" i="50"/>
  <c r="G2986" i="50" s="1"/>
  <c r="G3249" i="50" s="1"/>
  <c r="G2817" i="50"/>
  <c r="G2963" i="50" s="1"/>
  <c r="G3211" i="50" s="1"/>
  <c r="G2824" i="50"/>
  <c r="G2845" i="50"/>
  <c r="G2985" i="50" s="1"/>
  <c r="G3248" i="50" s="1"/>
  <c r="G2852" i="50"/>
  <c r="G2820" i="50"/>
  <c r="G2966" i="50" s="1"/>
  <c r="G3214" i="50" s="1"/>
  <c r="G2844" i="50"/>
  <c r="G2984" i="50" s="1"/>
  <c r="G3247" i="50" s="1"/>
  <c r="G2816" i="50"/>
  <c r="G2962" i="50" s="1"/>
  <c r="G3210" i="50" s="1"/>
  <c r="G2826" i="50"/>
  <c r="G2850" i="50"/>
  <c r="G2990" i="50" s="1"/>
  <c r="G3253" i="50" s="1"/>
  <c r="G2827" i="50"/>
  <c r="G2871" i="50"/>
  <c r="G3005" i="50" s="1"/>
  <c r="G3292" i="50" s="1"/>
  <c r="G2823" i="50"/>
  <c r="G2849" i="50"/>
  <c r="G2989" i="50" s="1"/>
  <c r="G3252" i="50" s="1"/>
  <c r="G2851" i="50"/>
  <c r="G2991" i="50" s="1"/>
  <c r="G3254" i="50" s="1"/>
  <c r="G2822" i="50"/>
  <c r="G2968" i="50" s="1"/>
  <c r="G3216" i="50" s="1"/>
  <c r="G2825" i="50"/>
  <c r="G2870" i="50"/>
  <c r="G3004" i="50" s="1"/>
  <c r="G3291" i="50" s="1"/>
  <c r="G2815" i="50"/>
  <c r="G2961" i="50" s="1"/>
  <c r="G3209" i="50" s="1"/>
  <c r="G2872" i="50"/>
  <c r="G2869" i="50"/>
  <c r="G3003" i="50" s="1"/>
  <c r="G3290" i="50" s="1"/>
  <c r="C1778" i="50"/>
  <c r="C2049" i="50" s="1"/>
  <c r="F1782" i="50"/>
  <c r="F2053" i="50" s="1"/>
  <c r="F1804" i="50"/>
  <c r="F2080" i="50" s="1"/>
  <c r="I1787" i="50"/>
  <c r="I2058" i="50" s="1"/>
  <c r="I1808" i="50"/>
  <c r="I2084" i="50" s="1"/>
  <c r="I1824" i="50"/>
  <c r="I2101" i="50" s="1"/>
  <c r="I1778" i="50"/>
  <c r="I2049" i="50" s="1"/>
  <c r="J1782" i="50"/>
  <c r="J2053" i="50" s="1"/>
  <c r="J1804" i="50"/>
  <c r="J2080" i="50" s="1"/>
  <c r="G1780" i="50"/>
  <c r="G2051" i="50" s="1"/>
  <c r="H2811" i="50" l="1"/>
  <c r="H2957" i="50" s="1"/>
  <c r="H3205" i="50" s="1"/>
  <c r="D1781" i="50"/>
  <c r="D2052" i="50" s="1"/>
  <c r="D2812" i="50" s="1"/>
  <c r="D2958" i="50" s="1"/>
  <c r="D3206" i="50" s="1"/>
  <c r="H1781" i="50"/>
  <c r="H2052" i="50" s="1"/>
  <c r="H2812" i="50" s="1"/>
  <c r="H2958" i="50" s="1"/>
  <c r="H3206" i="50" s="1"/>
  <c r="J2843" i="50"/>
  <c r="J2983" i="50" s="1"/>
  <c r="J3245" i="50" s="1"/>
  <c r="I2847" i="50"/>
  <c r="I2987" i="50" s="1"/>
  <c r="I3250" i="50" s="1"/>
  <c r="C2122" i="50"/>
  <c r="C2217" i="50" s="1"/>
  <c r="C2809" i="50"/>
  <c r="C2955" i="50" s="1"/>
  <c r="C3203" i="50" s="1"/>
  <c r="F2969" i="50"/>
  <c r="F3217" i="50"/>
  <c r="F3006" i="50"/>
  <c r="F3297" i="50"/>
  <c r="F2970" i="50"/>
  <c r="F3218" i="50"/>
  <c r="J2848" i="50"/>
  <c r="J2988" i="50" s="1"/>
  <c r="J3251" i="50" s="1"/>
  <c r="C2812" i="50"/>
  <c r="C2958" i="50" s="1"/>
  <c r="C3206" i="50" s="1"/>
  <c r="C2124" i="50"/>
  <c r="C2220" i="50" s="1"/>
  <c r="C2384" i="50" s="1"/>
  <c r="G2843" i="50"/>
  <c r="G2983" i="50" s="1"/>
  <c r="G3245" i="50" s="1"/>
  <c r="B2818" i="50"/>
  <c r="B2964" i="50" s="1"/>
  <c r="B3212" i="50" s="1"/>
  <c r="B2161" i="50"/>
  <c r="B2226" i="50" s="1"/>
  <c r="B2390" i="50" s="1"/>
  <c r="E2812" i="50"/>
  <c r="E2958" i="50" s="1"/>
  <c r="E3206" i="50" s="1"/>
  <c r="E2124" i="50"/>
  <c r="E2220" i="50" s="1"/>
  <c r="E2384" i="50" s="1"/>
  <c r="I2142" i="50"/>
  <c r="I2218" i="50" s="1"/>
  <c r="I2382" i="50" s="1"/>
  <c r="I2810" i="50"/>
  <c r="I2956" i="50" s="1"/>
  <c r="I3204" i="50" s="1"/>
  <c r="H2969" i="50"/>
  <c r="H3217" i="50"/>
  <c r="H3006" i="50"/>
  <c r="H3297" i="50"/>
  <c r="H2992" i="50"/>
  <c r="H3259" i="50"/>
  <c r="I2970" i="50"/>
  <c r="I3218" i="50"/>
  <c r="I2972" i="50"/>
  <c r="I3220" i="50"/>
  <c r="B2381" i="50"/>
  <c r="C2142" i="50"/>
  <c r="C2218" i="50" s="1"/>
  <c r="C2382" i="50" s="1"/>
  <c r="C2810" i="50"/>
  <c r="C2956" i="50" s="1"/>
  <c r="C3204" i="50" s="1"/>
  <c r="D2971" i="50"/>
  <c r="D3219" i="50"/>
  <c r="E2971" i="50"/>
  <c r="E3219" i="50"/>
  <c r="E2992" i="50"/>
  <c r="E3259" i="50"/>
  <c r="E2973" i="50"/>
  <c r="E3221" i="50"/>
  <c r="E2902" i="50"/>
  <c r="E3097" i="50" s="1"/>
  <c r="E3318" i="50" s="1"/>
  <c r="E2904" i="50"/>
  <c r="E3098" i="50" s="1"/>
  <c r="E3320" i="50" s="1"/>
  <c r="E2906" i="50"/>
  <c r="E2908" i="50"/>
  <c r="E3101" i="50" s="1"/>
  <c r="E3324" i="50" s="1"/>
  <c r="E2910" i="50"/>
  <c r="E3103" i="50" s="1"/>
  <c r="E3326" i="50" s="1"/>
  <c r="E2912" i="50"/>
  <c r="E3362" i="50" s="1"/>
  <c r="E2914" i="50"/>
  <c r="E3364" i="50" s="1"/>
  <c r="E2916" i="50"/>
  <c r="E2918" i="50"/>
  <c r="E2901" i="50"/>
  <c r="E3096" i="50" s="1"/>
  <c r="E3317" i="50" s="1"/>
  <c r="E2903" i="50"/>
  <c r="E2905" i="50"/>
  <c r="E3099" i="50" s="1"/>
  <c r="E3321" i="50" s="1"/>
  <c r="E2907" i="50"/>
  <c r="E3100" i="50" s="1"/>
  <c r="E3323" i="50" s="1"/>
  <c r="E2909" i="50"/>
  <c r="E3102" i="50" s="1"/>
  <c r="E3325" i="50" s="1"/>
  <c r="E2911" i="50"/>
  <c r="E3104" i="50" s="1"/>
  <c r="E3327" i="50" s="1"/>
  <c r="E2913" i="50"/>
  <c r="E3363" i="50" s="1"/>
  <c r="E2915" i="50"/>
  <c r="E2917" i="50"/>
  <c r="E2919" i="50"/>
  <c r="B2868" i="50"/>
  <c r="B3002" i="50" s="1"/>
  <c r="B3289" i="50" s="1"/>
  <c r="G2847" i="50"/>
  <c r="G2987" i="50" s="1"/>
  <c r="G3250" i="50" s="1"/>
  <c r="E2847" i="50"/>
  <c r="E2987" i="50" s="1"/>
  <c r="E3250" i="50" s="1"/>
  <c r="G2162" i="50"/>
  <c r="G2227" i="50" s="1"/>
  <c r="G2391" i="50" s="1"/>
  <c r="G2819" i="50"/>
  <c r="G2965" i="50" s="1"/>
  <c r="G3213" i="50" s="1"/>
  <c r="F2848" i="50"/>
  <c r="F2988" i="50" s="1"/>
  <c r="F3251" i="50" s="1"/>
  <c r="I2848" i="50"/>
  <c r="I2988" i="50" s="1"/>
  <c r="I3251" i="50" s="1"/>
  <c r="C2847" i="50"/>
  <c r="C2987" i="50" s="1"/>
  <c r="C3250" i="50" s="1"/>
  <c r="C2971" i="50"/>
  <c r="C3219" i="50"/>
  <c r="J2970" i="50"/>
  <c r="J3218" i="50"/>
  <c r="D1788" i="50"/>
  <c r="D2059" i="50" s="1"/>
  <c r="D1809" i="50"/>
  <c r="D2085" i="50" s="1"/>
  <c r="D1825" i="50"/>
  <c r="D2102" i="50" s="1"/>
  <c r="J2813" i="50"/>
  <c r="J2959" i="50" s="1"/>
  <c r="J3207" i="50" s="1"/>
  <c r="J2143" i="50"/>
  <c r="J2221" i="50" s="1"/>
  <c r="J2385" i="50" s="1"/>
  <c r="I2818" i="50"/>
  <c r="I2964" i="50" s="1"/>
  <c r="I3212" i="50" s="1"/>
  <c r="I2161" i="50"/>
  <c r="I2226" i="50" s="1"/>
  <c r="I2390" i="50" s="1"/>
  <c r="G2971" i="50"/>
  <c r="G3219" i="50"/>
  <c r="G2969" i="50"/>
  <c r="G3217" i="50"/>
  <c r="G2972" i="50"/>
  <c r="G3220" i="50"/>
  <c r="G2992" i="50"/>
  <c r="G3259" i="50"/>
  <c r="F2973" i="50"/>
  <c r="F3221" i="50"/>
  <c r="J2162" i="50"/>
  <c r="J2227" i="50" s="1"/>
  <c r="J2391" i="50" s="1"/>
  <c r="J2819" i="50"/>
  <c r="J2965" i="50" s="1"/>
  <c r="J3213" i="50" s="1"/>
  <c r="C2843" i="50"/>
  <c r="C2983" i="50" s="1"/>
  <c r="C3245" i="50" s="1"/>
  <c r="G2813" i="50"/>
  <c r="G2959" i="50" s="1"/>
  <c r="G3207" i="50" s="1"/>
  <c r="G2143" i="50"/>
  <c r="G2221" i="50" s="1"/>
  <c r="G2385" i="50" s="1"/>
  <c r="E2162" i="50"/>
  <c r="E2227" i="50" s="1"/>
  <c r="E2391" i="50" s="1"/>
  <c r="E2819" i="50"/>
  <c r="E2965" i="50" s="1"/>
  <c r="E3213" i="50" s="1"/>
  <c r="E2843" i="50"/>
  <c r="E2983" i="50" s="1"/>
  <c r="E3245" i="50" s="1"/>
  <c r="I2812" i="50"/>
  <c r="I2958" i="50" s="1"/>
  <c r="I3206" i="50" s="1"/>
  <c r="I2124" i="50"/>
  <c r="I2220" i="50" s="1"/>
  <c r="I2384" i="50" s="1"/>
  <c r="H2970" i="50"/>
  <c r="H3218" i="50"/>
  <c r="I2971" i="50"/>
  <c r="I3219" i="50"/>
  <c r="E2381" i="50"/>
  <c r="C2868" i="50"/>
  <c r="C3002" i="50" s="1"/>
  <c r="C3289" i="50" s="1"/>
  <c r="D2969" i="50"/>
  <c r="D3217" i="50"/>
  <c r="D2970" i="50"/>
  <c r="D3218" i="50"/>
  <c r="E2972" i="50"/>
  <c r="E3220" i="50"/>
  <c r="B2848" i="50"/>
  <c r="B2988" i="50" s="1"/>
  <c r="B3251" i="50" s="1"/>
  <c r="G2842" i="50"/>
  <c r="G2982" i="50" s="1"/>
  <c r="G3242" i="50" s="1"/>
  <c r="G2818" i="50"/>
  <c r="G2964" i="50" s="1"/>
  <c r="G3212" i="50" s="1"/>
  <c r="G2161" i="50"/>
  <c r="G2226" i="50" s="1"/>
  <c r="G2390" i="50" s="1"/>
  <c r="E2818" i="50"/>
  <c r="E2964" i="50" s="1"/>
  <c r="E3212" i="50" s="1"/>
  <c r="E2161" i="50"/>
  <c r="E2226" i="50" s="1"/>
  <c r="E2390" i="50" s="1"/>
  <c r="B2842" i="50"/>
  <c r="B2982" i="50" s="1"/>
  <c r="B3242" i="50" s="1"/>
  <c r="F2162" i="50"/>
  <c r="F2227" i="50" s="1"/>
  <c r="F2391" i="50" s="1"/>
  <c r="F2819" i="50"/>
  <c r="F2965" i="50" s="1"/>
  <c r="F3213" i="50" s="1"/>
  <c r="I2843" i="50"/>
  <c r="I2983" i="50" s="1"/>
  <c r="I3245" i="50" s="1"/>
  <c r="C2818" i="50"/>
  <c r="C2964" i="50" s="1"/>
  <c r="C3212" i="50" s="1"/>
  <c r="C2161" i="50"/>
  <c r="C2226" i="50" s="1"/>
  <c r="C2390" i="50" s="1"/>
  <c r="C2969" i="50"/>
  <c r="C3217" i="50"/>
  <c r="C2972" i="50"/>
  <c r="C3220" i="50"/>
  <c r="J2972" i="50"/>
  <c r="J3220" i="50"/>
  <c r="J2973" i="50"/>
  <c r="J3221" i="50"/>
  <c r="J2992" i="50"/>
  <c r="J3259" i="50"/>
  <c r="H1782" i="50"/>
  <c r="H2053" i="50" s="1"/>
  <c r="H1804" i="50"/>
  <c r="H2080" i="50" s="1"/>
  <c r="H2124" i="50"/>
  <c r="H2220" i="50" s="1"/>
  <c r="H2384" i="50" s="1"/>
  <c r="I2122" i="50"/>
  <c r="I2217" i="50" s="1"/>
  <c r="I2809" i="50"/>
  <c r="I2955" i="50" s="1"/>
  <c r="I3203" i="50" s="1"/>
  <c r="F2843" i="50"/>
  <c r="F2983" i="50" s="1"/>
  <c r="F3245" i="50" s="1"/>
  <c r="G3006" i="50"/>
  <c r="G3297" i="50"/>
  <c r="G2901" i="50"/>
  <c r="G3096" i="50" s="1"/>
  <c r="G3317" i="50" s="1"/>
  <c r="G2903" i="50"/>
  <c r="G2905" i="50"/>
  <c r="G3099" i="50" s="1"/>
  <c r="G3321" i="50" s="1"/>
  <c r="G2907" i="50"/>
  <c r="G3100" i="50" s="1"/>
  <c r="G3323" i="50" s="1"/>
  <c r="G2909" i="50"/>
  <c r="G3102" i="50" s="1"/>
  <c r="G3325" i="50" s="1"/>
  <c r="G2911" i="50"/>
  <c r="G3104" i="50" s="1"/>
  <c r="G3327" i="50" s="1"/>
  <c r="G2913" i="50"/>
  <c r="G3363" i="50" s="1"/>
  <c r="G2915" i="50"/>
  <c r="G2917" i="50"/>
  <c r="G2919" i="50"/>
  <c r="G2902" i="50"/>
  <c r="G3097" i="50" s="1"/>
  <c r="G3318" i="50" s="1"/>
  <c r="G2904" i="50"/>
  <c r="G3098" i="50" s="1"/>
  <c r="G3320" i="50" s="1"/>
  <c r="G2906" i="50"/>
  <c r="G2908" i="50"/>
  <c r="G3101" i="50" s="1"/>
  <c r="G3324" i="50" s="1"/>
  <c r="G2910" i="50"/>
  <c r="G3103" i="50" s="1"/>
  <c r="G3326" i="50" s="1"/>
  <c r="G2912" i="50"/>
  <c r="G3362" i="50" s="1"/>
  <c r="G2914" i="50"/>
  <c r="G3364" i="50" s="1"/>
  <c r="G2916" i="50"/>
  <c r="G2918" i="50"/>
  <c r="F2992" i="50"/>
  <c r="F3259" i="50"/>
  <c r="J2814" i="50"/>
  <c r="J2960" i="50" s="1"/>
  <c r="J3208" i="50" s="1"/>
  <c r="J2125" i="50"/>
  <c r="J2222" i="50" s="1"/>
  <c r="J2386" i="50" s="1"/>
  <c r="E2842" i="50"/>
  <c r="E2982" i="50" s="1"/>
  <c r="E3242" i="50" s="1"/>
  <c r="C2813" i="50"/>
  <c r="C2959" i="50" s="1"/>
  <c r="C3207" i="50" s="1"/>
  <c r="C2143" i="50"/>
  <c r="C2221" i="50" s="1"/>
  <c r="C2385" i="50" s="1"/>
  <c r="B2867" i="50"/>
  <c r="B3001" i="50" s="1"/>
  <c r="B3288" i="50" s="1"/>
  <c r="E2868" i="50"/>
  <c r="E3002" i="50" s="1"/>
  <c r="E3289" i="50" s="1"/>
  <c r="E2813" i="50"/>
  <c r="E2959" i="50" s="1"/>
  <c r="E3207" i="50" s="1"/>
  <c r="E2143" i="50"/>
  <c r="E2221" i="50" s="1"/>
  <c r="E2385" i="50" s="1"/>
  <c r="H2973" i="50"/>
  <c r="H3221" i="50"/>
  <c r="H2971" i="50"/>
  <c r="H3219" i="50"/>
  <c r="H2902" i="50"/>
  <c r="H3097" i="50" s="1"/>
  <c r="H3318" i="50" s="1"/>
  <c r="H2904" i="50"/>
  <c r="H3098" i="50" s="1"/>
  <c r="H3320" i="50" s="1"/>
  <c r="H2906" i="50"/>
  <c r="H2908" i="50"/>
  <c r="H3101" i="50" s="1"/>
  <c r="H3324" i="50" s="1"/>
  <c r="H2910" i="50"/>
  <c r="H3103" i="50" s="1"/>
  <c r="H3326" i="50" s="1"/>
  <c r="H2912" i="50"/>
  <c r="H3362" i="50" s="1"/>
  <c r="H2914" i="50"/>
  <c r="H3364" i="50" s="1"/>
  <c r="H2916" i="50"/>
  <c r="H2918" i="50"/>
  <c r="H2901" i="50"/>
  <c r="H3096" i="50" s="1"/>
  <c r="H3317" i="50" s="1"/>
  <c r="H2903" i="50"/>
  <c r="H2905" i="50"/>
  <c r="H3099" i="50" s="1"/>
  <c r="H3321" i="50" s="1"/>
  <c r="H2907" i="50"/>
  <c r="H3100" i="50" s="1"/>
  <c r="H3323" i="50" s="1"/>
  <c r="H2909" i="50"/>
  <c r="H3102" i="50" s="1"/>
  <c r="H3325" i="50" s="1"/>
  <c r="H2911" i="50"/>
  <c r="H3104" i="50" s="1"/>
  <c r="H3327" i="50" s="1"/>
  <c r="H2913" i="50"/>
  <c r="H3363" i="50" s="1"/>
  <c r="H2915" i="50"/>
  <c r="H2917" i="50"/>
  <c r="H2919" i="50"/>
  <c r="I2992" i="50"/>
  <c r="I3259" i="50"/>
  <c r="I2973" i="50"/>
  <c r="I3221" i="50"/>
  <c r="I2969" i="50"/>
  <c r="I3217" i="50"/>
  <c r="C2848" i="50"/>
  <c r="C2988" i="50" s="1"/>
  <c r="C3251" i="50" s="1"/>
  <c r="D3006" i="50"/>
  <c r="D3297" i="50"/>
  <c r="D2992" i="50"/>
  <c r="D3259" i="50"/>
  <c r="D2902" i="50"/>
  <c r="D3097" i="50" s="1"/>
  <c r="D3318" i="50" s="1"/>
  <c r="D2904" i="50"/>
  <c r="D3098" i="50" s="1"/>
  <c r="D3320" i="50" s="1"/>
  <c r="D2906" i="50"/>
  <c r="D2908" i="50"/>
  <c r="D3101" i="50" s="1"/>
  <c r="D3324" i="50" s="1"/>
  <c r="D2910" i="50"/>
  <c r="D3103" i="50" s="1"/>
  <c r="D3326" i="50" s="1"/>
  <c r="D2912" i="50"/>
  <c r="D3362" i="50" s="1"/>
  <c r="D2914" i="50"/>
  <c r="D3364" i="50" s="1"/>
  <c r="D2916" i="50"/>
  <c r="D2918" i="50"/>
  <c r="D2901" i="50"/>
  <c r="D3096" i="50" s="1"/>
  <c r="D3317" i="50" s="1"/>
  <c r="D2903" i="50"/>
  <c r="D2905" i="50"/>
  <c r="D3099" i="50" s="1"/>
  <c r="D3321" i="50" s="1"/>
  <c r="D2907" i="50"/>
  <c r="D3100" i="50" s="1"/>
  <c r="D3323" i="50" s="1"/>
  <c r="D2909" i="50"/>
  <c r="D3102" i="50" s="1"/>
  <c r="D3325" i="50" s="1"/>
  <c r="D2911" i="50"/>
  <c r="D3104" i="50" s="1"/>
  <c r="D3327" i="50" s="1"/>
  <c r="D2913" i="50"/>
  <c r="D3363" i="50" s="1"/>
  <c r="D2915" i="50"/>
  <c r="D2917" i="50"/>
  <c r="D2919" i="50"/>
  <c r="E3006" i="50"/>
  <c r="E3297" i="50"/>
  <c r="J2381" i="50"/>
  <c r="B2162" i="50"/>
  <c r="B2227" i="50" s="1"/>
  <c r="B2391" i="50" s="1"/>
  <c r="B2819" i="50"/>
  <c r="B2965" i="50" s="1"/>
  <c r="B3213" i="50" s="1"/>
  <c r="B2843" i="50"/>
  <c r="B2983" i="50" s="1"/>
  <c r="B3245" i="50" s="1"/>
  <c r="G2142" i="50"/>
  <c r="G2218" i="50" s="1"/>
  <c r="G2382" i="50" s="1"/>
  <c r="G2810" i="50"/>
  <c r="G2956" i="50" s="1"/>
  <c r="G3204" i="50" s="1"/>
  <c r="J2812" i="50"/>
  <c r="J2958" i="50" s="1"/>
  <c r="J3206" i="50" s="1"/>
  <c r="J2124" i="50"/>
  <c r="J2220" i="50" s="1"/>
  <c r="J2384" i="50" s="1"/>
  <c r="G2868" i="50"/>
  <c r="G3002" i="50" s="1"/>
  <c r="G3289" i="50" s="1"/>
  <c r="B2142" i="50"/>
  <c r="B2218" i="50" s="1"/>
  <c r="B2382" i="50" s="1"/>
  <c r="B2810" i="50"/>
  <c r="B2956" i="50" s="1"/>
  <c r="B3204" i="50" s="1"/>
  <c r="I2162" i="50"/>
  <c r="I2227" i="50" s="1"/>
  <c r="I2391" i="50" s="1"/>
  <c r="I2819" i="50"/>
  <c r="I2965" i="50" s="1"/>
  <c r="I3213" i="50" s="1"/>
  <c r="I2813" i="50"/>
  <c r="I2959" i="50" s="1"/>
  <c r="I3207" i="50" s="1"/>
  <c r="I2143" i="50"/>
  <c r="I2221" i="50" s="1"/>
  <c r="I2385" i="50" s="1"/>
  <c r="C2970" i="50"/>
  <c r="C3218" i="50"/>
  <c r="C2973" i="50"/>
  <c r="C3221" i="50"/>
  <c r="C2992" i="50"/>
  <c r="C3259" i="50"/>
  <c r="C2901" i="50"/>
  <c r="C3096" i="50" s="1"/>
  <c r="C3317" i="50" s="1"/>
  <c r="C2903" i="50"/>
  <c r="C2905" i="50"/>
  <c r="C3099" i="50" s="1"/>
  <c r="C3321" i="50" s="1"/>
  <c r="C2907" i="50"/>
  <c r="C3100" i="50" s="1"/>
  <c r="C3323" i="50" s="1"/>
  <c r="C2909" i="50"/>
  <c r="C3102" i="50" s="1"/>
  <c r="C3325" i="50" s="1"/>
  <c r="C2911" i="50"/>
  <c r="C3104" i="50" s="1"/>
  <c r="C3327" i="50" s="1"/>
  <c r="C2913" i="50"/>
  <c r="C3363" i="50" s="1"/>
  <c r="C2915" i="50"/>
  <c r="C2917" i="50"/>
  <c r="C2919" i="50"/>
  <c r="C2902" i="50"/>
  <c r="C3097" i="50" s="1"/>
  <c r="C3318" i="50" s="1"/>
  <c r="C2904" i="50"/>
  <c r="C3098" i="50" s="1"/>
  <c r="C3320" i="50" s="1"/>
  <c r="C2906" i="50"/>
  <c r="C2908" i="50"/>
  <c r="C3101" i="50" s="1"/>
  <c r="C3324" i="50" s="1"/>
  <c r="C2910" i="50"/>
  <c r="C3103" i="50" s="1"/>
  <c r="C3326" i="50" s="1"/>
  <c r="C2912" i="50"/>
  <c r="C3362" i="50" s="1"/>
  <c r="C2914" i="50"/>
  <c r="C3364" i="50" s="1"/>
  <c r="C2916" i="50"/>
  <c r="C2918" i="50"/>
  <c r="B2814" i="50"/>
  <c r="B2960" i="50" s="1"/>
  <c r="B3208" i="50" s="1"/>
  <c r="B2125" i="50"/>
  <c r="B2222" i="50" s="1"/>
  <c r="B2386" i="50" s="1"/>
  <c r="D1782" i="50"/>
  <c r="D2053" i="50" s="1"/>
  <c r="D1804" i="50"/>
  <c r="D2080" i="50" s="1"/>
  <c r="G2811" i="50"/>
  <c r="G2957" i="50" s="1"/>
  <c r="G3205" i="50" s="1"/>
  <c r="G2123" i="50"/>
  <c r="G2219" i="50" s="1"/>
  <c r="G2383" i="50" s="1"/>
  <c r="I2867" i="50"/>
  <c r="I3001" i="50" s="1"/>
  <c r="I3288" i="50" s="1"/>
  <c r="F2813" i="50"/>
  <c r="F2959" i="50" s="1"/>
  <c r="F3207" i="50" s="1"/>
  <c r="F2143" i="50"/>
  <c r="F2221" i="50" s="1"/>
  <c r="G2973" i="50"/>
  <c r="G3221" i="50"/>
  <c r="G2970" i="50"/>
  <c r="G3218" i="50"/>
  <c r="F2972" i="50"/>
  <c r="F3220" i="50"/>
  <c r="F2971" i="50"/>
  <c r="F3219" i="50"/>
  <c r="F2901" i="50"/>
  <c r="F3096" i="50" s="1"/>
  <c r="F3317" i="50" s="1"/>
  <c r="F2903" i="50"/>
  <c r="F2905" i="50"/>
  <c r="F3099" i="50" s="1"/>
  <c r="F3321" i="50" s="1"/>
  <c r="F2907" i="50"/>
  <c r="F3100" i="50" s="1"/>
  <c r="F3323" i="50" s="1"/>
  <c r="F2909" i="50"/>
  <c r="F3102" i="50" s="1"/>
  <c r="F3325" i="50" s="1"/>
  <c r="F2911" i="50"/>
  <c r="F3104" i="50" s="1"/>
  <c r="F3327" i="50" s="1"/>
  <c r="F2913" i="50"/>
  <c r="F3363" i="50" s="1"/>
  <c r="F2915" i="50"/>
  <c r="F2917" i="50"/>
  <c r="F2919" i="50"/>
  <c r="F2902" i="50"/>
  <c r="F3097" i="50" s="1"/>
  <c r="F3318" i="50" s="1"/>
  <c r="F2904" i="50"/>
  <c r="F3098" i="50" s="1"/>
  <c r="F3320" i="50" s="1"/>
  <c r="F2906" i="50"/>
  <c r="F2908" i="50"/>
  <c r="F3101" i="50" s="1"/>
  <c r="F3324" i="50" s="1"/>
  <c r="F2910" i="50"/>
  <c r="F3103" i="50" s="1"/>
  <c r="F3326" i="50" s="1"/>
  <c r="F2912" i="50"/>
  <c r="F3362" i="50" s="1"/>
  <c r="F2914" i="50"/>
  <c r="F3364" i="50" s="1"/>
  <c r="F2916" i="50"/>
  <c r="F2918" i="50"/>
  <c r="J2868" i="50"/>
  <c r="J3002" i="50" s="1"/>
  <c r="J3289" i="50" s="1"/>
  <c r="E2142" i="50"/>
  <c r="E2218" i="50" s="1"/>
  <c r="E2382" i="50" s="1"/>
  <c r="E2810" i="50"/>
  <c r="E2956" i="50" s="1"/>
  <c r="E3204" i="50" s="1"/>
  <c r="G2812" i="50"/>
  <c r="G2958" i="50" s="1"/>
  <c r="G3206" i="50" s="1"/>
  <c r="G2124" i="50"/>
  <c r="G2220" i="50" s="1"/>
  <c r="G2384" i="50" s="1"/>
  <c r="B2847" i="50"/>
  <c r="B2987" i="50" s="1"/>
  <c r="B3250" i="50" s="1"/>
  <c r="E2848" i="50"/>
  <c r="E2988" i="50" s="1"/>
  <c r="E3251" i="50" s="1"/>
  <c r="I2842" i="50"/>
  <c r="I2982" i="50" s="1"/>
  <c r="I3242" i="50" s="1"/>
  <c r="H2972" i="50"/>
  <c r="H3220" i="50"/>
  <c r="I3006" i="50"/>
  <c r="I3297" i="50"/>
  <c r="I2902" i="50"/>
  <c r="I3097" i="50" s="1"/>
  <c r="I3318" i="50" s="1"/>
  <c r="I2904" i="50"/>
  <c r="I3098" i="50" s="1"/>
  <c r="I3320" i="50" s="1"/>
  <c r="I2906" i="50"/>
  <c r="I2908" i="50"/>
  <c r="I3101" i="50" s="1"/>
  <c r="I3324" i="50" s="1"/>
  <c r="I2910" i="50"/>
  <c r="I3103" i="50" s="1"/>
  <c r="I3326" i="50" s="1"/>
  <c r="I2912" i="50"/>
  <c r="I3362" i="50" s="1"/>
  <c r="I2914" i="50"/>
  <c r="I3364" i="50" s="1"/>
  <c r="I2916" i="50"/>
  <c r="I2918" i="50"/>
  <c r="I2901" i="50"/>
  <c r="I3096" i="50" s="1"/>
  <c r="I3317" i="50" s="1"/>
  <c r="I2903" i="50"/>
  <c r="I2905" i="50"/>
  <c r="I3099" i="50" s="1"/>
  <c r="I3321" i="50" s="1"/>
  <c r="I2907" i="50"/>
  <c r="I3100" i="50" s="1"/>
  <c r="I3323" i="50" s="1"/>
  <c r="I2909" i="50"/>
  <c r="I3102" i="50" s="1"/>
  <c r="I3325" i="50" s="1"/>
  <c r="I2911" i="50"/>
  <c r="I3104" i="50" s="1"/>
  <c r="I3327" i="50" s="1"/>
  <c r="I2913" i="50"/>
  <c r="I3363" i="50" s="1"/>
  <c r="I2915" i="50"/>
  <c r="I2917" i="50"/>
  <c r="I2919" i="50"/>
  <c r="G2122" i="50"/>
  <c r="G2217" i="50" s="1"/>
  <c r="G2809" i="50"/>
  <c r="G2955" i="50" s="1"/>
  <c r="G3203" i="50" s="1"/>
  <c r="C2162" i="50"/>
  <c r="C2227" i="50" s="1"/>
  <c r="C2391" i="50" s="1"/>
  <c r="C2819" i="50"/>
  <c r="C2965" i="50" s="1"/>
  <c r="C3213" i="50" s="1"/>
  <c r="C2842" i="50"/>
  <c r="C2982" i="50" s="1"/>
  <c r="C3242" i="50" s="1"/>
  <c r="D2973" i="50"/>
  <c r="D3221" i="50"/>
  <c r="D2972" i="50"/>
  <c r="D3220" i="50"/>
  <c r="E2970" i="50"/>
  <c r="E3218" i="50"/>
  <c r="E2969" i="50"/>
  <c r="E3217" i="50"/>
  <c r="B2813" i="50"/>
  <c r="B2959" i="50" s="1"/>
  <c r="B3207" i="50" s="1"/>
  <c r="B2143" i="50"/>
  <c r="B2221" i="50" s="1"/>
  <c r="B2385" i="50" s="1"/>
  <c r="G2867" i="50"/>
  <c r="G3001" i="50" s="1"/>
  <c r="G3288" i="50" s="1"/>
  <c r="E2867" i="50"/>
  <c r="E3001" i="50" s="1"/>
  <c r="E3288" i="50" s="1"/>
  <c r="G2848" i="50"/>
  <c r="G2988" i="50" s="1"/>
  <c r="G3251" i="50" s="1"/>
  <c r="F2868" i="50"/>
  <c r="F3002" i="50" s="1"/>
  <c r="F3289" i="50" s="1"/>
  <c r="I2868" i="50"/>
  <c r="I3002" i="50" s="1"/>
  <c r="I3289" i="50" s="1"/>
  <c r="C2867" i="50"/>
  <c r="C3001" i="50" s="1"/>
  <c r="C3288" i="50" s="1"/>
  <c r="C3006" i="50"/>
  <c r="C3297" i="50"/>
  <c r="B2812" i="50"/>
  <c r="B2958" i="50" s="1"/>
  <c r="B3206" i="50" s="1"/>
  <c r="B2124" i="50"/>
  <c r="B2220" i="50" s="1"/>
  <c r="B2384" i="50" s="1"/>
  <c r="J3006" i="50"/>
  <c r="J3297" i="50"/>
  <c r="J2969" i="50"/>
  <c r="J3217" i="50"/>
  <c r="J2971" i="50"/>
  <c r="J3219" i="50"/>
  <c r="D1783" i="50"/>
  <c r="D2054" i="50" s="1"/>
  <c r="H1788" i="50"/>
  <c r="H2059" i="50" s="1"/>
  <c r="H1809" i="50"/>
  <c r="H2085" i="50" s="1"/>
  <c r="H1825" i="50"/>
  <c r="H2102" i="50" s="1"/>
  <c r="H1783" i="50"/>
  <c r="H2054" i="50" s="1"/>
  <c r="D2124" i="50" l="1"/>
  <c r="D2220" i="50" s="1"/>
  <c r="D2384" i="50" s="1"/>
  <c r="I2251" i="50"/>
  <c r="I2381" i="50"/>
  <c r="I2407" i="50" s="1"/>
  <c r="H2843" i="50"/>
  <c r="H2983" i="50" s="1"/>
  <c r="H3245" i="50" s="1"/>
  <c r="D2868" i="50"/>
  <c r="D3002" i="50" s="1"/>
  <c r="D3289" i="50" s="1"/>
  <c r="H2162" i="50"/>
  <c r="H2227" i="50" s="1"/>
  <c r="H2391" i="50" s="1"/>
  <c r="H2819" i="50"/>
  <c r="H2965" i="50" s="1"/>
  <c r="H3213" i="50" s="1"/>
  <c r="G2381" i="50"/>
  <c r="G2407" i="50" s="1"/>
  <c r="G2251" i="50"/>
  <c r="J2407" i="50"/>
  <c r="B2416" i="50" s="1"/>
  <c r="J2454" i="50" s="1"/>
  <c r="J2887" i="50" s="1"/>
  <c r="H2813" i="50"/>
  <c r="H2959" i="50" s="1"/>
  <c r="H3207" i="50" s="1"/>
  <c r="H2143" i="50"/>
  <c r="H2221" i="50" s="1"/>
  <c r="D2848" i="50"/>
  <c r="D2988" i="50" s="1"/>
  <c r="D3251" i="50" s="1"/>
  <c r="B2407" i="50"/>
  <c r="H2848" i="50"/>
  <c r="H2988" i="50" s="1"/>
  <c r="H3251" i="50" s="1"/>
  <c r="H2814" i="50"/>
  <c r="H2960" i="50" s="1"/>
  <c r="H3208" i="50" s="1"/>
  <c r="H2125" i="50"/>
  <c r="H2222" i="50" s="1"/>
  <c r="H2386" i="50" s="1"/>
  <c r="D2814" i="50"/>
  <c r="D2960" i="50" s="1"/>
  <c r="D3208" i="50" s="1"/>
  <c r="D2125" i="50"/>
  <c r="D2222" i="50" s="1"/>
  <c r="D2386" i="50" s="1"/>
  <c r="F2385" i="50"/>
  <c r="F2407" i="50" s="1"/>
  <c r="F2251" i="50"/>
  <c r="D2843" i="50"/>
  <c r="D2983" i="50" s="1"/>
  <c r="D3245" i="50" s="1"/>
  <c r="J2251" i="50"/>
  <c r="E2407" i="50"/>
  <c r="D2162" i="50"/>
  <c r="D2227" i="50" s="1"/>
  <c r="D2391" i="50" s="1"/>
  <c r="D2819" i="50"/>
  <c r="D2965" i="50" s="1"/>
  <c r="D3213" i="50" s="1"/>
  <c r="B2251" i="50"/>
  <c r="H2868" i="50"/>
  <c r="H3002" i="50" s="1"/>
  <c r="H3289" i="50" s="1"/>
  <c r="D2813" i="50"/>
  <c r="D2959" i="50" s="1"/>
  <c r="D3207" i="50" s="1"/>
  <c r="D2143" i="50"/>
  <c r="D2221" i="50" s="1"/>
  <c r="D2385" i="50" s="1"/>
  <c r="E2251" i="50"/>
  <c r="E2465" i="50" s="1"/>
  <c r="C2381" i="50"/>
  <c r="C2407" i="50" s="1"/>
  <c r="C2251" i="50"/>
  <c r="B2465" i="50" l="1"/>
  <c r="J2465" i="50"/>
  <c r="D2407" i="50"/>
  <c r="C2465" i="50"/>
  <c r="B2486" i="50" s="1"/>
  <c r="C2534" i="50" s="1"/>
  <c r="F2465" i="50"/>
  <c r="G2465" i="50"/>
  <c r="D2486" i="50"/>
  <c r="E2534" i="50" s="1"/>
  <c r="J2901" i="50"/>
  <c r="J3096" i="50" s="1"/>
  <c r="J3317" i="50" s="1"/>
  <c r="J2903" i="50"/>
  <c r="J2905" i="50"/>
  <c r="J3099" i="50" s="1"/>
  <c r="J3321" i="50" s="1"/>
  <c r="J2907" i="50"/>
  <c r="J3100" i="50" s="1"/>
  <c r="J3323" i="50" s="1"/>
  <c r="J2909" i="50"/>
  <c r="J3102" i="50" s="1"/>
  <c r="J3325" i="50" s="1"/>
  <c r="J2911" i="50"/>
  <c r="J3104" i="50" s="1"/>
  <c r="J3327" i="50" s="1"/>
  <c r="J2913" i="50"/>
  <c r="J3363" i="50" s="1"/>
  <c r="J2915" i="50"/>
  <c r="J2917" i="50"/>
  <c r="J2919" i="50"/>
  <c r="J2902" i="50"/>
  <c r="J3097" i="50" s="1"/>
  <c r="J3318" i="50" s="1"/>
  <c r="J2904" i="50"/>
  <c r="J3098" i="50" s="1"/>
  <c r="J3320" i="50" s="1"/>
  <c r="J2906" i="50"/>
  <c r="J2908" i="50"/>
  <c r="J3101" i="50" s="1"/>
  <c r="J3324" i="50" s="1"/>
  <c r="J2910" i="50"/>
  <c r="J3103" i="50" s="1"/>
  <c r="J3326" i="50" s="1"/>
  <c r="J2912" i="50"/>
  <c r="J3362" i="50" s="1"/>
  <c r="J2914" i="50"/>
  <c r="J3364" i="50" s="1"/>
  <c r="J2916" i="50"/>
  <c r="J2918" i="50"/>
  <c r="E2486" i="50"/>
  <c r="F2534" i="50" s="1"/>
  <c r="H2385" i="50"/>
  <c r="H2407" i="50" s="1"/>
  <c r="H2251" i="50"/>
  <c r="F2486" i="50"/>
  <c r="G2534" i="50" s="1"/>
  <c r="I2486" i="50"/>
  <c r="J2534" i="50" s="1"/>
  <c r="D2251" i="50"/>
  <c r="I2465" i="50"/>
  <c r="D2465" i="50" l="1"/>
  <c r="C2486" i="50" s="1"/>
  <c r="D2534" i="50" s="1"/>
  <c r="H2486" i="50"/>
  <c r="I2534" i="50" s="1"/>
  <c r="H2465" i="50"/>
  <c r="G2486" i="50" l="1"/>
  <c r="H2534" i="50" s="1"/>
  <c r="M2534" i="50" l="1"/>
  <c r="E2556" i="50" l="1"/>
  <c r="I2556" i="50"/>
  <c r="D2556" i="50"/>
  <c r="H2556" i="50"/>
  <c r="L2556" i="50"/>
  <c r="L2565" i="50" s="1"/>
  <c r="K2556" i="50"/>
  <c r="K2565" i="50" s="1"/>
  <c r="G2556" i="50"/>
  <c r="F2556" i="50"/>
  <c r="C2556" i="50"/>
  <c r="B2556" i="50"/>
  <c r="B2574" i="50" s="1"/>
  <c r="K2759" i="50" s="1"/>
  <c r="J2556" i="50"/>
  <c r="F2574" i="50" l="1"/>
  <c r="O2759" i="50" s="1"/>
  <c r="F2565" i="50"/>
  <c r="H2574" i="50"/>
  <c r="Q2759" i="50" s="1"/>
  <c r="H2565" i="50"/>
  <c r="J2574" i="50"/>
  <c r="S2759" i="50" s="1"/>
  <c r="J2565" i="50"/>
  <c r="G2574" i="50"/>
  <c r="P2759" i="50" s="1"/>
  <c r="G2565" i="50"/>
  <c r="D2574" i="50"/>
  <c r="M2759" i="50" s="1"/>
  <c r="D2565" i="50"/>
  <c r="K2772" i="50"/>
  <c r="K2929" i="50" s="1"/>
  <c r="K2774" i="50"/>
  <c r="K2931" i="50" s="1"/>
  <c r="K2776" i="50"/>
  <c r="K2933" i="50" s="1"/>
  <c r="K2778" i="50"/>
  <c r="K2935" i="50" s="1"/>
  <c r="K2780" i="50"/>
  <c r="K2937" i="50" s="1"/>
  <c r="K2782" i="50"/>
  <c r="K2939" i="50" s="1"/>
  <c r="K3126" i="50" s="1"/>
  <c r="K3138" i="50" s="1"/>
  <c r="M3397" i="50" s="1"/>
  <c r="K2784" i="50"/>
  <c r="K2941" i="50" s="1"/>
  <c r="K3128" i="50" s="1"/>
  <c r="K3140" i="50" s="1"/>
  <c r="M3399" i="50" s="1"/>
  <c r="K2786" i="50"/>
  <c r="K2943" i="50" s="1"/>
  <c r="K2788" i="50"/>
  <c r="K2945" i="50" s="1"/>
  <c r="K2790" i="50"/>
  <c r="M3222" i="50" s="1"/>
  <c r="K2792" i="50"/>
  <c r="M3224" i="50" s="1"/>
  <c r="K2794" i="50"/>
  <c r="M3226" i="50" s="1"/>
  <c r="K2771" i="50"/>
  <c r="K2928" i="50" s="1"/>
  <c r="K2773" i="50"/>
  <c r="K2930" i="50" s="1"/>
  <c r="K2775" i="50"/>
  <c r="K2932" i="50" s="1"/>
  <c r="K2777" i="50"/>
  <c r="K2934" i="50" s="1"/>
  <c r="K2779" i="50"/>
  <c r="K2936" i="50" s="1"/>
  <c r="K2781" i="50"/>
  <c r="K2938" i="50" s="1"/>
  <c r="K2783" i="50"/>
  <c r="K2940" i="50" s="1"/>
  <c r="K3127" i="50" s="1"/>
  <c r="K3139" i="50" s="1"/>
  <c r="M3398" i="50" s="1"/>
  <c r="K2785" i="50"/>
  <c r="K2942" i="50" s="1"/>
  <c r="K2787" i="50"/>
  <c r="K2944" i="50" s="1"/>
  <c r="K2789" i="50"/>
  <c r="K2946" i="50" s="1"/>
  <c r="K2791" i="50"/>
  <c r="M3223" i="50" s="1"/>
  <c r="K2793" i="50"/>
  <c r="K2795" i="50"/>
  <c r="K2797" i="50"/>
  <c r="K2796" i="50"/>
  <c r="M3228" i="50" s="1"/>
  <c r="K2887" i="50"/>
  <c r="K3168" i="50"/>
  <c r="K3183" i="50" s="1"/>
  <c r="M3408" i="50" s="1"/>
  <c r="K3170" i="50"/>
  <c r="K3185" i="50" s="1"/>
  <c r="M3410" i="50" s="1"/>
  <c r="K3172" i="50"/>
  <c r="K3187" i="50" s="1"/>
  <c r="M3412" i="50" s="1"/>
  <c r="K3167" i="50"/>
  <c r="K3182" i="50" s="1"/>
  <c r="M3407" i="50" s="1"/>
  <c r="K3169" i="50"/>
  <c r="K3184" i="50" s="1"/>
  <c r="M3409" i="50" s="1"/>
  <c r="K3171" i="50"/>
  <c r="K3186" i="50" s="1"/>
  <c r="M3411" i="50" s="1"/>
  <c r="B3522" i="50"/>
  <c r="M3531" i="50" s="1"/>
  <c r="K2874" i="50"/>
  <c r="M3303" i="50" s="1"/>
  <c r="K2854" i="50"/>
  <c r="M3265" i="50" s="1"/>
  <c r="K2855" i="50"/>
  <c r="M3267" i="50" s="1"/>
  <c r="K2875" i="50"/>
  <c r="M3305" i="50" s="1"/>
  <c r="K2829" i="50"/>
  <c r="M3227" i="50" s="1"/>
  <c r="K2853" i="50"/>
  <c r="M3263" i="50" s="1"/>
  <c r="K2830" i="50"/>
  <c r="M3229" i="50" s="1"/>
  <c r="K2873" i="50"/>
  <c r="M3301" i="50" s="1"/>
  <c r="K2828" i="50"/>
  <c r="M3225" i="50" s="1"/>
  <c r="K2825" i="50"/>
  <c r="K2852" i="50"/>
  <c r="K2815" i="50"/>
  <c r="K2961" i="50" s="1"/>
  <c r="M3209" i="50" s="1"/>
  <c r="K2850" i="50"/>
  <c r="K2990" i="50" s="1"/>
  <c r="M3253" i="50" s="1"/>
  <c r="K2846" i="50"/>
  <c r="K2986" i="50" s="1"/>
  <c r="M3249" i="50" s="1"/>
  <c r="K2845" i="50"/>
  <c r="K2985" i="50" s="1"/>
  <c r="M3248" i="50" s="1"/>
  <c r="K2851" i="50"/>
  <c r="K2991" i="50" s="1"/>
  <c r="M3254" i="50" s="1"/>
  <c r="K2817" i="50"/>
  <c r="K2963" i="50" s="1"/>
  <c r="M3211" i="50" s="1"/>
  <c r="K2869" i="50"/>
  <c r="K3003" i="50" s="1"/>
  <c r="M3290" i="50" s="1"/>
  <c r="K2827" i="50"/>
  <c r="K2849" i="50"/>
  <c r="K2989" i="50" s="1"/>
  <c r="M3252" i="50" s="1"/>
  <c r="K2823" i="50"/>
  <c r="K2820" i="50"/>
  <c r="K2966" i="50" s="1"/>
  <c r="M3214" i="50" s="1"/>
  <c r="K2871" i="50"/>
  <c r="K3005" i="50" s="1"/>
  <c r="M3292" i="50" s="1"/>
  <c r="K2872" i="50"/>
  <c r="K2821" i="50"/>
  <c r="K2967" i="50" s="1"/>
  <c r="M3215" i="50" s="1"/>
  <c r="K2822" i="50"/>
  <c r="K2968" i="50" s="1"/>
  <c r="M3216" i="50" s="1"/>
  <c r="K2824" i="50"/>
  <c r="K2816" i="50"/>
  <c r="K2962" i="50" s="1"/>
  <c r="M3210" i="50" s="1"/>
  <c r="K2844" i="50"/>
  <c r="K2984" i="50" s="1"/>
  <c r="M3247" i="50" s="1"/>
  <c r="K2870" i="50"/>
  <c r="K3004" i="50" s="1"/>
  <c r="M3291" i="50" s="1"/>
  <c r="K2826" i="50"/>
  <c r="K2809" i="50"/>
  <c r="K2955" i="50" s="1"/>
  <c r="M3203" i="50" s="1"/>
  <c r="K2811" i="50"/>
  <c r="K2957" i="50" s="1"/>
  <c r="M3205" i="50" s="1"/>
  <c r="K2842" i="50"/>
  <c r="K2982" i="50" s="1"/>
  <c r="M3242" i="50" s="1"/>
  <c r="K2867" i="50"/>
  <c r="K3001" i="50" s="1"/>
  <c r="M3288" i="50" s="1"/>
  <c r="K2819" i="50"/>
  <c r="K2965" i="50" s="1"/>
  <c r="M3213" i="50" s="1"/>
  <c r="K2818" i="50"/>
  <c r="K2964" i="50" s="1"/>
  <c r="M3212" i="50" s="1"/>
  <c r="K2810" i="50"/>
  <c r="K2956" i="50" s="1"/>
  <c r="M3204" i="50" s="1"/>
  <c r="K2812" i="50"/>
  <c r="K2958" i="50" s="1"/>
  <c r="M3206" i="50" s="1"/>
  <c r="K2868" i="50"/>
  <c r="K3002" i="50" s="1"/>
  <c r="M3289" i="50" s="1"/>
  <c r="K2848" i="50"/>
  <c r="K2988" i="50" s="1"/>
  <c r="M3251" i="50" s="1"/>
  <c r="K2814" i="50"/>
  <c r="K2960" i="50" s="1"/>
  <c r="M3208" i="50" s="1"/>
  <c r="K2847" i="50"/>
  <c r="K2987" i="50" s="1"/>
  <c r="M3250" i="50" s="1"/>
  <c r="K2813" i="50"/>
  <c r="K2959" i="50" s="1"/>
  <c r="M3207" i="50" s="1"/>
  <c r="K2843" i="50"/>
  <c r="K2983" i="50" s="1"/>
  <c r="M3245" i="50" s="1"/>
  <c r="B2587" i="50"/>
  <c r="B2591" i="50"/>
  <c r="B2595" i="50"/>
  <c r="B2599" i="50"/>
  <c r="B2603" i="50"/>
  <c r="B2607" i="50"/>
  <c r="B2611" i="50"/>
  <c r="B2625" i="50"/>
  <c r="V3220" i="50" s="1"/>
  <c r="B2590" i="50"/>
  <c r="B2594" i="50"/>
  <c r="B2598" i="50"/>
  <c r="B2602" i="50"/>
  <c r="B2606" i="50"/>
  <c r="B2610" i="50"/>
  <c r="B2622" i="50"/>
  <c r="V3217" i="50" s="1"/>
  <c r="B2626" i="50"/>
  <c r="B2589" i="50"/>
  <c r="B2593" i="50"/>
  <c r="B2597" i="50"/>
  <c r="B2601" i="50"/>
  <c r="B2605" i="50"/>
  <c r="B2609" i="50"/>
  <c r="B2613" i="50"/>
  <c r="B2623" i="50"/>
  <c r="V3218" i="50" s="1"/>
  <c r="B2588" i="50"/>
  <c r="B2592" i="50"/>
  <c r="B2596" i="50"/>
  <c r="B2600" i="50"/>
  <c r="B2604" i="50"/>
  <c r="B2608" i="50"/>
  <c r="B2612" i="50"/>
  <c r="B2624" i="50"/>
  <c r="V3219" i="50" s="1"/>
  <c r="I2574" i="50"/>
  <c r="R2759" i="50" s="1"/>
  <c r="I2565" i="50"/>
  <c r="C2574" i="50"/>
  <c r="L2759" i="50" s="1"/>
  <c r="C2565" i="50"/>
  <c r="C2588" i="50"/>
  <c r="W3318" i="50" s="1"/>
  <c r="C2592" i="50"/>
  <c r="C2596" i="50"/>
  <c r="W3326" i="50" s="1"/>
  <c r="C2600" i="50"/>
  <c r="W3330" i="50" s="1"/>
  <c r="C2604" i="50"/>
  <c r="C2608" i="50"/>
  <c r="W3338" i="50" s="1"/>
  <c r="C2612" i="50"/>
  <c r="W3342" i="50" s="1"/>
  <c r="C2587" i="50"/>
  <c r="W3317" i="50" s="1"/>
  <c r="C2591" i="50"/>
  <c r="W3321" i="50" s="1"/>
  <c r="C2595" i="50"/>
  <c r="W3325" i="50" s="1"/>
  <c r="C2599" i="50"/>
  <c r="W3329" i="50" s="1"/>
  <c r="C2603" i="50"/>
  <c r="C2607" i="50"/>
  <c r="W3337" i="50" s="1"/>
  <c r="C2611" i="50"/>
  <c r="W3341" i="50" s="1"/>
  <c r="C2590" i="50"/>
  <c r="W3320" i="50" s="1"/>
  <c r="C2594" i="50"/>
  <c r="W3324" i="50" s="1"/>
  <c r="C2598" i="50"/>
  <c r="W3328" i="50" s="1"/>
  <c r="C2602" i="50"/>
  <c r="C2606" i="50"/>
  <c r="W3336" i="50" s="1"/>
  <c r="C2610" i="50"/>
  <c r="W3340" i="50" s="1"/>
  <c r="C2589" i="50"/>
  <c r="C2593" i="50"/>
  <c r="W3323" i="50" s="1"/>
  <c r="C2597" i="50"/>
  <c r="W3327" i="50" s="1"/>
  <c r="C2601" i="50"/>
  <c r="C2605" i="50"/>
  <c r="C2609" i="50"/>
  <c r="W3339" i="50" s="1"/>
  <c r="C2613" i="50"/>
  <c r="W3343" i="50" s="1"/>
  <c r="E2574" i="50"/>
  <c r="N2759" i="50" s="1"/>
  <c r="E2565" i="50"/>
  <c r="D2608" i="50" l="1"/>
  <c r="V3338" i="50"/>
  <c r="D2592" i="50"/>
  <c r="D2609" i="50"/>
  <c r="V3339" i="50"/>
  <c r="D2593" i="50"/>
  <c r="V3323" i="50"/>
  <c r="D2610" i="50"/>
  <c r="V3340" i="50"/>
  <c r="D2594" i="50"/>
  <c r="V3324" i="50"/>
  <c r="D2607" i="50"/>
  <c r="V3337" i="50"/>
  <c r="D2591" i="50"/>
  <c r="V3321" i="50"/>
  <c r="K2972" i="50"/>
  <c r="M3220" i="50"/>
  <c r="K2970" i="50"/>
  <c r="M3218" i="50"/>
  <c r="K2973" i="50"/>
  <c r="M3221" i="50"/>
  <c r="K2992" i="50"/>
  <c r="M3259" i="50"/>
  <c r="R2771" i="50"/>
  <c r="R2928" i="50" s="1"/>
  <c r="R2773" i="50"/>
  <c r="R2930" i="50" s="1"/>
  <c r="R2775" i="50"/>
  <c r="R2932" i="50" s="1"/>
  <c r="R2777" i="50"/>
  <c r="R2934" i="50" s="1"/>
  <c r="R2779" i="50"/>
  <c r="R2936" i="50" s="1"/>
  <c r="R2781" i="50"/>
  <c r="R2938" i="50" s="1"/>
  <c r="R2783" i="50"/>
  <c r="R2940" i="50" s="1"/>
  <c r="R3127" i="50" s="1"/>
  <c r="R3139" i="50" s="1"/>
  <c r="T3398" i="50" s="1"/>
  <c r="R2785" i="50"/>
  <c r="R2942" i="50" s="1"/>
  <c r="R2787" i="50"/>
  <c r="R2944" i="50" s="1"/>
  <c r="R2772" i="50"/>
  <c r="R2929" i="50" s="1"/>
  <c r="R2774" i="50"/>
  <c r="R2931" i="50" s="1"/>
  <c r="R2776" i="50"/>
  <c r="R2933" i="50" s="1"/>
  <c r="R2778" i="50"/>
  <c r="R2935" i="50" s="1"/>
  <c r="R2780" i="50"/>
  <c r="R2937" i="50" s="1"/>
  <c r="R2782" i="50"/>
  <c r="R2939" i="50" s="1"/>
  <c r="R3126" i="50" s="1"/>
  <c r="R3138" i="50" s="1"/>
  <c r="T3397" i="50" s="1"/>
  <c r="R2784" i="50"/>
  <c r="R2941" i="50" s="1"/>
  <c r="R3128" i="50" s="1"/>
  <c r="R3140" i="50" s="1"/>
  <c r="T3399" i="50" s="1"/>
  <c r="R2790" i="50"/>
  <c r="T3222" i="50" s="1"/>
  <c r="R2794" i="50"/>
  <c r="T3226" i="50" s="1"/>
  <c r="R2796" i="50"/>
  <c r="T3228" i="50" s="1"/>
  <c r="R2791" i="50"/>
  <c r="T3223" i="50" s="1"/>
  <c r="R2795" i="50"/>
  <c r="R2788" i="50"/>
  <c r="R2945" i="50" s="1"/>
  <c r="R2792" i="50"/>
  <c r="T3224" i="50" s="1"/>
  <c r="R2797" i="50"/>
  <c r="R2887" i="50"/>
  <c r="R2786" i="50"/>
  <c r="R2943" i="50" s="1"/>
  <c r="R2789" i="50"/>
  <c r="R2946" i="50" s="1"/>
  <c r="R2793" i="50"/>
  <c r="R3167" i="50"/>
  <c r="R3182" i="50" s="1"/>
  <c r="T3407" i="50" s="1"/>
  <c r="R3169" i="50"/>
  <c r="R3184" i="50" s="1"/>
  <c r="T3409" i="50" s="1"/>
  <c r="R3168" i="50"/>
  <c r="R3183" i="50" s="1"/>
  <c r="T3408" i="50" s="1"/>
  <c r="R3170" i="50"/>
  <c r="R3185" i="50" s="1"/>
  <c r="T3410" i="50" s="1"/>
  <c r="R3171" i="50"/>
  <c r="R3186" i="50" s="1"/>
  <c r="T3411" i="50" s="1"/>
  <c r="R3172" i="50"/>
  <c r="R3187" i="50" s="1"/>
  <c r="T3412" i="50" s="1"/>
  <c r="R2854" i="50"/>
  <c r="T3265" i="50" s="1"/>
  <c r="R2830" i="50"/>
  <c r="T3229" i="50" s="1"/>
  <c r="R2853" i="50"/>
  <c r="T3263" i="50" s="1"/>
  <c r="R2829" i="50"/>
  <c r="T3227" i="50" s="1"/>
  <c r="R2855" i="50"/>
  <c r="T3267" i="50" s="1"/>
  <c r="R2875" i="50"/>
  <c r="T3305" i="50" s="1"/>
  <c r="R2828" i="50"/>
  <c r="T3225" i="50" s="1"/>
  <c r="R2873" i="50"/>
  <c r="T3301" i="50" s="1"/>
  <c r="R2874" i="50"/>
  <c r="T3303" i="50" s="1"/>
  <c r="R2849" i="50"/>
  <c r="R2989" i="50" s="1"/>
  <c r="T3252" i="50" s="1"/>
  <c r="R2824" i="50"/>
  <c r="R2820" i="50"/>
  <c r="R2966" i="50" s="1"/>
  <c r="T3214" i="50" s="1"/>
  <c r="R2817" i="50"/>
  <c r="R2963" i="50" s="1"/>
  <c r="T3211" i="50" s="1"/>
  <c r="R2822" i="50"/>
  <c r="R2968" i="50" s="1"/>
  <c r="T3216" i="50" s="1"/>
  <c r="R2871" i="50"/>
  <c r="R3005" i="50" s="1"/>
  <c r="T3292" i="50" s="1"/>
  <c r="R2851" i="50"/>
  <c r="R2991" i="50" s="1"/>
  <c r="T3254" i="50" s="1"/>
  <c r="R2850" i="50"/>
  <c r="R2990" i="50" s="1"/>
  <c r="T3253" i="50" s="1"/>
  <c r="R2845" i="50"/>
  <c r="R2985" i="50" s="1"/>
  <c r="T3248" i="50" s="1"/>
  <c r="R2823" i="50"/>
  <c r="R2844" i="50"/>
  <c r="R2984" i="50" s="1"/>
  <c r="T3247" i="50" s="1"/>
  <c r="R2826" i="50"/>
  <c r="R2870" i="50"/>
  <c r="R3004" i="50" s="1"/>
  <c r="T3291" i="50" s="1"/>
  <c r="R2846" i="50"/>
  <c r="R2986" i="50" s="1"/>
  <c r="T3249" i="50" s="1"/>
  <c r="R2825" i="50"/>
  <c r="R2815" i="50"/>
  <c r="R2961" i="50" s="1"/>
  <c r="T3209" i="50" s="1"/>
  <c r="R2872" i="50"/>
  <c r="R2827" i="50"/>
  <c r="R2821" i="50"/>
  <c r="R2967" i="50" s="1"/>
  <c r="T3215" i="50" s="1"/>
  <c r="R2816" i="50"/>
  <c r="R2962" i="50" s="1"/>
  <c r="T3210" i="50" s="1"/>
  <c r="R2869" i="50"/>
  <c r="R3003" i="50" s="1"/>
  <c r="T3290" i="50" s="1"/>
  <c r="R2852" i="50"/>
  <c r="R2814" i="50"/>
  <c r="R2960" i="50" s="1"/>
  <c r="T3208" i="50" s="1"/>
  <c r="R2811" i="50"/>
  <c r="R2957" i="50" s="1"/>
  <c r="T3205" i="50" s="1"/>
  <c r="R2818" i="50"/>
  <c r="R2964" i="50" s="1"/>
  <c r="T3212" i="50" s="1"/>
  <c r="R2848" i="50"/>
  <c r="R2988" i="50" s="1"/>
  <c r="T3251" i="50" s="1"/>
  <c r="R2809" i="50"/>
  <c r="R2955" i="50" s="1"/>
  <c r="T3203" i="50" s="1"/>
  <c r="R2819" i="50"/>
  <c r="R2965" i="50" s="1"/>
  <c r="T3213" i="50" s="1"/>
  <c r="R2812" i="50"/>
  <c r="R2958" i="50" s="1"/>
  <c r="T3206" i="50" s="1"/>
  <c r="R2843" i="50"/>
  <c r="R2983" i="50" s="1"/>
  <c r="T3245" i="50" s="1"/>
  <c r="R2867" i="50"/>
  <c r="R3001" i="50" s="1"/>
  <c r="T3288" i="50" s="1"/>
  <c r="R2842" i="50"/>
  <c r="R2982" i="50" s="1"/>
  <c r="T3242" i="50" s="1"/>
  <c r="R2868" i="50"/>
  <c r="R3002" i="50" s="1"/>
  <c r="T3289" i="50" s="1"/>
  <c r="R2847" i="50"/>
  <c r="R2987" i="50" s="1"/>
  <c r="T3250" i="50" s="1"/>
  <c r="R2810" i="50"/>
  <c r="R2956" i="50" s="1"/>
  <c r="T3204" i="50" s="1"/>
  <c r="R2813" i="50"/>
  <c r="R2959" i="50" s="1"/>
  <c r="T3207" i="50" s="1"/>
  <c r="D2604" i="50"/>
  <c r="D2588" i="50"/>
  <c r="V3318" i="50"/>
  <c r="D2605" i="50"/>
  <c r="D2589" i="50"/>
  <c r="D2606" i="50"/>
  <c r="V3336" i="50"/>
  <c r="D2590" i="50"/>
  <c r="V3320" i="50"/>
  <c r="D2603" i="50"/>
  <c r="D2587" i="50"/>
  <c r="V3317" i="50"/>
  <c r="K2971" i="50"/>
  <c r="M3219" i="50"/>
  <c r="P2772" i="50"/>
  <c r="P2929" i="50" s="1"/>
  <c r="P2774" i="50"/>
  <c r="P2931" i="50" s="1"/>
  <c r="P2776" i="50"/>
  <c r="P2933" i="50" s="1"/>
  <c r="P2778" i="50"/>
  <c r="P2935" i="50" s="1"/>
  <c r="P2780" i="50"/>
  <c r="P2937" i="50" s="1"/>
  <c r="P2782" i="50"/>
  <c r="P2939" i="50" s="1"/>
  <c r="P3126" i="50" s="1"/>
  <c r="P3138" i="50" s="1"/>
  <c r="R3397" i="50" s="1"/>
  <c r="P2784" i="50"/>
  <c r="P2941" i="50" s="1"/>
  <c r="P3128" i="50" s="1"/>
  <c r="P3140" i="50" s="1"/>
  <c r="R3399" i="50" s="1"/>
  <c r="P2786" i="50"/>
  <c r="P2943" i="50" s="1"/>
  <c r="P2771" i="50"/>
  <c r="P2928" i="50" s="1"/>
  <c r="P2773" i="50"/>
  <c r="P2930" i="50" s="1"/>
  <c r="P2775" i="50"/>
  <c r="P2932" i="50" s="1"/>
  <c r="P2777" i="50"/>
  <c r="P2934" i="50" s="1"/>
  <c r="P2779" i="50"/>
  <c r="P2936" i="50" s="1"/>
  <c r="P2781" i="50"/>
  <c r="P2938" i="50" s="1"/>
  <c r="P2783" i="50"/>
  <c r="P2940" i="50" s="1"/>
  <c r="P3127" i="50" s="1"/>
  <c r="P3139" i="50" s="1"/>
  <c r="R3398" i="50" s="1"/>
  <c r="P2787" i="50"/>
  <c r="P2944" i="50" s="1"/>
  <c r="P2791" i="50"/>
  <c r="R3223" i="50" s="1"/>
  <c r="P2795" i="50"/>
  <c r="P2797" i="50"/>
  <c r="P2887" i="50"/>
  <c r="P2788" i="50"/>
  <c r="P2945" i="50" s="1"/>
  <c r="P2792" i="50"/>
  <c r="R3224" i="50" s="1"/>
  <c r="P2785" i="50"/>
  <c r="P2942" i="50" s="1"/>
  <c r="P2789" i="50"/>
  <c r="P2946" i="50" s="1"/>
  <c r="P2793" i="50"/>
  <c r="P2790" i="50"/>
  <c r="R3222" i="50" s="1"/>
  <c r="P2794" i="50"/>
  <c r="R3226" i="50" s="1"/>
  <c r="P2796" i="50"/>
  <c r="R3228" i="50" s="1"/>
  <c r="P3168" i="50"/>
  <c r="P3183" i="50" s="1"/>
  <c r="R3408" i="50" s="1"/>
  <c r="P3170" i="50"/>
  <c r="P3185" i="50" s="1"/>
  <c r="R3410" i="50" s="1"/>
  <c r="P3167" i="50"/>
  <c r="P3182" i="50" s="1"/>
  <c r="R3407" i="50" s="1"/>
  <c r="P3169" i="50"/>
  <c r="P3184" i="50" s="1"/>
  <c r="R3409" i="50" s="1"/>
  <c r="P3171" i="50"/>
  <c r="P3186" i="50" s="1"/>
  <c r="R3411" i="50" s="1"/>
  <c r="P3172" i="50"/>
  <c r="P3187" i="50" s="1"/>
  <c r="R3412" i="50" s="1"/>
  <c r="P2830" i="50"/>
  <c r="R3229" i="50" s="1"/>
  <c r="P2875" i="50"/>
  <c r="R3305" i="50" s="1"/>
  <c r="P2855" i="50"/>
  <c r="R3267" i="50" s="1"/>
  <c r="P2874" i="50"/>
  <c r="R3303" i="50" s="1"/>
  <c r="P2873" i="50"/>
  <c r="R3301" i="50" s="1"/>
  <c r="P2854" i="50"/>
  <c r="R3265" i="50" s="1"/>
  <c r="P2829" i="50"/>
  <c r="R3227" i="50" s="1"/>
  <c r="P2828" i="50"/>
  <c r="R3225" i="50" s="1"/>
  <c r="P2853" i="50"/>
  <c r="R3263" i="50" s="1"/>
  <c r="P2870" i="50"/>
  <c r="P3004" i="50" s="1"/>
  <c r="R3291" i="50" s="1"/>
  <c r="P2815" i="50"/>
  <c r="P2961" i="50" s="1"/>
  <c r="R3209" i="50" s="1"/>
  <c r="P2872" i="50"/>
  <c r="P2869" i="50"/>
  <c r="P3003" i="50" s="1"/>
  <c r="R3290" i="50" s="1"/>
  <c r="P2821" i="50"/>
  <c r="P2967" i="50" s="1"/>
  <c r="R3215" i="50" s="1"/>
  <c r="P2846" i="50"/>
  <c r="P2986" i="50" s="1"/>
  <c r="R3249" i="50" s="1"/>
  <c r="P2817" i="50"/>
  <c r="P2963" i="50" s="1"/>
  <c r="R3211" i="50" s="1"/>
  <c r="P2824" i="50"/>
  <c r="P2845" i="50"/>
  <c r="P2985" i="50" s="1"/>
  <c r="R3248" i="50" s="1"/>
  <c r="P2852" i="50"/>
  <c r="P2820" i="50"/>
  <c r="P2966" i="50" s="1"/>
  <c r="R3214" i="50" s="1"/>
  <c r="P2844" i="50"/>
  <c r="P2984" i="50" s="1"/>
  <c r="R3247" i="50" s="1"/>
  <c r="P2816" i="50"/>
  <c r="P2962" i="50" s="1"/>
  <c r="R3210" i="50" s="1"/>
  <c r="P2826" i="50"/>
  <c r="P2850" i="50"/>
  <c r="P2990" i="50" s="1"/>
  <c r="R3253" i="50" s="1"/>
  <c r="P2827" i="50"/>
  <c r="P2871" i="50"/>
  <c r="P3005" i="50" s="1"/>
  <c r="R3292" i="50" s="1"/>
  <c r="P2823" i="50"/>
  <c r="P2849" i="50"/>
  <c r="P2989" i="50" s="1"/>
  <c r="R3252" i="50" s="1"/>
  <c r="P2851" i="50"/>
  <c r="P2991" i="50" s="1"/>
  <c r="R3254" i="50" s="1"/>
  <c r="P2822" i="50"/>
  <c r="P2968" i="50" s="1"/>
  <c r="R3216" i="50" s="1"/>
  <c r="P2825" i="50"/>
  <c r="P2814" i="50"/>
  <c r="P2960" i="50" s="1"/>
  <c r="R3208" i="50" s="1"/>
  <c r="P2847" i="50"/>
  <c r="P2987" i="50" s="1"/>
  <c r="R3250" i="50" s="1"/>
  <c r="P2819" i="50"/>
  <c r="P2965" i="50" s="1"/>
  <c r="R3213" i="50" s="1"/>
  <c r="P2842" i="50"/>
  <c r="P2982" i="50" s="1"/>
  <c r="R3242" i="50" s="1"/>
  <c r="P2813" i="50"/>
  <c r="P2959" i="50" s="1"/>
  <c r="R3207" i="50" s="1"/>
  <c r="P2810" i="50"/>
  <c r="P2956" i="50" s="1"/>
  <c r="R3204" i="50" s="1"/>
  <c r="P2811" i="50"/>
  <c r="P2957" i="50" s="1"/>
  <c r="R3205" i="50" s="1"/>
  <c r="P2867" i="50"/>
  <c r="P3001" i="50" s="1"/>
  <c r="R3288" i="50" s="1"/>
  <c r="P2848" i="50"/>
  <c r="P2988" i="50" s="1"/>
  <c r="R3251" i="50" s="1"/>
  <c r="P2843" i="50"/>
  <c r="P2983" i="50" s="1"/>
  <c r="R3245" i="50" s="1"/>
  <c r="P2818" i="50"/>
  <c r="P2964" i="50" s="1"/>
  <c r="R3212" i="50" s="1"/>
  <c r="P2868" i="50"/>
  <c r="P3002" i="50" s="1"/>
  <c r="R3289" i="50" s="1"/>
  <c r="P2812" i="50"/>
  <c r="P2958" i="50" s="1"/>
  <c r="R3206" i="50" s="1"/>
  <c r="P2809" i="50"/>
  <c r="P2955" i="50" s="1"/>
  <c r="R3203" i="50" s="1"/>
  <c r="Q2771" i="50"/>
  <c r="Q2928" i="50" s="1"/>
  <c r="Q2773" i="50"/>
  <c r="Q2930" i="50" s="1"/>
  <c r="Q2775" i="50"/>
  <c r="Q2932" i="50" s="1"/>
  <c r="Q2777" i="50"/>
  <c r="Q2934" i="50" s="1"/>
  <c r="Q2779" i="50"/>
  <c r="Q2936" i="50" s="1"/>
  <c r="Q2781" i="50"/>
  <c r="Q2938" i="50" s="1"/>
  <c r="Q2783" i="50"/>
  <c r="Q2940" i="50" s="1"/>
  <c r="Q3127" i="50" s="1"/>
  <c r="Q3139" i="50" s="1"/>
  <c r="S3398" i="50" s="1"/>
  <c r="Q2785" i="50"/>
  <c r="Q2942" i="50" s="1"/>
  <c r="Q2787" i="50"/>
  <c r="Q2944" i="50" s="1"/>
  <c r="Q2789" i="50"/>
  <c r="Q2946" i="50" s="1"/>
  <c r="Q2791" i="50"/>
  <c r="S3223" i="50" s="1"/>
  <c r="Q2793" i="50"/>
  <c r="Q2795" i="50"/>
  <c r="Q2772" i="50"/>
  <c r="Q2929" i="50" s="1"/>
  <c r="Q2774" i="50"/>
  <c r="Q2931" i="50" s="1"/>
  <c r="Q2776" i="50"/>
  <c r="Q2933" i="50" s="1"/>
  <c r="Q2778" i="50"/>
  <c r="Q2935" i="50" s="1"/>
  <c r="Q2780" i="50"/>
  <c r="Q2937" i="50" s="1"/>
  <c r="Q2782" i="50"/>
  <c r="Q2939" i="50" s="1"/>
  <c r="Q3126" i="50" s="1"/>
  <c r="Q3138" i="50" s="1"/>
  <c r="S3397" i="50" s="1"/>
  <c r="Q2784" i="50"/>
  <c r="Q2941" i="50" s="1"/>
  <c r="Q3128" i="50" s="1"/>
  <c r="Q3140" i="50" s="1"/>
  <c r="S3399" i="50" s="1"/>
  <c r="Q2786" i="50"/>
  <c r="Q2943" i="50" s="1"/>
  <c r="Q2788" i="50"/>
  <c r="Q2945" i="50" s="1"/>
  <c r="Q2790" i="50"/>
  <c r="S3222" i="50" s="1"/>
  <c r="Q2792" i="50"/>
  <c r="S3224" i="50" s="1"/>
  <c r="Q2794" i="50"/>
  <c r="S3226" i="50" s="1"/>
  <c r="Q2796" i="50"/>
  <c r="S3228" i="50" s="1"/>
  <c r="Q2797" i="50"/>
  <c r="Q2887" i="50"/>
  <c r="Q3167" i="50"/>
  <c r="Q3182" i="50" s="1"/>
  <c r="S3407" i="50" s="1"/>
  <c r="Q3169" i="50"/>
  <c r="Q3184" i="50" s="1"/>
  <c r="S3409" i="50" s="1"/>
  <c r="Q3171" i="50"/>
  <c r="Q3186" i="50" s="1"/>
  <c r="S3411" i="50" s="1"/>
  <c r="Q3168" i="50"/>
  <c r="Q3183" i="50" s="1"/>
  <c r="S3408" i="50" s="1"/>
  <c r="Q3170" i="50"/>
  <c r="Q3185" i="50" s="1"/>
  <c r="S3410" i="50" s="1"/>
  <c r="Q3172" i="50"/>
  <c r="Q3187" i="50" s="1"/>
  <c r="S3412" i="50" s="1"/>
  <c r="Q2854" i="50"/>
  <c r="S3265" i="50" s="1"/>
  <c r="Q2873" i="50"/>
  <c r="S3301" i="50" s="1"/>
  <c r="Q2855" i="50"/>
  <c r="S3267" i="50" s="1"/>
  <c r="Q2828" i="50"/>
  <c r="S3225" i="50" s="1"/>
  <c r="Q2874" i="50"/>
  <c r="S3303" i="50" s="1"/>
  <c r="Q2875" i="50"/>
  <c r="S3305" i="50" s="1"/>
  <c r="Q2829" i="50"/>
  <c r="S3227" i="50" s="1"/>
  <c r="Q2830" i="50"/>
  <c r="S3229" i="50" s="1"/>
  <c r="Q2853" i="50"/>
  <c r="S3263" i="50" s="1"/>
  <c r="Q2851" i="50"/>
  <c r="Q2991" i="50" s="1"/>
  <c r="S3254" i="50" s="1"/>
  <c r="Q2850" i="50"/>
  <c r="Q2990" i="50" s="1"/>
  <c r="S3253" i="50" s="1"/>
  <c r="Q2823" i="50"/>
  <c r="Q2822" i="50"/>
  <c r="Q2968" i="50" s="1"/>
  <c r="S3216" i="50" s="1"/>
  <c r="Q2870" i="50"/>
  <c r="Q3004" i="50" s="1"/>
  <c r="S3291" i="50" s="1"/>
  <c r="Q2825" i="50"/>
  <c r="Q2852" i="50"/>
  <c r="Q2846" i="50"/>
  <c r="Q2986" i="50" s="1"/>
  <c r="S3249" i="50" s="1"/>
  <c r="Q2871" i="50"/>
  <c r="Q3005" i="50" s="1"/>
  <c r="S3292" i="50" s="1"/>
  <c r="Q2849" i="50"/>
  <c r="Q2989" i="50" s="1"/>
  <c r="S3252" i="50" s="1"/>
  <c r="Q2844" i="50"/>
  <c r="Q2984" i="50" s="1"/>
  <c r="S3247" i="50" s="1"/>
  <c r="Q2826" i="50"/>
  <c r="Q2816" i="50"/>
  <c r="Q2962" i="50" s="1"/>
  <c r="S3210" i="50" s="1"/>
  <c r="Q2824" i="50"/>
  <c r="Q2817" i="50"/>
  <c r="Q2963" i="50" s="1"/>
  <c r="S3211" i="50" s="1"/>
  <c r="Q2827" i="50"/>
  <c r="Q2821" i="50"/>
  <c r="Q2967" i="50" s="1"/>
  <c r="S3215" i="50" s="1"/>
  <c r="Q2845" i="50"/>
  <c r="Q2985" i="50" s="1"/>
  <c r="S3248" i="50" s="1"/>
  <c r="Q2820" i="50"/>
  <c r="Q2966" i="50" s="1"/>
  <c r="S3214" i="50" s="1"/>
  <c r="Q2815" i="50"/>
  <c r="Q2961" i="50" s="1"/>
  <c r="S3209" i="50" s="1"/>
  <c r="Q2869" i="50"/>
  <c r="Q3003" i="50" s="1"/>
  <c r="S3290" i="50" s="1"/>
  <c r="Q2872" i="50"/>
  <c r="Q2809" i="50"/>
  <c r="Q2955" i="50" s="1"/>
  <c r="S3203" i="50" s="1"/>
  <c r="Q2811" i="50"/>
  <c r="Q2957" i="50" s="1"/>
  <c r="S3205" i="50" s="1"/>
  <c r="Q2847" i="50"/>
  <c r="Q2987" i="50" s="1"/>
  <c r="S3250" i="50" s="1"/>
  <c r="Q2842" i="50"/>
  <c r="Q2982" i="50" s="1"/>
  <c r="S3242" i="50" s="1"/>
  <c r="Q2818" i="50"/>
  <c r="Q2964" i="50" s="1"/>
  <c r="S3212" i="50" s="1"/>
  <c r="Q2810" i="50"/>
  <c r="Q2956" i="50" s="1"/>
  <c r="S3204" i="50" s="1"/>
  <c r="Q2867" i="50"/>
  <c r="Q3001" i="50" s="1"/>
  <c r="S3288" i="50" s="1"/>
  <c r="Q2812" i="50"/>
  <c r="Q2958" i="50" s="1"/>
  <c r="S3206" i="50" s="1"/>
  <c r="Q2813" i="50"/>
  <c r="Q2959" i="50" s="1"/>
  <c r="S3207" i="50" s="1"/>
  <c r="Q2814" i="50"/>
  <c r="Q2960" i="50" s="1"/>
  <c r="S3208" i="50" s="1"/>
  <c r="Q2868" i="50"/>
  <c r="Q3002" i="50" s="1"/>
  <c r="S3289" i="50" s="1"/>
  <c r="Q2843" i="50"/>
  <c r="Q2983" i="50" s="1"/>
  <c r="S3245" i="50" s="1"/>
  <c r="Q2819" i="50"/>
  <c r="Q2965" i="50" s="1"/>
  <c r="S3213" i="50" s="1"/>
  <c r="Q2848" i="50"/>
  <c r="Q2988" i="50" s="1"/>
  <c r="S3251" i="50" s="1"/>
  <c r="N2771" i="50"/>
  <c r="N2928" i="50" s="1"/>
  <c r="N2773" i="50"/>
  <c r="N2930" i="50" s="1"/>
  <c r="N2775" i="50"/>
  <c r="N2932" i="50" s="1"/>
  <c r="N2777" i="50"/>
  <c r="N2934" i="50" s="1"/>
  <c r="N2779" i="50"/>
  <c r="N2936" i="50" s="1"/>
  <c r="N2781" i="50"/>
  <c r="N2938" i="50" s="1"/>
  <c r="N2783" i="50"/>
  <c r="N2940" i="50" s="1"/>
  <c r="N3127" i="50" s="1"/>
  <c r="N3139" i="50" s="1"/>
  <c r="P3398" i="50" s="1"/>
  <c r="N2785" i="50"/>
  <c r="N2942" i="50" s="1"/>
  <c r="N2787" i="50"/>
  <c r="N2944" i="50" s="1"/>
  <c r="N2772" i="50"/>
  <c r="N2929" i="50" s="1"/>
  <c r="N2774" i="50"/>
  <c r="N2931" i="50" s="1"/>
  <c r="N2776" i="50"/>
  <c r="N2933" i="50" s="1"/>
  <c r="N2778" i="50"/>
  <c r="N2935" i="50" s="1"/>
  <c r="N2780" i="50"/>
  <c r="N2937" i="50" s="1"/>
  <c r="N2782" i="50"/>
  <c r="N2939" i="50" s="1"/>
  <c r="N3126" i="50" s="1"/>
  <c r="N3138" i="50" s="1"/>
  <c r="P3397" i="50" s="1"/>
  <c r="N2784" i="50"/>
  <c r="N2941" i="50" s="1"/>
  <c r="N3128" i="50" s="1"/>
  <c r="N3140" i="50" s="1"/>
  <c r="P3399" i="50" s="1"/>
  <c r="N2788" i="50"/>
  <c r="N2945" i="50" s="1"/>
  <c r="N2792" i="50"/>
  <c r="P3224" i="50" s="1"/>
  <c r="N2789" i="50"/>
  <c r="N2946" i="50" s="1"/>
  <c r="N2793" i="50"/>
  <c r="N2796" i="50"/>
  <c r="P3228" i="50" s="1"/>
  <c r="N2786" i="50"/>
  <c r="N2943" i="50" s="1"/>
  <c r="N2790" i="50"/>
  <c r="P3222" i="50" s="1"/>
  <c r="N2794" i="50"/>
  <c r="P3226" i="50" s="1"/>
  <c r="N2887" i="50"/>
  <c r="N2791" i="50"/>
  <c r="P3223" i="50" s="1"/>
  <c r="N2795" i="50"/>
  <c r="N2797" i="50"/>
  <c r="N3167" i="50"/>
  <c r="N3182" i="50" s="1"/>
  <c r="P3407" i="50" s="1"/>
  <c r="N3169" i="50"/>
  <c r="N3184" i="50" s="1"/>
  <c r="P3409" i="50" s="1"/>
  <c r="N3168" i="50"/>
  <c r="N3183" i="50" s="1"/>
  <c r="P3408" i="50" s="1"/>
  <c r="N3170" i="50"/>
  <c r="N3185" i="50" s="1"/>
  <c r="P3410" i="50" s="1"/>
  <c r="N3171" i="50"/>
  <c r="N3186" i="50" s="1"/>
  <c r="P3411" i="50" s="1"/>
  <c r="N3172" i="50"/>
  <c r="N3187" i="50" s="1"/>
  <c r="P3412" i="50" s="1"/>
  <c r="N2873" i="50"/>
  <c r="P3301" i="50" s="1"/>
  <c r="N2855" i="50"/>
  <c r="P3267" i="50" s="1"/>
  <c r="N2874" i="50"/>
  <c r="P3303" i="50" s="1"/>
  <c r="N2854" i="50"/>
  <c r="P3265" i="50" s="1"/>
  <c r="N2853" i="50"/>
  <c r="P3263" i="50" s="1"/>
  <c r="N2875" i="50"/>
  <c r="P3305" i="50" s="1"/>
  <c r="N2830" i="50"/>
  <c r="P3229" i="50" s="1"/>
  <c r="N2829" i="50"/>
  <c r="P3227" i="50" s="1"/>
  <c r="N2828" i="50"/>
  <c r="P3225" i="50" s="1"/>
  <c r="N2851" i="50"/>
  <c r="N2991" i="50" s="1"/>
  <c r="P3254" i="50" s="1"/>
  <c r="N2850" i="50"/>
  <c r="N2990" i="50" s="1"/>
  <c r="P3253" i="50" s="1"/>
  <c r="N2844" i="50"/>
  <c r="N2984" i="50" s="1"/>
  <c r="P3247" i="50" s="1"/>
  <c r="N2816" i="50"/>
  <c r="N2962" i="50" s="1"/>
  <c r="P3210" i="50" s="1"/>
  <c r="N2852" i="50"/>
  <c r="N2824" i="50"/>
  <c r="N2869" i="50"/>
  <c r="N3003" i="50" s="1"/>
  <c r="P3290" i="50" s="1"/>
  <c r="N2846" i="50"/>
  <c r="N2986" i="50" s="1"/>
  <c r="P3249" i="50" s="1"/>
  <c r="N2825" i="50"/>
  <c r="N2817" i="50"/>
  <c r="N2963" i="50" s="1"/>
  <c r="P3211" i="50" s="1"/>
  <c r="N2827" i="50"/>
  <c r="N2823" i="50"/>
  <c r="N2820" i="50"/>
  <c r="N2966" i="50" s="1"/>
  <c r="P3214" i="50" s="1"/>
  <c r="N2826" i="50"/>
  <c r="N2821" i="50"/>
  <c r="N2967" i="50" s="1"/>
  <c r="P3215" i="50" s="1"/>
  <c r="N2849" i="50"/>
  <c r="N2989" i="50" s="1"/>
  <c r="P3252" i="50" s="1"/>
  <c r="N2871" i="50"/>
  <c r="N3005" i="50" s="1"/>
  <c r="P3292" i="50" s="1"/>
  <c r="N2845" i="50"/>
  <c r="N2985" i="50" s="1"/>
  <c r="P3248" i="50" s="1"/>
  <c r="N2822" i="50"/>
  <c r="N2968" i="50" s="1"/>
  <c r="P3216" i="50" s="1"/>
  <c r="N2815" i="50"/>
  <c r="N2961" i="50" s="1"/>
  <c r="P3209" i="50" s="1"/>
  <c r="N2872" i="50"/>
  <c r="N2870" i="50"/>
  <c r="N3004" i="50" s="1"/>
  <c r="P3291" i="50" s="1"/>
  <c r="N2809" i="50"/>
  <c r="N2955" i="50" s="1"/>
  <c r="P3203" i="50" s="1"/>
  <c r="N2814" i="50"/>
  <c r="N2960" i="50" s="1"/>
  <c r="P3208" i="50" s="1"/>
  <c r="N2811" i="50"/>
  <c r="N2957" i="50" s="1"/>
  <c r="P3205" i="50" s="1"/>
  <c r="N2812" i="50"/>
  <c r="N2958" i="50" s="1"/>
  <c r="P3206" i="50" s="1"/>
  <c r="N2843" i="50"/>
  <c r="N2983" i="50" s="1"/>
  <c r="P3245" i="50" s="1"/>
  <c r="N2842" i="50"/>
  <c r="N2982" i="50" s="1"/>
  <c r="P3242" i="50" s="1"/>
  <c r="N2810" i="50"/>
  <c r="N2956" i="50" s="1"/>
  <c r="P3204" i="50" s="1"/>
  <c r="N2848" i="50"/>
  <c r="N2988" i="50" s="1"/>
  <c r="P3251" i="50" s="1"/>
  <c r="N2867" i="50"/>
  <c r="N3001" i="50" s="1"/>
  <c r="P3288" i="50" s="1"/>
  <c r="N2813" i="50"/>
  <c r="N2959" i="50" s="1"/>
  <c r="P3207" i="50" s="1"/>
  <c r="N2847" i="50"/>
  <c r="N2987" i="50" s="1"/>
  <c r="P3250" i="50" s="1"/>
  <c r="N2819" i="50"/>
  <c r="N2965" i="50" s="1"/>
  <c r="P3213" i="50" s="1"/>
  <c r="N2818" i="50"/>
  <c r="N2964" i="50" s="1"/>
  <c r="P3212" i="50" s="1"/>
  <c r="N2868" i="50"/>
  <c r="N3002" i="50" s="1"/>
  <c r="P3289" i="50" s="1"/>
  <c r="D2600" i="50"/>
  <c r="V3330" i="50"/>
  <c r="D2601" i="50"/>
  <c r="V3297" i="50"/>
  <c r="V3259" i="50"/>
  <c r="V3221" i="50"/>
  <c r="D2602" i="50"/>
  <c r="D2599" i="50"/>
  <c r="V3329" i="50"/>
  <c r="K2969" i="50"/>
  <c r="M3217" i="50"/>
  <c r="K2901" i="50"/>
  <c r="K3096" i="50" s="1"/>
  <c r="M3317" i="50" s="1"/>
  <c r="K2903" i="50"/>
  <c r="K2905" i="50"/>
  <c r="K3099" i="50" s="1"/>
  <c r="M3321" i="50" s="1"/>
  <c r="K2907" i="50"/>
  <c r="K3100" i="50" s="1"/>
  <c r="M3323" i="50" s="1"/>
  <c r="K2909" i="50"/>
  <c r="K3102" i="50" s="1"/>
  <c r="M3325" i="50" s="1"/>
  <c r="K2911" i="50"/>
  <c r="K3104" i="50" s="1"/>
  <c r="M3327" i="50" s="1"/>
  <c r="K2913" i="50"/>
  <c r="M3363" i="50" s="1"/>
  <c r="K2915" i="50"/>
  <c r="K2917" i="50"/>
  <c r="K2919" i="50"/>
  <c r="K2902" i="50"/>
  <c r="K3097" i="50" s="1"/>
  <c r="M3318" i="50" s="1"/>
  <c r="K2904" i="50"/>
  <c r="K3098" i="50" s="1"/>
  <c r="M3320" i="50" s="1"/>
  <c r="K2906" i="50"/>
  <c r="K2908" i="50"/>
  <c r="K3101" i="50" s="1"/>
  <c r="M3324" i="50" s="1"/>
  <c r="K2910" i="50"/>
  <c r="K3103" i="50" s="1"/>
  <c r="M3326" i="50" s="1"/>
  <c r="K2912" i="50"/>
  <c r="M3362" i="50" s="1"/>
  <c r="K2914" i="50"/>
  <c r="M3364" i="50" s="1"/>
  <c r="K2916" i="50"/>
  <c r="K2918" i="50"/>
  <c r="L2772" i="50"/>
  <c r="L2929" i="50" s="1"/>
  <c r="L2774" i="50"/>
  <c r="L2931" i="50" s="1"/>
  <c r="L2776" i="50"/>
  <c r="L2933" i="50" s="1"/>
  <c r="L2778" i="50"/>
  <c r="L2935" i="50" s="1"/>
  <c r="L2780" i="50"/>
  <c r="L2937" i="50" s="1"/>
  <c r="L2782" i="50"/>
  <c r="L2939" i="50" s="1"/>
  <c r="L3126" i="50" s="1"/>
  <c r="L3138" i="50" s="1"/>
  <c r="N3397" i="50" s="1"/>
  <c r="L2784" i="50"/>
  <c r="L2941" i="50" s="1"/>
  <c r="L3128" i="50" s="1"/>
  <c r="L3140" i="50" s="1"/>
  <c r="N3399" i="50" s="1"/>
  <c r="L2786" i="50"/>
  <c r="L2943" i="50" s="1"/>
  <c r="L2788" i="50"/>
  <c r="L2945" i="50" s="1"/>
  <c r="L2771" i="50"/>
  <c r="L2928" i="50" s="1"/>
  <c r="L2773" i="50"/>
  <c r="L2930" i="50" s="1"/>
  <c r="L2775" i="50"/>
  <c r="L2932" i="50" s="1"/>
  <c r="L2777" i="50"/>
  <c r="L2934" i="50" s="1"/>
  <c r="L2779" i="50"/>
  <c r="L2936" i="50" s="1"/>
  <c r="L2781" i="50"/>
  <c r="L2938" i="50" s="1"/>
  <c r="L2783" i="50"/>
  <c r="L2940" i="50" s="1"/>
  <c r="L3127" i="50" s="1"/>
  <c r="L3139" i="50" s="1"/>
  <c r="N3398" i="50" s="1"/>
  <c r="L2789" i="50"/>
  <c r="L2946" i="50" s="1"/>
  <c r="L2793" i="50"/>
  <c r="L2796" i="50"/>
  <c r="N3228" i="50" s="1"/>
  <c r="L2887" i="50"/>
  <c r="L2785" i="50"/>
  <c r="L2942" i="50" s="1"/>
  <c r="L2790" i="50"/>
  <c r="N3222" i="50" s="1"/>
  <c r="L2794" i="50"/>
  <c r="N3226" i="50" s="1"/>
  <c r="L2797" i="50"/>
  <c r="L2791" i="50"/>
  <c r="N3223" i="50" s="1"/>
  <c r="L2795" i="50"/>
  <c r="L2787" i="50"/>
  <c r="L2944" i="50" s="1"/>
  <c r="L2792" i="50"/>
  <c r="N3224" i="50" s="1"/>
  <c r="L3168" i="50"/>
  <c r="L3183" i="50" s="1"/>
  <c r="N3408" i="50" s="1"/>
  <c r="L3170" i="50"/>
  <c r="L3185" i="50" s="1"/>
  <c r="N3410" i="50" s="1"/>
  <c r="L3167" i="50"/>
  <c r="L3182" i="50" s="1"/>
  <c r="N3407" i="50" s="1"/>
  <c r="L3169" i="50"/>
  <c r="L3184" i="50" s="1"/>
  <c r="N3409" i="50" s="1"/>
  <c r="L3171" i="50"/>
  <c r="L3186" i="50" s="1"/>
  <c r="N3411" i="50" s="1"/>
  <c r="L3172" i="50"/>
  <c r="L3187" i="50" s="1"/>
  <c r="N3412" i="50" s="1"/>
  <c r="L2829" i="50"/>
  <c r="N3227" i="50" s="1"/>
  <c r="L2853" i="50"/>
  <c r="N3263" i="50" s="1"/>
  <c r="L2828" i="50"/>
  <c r="N3225" i="50" s="1"/>
  <c r="L2873" i="50"/>
  <c r="N3301" i="50" s="1"/>
  <c r="L2830" i="50"/>
  <c r="N3229" i="50" s="1"/>
  <c r="L2875" i="50"/>
  <c r="N3305" i="50" s="1"/>
  <c r="L2874" i="50"/>
  <c r="N3303" i="50" s="1"/>
  <c r="L2855" i="50"/>
  <c r="N3267" i="50" s="1"/>
  <c r="L2854" i="50"/>
  <c r="N3265" i="50" s="1"/>
  <c r="L2827" i="50"/>
  <c r="L2870" i="50"/>
  <c r="L3004" i="50" s="1"/>
  <c r="N3291" i="50" s="1"/>
  <c r="L2844" i="50"/>
  <c r="L2984" i="50" s="1"/>
  <c r="N3247" i="50" s="1"/>
  <c r="L2816" i="50"/>
  <c r="L2962" i="50" s="1"/>
  <c r="N3210" i="50" s="1"/>
  <c r="L2824" i="50"/>
  <c r="L2851" i="50"/>
  <c r="L2991" i="50" s="1"/>
  <c r="N3254" i="50" s="1"/>
  <c r="L2852" i="50"/>
  <c r="L2826" i="50"/>
  <c r="L2869" i="50"/>
  <c r="L3003" i="50" s="1"/>
  <c r="N3290" i="50" s="1"/>
  <c r="L2872" i="50"/>
  <c r="L2822" i="50"/>
  <c r="L2968" i="50" s="1"/>
  <c r="N3216" i="50" s="1"/>
  <c r="L2823" i="50"/>
  <c r="L2820" i="50"/>
  <c r="L2966" i="50" s="1"/>
  <c r="N3214" i="50" s="1"/>
  <c r="L2821" i="50"/>
  <c r="L2967" i="50" s="1"/>
  <c r="N3215" i="50" s="1"/>
  <c r="L2845" i="50"/>
  <c r="L2985" i="50" s="1"/>
  <c r="N3248" i="50" s="1"/>
  <c r="L2849" i="50"/>
  <c r="L2989" i="50" s="1"/>
  <c r="N3252" i="50" s="1"/>
  <c r="L2825" i="50"/>
  <c r="L2846" i="50"/>
  <c r="L2986" i="50" s="1"/>
  <c r="N3249" i="50" s="1"/>
  <c r="L2871" i="50"/>
  <c r="L3005" i="50" s="1"/>
  <c r="N3292" i="50" s="1"/>
  <c r="L2817" i="50"/>
  <c r="L2963" i="50" s="1"/>
  <c r="N3211" i="50" s="1"/>
  <c r="L2850" i="50"/>
  <c r="L2990" i="50" s="1"/>
  <c r="N3253" i="50" s="1"/>
  <c r="L2815" i="50"/>
  <c r="L2961" i="50" s="1"/>
  <c r="N3209" i="50" s="1"/>
  <c r="L2814" i="50"/>
  <c r="L2960" i="50" s="1"/>
  <c r="N3208" i="50" s="1"/>
  <c r="L2811" i="50"/>
  <c r="L2957" i="50" s="1"/>
  <c r="N3205" i="50" s="1"/>
  <c r="L2812" i="50"/>
  <c r="L2958" i="50" s="1"/>
  <c r="N3206" i="50" s="1"/>
  <c r="L2843" i="50"/>
  <c r="L2983" i="50" s="1"/>
  <c r="N3245" i="50" s="1"/>
  <c r="L2818" i="50"/>
  <c r="L2964" i="50" s="1"/>
  <c r="N3212" i="50" s="1"/>
  <c r="L2867" i="50"/>
  <c r="L3001" i="50" s="1"/>
  <c r="N3288" i="50" s="1"/>
  <c r="L2810" i="50"/>
  <c r="L2956" i="50" s="1"/>
  <c r="N3204" i="50" s="1"/>
  <c r="L2848" i="50"/>
  <c r="L2988" i="50" s="1"/>
  <c r="N3251" i="50" s="1"/>
  <c r="L2842" i="50"/>
  <c r="L2982" i="50" s="1"/>
  <c r="N3242" i="50" s="1"/>
  <c r="L2809" i="50"/>
  <c r="L2955" i="50" s="1"/>
  <c r="N3203" i="50" s="1"/>
  <c r="L2813" i="50"/>
  <c r="L2959" i="50" s="1"/>
  <c r="N3207" i="50" s="1"/>
  <c r="L2847" i="50"/>
  <c r="L2987" i="50" s="1"/>
  <c r="N3250" i="50" s="1"/>
  <c r="L2868" i="50"/>
  <c r="L3002" i="50" s="1"/>
  <c r="N3289" i="50" s="1"/>
  <c r="L2819" i="50"/>
  <c r="L2965" i="50" s="1"/>
  <c r="N3213" i="50" s="1"/>
  <c r="D2612" i="50"/>
  <c r="V3342" i="50"/>
  <c r="D2596" i="50"/>
  <c r="V3326" i="50"/>
  <c r="D2613" i="50"/>
  <c r="V3343" i="50"/>
  <c r="D2597" i="50"/>
  <c r="V3327" i="50"/>
  <c r="D2598" i="50"/>
  <c r="V3328" i="50"/>
  <c r="D2611" i="50"/>
  <c r="V3341" i="50"/>
  <c r="D2595" i="50"/>
  <c r="V3325" i="50"/>
  <c r="K3006" i="50"/>
  <c r="M3297" i="50"/>
  <c r="D3546" i="50"/>
  <c r="F3547" i="50"/>
  <c r="D3548" i="50"/>
  <c r="F3549" i="50"/>
  <c r="D3550" i="50"/>
  <c r="F3551" i="50"/>
  <c r="D3552" i="50"/>
  <c r="F3553" i="50"/>
  <c r="D3554" i="50"/>
  <c r="F3555" i="50"/>
  <c r="D3560" i="50"/>
  <c r="F3561" i="50"/>
  <c r="D3562" i="50"/>
  <c r="F3563" i="50"/>
  <c r="F3565" i="50"/>
  <c r="F3613" i="50" s="1"/>
  <c r="C3851" i="50" s="1"/>
  <c r="D3566" i="50"/>
  <c r="F3567" i="50"/>
  <c r="F3615" i="50" s="1"/>
  <c r="C3853" i="50" s="1"/>
  <c r="F3569" i="50"/>
  <c r="F3617" i="50" s="1"/>
  <c r="C3855" i="50" s="1"/>
  <c r="F3571" i="50"/>
  <c r="F3619" i="50" s="1"/>
  <c r="C3857" i="50" s="1"/>
  <c r="G3547" i="50"/>
  <c r="E3548" i="50"/>
  <c r="C3549" i="50"/>
  <c r="G3549" i="50"/>
  <c r="C3551" i="50"/>
  <c r="G3551" i="50"/>
  <c r="G3553" i="50"/>
  <c r="G3555" i="50"/>
  <c r="E3560" i="50"/>
  <c r="C3561" i="50"/>
  <c r="G3561" i="50"/>
  <c r="E3562" i="50"/>
  <c r="C3563" i="50"/>
  <c r="G3563" i="50"/>
  <c r="E3564" i="50"/>
  <c r="C3565" i="50"/>
  <c r="G3565" i="50"/>
  <c r="C3567" i="50"/>
  <c r="C3569" i="50"/>
  <c r="C3571" i="50"/>
  <c r="F3546" i="50"/>
  <c r="D3547" i="50"/>
  <c r="F3548" i="50"/>
  <c r="D3549" i="50"/>
  <c r="F3550" i="50"/>
  <c r="D3551" i="50"/>
  <c r="F3552" i="50"/>
  <c r="D3553" i="50"/>
  <c r="F3554" i="50"/>
  <c r="F3556" i="50"/>
  <c r="F3560" i="50"/>
  <c r="D3561" i="50"/>
  <c r="F3562" i="50"/>
  <c r="D3563" i="50"/>
  <c r="F3564" i="50"/>
  <c r="D3565" i="50"/>
  <c r="F3566" i="50"/>
  <c r="F3614" i="50" s="1"/>
  <c r="C3852" i="50" s="1"/>
  <c r="D3567" i="50"/>
  <c r="F3568" i="50"/>
  <c r="F3616" i="50" s="1"/>
  <c r="C3854" i="50" s="1"/>
  <c r="D3569" i="50"/>
  <c r="F3570" i="50"/>
  <c r="F3618" i="50" s="1"/>
  <c r="C3856" i="50" s="1"/>
  <c r="D3571" i="50"/>
  <c r="F3572" i="50"/>
  <c r="F3620" i="50" s="1"/>
  <c r="C3858" i="50" s="1"/>
  <c r="C3546" i="50"/>
  <c r="G3546" i="50"/>
  <c r="C3548" i="50"/>
  <c r="G3548" i="50"/>
  <c r="G3550" i="50"/>
  <c r="E3551" i="50"/>
  <c r="G3552" i="50"/>
  <c r="G3554" i="50"/>
  <c r="G3556" i="50"/>
  <c r="C3560" i="50"/>
  <c r="G3560" i="50"/>
  <c r="E3561" i="50"/>
  <c r="C3562" i="50"/>
  <c r="G3562" i="50"/>
  <c r="E3563" i="50"/>
  <c r="G3564" i="50"/>
  <c r="C3566" i="50"/>
  <c r="G3566" i="50"/>
  <c r="M2771" i="50"/>
  <c r="M2928" i="50" s="1"/>
  <c r="M2773" i="50"/>
  <c r="M2930" i="50" s="1"/>
  <c r="M2775" i="50"/>
  <c r="M2932" i="50" s="1"/>
  <c r="M2777" i="50"/>
  <c r="M2934" i="50" s="1"/>
  <c r="M2779" i="50"/>
  <c r="M2936" i="50" s="1"/>
  <c r="M2781" i="50"/>
  <c r="M2938" i="50" s="1"/>
  <c r="M2783" i="50"/>
  <c r="M2940" i="50" s="1"/>
  <c r="M3127" i="50" s="1"/>
  <c r="M3139" i="50" s="1"/>
  <c r="O3398" i="50" s="1"/>
  <c r="M2785" i="50"/>
  <c r="M2942" i="50" s="1"/>
  <c r="M2787" i="50"/>
  <c r="M2944" i="50" s="1"/>
  <c r="M2789" i="50"/>
  <c r="M2946" i="50" s="1"/>
  <c r="M2791" i="50"/>
  <c r="O3223" i="50" s="1"/>
  <c r="M2793" i="50"/>
  <c r="M2795" i="50"/>
  <c r="M2772" i="50"/>
  <c r="M2929" i="50" s="1"/>
  <c r="M2774" i="50"/>
  <c r="M2931" i="50" s="1"/>
  <c r="M2776" i="50"/>
  <c r="M2933" i="50" s="1"/>
  <c r="M2778" i="50"/>
  <c r="M2935" i="50" s="1"/>
  <c r="M2780" i="50"/>
  <c r="M2937" i="50" s="1"/>
  <c r="M2782" i="50"/>
  <c r="M2939" i="50" s="1"/>
  <c r="M3126" i="50" s="1"/>
  <c r="M3138" i="50" s="1"/>
  <c r="O3397" i="50" s="1"/>
  <c r="M2784" i="50"/>
  <c r="M2941" i="50" s="1"/>
  <c r="M3128" i="50" s="1"/>
  <c r="M3140" i="50" s="1"/>
  <c r="O3399" i="50" s="1"/>
  <c r="M2786" i="50"/>
  <c r="M2943" i="50" s="1"/>
  <c r="M2788" i="50"/>
  <c r="M2945" i="50" s="1"/>
  <c r="M2790" i="50"/>
  <c r="O3222" i="50" s="1"/>
  <c r="M2792" i="50"/>
  <c r="O3224" i="50" s="1"/>
  <c r="M2794" i="50"/>
  <c r="O3226" i="50" s="1"/>
  <c r="M2796" i="50"/>
  <c r="O3228" i="50" s="1"/>
  <c r="M2887" i="50"/>
  <c r="M2797" i="50"/>
  <c r="M3167" i="50"/>
  <c r="M3182" i="50" s="1"/>
  <c r="O3407" i="50" s="1"/>
  <c r="M3169" i="50"/>
  <c r="M3184" i="50" s="1"/>
  <c r="O3409" i="50" s="1"/>
  <c r="M3171" i="50"/>
  <c r="M3186" i="50" s="1"/>
  <c r="O3411" i="50" s="1"/>
  <c r="M3168" i="50"/>
  <c r="M3183" i="50" s="1"/>
  <c r="O3408" i="50" s="1"/>
  <c r="M3170" i="50"/>
  <c r="M3185" i="50" s="1"/>
  <c r="O3410" i="50" s="1"/>
  <c r="M3172" i="50"/>
  <c r="M3187" i="50" s="1"/>
  <c r="O3412" i="50" s="1"/>
  <c r="M2874" i="50"/>
  <c r="O3303" i="50" s="1"/>
  <c r="M2828" i="50"/>
  <c r="O3225" i="50" s="1"/>
  <c r="M2855" i="50"/>
  <c r="O3267" i="50" s="1"/>
  <c r="M2830" i="50"/>
  <c r="O3229" i="50" s="1"/>
  <c r="M2873" i="50"/>
  <c r="O3301" i="50" s="1"/>
  <c r="M2829" i="50"/>
  <c r="O3227" i="50" s="1"/>
  <c r="M2875" i="50"/>
  <c r="O3305" i="50" s="1"/>
  <c r="M2854" i="50"/>
  <c r="O3265" i="50" s="1"/>
  <c r="M2853" i="50"/>
  <c r="O3263" i="50" s="1"/>
  <c r="M2826" i="50"/>
  <c r="M2846" i="50"/>
  <c r="M2986" i="50" s="1"/>
  <c r="O3249" i="50" s="1"/>
  <c r="M2845" i="50"/>
  <c r="M2985" i="50" s="1"/>
  <c r="O3248" i="50" s="1"/>
  <c r="M2827" i="50"/>
  <c r="M2849" i="50"/>
  <c r="M2989" i="50" s="1"/>
  <c r="O3252" i="50" s="1"/>
  <c r="M2850" i="50"/>
  <c r="M2990" i="50" s="1"/>
  <c r="O3253" i="50" s="1"/>
  <c r="M2823" i="50"/>
  <c r="M2844" i="50"/>
  <c r="M2984" i="50" s="1"/>
  <c r="O3247" i="50" s="1"/>
  <c r="M2821" i="50"/>
  <c r="M2967" i="50" s="1"/>
  <c r="O3215" i="50" s="1"/>
  <c r="M2871" i="50"/>
  <c r="M3005" i="50" s="1"/>
  <c r="O3292" i="50" s="1"/>
  <c r="M2824" i="50"/>
  <c r="M2817" i="50"/>
  <c r="M2963" i="50" s="1"/>
  <c r="O3211" i="50" s="1"/>
  <c r="M2851" i="50"/>
  <c r="M2991" i="50" s="1"/>
  <c r="O3254" i="50" s="1"/>
  <c r="M2870" i="50"/>
  <c r="M3004" i="50" s="1"/>
  <c r="O3291" i="50" s="1"/>
  <c r="M2872" i="50"/>
  <c r="M2825" i="50"/>
  <c r="M2815" i="50"/>
  <c r="M2961" i="50" s="1"/>
  <c r="O3209" i="50" s="1"/>
  <c r="M2820" i="50"/>
  <c r="M2966" i="50" s="1"/>
  <c r="O3214" i="50" s="1"/>
  <c r="M2869" i="50"/>
  <c r="M3003" i="50" s="1"/>
  <c r="O3290" i="50" s="1"/>
  <c r="M2852" i="50"/>
  <c r="M2816" i="50"/>
  <c r="M2962" i="50" s="1"/>
  <c r="O3210" i="50" s="1"/>
  <c r="M2822" i="50"/>
  <c r="M2968" i="50" s="1"/>
  <c r="O3216" i="50" s="1"/>
  <c r="M2809" i="50"/>
  <c r="M2955" i="50" s="1"/>
  <c r="O3203" i="50" s="1"/>
  <c r="M2847" i="50"/>
  <c r="M2987" i="50" s="1"/>
  <c r="O3250" i="50" s="1"/>
  <c r="M2867" i="50"/>
  <c r="M3001" i="50" s="1"/>
  <c r="O3288" i="50" s="1"/>
  <c r="M2818" i="50"/>
  <c r="M2964" i="50" s="1"/>
  <c r="O3212" i="50" s="1"/>
  <c r="M2811" i="50"/>
  <c r="M2957" i="50" s="1"/>
  <c r="O3205" i="50" s="1"/>
  <c r="M2842" i="50"/>
  <c r="M2982" i="50" s="1"/>
  <c r="O3242" i="50" s="1"/>
  <c r="M2810" i="50"/>
  <c r="M2956" i="50" s="1"/>
  <c r="O3204" i="50" s="1"/>
  <c r="M2812" i="50"/>
  <c r="M2958" i="50" s="1"/>
  <c r="O3206" i="50" s="1"/>
  <c r="M2819" i="50"/>
  <c r="M2965" i="50" s="1"/>
  <c r="O3213" i="50" s="1"/>
  <c r="M2813" i="50"/>
  <c r="M2959" i="50" s="1"/>
  <c r="O3207" i="50" s="1"/>
  <c r="M2868" i="50"/>
  <c r="M3002" i="50" s="1"/>
  <c r="O3289" i="50" s="1"/>
  <c r="M2848" i="50"/>
  <c r="M2988" i="50" s="1"/>
  <c r="O3251" i="50" s="1"/>
  <c r="M2843" i="50"/>
  <c r="M2983" i="50" s="1"/>
  <c r="O3245" i="50" s="1"/>
  <c r="M2814" i="50"/>
  <c r="M2960" i="50" s="1"/>
  <c r="O3208" i="50" s="1"/>
  <c r="S2772" i="50"/>
  <c r="S2929" i="50" s="1"/>
  <c r="S2774" i="50"/>
  <c r="S2931" i="50" s="1"/>
  <c r="S2776" i="50"/>
  <c r="S2933" i="50" s="1"/>
  <c r="S2778" i="50"/>
  <c r="S2935" i="50" s="1"/>
  <c r="S2780" i="50"/>
  <c r="S2937" i="50" s="1"/>
  <c r="S2782" i="50"/>
  <c r="S2939" i="50" s="1"/>
  <c r="S3126" i="50" s="1"/>
  <c r="S3138" i="50" s="1"/>
  <c r="U3397" i="50" s="1"/>
  <c r="S2784" i="50"/>
  <c r="S2941" i="50" s="1"/>
  <c r="S3128" i="50" s="1"/>
  <c r="S3140" i="50" s="1"/>
  <c r="U3399" i="50" s="1"/>
  <c r="S2786" i="50"/>
  <c r="S2943" i="50" s="1"/>
  <c r="S2788" i="50"/>
  <c r="S2945" i="50" s="1"/>
  <c r="S2790" i="50"/>
  <c r="U3222" i="50" s="1"/>
  <c r="S2792" i="50"/>
  <c r="U3224" i="50" s="1"/>
  <c r="S2794" i="50"/>
  <c r="U3226" i="50" s="1"/>
  <c r="S2771" i="50"/>
  <c r="S2928" i="50" s="1"/>
  <c r="S2773" i="50"/>
  <c r="S2930" i="50" s="1"/>
  <c r="S2775" i="50"/>
  <c r="S2932" i="50" s="1"/>
  <c r="S2777" i="50"/>
  <c r="S2934" i="50" s="1"/>
  <c r="S2779" i="50"/>
  <c r="S2936" i="50" s="1"/>
  <c r="S2781" i="50"/>
  <c r="S2938" i="50" s="1"/>
  <c r="S2783" i="50"/>
  <c r="S2940" i="50" s="1"/>
  <c r="S3127" i="50" s="1"/>
  <c r="S3139" i="50" s="1"/>
  <c r="U3398" i="50" s="1"/>
  <c r="S2785" i="50"/>
  <c r="S2942" i="50" s="1"/>
  <c r="S2787" i="50"/>
  <c r="S2944" i="50" s="1"/>
  <c r="S2789" i="50"/>
  <c r="S2946" i="50" s="1"/>
  <c r="S2791" i="50"/>
  <c r="U3223" i="50" s="1"/>
  <c r="S2793" i="50"/>
  <c r="S2795" i="50"/>
  <c r="S2797" i="50"/>
  <c r="S2796" i="50"/>
  <c r="U3228" i="50" s="1"/>
  <c r="S2887" i="50"/>
  <c r="S3168" i="50"/>
  <c r="S3183" i="50" s="1"/>
  <c r="U3408" i="50" s="1"/>
  <c r="S3170" i="50"/>
  <c r="S3185" i="50" s="1"/>
  <c r="U3410" i="50" s="1"/>
  <c r="S3172" i="50"/>
  <c r="S3187" i="50" s="1"/>
  <c r="U3412" i="50" s="1"/>
  <c r="S3167" i="50"/>
  <c r="S3182" i="50" s="1"/>
  <c r="U3407" i="50" s="1"/>
  <c r="S3169" i="50"/>
  <c r="S3184" i="50" s="1"/>
  <c r="U3409" i="50" s="1"/>
  <c r="S3171" i="50"/>
  <c r="S3186" i="50" s="1"/>
  <c r="U3411" i="50" s="1"/>
  <c r="S2829" i="50"/>
  <c r="U3227" i="50" s="1"/>
  <c r="S2853" i="50"/>
  <c r="U3263" i="50" s="1"/>
  <c r="S2855" i="50"/>
  <c r="U3267" i="50" s="1"/>
  <c r="S2828" i="50"/>
  <c r="U3225" i="50" s="1"/>
  <c r="S2854" i="50"/>
  <c r="U3265" i="50" s="1"/>
  <c r="S2830" i="50"/>
  <c r="U3229" i="50" s="1"/>
  <c r="S2874" i="50"/>
  <c r="U3303" i="50" s="1"/>
  <c r="S2873" i="50"/>
  <c r="U3301" i="50" s="1"/>
  <c r="S2875" i="50"/>
  <c r="U3305" i="50" s="1"/>
  <c r="S2815" i="50"/>
  <c r="S2961" i="50" s="1"/>
  <c r="U3209" i="50" s="1"/>
  <c r="S2826" i="50"/>
  <c r="S2817" i="50"/>
  <c r="S2963" i="50" s="1"/>
  <c r="U3211" i="50" s="1"/>
  <c r="S2850" i="50"/>
  <c r="S2990" i="50" s="1"/>
  <c r="U3253" i="50" s="1"/>
  <c r="S2872" i="50"/>
  <c r="S2825" i="50"/>
  <c r="S2852" i="50"/>
  <c r="S2821" i="50"/>
  <c r="S2967" i="50" s="1"/>
  <c r="U3215" i="50" s="1"/>
  <c r="S2827" i="50"/>
  <c r="S2823" i="50"/>
  <c r="S2846" i="50"/>
  <c r="S2986" i="50" s="1"/>
  <c r="U3249" i="50" s="1"/>
  <c r="S2820" i="50"/>
  <c r="S2966" i="50" s="1"/>
  <c r="U3214" i="50" s="1"/>
  <c r="S2822" i="50"/>
  <c r="S2968" i="50" s="1"/>
  <c r="U3216" i="50" s="1"/>
  <c r="S2870" i="50"/>
  <c r="S3004" i="50" s="1"/>
  <c r="U3291" i="50" s="1"/>
  <c r="S2816" i="50"/>
  <c r="S2962" i="50" s="1"/>
  <c r="U3210" i="50" s="1"/>
  <c r="S2871" i="50"/>
  <c r="S3005" i="50" s="1"/>
  <c r="U3292" i="50" s="1"/>
  <c r="S2869" i="50"/>
  <c r="S3003" i="50" s="1"/>
  <c r="U3290" i="50" s="1"/>
  <c r="S2845" i="50"/>
  <c r="S2985" i="50" s="1"/>
  <c r="U3248" i="50" s="1"/>
  <c r="S2824" i="50"/>
  <c r="S2851" i="50"/>
  <c r="S2991" i="50" s="1"/>
  <c r="U3254" i="50" s="1"/>
  <c r="S2849" i="50"/>
  <c r="S2989" i="50" s="1"/>
  <c r="U3252" i="50" s="1"/>
  <c r="S2844" i="50"/>
  <c r="S2984" i="50" s="1"/>
  <c r="U3247" i="50" s="1"/>
  <c r="S2811" i="50"/>
  <c r="S2957" i="50" s="1"/>
  <c r="U3205" i="50" s="1"/>
  <c r="S2818" i="50"/>
  <c r="S2964" i="50" s="1"/>
  <c r="U3212" i="50" s="1"/>
  <c r="S2810" i="50"/>
  <c r="S2956" i="50" s="1"/>
  <c r="U3204" i="50" s="1"/>
  <c r="S2867" i="50"/>
  <c r="S3001" i="50" s="1"/>
  <c r="U3288" i="50" s="1"/>
  <c r="S2847" i="50"/>
  <c r="S2987" i="50" s="1"/>
  <c r="U3250" i="50" s="1"/>
  <c r="S2842" i="50"/>
  <c r="S2982" i="50" s="1"/>
  <c r="U3242" i="50" s="1"/>
  <c r="S2809" i="50"/>
  <c r="S2955" i="50" s="1"/>
  <c r="U3203" i="50" s="1"/>
  <c r="S2813" i="50"/>
  <c r="S2959" i="50" s="1"/>
  <c r="U3207" i="50" s="1"/>
  <c r="S2812" i="50"/>
  <c r="S2958" i="50" s="1"/>
  <c r="U3206" i="50" s="1"/>
  <c r="S2843" i="50"/>
  <c r="S2983" i="50" s="1"/>
  <c r="U3245" i="50" s="1"/>
  <c r="S2848" i="50"/>
  <c r="S2988" i="50" s="1"/>
  <c r="U3251" i="50" s="1"/>
  <c r="S2819" i="50"/>
  <c r="S2965" i="50" s="1"/>
  <c r="U3213" i="50" s="1"/>
  <c r="S2814" i="50"/>
  <c r="S2960" i="50" s="1"/>
  <c r="U3208" i="50" s="1"/>
  <c r="S2868" i="50"/>
  <c r="S3002" i="50" s="1"/>
  <c r="U3289" i="50" s="1"/>
  <c r="O2772" i="50"/>
  <c r="O2929" i="50" s="1"/>
  <c r="O2774" i="50"/>
  <c r="O2931" i="50" s="1"/>
  <c r="O2776" i="50"/>
  <c r="O2933" i="50" s="1"/>
  <c r="O2778" i="50"/>
  <c r="O2935" i="50" s="1"/>
  <c r="O2780" i="50"/>
  <c r="O2937" i="50" s="1"/>
  <c r="O2782" i="50"/>
  <c r="O2939" i="50" s="1"/>
  <c r="O3126" i="50" s="1"/>
  <c r="O3138" i="50" s="1"/>
  <c r="Q3397" i="50" s="1"/>
  <c r="O2784" i="50"/>
  <c r="O2941" i="50" s="1"/>
  <c r="O3128" i="50" s="1"/>
  <c r="O3140" i="50" s="1"/>
  <c r="Q3399" i="50" s="1"/>
  <c r="O2786" i="50"/>
  <c r="O2943" i="50" s="1"/>
  <c r="O2788" i="50"/>
  <c r="O2945" i="50" s="1"/>
  <c r="O2790" i="50"/>
  <c r="Q3222" i="50" s="1"/>
  <c r="O2792" i="50"/>
  <c r="Q3224" i="50" s="1"/>
  <c r="O2794" i="50"/>
  <c r="Q3226" i="50" s="1"/>
  <c r="O2771" i="50"/>
  <c r="O2928" i="50" s="1"/>
  <c r="O2773" i="50"/>
  <c r="O2930" i="50" s="1"/>
  <c r="O2775" i="50"/>
  <c r="O2932" i="50" s="1"/>
  <c r="O2777" i="50"/>
  <c r="O2934" i="50" s="1"/>
  <c r="O2779" i="50"/>
  <c r="O2936" i="50" s="1"/>
  <c r="O2781" i="50"/>
  <c r="O2938" i="50" s="1"/>
  <c r="O2783" i="50"/>
  <c r="O2940" i="50" s="1"/>
  <c r="O3127" i="50" s="1"/>
  <c r="O3139" i="50" s="1"/>
  <c r="Q3398" i="50" s="1"/>
  <c r="O2785" i="50"/>
  <c r="O2942" i="50" s="1"/>
  <c r="O2787" i="50"/>
  <c r="O2944" i="50" s="1"/>
  <c r="O2789" i="50"/>
  <c r="O2946" i="50" s="1"/>
  <c r="O2791" i="50"/>
  <c r="Q3223" i="50" s="1"/>
  <c r="B3566" i="50" s="1"/>
  <c r="O2793" i="50"/>
  <c r="O2795" i="50"/>
  <c r="O2797" i="50"/>
  <c r="O2796" i="50"/>
  <c r="Q3228" i="50" s="1"/>
  <c r="O2887" i="50"/>
  <c r="O3168" i="50"/>
  <c r="O3183" i="50" s="1"/>
  <c r="Q3408" i="50" s="1"/>
  <c r="O3170" i="50"/>
  <c r="O3185" i="50" s="1"/>
  <c r="Q3410" i="50" s="1"/>
  <c r="O3172" i="50"/>
  <c r="O3187" i="50" s="1"/>
  <c r="Q3412" i="50" s="1"/>
  <c r="O3167" i="50"/>
  <c r="O3182" i="50" s="1"/>
  <c r="Q3407" i="50" s="1"/>
  <c r="O3169" i="50"/>
  <c r="O3184" i="50" s="1"/>
  <c r="Q3409" i="50" s="1"/>
  <c r="O3171" i="50"/>
  <c r="O3186" i="50" s="1"/>
  <c r="Q3411" i="50" s="1"/>
  <c r="O2853" i="50"/>
  <c r="Q3263" i="50" s="1"/>
  <c r="O2854" i="50"/>
  <c r="Q3265" i="50" s="1"/>
  <c r="O2873" i="50"/>
  <c r="Q3301" i="50" s="1"/>
  <c r="O2875" i="50"/>
  <c r="Q3305" i="50" s="1"/>
  <c r="O2830" i="50"/>
  <c r="Q3229" i="50" s="1"/>
  <c r="O2829" i="50"/>
  <c r="Q3227" i="50" s="1"/>
  <c r="O2855" i="50"/>
  <c r="Q3267" i="50" s="1"/>
  <c r="O2828" i="50"/>
  <c r="Q3225" i="50" s="1"/>
  <c r="O2874" i="50"/>
  <c r="Q3303" i="50" s="1"/>
  <c r="O2851" i="50"/>
  <c r="O2991" i="50" s="1"/>
  <c r="Q3254" i="50" s="1"/>
  <c r="O2872" i="50"/>
  <c r="O2816" i="50"/>
  <c r="O2962" i="50" s="1"/>
  <c r="Q3210" i="50" s="1"/>
  <c r="O2827" i="50"/>
  <c r="O2846" i="50"/>
  <c r="O2986" i="50" s="1"/>
  <c r="Q3249" i="50" s="1"/>
  <c r="O2852" i="50"/>
  <c r="O2815" i="50"/>
  <c r="O2961" i="50" s="1"/>
  <c r="Q3209" i="50" s="1"/>
  <c r="O2871" i="50"/>
  <c r="O3005" i="50" s="1"/>
  <c r="Q3292" i="50" s="1"/>
  <c r="O2845" i="50"/>
  <c r="O2985" i="50" s="1"/>
  <c r="Q3248" i="50" s="1"/>
  <c r="O2850" i="50"/>
  <c r="O2990" i="50" s="1"/>
  <c r="Q3253" i="50" s="1"/>
  <c r="O2821" i="50"/>
  <c r="O2967" i="50" s="1"/>
  <c r="Q3215" i="50" s="1"/>
  <c r="O2844" i="50"/>
  <c r="O2984" i="50" s="1"/>
  <c r="Q3247" i="50" s="1"/>
  <c r="O2849" i="50"/>
  <c r="O2989" i="50" s="1"/>
  <c r="Q3252" i="50" s="1"/>
  <c r="O2823" i="50"/>
  <c r="O2820" i="50"/>
  <c r="O2966" i="50" s="1"/>
  <c r="Q3214" i="50" s="1"/>
  <c r="O2870" i="50"/>
  <c r="O3004" i="50" s="1"/>
  <c r="Q3291" i="50" s="1"/>
  <c r="O2824" i="50"/>
  <c r="O2817" i="50"/>
  <c r="O2963" i="50" s="1"/>
  <c r="Q3211" i="50" s="1"/>
  <c r="O2869" i="50"/>
  <c r="O3003" i="50" s="1"/>
  <c r="Q3290" i="50" s="1"/>
  <c r="O2825" i="50"/>
  <c r="O2822" i="50"/>
  <c r="O2968" i="50" s="1"/>
  <c r="Q3216" i="50" s="1"/>
  <c r="O2826" i="50"/>
  <c r="O2809" i="50"/>
  <c r="O2955" i="50" s="1"/>
  <c r="Q3203" i="50" s="1"/>
  <c r="O2847" i="50"/>
  <c r="O2987" i="50" s="1"/>
  <c r="Q3250" i="50" s="1"/>
  <c r="O2842" i="50"/>
  <c r="O2982" i="50" s="1"/>
  <c r="Q3242" i="50" s="1"/>
  <c r="O2812" i="50"/>
  <c r="O2958" i="50" s="1"/>
  <c r="Q3206" i="50" s="1"/>
  <c r="O2810" i="50"/>
  <c r="O2956" i="50" s="1"/>
  <c r="Q3204" i="50" s="1"/>
  <c r="O2867" i="50"/>
  <c r="O3001" i="50" s="1"/>
  <c r="Q3288" i="50" s="1"/>
  <c r="O2818" i="50"/>
  <c r="O2964" i="50" s="1"/>
  <c r="Q3212" i="50" s="1"/>
  <c r="O2814" i="50"/>
  <c r="O2960" i="50" s="1"/>
  <c r="Q3208" i="50" s="1"/>
  <c r="O2811" i="50"/>
  <c r="O2957" i="50" s="1"/>
  <c r="Q3205" i="50" s="1"/>
  <c r="O2868" i="50"/>
  <c r="O3002" i="50" s="1"/>
  <c r="Q3289" i="50" s="1"/>
  <c r="O2848" i="50"/>
  <c r="O2988" i="50" s="1"/>
  <c r="Q3251" i="50" s="1"/>
  <c r="O2819" i="50"/>
  <c r="O2965" i="50" s="1"/>
  <c r="Q3213" i="50" s="1"/>
  <c r="O2843" i="50"/>
  <c r="O2983" i="50" s="1"/>
  <c r="Q3245" i="50" s="1"/>
  <c r="O2813" i="50"/>
  <c r="O2959" i="50" s="1"/>
  <c r="Q3207" i="50" s="1"/>
  <c r="B3556" i="50" l="1"/>
  <c r="B3546" i="50"/>
  <c r="G3452" i="50"/>
  <c r="G4002" i="50" s="1"/>
  <c r="B3451" i="50"/>
  <c r="B4001" i="50" s="1"/>
  <c r="C3435" i="50"/>
  <c r="C3556" i="50"/>
  <c r="C3430" i="50"/>
  <c r="C3434" i="50"/>
  <c r="B3558" i="50"/>
  <c r="D3558" i="50"/>
  <c r="D3450" i="50"/>
  <c r="D4000" i="50" s="1"/>
  <c r="B3568" i="50"/>
  <c r="G3451" i="50"/>
  <c r="G4001" i="50" s="1"/>
  <c r="G3448" i="50"/>
  <c r="G3998" i="50" s="1"/>
  <c r="D3572" i="50"/>
  <c r="B3430" i="50"/>
  <c r="B3547" i="50"/>
  <c r="B3549" i="50"/>
  <c r="C3438" i="50"/>
  <c r="B3437" i="50"/>
  <c r="D3557" i="50"/>
  <c r="C3448" i="50"/>
  <c r="C3998" i="50" s="1"/>
  <c r="G3449" i="50"/>
  <c r="G3999" i="50" s="1"/>
  <c r="D3436" i="50"/>
  <c r="B3553" i="50"/>
  <c r="B3432" i="50"/>
  <c r="C3439" i="50"/>
  <c r="C3437" i="50"/>
  <c r="B3567" i="50"/>
  <c r="G3439" i="50"/>
  <c r="D3435" i="50"/>
  <c r="B3548" i="50"/>
  <c r="B3434" i="50"/>
  <c r="C3450" i="50"/>
  <c r="C4000" i="50" s="1"/>
  <c r="B3572" i="50"/>
  <c r="B3570" i="50"/>
  <c r="G3567" i="50"/>
  <c r="B3449" i="50"/>
  <c r="B3999" i="50" s="1"/>
  <c r="B3550" i="50"/>
  <c r="D3568" i="50"/>
  <c r="B3446" i="50"/>
  <c r="B3996" i="50" s="1"/>
  <c r="G3438" i="50"/>
  <c r="C3427" i="50"/>
  <c r="B3555" i="50"/>
  <c r="B3431" i="50"/>
  <c r="D3559" i="50"/>
  <c r="C3433" i="50"/>
  <c r="B3559" i="50"/>
  <c r="C3432" i="50"/>
  <c r="C3452" i="50"/>
  <c r="C4002" i="50" s="1"/>
  <c r="G3570" i="50"/>
  <c r="B3445" i="50"/>
  <c r="B3995" i="50" s="1"/>
  <c r="G3437" i="50"/>
  <c r="B3604" i="50"/>
  <c r="C3734" i="50" s="1"/>
  <c r="B3594" i="50"/>
  <c r="C3724" i="50" s="1"/>
  <c r="G4053" i="50"/>
  <c r="G4099" i="50" s="1"/>
  <c r="B4052" i="50"/>
  <c r="B4098" i="50" s="1"/>
  <c r="C3604" i="50"/>
  <c r="C3761" i="50" s="1"/>
  <c r="B3606" i="50"/>
  <c r="C3736" i="50" s="1"/>
  <c r="D3606" i="50"/>
  <c r="C3790" i="50" s="1"/>
  <c r="D4051" i="50"/>
  <c r="D4097" i="50" s="1"/>
  <c r="G4052" i="50"/>
  <c r="G4098" i="50" s="1"/>
  <c r="G4049" i="50"/>
  <c r="G4095" i="50" s="1"/>
  <c r="B3595" i="50"/>
  <c r="C3725" i="50" s="1"/>
  <c r="B3597" i="50"/>
  <c r="C3727" i="50" s="1"/>
  <c r="D3605" i="50"/>
  <c r="C3789" i="50" s="1"/>
  <c r="C4049" i="50"/>
  <c r="C4095" i="50" s="1"/>
  <c r="G4050" i="50"/>
  <c r="G4096" i="50" s="1"/>
  <c r="B3601" i="50"/>
  <c r="C3731" i="50" s="1"/>
  <c r="B3596" i="50"/>
  <c r="C3726" i="50" s="1"/>
  <c r="C4051" i="50"/>
  <c r="C4097" i="50" s="1"/>
  <c r="B4050" i="50"/>
  <c r="B4096" i="50" s="1"/>
  <c r="B3598" i="50"/>
  <c r="C3728" i="50" s="1"/>
  <c r="B3644" i="50"/>
  <c r="B3728" i="50" s="1"/>
  <c r="B4047" i="50"/>
  <c r="B4093" i="50" s="1"/>
  <c r="B3603" i="50"/>
  <c r="C3733" i="50" s="1"/>
  <c r="B3479" i="50"/>
  <c r="D3607" i="50"/>
  <c r="C3791" i="50" s="1"/>
  <c r="B3607" i="50"/>
  <c r="C3737" i="50" s="1"/>
  <c r="C4053" i="50"/>
  <c r="C4099" i="50" s="1"/>
  <c r="B4046" i="50"/>
  <c r="B4092" i="50" s="1"/>
  <c r="O2970" i="50"/>
  <c r="Q3218" i="50"/>
  <c r="O2901" i="50"/>
  <c r="O3096" i="50" s="1"/>
  <c r="Q3317" i="50" s="1"/>
  <c r="O2903" i="50"/>
  <c r="O2905" i="50"/>
  <c r="O3099" i="50" s="1"/>
  <c r="Q3321" i="50" s="1"/>
  <c r="O2907" i="50"/>
  <c r="O3100" i="50" s="1"/>
  <c r="Q3323" i="50" s="1"/>
  <c r="O2909" i="50"/>
  <c r="O3102" i="50" s="1"/>
  <c r="Q3325" i="50" s="1"/>
  <c r="O2911" i="50"/>
  <c r="O3104" i="50" s="1"/>
  <c r="Q3327" i="50" s="1"/>
  <c r="O2913" i="50"/>
  <c r="Q3363" i="50" s="1"/>
  <c r="O2915" i="50"/>
  <c r="O2917" i="50"/>
  <c r="O2919" i="50"/>
  <c r="O2902" i="50"/>
  <c r="O3097" i="50" s="1"/>
  <c r="Q3318" i="50" s="1"/>
  <c r="O2904" i="50"/>
  <c r="O3098" i="50" s="1"/>
  <c r="Q3320" i="50" s="1"/>
  <c r="O2906" i="50"/>
  <c r="O2908" i="50"/>
  <c r="O3101" i="50" s="1"/>
  <c r="Q3324" i="50" s="1"/>
  <c r="O2910" i="50"/>
  <c r="O3103" i="50" s="1"/>
  <c r="Q3326" i="50" s="1"/>
  <c r="O2912" i="50"/>
  <c r="Q3362" i="50" s="1"/>
  <c r="O2914" i="50"/>
  <c r="Q3364" i="50" s="1"/>
  <c r="O2916" i="50"/>
  <c r="O2918" i="50"/>
  <c r="M3006" i="50"/>
  <c r="O3297" i="50"/>
  <c r="M2970" i="50"/>
  <c r="O3218" i="50"/>
  <c r="M2969" i="50"/>
  <c r="O3217" i="50"/>
  <c r="B3447" i="50"/>
  <c r="B3997" i="50" s="1"/>
  <c r="G3572" i="50"/>
  <c r="G3666" i="50" s="1"/>
  <c r="B3885" i="50" s="1"/>
  <c r="G3612" i="50"/>
  <c r="C3877" i="50" s="1"/>
  <c r="E3609" i="50"/>
  <c r="C3820" i="50" s="1"/>
  <c r="G3602" i="50"/>
  <c r="C3867" i="50" s="1"/>
  <c r="G3596" i="50"/>
  <c r="C3861" i="50" s="1"/>
  <c r="F3612" i="50"/>
  <c r="C3850" i="50" s="1"/>
  <c r="F3608" i="50"/>
  <c r="C3846" i="50" s="1"/>
  <c r="F3600" i="50"/>
  <c r="C3838" i="50" s="1"/>
  <c r="F3596" i="50"/>
  <c r="C3834" i="50" s="1"/>
  <c r="E3612" i="50"/>
  <c r="C3823" i="50" s="1"/>
  <c r="G3609" i="50"/>
  <c r="C3874" i="50" s="1"/>
  <c r="G3601" i="50"/>
  <c r="C3866" i="50" s="1"/>
  <c r="C3597" i="50"/>
  <c r="C3754" i="50" s="1"/>
  <c r="F3611" i="50"/>
  <c r="C3849" i="50" s="1"/>
  <c r="F3603" i="50"/>
  <c r="C3841" i="50" s="1"/>
  <c r="F3599" i="50"/>
  <c r="C3837" i="50" s="1"/>
  <c r="F3595" i="50"/>
  <c r="C3833" i="50" s="1"/>
  <c r="D3448" i="50"/>
  <c r="D3998" i="50" s="1"/>
  <c r="C3559" i="50"/>
  <c r="B3426" i="50"/>
  <c r="B3640" i="50" s="1"/>
  <c r="B3724" i="50" s="1"/>
  <c r="D3556" i="50"/>
  <c r="E3437" i="50"/>
  <c r="E3557" i="50"/>
  <c r="E3572" i="50"/>
  <c r="E3452" i="50"/>
  <c r="E3571" i="50"/>
  <c r="E3451" i="50"/>
  <c r="L3006" i="50"/>
  <c r="N3297" i="50"/>
  <c r="D3570" i="50"/>
  <c r="D3664" i="50" s="1"/>
  <c r="B3802" i="50" s="1"/>
  <c r="B3448" i="50"/>
  <c r="B3998" i="50" s="1"/>
  <c r="B3554" i="50"/>
  <c r="B3438" i="50"/>
  <c r="B3428" i="50"/>
  <c r="B3642" i="50" s="1"/>
  <c r="B3726" i="50" s="1"/>
  <c r="C3436" i="50"/>
  <c r="C3650" i="50" s="1"/>
  <c r="B3761" i="50" s="1"/>
  <c r="E3558" i="50"/>
  <c r="E3438" i="50"/>
  <c r="N3006" i="50"/>
  <c r="P3297" i="50"/>
  <c r="N2971" i="50"/>
  <c r="P3219" i="50"/>
  <c r="N2992" i="50"/>
  <c r="P3259" i="50"/>
  <c r="Q2973" i="50"/>
  <c r="S3221" i="50"/>
  <c r="Q2972" i="50"/>
  <c r="S3220" i="50"/>
  <c r="P3006" i="50"/>
  <c r="R3297" i="50"/>
  <c r="G3569" i="50"/>
  <c r="G3663" i="50" s="1"/>
  <c r="B3882" i="50" s="1"/>
  <c r="C3568" i="50"/>
  <c r="C3662" i="50" s="1"/>
  <c r="B3773" i="50" s="1"/>
  <c r="C3554" i="50"/>
  <c r="B3557" i="50"/>
  <c r="D3438" i="50"/>
  <c r="B3427" i="50"/>
  <c r="R2972" i="50"/>
  <c r="T3220" i="50"/>
  <c r="G3557" i="50"/>
  <c r="G3450" i="50"/>
  <c r="G4000" i="50" s="1"/>
  <c r="C3572" i="50"/>
  <c r="C3666" i="50" s="1"/>
  <c r="B3777" i="50" s="1"/>
  <c r="D3555" i="50"/>
  <c r="C3555" i="50"/>
  <c r="O2971" i="50"/>
  <c r="Q3219" i="50"/>
  <c r="O2973" i="50"/>
  <c r="Q3221" i="50"/>
  <c r="S2970" i="50"/>
  <c r="U3218" i="50"/>
  <c r="S2992" i="50"/>
  <c r="U3259" i="50"/>
  <c r="E3611" i="50"/>
  <c r="C3822" i="50" s="1"/>
  <c r="G3608" i="50"/>
  <c r="C3873" i="50" s="1"/>
  <c r="G3600" i="50"/>
  <c r="C3865" i="50" s="1"/>
  <c r="C3596" i="50"/>
  <c r="C3753" i="50" s="1"/>
  <c r="D3611" i="50"/>
  <c r="C3795" i="50" s="1"/>
  <c r="F3604" i="50"/>
  <c r="C3842" i="50" s="1"/>
  <c r="D3599" i="50"/>
  <c r="C3783" i="50" s="1"/>
  <c r="D3595" i="50"/>
  <c r="C3779" i="50" s="1"/>
  <c r="G3611" i="50"/>
  <c r="C3876" i="50" s="1"/>
  <c r="C3609" i="50"/>
  <c r="C3766" i="50" s="1"/>
  <c r="G3599" i="50"/>
  <c r="C3864" i="50" s="1"/>
  <c r="E3596" i="50"/>
  <c r="C3807" i="50" s="1"/>
  <c r="D3610" i="50"/>
  <c r="C3794" i="50" s="1"/>
  <c r="D3602" i="50"/>
  <c r="C3786" i="50" s="1"/>
  <c r="D3598" i="50"/>
  <c r="C3782" i="50" s="1"/>
  <c r="D3594" i="50"/>
  <c r="C3778" i="50" s="1"/>
  <c r="L2971" i="50"/>
  <c r="N3219" i="50"/>
  <c r="L2970" i="50"/>
  <c r="N3218" i="50"/>
  <c r="L2973" i="50"/>
  <c r="N3221" i="50"/>
  <c r="L2902" i="50"/>
  <c r="L3097" i="50" s="1"/>
  <c r="N3318" i="50" s="1"/>
  <c r="L2904" i="50"/>
  <c r="L3098" i="50" s="1"/>
  <c r="N3320" i="50" s="1"/>
  <c r="L2906" i="50"/>
  <c r="L2908" i="50"/>
  <c r="L3101" i="50" s="1"/>
  <c r="N3324" i="50" s="1"/>
  <c r="L2910" i="50"/>
  <c r="L3103" i="50" s="1"/>
  <c r="N3326" i="50" s="1"/>
  <c r="L2912" i="50"/>
  <c r="N3362" i="50" s="1"/>
  <c r="L2914" i="50"/>
  <c r="N3364" i="50" s="1"/>
  <c r="L2916" i="50"/>
  <c r="L2918" i="50"/>
  <c r="L2901" i="50"/>
  <c r="L3096" i="50" s="1"/>
  <c r="N3317" i="50" s="1"/>
  <c r="L2903" i="50"/>
  <c r="L2905" i="50"/>
  <c r="L3099" i="50" s="1"/>
  <c r="N3321" i="50" s="1"/>
  <c r="L2907" i="50"/>
  <c r="L3100" i="50" s="1"/>
  <c r="N3323" i="50" s="1"/>
  <c r="L2909" i="50"/>
  <c r="L3102" i="50" s="1"/>
  <c r="N3325" i="50" s="1"/>
  <c r="L2911" i="50"/>
  <c r="L3104" i="50" s="1"/>
  <c r="N3327" i="50" s="1"/>
  <c r="L2913" i="50"/>
  <c r="N3363" i="50" s="1"/>
  <c r="L2915" i="50"/>
  <c r="L2917" i="50"/>
  <c r="L2919" i="50"/>
  <c r="B3569" i="50"/>
  <c r="B3663" i="50" s="1"/>
  <c r="B3747" i="50" s="1"/>
  <c r="N2969" i="50"/>
  <c r="P3217" i="50"/>
  <c r="Q2992" i="50"/>
  <c r="S3259" i="50"/>
  <c r="Q2969" i="50"/>
  <c r="S3217" i="50"/>
  <c r="P2971" i="50"/>
  <c r="R3219" i="50"/>
  <c r="P2969" i="50"/>
  <c r="R3217" i="50"/>
  <c r="P2972" i="50"/>
  <c r="R3220" i="50"/>
  <c r="P2992" i="50"/>
  <c r="R3259" i="50"/>
  <c r="E3445" i="50"/>
  <c r="E3565" i="50"/>
  <c r="R2971" i="50"/>
  <c r="T3219" i="50"/>
  <c r="B3565" i="50"/>
  <c r="B3659" i="50" s="1"/>
  <c r="B3743" i="50" s="1"/>
  <c r="G3571" i="50"/>
  <c r="G3665" i="50" s="1"/>
  <c r="B3884" i="50" s="1"/>
  <c r="B3452" i="50"/>
  <c r="B4002" i="50" s="1"/>
  <c r="C3553" i="50"/>
  <c r="D3439" i="50"/>
  <c r="D3653" i="50" s="1"/>
  <c r="B3791" i="50" s="1"/>
  <c r="B3429" i="50"/>
  <c r="S2969" i="50"/>
  <c r="U3217" i="50"/>
  <c r="S2971" i="50"/>
  <c r="U3219" i="50"/>
  <c r="S2972" i="50"/>
  <c r="U3220" i="50"/>
  <c r="M2972" i="50"/>
  <c r="O3220" i="50"/>
  <c r="G3559" i="50"/>
  <c r="G3558" i="50"/>
  <c r="B3571" i="50"/>
  <c r="B3665" i="50" s="1"/>
  <c r="B3749" i="50" s="1"/>
  <c r="G3610" i="50"/>
  <c r="C3875" i="50" s="1"/>
  <c r="C3608" i="50"/>
  <c r="C3765" i="50" s="1"/>
  <c r="E3599" i="50"/>
  <c r="C3810" i="50" s="1"/>
  <c r="G3594" i="50"/>
  <c r="C3859" i="50" s="1"/>
  <c r="F3610" i="50"/>
  <c r="C3848" i="50" s="1"/>
  <c r="F3602" i="50"/>
  <c r="C3840" i="50" s="1"/>
  <c r="F3598" i="50"/>
  <c r="C3836" i="50" s="1"/>
  <c r="F3594" i="50"/>
  <c r="C3832" i="50" s="1"/>
  <c r="C3611" i="50"/>
  <c r="C3768" i="50" s="1"/>
  <c r="E3608" i="50"/>
  <c r="C3819" i="50" s="1"/>
  <c r="C3599" i="50"/>
  <c r="C3756" i="50" s="1"/>
  <c r="G3595" i="50"/>
  <c r="C3860" i="50" s="1"/>
  <c r="F3609" i="50"/>
  <c r="C3847" i="50" s="1"/>
  <c r="F3601" i="50"/>
  <c r="C3839" i="50" s="1"/>
  <c r="F3597" i="50"/>
  <c r="C3835" i="50" s="1"/>
  <c r="D3452" i="50"/>
  <c r="D4002" i="50" s="1"/>
  <c r="B3552" i="50"/>
  <c r="C3557" i="50"/>
  <c r="B3433" i="50"/>
  <c r="B3647" i="50" s="1"/>
  <c r="B3731" i="50" s="1"/>
  <c r="B3436" i="50"/>
  <c r="E3570" i="50"/>
  <c r="E3450" i="50"/>
  <c r="L2969" i="50"/>
  <c r="N3217" i="50"/>
  <c r="L2972" i="50"/>
  <c r="N3220" i="50"/>
  <c r="G3447" i="50"/>
  <c r="G3997" i="50" s="1"/>
  <c r="B3450" i="50"/>
  <c r="B4000" i="50" s="1"/>
  <c r="C3558" i="50"/>
  <c r="C3552" i="50"/>
  <c r="B3435" i="50"/>
  <c r="B3649" i="50" s="1"/>
  <c r="B3733" i="50" s="1"/>
  <c r="C3550" i="50"/>
  <c r="N2973" i="50"/>
  <c r="P3221" i="50"/>
  <c r="Q3006" i="50"/>
  <c r="S3297" i="50"/>
  <c r="Q2970" i="50"/>
  <c r="S3218" i="50"/>
  <c r="Q2971" i="50"/>
  <c r="S3219" i="50"/>
  <c r="P2902" i="50"/>
  <c r="P3097" i="50" s="1"/>
  <c r="R3318" i="50" s="1"/>
  <c r="P2904" i="50"/>
  <c r="P3098" i="50" s="1"/>
  <c r="R3320" i="50" s="1"/>
  <c r="P2906" i="50"/>
  <c r="P2908" i="50"/>
  <c r="P3101" i="50" s="1"/>
  <c r="R3324" i="50" s="1"/>
  <c r="P2910" i="50"/>
  <c r="P3103" i="50" s="1"/>
  <c r="R3326" i="50" s="1"/>
  <c r="P2912" i="50"/>
  <c r="R3362" i="50" s="1"/>
  <c r="P2914" i="50"/>
  <c r="R3364" i="50" s="1"/>
  <c r="P2916" i="50"/>
  <c r="P2918" i="50"/>
  <c r="P2901" i="50"/>
  <c r="P3096" i="50" s="1"/>
  <c r="R3317" i="50" s="1"/>
  <c r="P2903" i="50"/>
  <c r="P2905" i="50"/>
  <c r="P3099" i="50" s="1"/>
  <c r="R3321" i="50" s="1"/>
  <c r="P2907" i="50"/>
  <c r="P3100" i="50" s="1"/>
  <c r="R3323" i="50" s="1"/>
  <c r="P2909" i="50"/>
  <c r="P3102" i="50" s="1"/>
  <c r="R3325" i="50" s="1"/>
  <c r="P2911" i="50"/>
  <c r="P3104" i="50" s="1"/>
  <c r="R3327" i="50" s="1"/>
  <c r="P2913" i="50"/>
  <c r="R3363" i="50" s="1"/>
  <c r="P2915" i="50"/>
  <c r="P2917" i="50"/>
  <c r="P2919" i="50"/>
  <c r="G3568" i="50"/>
  <c r="G3662" i="50" s="1"/>
  <c r="B3881" i="50" s="1"/>
  <c r="C3570" i="50"/>
  <c r="C3664" i="50" s="1"/>
  <c r="B3775" i="50" s="1"/>
  <c r="D3437" i="50"/>
  <c r="D3651" i="50" s="1"/>
  <c r="B3789" i="50" s="1"/>
  <c r="B3439" i="50"/>
  <c r="B3653" i="50" s="1"/>
  <c r="B3737" i="50" s="1"/>
  <c r="C3547" i="50"/>
  <c r="B3551" i="50"/>
  <c r="R2992" i="50"/>
  <c r="T3259" i="50"/>
  <c r="R2973" i="50"/>
  <c r="T3221" i="50"/>
  <c r="R2969" i="50"/>
  <c r="T3217" i="50"/>
  <c r="R2970" i="50"/>
  <c r="T3218" i="50"/>
  <c r="R2901" i="50"/>
  <c r="R3096" i="50" s="1"/>
  <c r="T3317" i="50" s="1"/>
  <c r="R2903" i="50"/>
  <c r="R2905" i="50"/>
  <c r="R3099" i="50" s="1"/>
  <c r="T3321" i="50" s="1"/>
  <c r="R2907" i="50"/>
  <c r="R3100" i="50" s="1"/>
  <c r="T3323" i="50" s="1"/>
  <c r="R2909" i="50"/>
  <c r="R3102" i="50" s="1"/>
  <c r="T3325" i="50" s="1"/>
  <c r="R2911" i="50"/>
  <c r="R3104" i="50" s="1"/>
  <c r="T3327" i="50" s="1"/>
  <c r="R2913" i="50"/>
  <c r="T3363" i="50" s="1"/>
  <c r="R2915" i="50"/>
  <c r="R2917" i="50"/>
  <c r="R2919" i="50"/>
  <c r="R2902" i="50"/>
  <c r="R3097" i="50" s="1"/>
  <c r="T3318" i="50" s="1"/>
  <c r="R2904" i="50"/>
  <c r="R3098" i="50" s="1"/>
  <c r="T3320" i="50" s="1"/>
  <c r="R2906" i="50"/>
  <c r="R2908" i="50"/>
  <c r="R3101" i="50" s="1"/>
  <c r="T3324" i="50" s="1"/>
  <c r="R2910" i="50"/>
  <c r="R3103" i="50" s="1"/>
  <c r="T3326" i="50" s="1"/>
  <c r="R2912" i="50"/>
  <c r="T3362" i="50" s="1"/>
  <c r="R2914" i="50"/>
  <c r="T3364" i="50" s="1"/>
  <c r="R2916" i="50"/>
  <c r="R2918" i="50"/>
  <c r="E3447" i="50"/>
  <c r="E3567" i="50"/>
  <c r="O2972" i="50"/>
  <c r="Q3220" i="50"/>
  <c r="O2969" i="50"/>
  <c r="Q3217" i="50"/>
  <c r="B3560" i="50" s="1"/>
  <c r="O2992" i="50"/>
  <c r="Q3259" i="50"/>
  <c r="O3006" i="50"/>
  <c r="Q3297" i="50"/>
  <c r="S2973" i="50"/>
  <c r="U3221" i="50"/>
  <c r="S3006" i="50"/>
  <c r="U3297" i="50"/>
  <c r="S2901" i="50"/>
  <c r="S3096" i="50" s="1"/>
  <c r="U3317" i="50" s="1"/>
  <c r="S2903" i="50"/>
  <c r="S2905" i="50"/>
  <c r="S3099" i="50" s="1"/>
  <c r="U3321" i="50" s="1"/>
  <c r="S2907" i="50"/>
  <c r="S3100" i="50" s="1"/>
  <c r="U3323" i="50" s="1"/>
  <c r="S2909" i="50"/>
  <c r="S3102" i="50" s="1"/>
  <c r="U3325" i="50" s="1"/>
  <c r="S2911" i="50"/>
  <c r="S3104" i="50" s="1"/>
  <c r="U3327" i="50" s="1"/>
  <c r="S2913" i="50"/>
  <c r="U3363" i="50" s="1"/>
  <c r="S2915" i="50"/>
  <c r="S2917" i="50"/>
  <c r="S2919" i="50"/>
  <c r="S2902" i="50"/>
  <c r="S3097" i="50" s="1"/>
  <c r="U3318" i="50" s="1"/>
  <c r="S2904" i="50"/>
  <c r="S3098" i="50" s="1"/>
  <c r="U3320" i="50" s="1"/>
  <c r="S2906" i="50"/>
  <c r="S2908" i="50"/>
  <c r="S3101" i="50" s="1"/>
  <c r="U3324" i="50" s="1"/>
  <c r="S2910" i="50"/>
  <c r="S3103" i="50" s="1"/>
  <c r="U3326" i="50" s="1"/>
  <c r="S2912" i="50"/>
  <c r="U3362" i="50" s="1"/>
  <c r="S2914" i="50"/>
  <c r="U3364" i="50" s="1"/>
  <c r="S2916" i="50"/>
  <c r="S2918" i="50"/>
  <c r="M2992" i="50"/>
  <c r="O3259" i="50"/>
  <c r="M2971" i="50"/>
  <c r="O3219" i="50"/>
  <c r="B3562" i="50" s="1"/>
  <c r="M2973" i="50"/>
  <c r="O3221" i="50"/>
  <c r="M2902" i="50"/>
  <c r="M3097" i="50" s="1"/>
  <c r="O3318" i="50" s="1"/>
  <c r="M2904" i="50"/>
  <c r="M3098" i="50" s="1"/>
  <c r="O3320" i="50" s="1"/>
  <c r="M2906" i="50"/>
  <c r="M2908" i="50"/>
  <c r="M3101" i="50" s="1"/>
  <c r="O3324" i="50" s="1"/>
  <c r="M2910" i="50"/>
  <c r="M3103" i="50" s="1"/>
  <c r="O3326" i="50" s="1"/>
  <c r="M2912" i="50"/>
  <c r="O3362" i="50" s="1"/>
  <c r="M2914" i="50"/>
  <c r="O3364" i="50" s="1"/>
  <c r="M2916" i="50"/>
  <c r="M2918" i="50"/>
  <c r="M2901" i="50"/>
  <c r="M3096" i="50" s="1"/>
  <c r="O3317" i="50" s="1"/>
  <c r="M2903" i="50"/>
  <c r="M2905" i="50"/>
  <c r="M3099" i="50" s="1"/>
  <c r="O3321" i="50" s="1"/>
  <c r="M2907" i="50"/>
  <c r="M3100" i="50" s="1"/>
  <c r="O3323" i="50" s="1"/>
  <c r="M2909" i="50"/>
  <c r="M3102" i="50" s="1"/>
  <c r="O3325" i="50" s="1"/>
  <c r="M2911" i="50"/>
  <c r="M3104" i="50" s="1"/>
  <c r="O3327" i="50" s="1"/>
  <c r="M2913" i="50"/>
  <c r="O3363" i="50" s="1"/>
  <c r="M2915" i="50"/>
  <c r="M2917" i="50"/>
  <c r="M2919" i="50"/>
  <c r="C3610" i="50"/>
  <c r="C3767" i="50" s="1"/>
  <c r="G3604" i="50"/>
  <c r="C3869" i="50" s="1"/>
  <c r="G3598" i="50"/>
  <c r="C3863" i="50" s="1"/>
  <c r="C3594" i="50"/>
  <c r="C3751" i="50" s="1"/>
  <c r="D3609" i="50"/>
  <c r="C3793" i="50" s="1"/>
  <c r="D3601" i="50"/>
  <c r="C3785" i="50" s="1"/>
  <c r="D3597" i="50"/>
  <c r="C3781" i="50" s="1"/>
  <c r="E3610" i="50"/>
  <c r="C3821" i="50" s="1"/>
  <c r="G3603" i="50"/>
  <c r="C3868" i="50" s="1"/>
  <c r="G3597" i="50"/>
  <c r="C3862" i="50" s="1"/>
  <c r="D3608" i="50"/>
  <c r="C3792" i="50" s="1"/>
  <c r="D3600" i="50"/>
  <c r="C3784" i="50" s="1"/>
  <c r="D3596" i="50"/>
  <c r="C3780" i="50" s="1"/>
  <c r="L2992" i="50"/>
  <c r="N3259" i="50"/>
  <c r="C3444" i="50" s="1"/>
  <c r="E3559" i="50"/>
  <c r="E3439" i="50"/>
  <c r="N2972" i="50"/>
  <c r="P3220" i="50"/>
  <c r="N2970" i="50"/>
  <c r="P3218" i="50"/>
  <c r="N2901" i="50"/>
  <c r="N3096" i="50" s="1"/>
  <c r="P3317" i="50" s="1"/>
  <c r="N2903" i="50"/>
  <c r="N2905" i="50"/>
  <c r="N3099" i="50" s="1"/>
  <c r="P3321" i="50" s="1"/>
  <c r="N2907" i="50"/>
  <c r="N3100" i="50" s="1"/>
  <c r="P3323" i="50" s="1"/>
  <c r="N2909" i="50"/>
  <c r="N3102" i="50" s="1"/>
  <c r="P3325" i="50" s="1"/>
  <c r="N2911" i="50"/>
  <c r="N3104" i="50" s="1"/>
  <c r="P3327" i="50" s="1"/>
  <c r="N2913" i="50"/>
  <c r="P3363" i="50" s="1"/>
  <c r="N2915" i="50"/>
  <c r="N2917" i="50"/>
  <c r="N2919" i="50"/>
  <c r="N2902" i="50"/>
  <c r="N3097" i="50" s="1"/>
  <c r="P3318" i="50" s="1"/>
  <c r="N2904" i="50"/>
  <c r="N3098" i="50" s="1"/>
  <c r="P3320" i="50" s="1"/>
  <c r="N2906" i="50"/>
  <c r="N2908" i="50"/>
  <c r="N3101" i="50" s="1"/>
  <c r="P3324" i="50" s="1"/>
  <c r="N2910" i="50"/>
  <c r="N3103" i="50" s="1"/>
  <c r="P3326" i="50" s="1"/>
  <c r="N2912" i="50"/>
  <c r="P3362" i="50" s="1"/>
  <c r="N2914" i="50"/>
  <c r="P3364" i="50" s="1"/>
  <c r="N2916" i="50"/>
  <c r="N2918" i="50"/>
  <c r="Q2902" i="50"/>
  <c r="Q3097" i="50" s="1"/>
  <c r="S3318" i="50" s="1"/>
  <c r="Q2904" i="50"/>
  <c r="Q3098" i="50" s="1"/>
  <c r="S3320" i="50" s="1"/>
  <c r="Q2906" i="50"/>
  <c r="Q2908" i="50"/>
  <c r="Q3101" i="50" s="1"/>
  <c r="S3324" i="50" s="1"/>
  <c r="Q2910" i="50"/>
  <c r="Q3103" i="50" s="1"/>
  <c r="S3326" i="50" s="1"/>
  <c r="Q2912" i="50"/>
  <c r="S3362" i="50" s="1"/>
  <c r="Q2914" i="50"/>
  <c r="S3364" i="50" s="1"/>
  <c r="Q2916" i="50"/>
  <c r="Q2918" i="50"/>
  <c r="Q2901" i="50"/>
  <c r="Q3096" i="50" s="1"/>
  <c r="S3317" i="50" s="1"/>
  <c r="Q2903" i="50"/>
  <c r="Q2905" i="50"/>
  <c r="Q3099" i="50" s="1"/>
  <c r="S3321" i="50" s="1"/>
  <c r="Q2907" i="50"/>
  <c r="Q3100" i="50" s="1"/>
  <c r="S3323" i="50" s="1"/>
  <c r="Q2909" i="50"/>
  <c r="Q3102" i="50" s="1"/>
  <c r="S3325" i="50" s="1"/>
  <c r="Q2911" i="50"/>
  <c r="Q3104" i="50" s="1"/>
  <c r="S3327" i="50" s="1"/>
  <c r="Q2913" i="50"/>
  <c r="S3363" i="50" s="1"/>
  <c r="Q2915" i="50"/>
  <c r="Q2917" i="50"/>
  <c r="Q2919" i="50"/>
  <c r="P2973" i="50"/>
  <c r="R3221" i="50"/>
  <c r="B3444" i="50" s="1"/>
  <c r="P2970" i="50"/>
  <c r="R3218" i="50"/>
  <c r="B3441" i="50" s="1"/>
  <c r="R3006" i="50"/>
  <c r="T3297" i="50"/>
  <c r="B3564" i="50"/>
  <c r="E3566" i="50"/>
  <c r="E3446" i="50"/>
  <c r="E3569" i="50"/>
  <c r="E3449" i="50"/>
  <c r="E3448" i="50"/>
  <c r="E3568" i="50"/>
  <c r="E3555" i="50" l="1"/>
  <c r="E3547" i="50"/>
  <c r="E3554" i="50"/>
  <c r="C3564" i="50"/>
  <c r="B3561" i="50"/>
  <c r="F3438" i="50"/>
  <c r="E3430" i="50"/>
  <c r="F3559" i="50"/>
  <c r="B3443" i="50"/>
  <c r="D3564" i="50"/>
  <c r="B3660" i="50"/>
  <c r="B3744" i="50" s="1"/>
  <c r="D3744" i="50" s="1"/>
  <c r="E3546" i="50"/>
  <c r="F3437" i="50"/>
  <c r="E3429" i="50"/>
  <c r="E3433" i="50"/>
  <c r="E3432" i="50"/>
  <c r="E3556" i="50"/>
  <c r="D3737" i="50"/>
  <c r="D3733" i="50"/>
  <c r="D3731" i="50"/>
  <c r="D3726" i="50"/>
  <c r="G4260" i="50"/>
  <c r="G4259" i="50"/>
  <c r="G4261" i="50"/>
  <c r="B4269" i="50"/>
  <c r="B4270" i="50"/>
  <c r="B3478" i="50"/>
  <c r="F3607" i="50"/>
  <c r="C3845" i="50" s="1"/>
  <c r="F3653" i="50"/>
  <c r="B3845" i="50" s="1"/>
  <c r="B3608" i="50"/>
  <c r="C3738" i="50" s="1"/>
  <c r="D3789" i="50"/>
  <c r="B3491" i="50"/>
  <c r="D3612" i="50"/>
  <c r="C3796" i="50" s="1"/>
  <c r="B4252" i="50"/>
  <c r="B4253" i="50"/>
  <c r="G4272" i="50"/>
  <c r="G4273" i="50"/>
  <c r="E3595" i="50"/>
  <c r="C3806" i="50" s="1"/>
  <c r="E3641" i="50"/>
  <c r="B3806" i="50" s="1"/>
  <c r="E3594" i="50"/>
  <c r="C3805" i="50" s="1"/>
  <c r="E3640" i="50"/>
  <c r="B3805" i="50" s="1"/>
  <c r="B3477" i="50"/>
  <c r="B3610" i="50"/>
  <c r="C3740" i="50" s="1"/>
  <c r="B3481" i="50"/>
  <c r="D3724" i="50"/>
  <c r="B4249" i="50"/>
  <c r="B4248" i="50"/>
  <c r="B4250" i="50"/>
  <c r="C4266" i="50"/>
  <c r="C4267" i="50"/>
  <c r="E3603" i="50"/>
  <c r="C3814" i="50" s="1"/>
  <c r="E3649" i="50"/>
  <c r="B3814" i="50" s="1"/>
  <c r="E3648" i="50"/>
  <c r="B3813" i="50" s="1"/>
  <c r="E3602" i="50"/>
  <c r="C3813" i="50" s="1"/>
  <c r="B3480" i="50"/>
  <c r="D3791" i="50"/>
  <c r="E3650" i="50"/>
  <c r="B3815" i="50" s="1"/>
  <c r="E3604" i="50"/>
  <c r="C3815" i="50" s="1"/>
  <c r="C4260" i="50"/>
  <c r="C4259" i="50"/>
  <c r="C4261" i="50"/>
  <c r="D4267" i="50"/>
  <c r="D4266" i="50"/>
  <c r="B3497" i="50"/>
  <c r="E3999" i="50"/>
  <c r="B3489" i="50"/>
  <c r="C3612" i="50"/>
  <c r="C3769" i="50" s="1"/>
  <c r="C3658" i="50"/>
  <c r="B3769" i="50" s="1"/>
  <c r="E3550" i="50"/>
  <c r="E3427" i="50"/>
  <c r="C3641" i="50"/>
  <c r="B3752" i="50" s="1"/>
  <c r="C3595" i="50"/>
  <c r="C3752" i="50" s="1"/>
  <c r="B3442" i="50"/>
  <c r="B3656" i="50" s="1"/>
  <c r="B3740" i="50" s="1"/>
  <c r="C3600" i="50"/>
  <c r="C3757" i="50" s="1"/>
  <c r="C3646" i="50"/>
  <c r="B3757" i="50" s="1"/>
  <c r="B4051" i="50"/>
  <c r="B4097" i="50" s="1"/>
  <c r="E3549" i="50"/>
  <c r="B3498" i="50"/>
  <c r="E4000" i="50"/>
  <c r="C3651" i="50"/>
  <c r="B3762" i="50" s="1"/>
  <c r="C3605" i="50"/>
  <c r="C3762" i="50" s="1"/>
  <c r="G3606" i="50"/>
  <c r="C3871" i="50" s="1"/>
  <c r="G3652" i="50"/>
  <c r="B3871" i="50" s="1"/>
  <c r="B3563" i="50"/>
  <c r="D3884" i="50"/>
  <c r="E3613" i="50"/>
  <c r="C3824" i="50" s="1"/>
  <c r="E3659" i="50"/>
  <c r="B3824" i="50" s="1"/>
  <c r="E3426" i="50"/>
  <c r="F3439" i="50"/>
  <c r="G4051" i="50"/>
  <c r="G4097" i="50" s="1"/>
  <c r="D3773" i="50"/>
  <c r="B4049" i="50"/>
  <c r="B4095" i="50" s="1"/>
  <c r="E3553" i="50"/>
  <c r="E4001" i="50"/>
  <c r="B3499" i="50"/>
  <c r="E3605" i="50"/>
  <c r="C3816" i="50" s="1"/>
  <c r="E3651" i="50"/>
  <c r="B3816" i="50" s="1"/>
  <c r="D3444" i="50"/>
  <c r="B3492" i="50" s="1"/>
  <c r="B4048" i="50"/>
  <c r="B4094" i="50" s="1"/>
  <c r="D3728" i="50"/>
  <c r="B4263" i="50"/>
  <c r="B4264" i="50"/>
  <c r="B3661" i="50"/>
  <c r="B3745" i="50" s="1"/>
  <c r="G4263" i="50"/>
  <c r="G4264" i="50"/>
  <c r="D3666" i="50"/>
  <c r="B3804" i="50" s="1"/>
  <c r="D3761" i="50"/>
  <c r="E3617" i="50"/>
  <c r="C3828" i="50" s="1"/>
  <c r="E3663" i="50"/>
  <c r="B3828" i="50" s="1"/>
  <c r="B3609" i="50"/>
  <c r="C3739" i="50" s="1"/>
  <c r="B3655" i="50"/>
  <c r="B3739" i="50" s="1"/>
  <c r="D3775" i="50"/>
  <c r="B3440" i="50"/>
  <c r="B3654" i="50" s="1"/>
  <c r="B3738" i="50" s="1"/>
  <c r="G4048" i="50"/>
  <c r="G4094" i="50" s="1"/>
  <c r="E3664" i="50"/>
  <c r="B3829" i="50" s="1"/>
  <c r="E3618" i="50"/>
  <c r="C3829" i="50" s="1"/>
  <c r="B3600" i="50"/>
  <c r="C3730" i="50" s="1"/>
  <c r="B3646" i="50"/>
  <c r="B3730" i="50" s="1"/>
  <c r="G3653" i="50"/>
  <c r="B3872" i="50" s="1"/>
  <c r="G3607" i="50"/>
  <c r="C3872" i="50" s="1"/>
  <c r="D3743" i="50"/>
  <c r="B3493" i="50"/>
  <c r="E3995" i="50"/>
  <c r="C3649" i="50"/>
  <c r="B3760" i="50" s="1"/>
  <c r="C3603" i="50"/>
  <c r="C3760" i="50" s="1"/>
  <c r="G3651" i="50"/>
  <c r="B3870" i="50" s="1"/>
  <c r="G3605" i="50"/>
  <c r="C3870" i="50" s="1"/>
  <c r="D3882" i="50"/>
  <c r="B3476" i="50"/>
  <c r="D3802" i="50"/>
  <c r="E3619" i="50"/>
  <c r="C3830" i="50" s="1"/>
  <c r="E3665" i="50"/>
  <c r="B3830" i="50" s="1"/>
  <c r="B3485" i="50"/>
  <c r="C4272" i="50"/>
  <c r="C4273" i="50"/>
  <c r="G3661" i="50"/>
  <c r="B3880" i="50" s="1"/>
  <c r="G4269" i="50"/>
  <c r="G4270" i="50"/>
  <c r="E3662" i="50"/>
  <c r="B3827" i="50" s="1"/>
  <c r="E3616" i="50"/>
  <c r="C3827" i="50" s="1"/>
  <c r="B3494" i="50"/>
  <c r="E3996" i="50"/>
  <c r="B3612" i="50"/>
  <c r="C3742" i="50" s="1"/>
  <c r="B3658" i="50"/>
  <c r="B3742" i="50" s="1"/>
  <c r="B3487" i="50"/>
  <c r="F3558" i="50"/>
  <c r="E3435" i="50"/>
  <c r="E3615" i="50"/>
  <c r="C3826" i="50" s="1"/>
  <c r="E3661" i="50"/>
  <c r="B3826" i="50" s="1"/>
  <c r="D3881" i="50"/>
  <c r="C3598" i="50"/>
  <c r="C3755" i="50" s="1"/>
  <c r="C3644" i="50"/>
  <c r="B3755" i="50" s="1"/>
  <c r="E3552" i="50"/>
  <c r="F3557" i="50"/>
  <c r="D4053" i="50"/>
  <c r="D4099" i="50" s="1"/>
  <c r="C3647" i="50"/>
  <c r="B3758" i="50" s="1"/>
  <c r="C3601" i="50"/>
  <c r="C3758" i="50" s="1"/>
  <c r="E3434" i="50"/>
  <c r="D3747" i="50"/>
  <c r="D3603" i="50"/>
  <c r="C3787" i="50" s="1"/>
  <c r="D3649" i="50"/>
  <c r="B3787" i="50" s="1"/>
  <c r="B3605" i="50"/>
  <c r="C3735" i="50" s="1"/>
  <c r="B3651" i="50"/>
  <c r="B3735" i="50" s="1"/>
  <c r="B3486" i="50"/>
  <c r="E3436" i="50"/>
  <c r="B3500" i="50"/>
  <c r="E4002" i="50"/>
  <c r="D3650" i="50"/>
  <c r="B3788" i="50" s="1"/>
  <c r="D3604" i="50"/>
  <c r="C3788" i="50" s="1"/>
  <c r="C3653" i="50"/>
  <c r="B3764" i="50" s="1"/>
  <c r="C3607" i="50"/>
  <c r="C3764" i="50" s="1"/>
  <c r="B3664" i="50"/>
  <c r="B3748" i="50" s="1"/>
  <c r="B3641" i="50"/>
  <c r="B3725" i="50" s="1"/>
  <c r="B3652" i="50"/>
  <c r="B3736" i="50" s="1"/>
  <c r="B3650" i="50"/>
  <c r="B3734" i="50" s="1"/>
  <c r="B3496" i="50"/>
  <c r="E3998" i="50"/>
  <c r="E3614" i="50"/>
  <c r="C3825" i="50" s="1"/>
  <c r="E3660" i="50"/>
  <c r="B3825" i="50" s="1"/>
  <c r="E3607" i="50"/>
  <c r="C3818" i="50" s="1"/>
  <c r="E3653" i="50"/>
  <c r="B3818" i="50" s="1"/>
  <c r="E3997" i="50"/>
  <c r="B3495" i="50"/>
  <c r="B3645" i="50"/>
  <c r="B3729" i="50" s="1"/>
  <c r="B3599" i="50"/>
  <c r="C3729" i="50" s="1"/>
  <c r="C3606" i="50"/>
  <c r="C3763" i="50" s="1"/>
  <c r="C3652" i="50"/>
  <c r="B3763" i="50" s="1"/>
  <c r="D3749" i="50"/>
  <c r="B4053" i="50"/>
  <c r="B4099" i="50" s="1"/>
  <c r="D3777" i="50"/>
  <c r="C3602" i="50"/>
  <c r="C3759" i="50" s="1"/>
  <c r="C3648" i="50"/>
  <c r="B3759" i="50" s="1"/>
  <c r="E3652" i="50"/>
  <c r="B3817" i="50" s="1"/>
  <c r="E3606" i="50"/>
  <c r="C3817" i="50" s="1"/>
  <c r="B3602" i="50"/>
  <c r="C3732" i="50" s="1"/>
  <c r="B3648" i="50"/>
  <c r="B3732" i="50" s="1"/>
  <c r="E3666" i="50"/>
  <c r="B3831" i="50" s="1"/>
  <c r="E3620" i="50"/>
  <c r="C3831" i="50" s="1"/>
  <c r="D4049" i="50"/>
  <c r="D4095" i="50" s="1"/>
  <c r="D3885" i="50"/>
  <c r="G3664" i="50"/>
  <c r="B3883" i="50" s="1"/>
  <c r="D3662" i="50"/>
  <c r="B3800" i="50" s="1"/>
  <c r="B3666" i="50"/>
  <c r="B3750" i="50" s="1"/>
  <c r="B3643" i="50"/>
  <c r="B3727" i="50" s="1"/>
  <c r="B3662" i="50"/>
  <c r="B3746" i="50" s="1"/>
  <c r="D3652" i="50"/>
  <c r="B3790" i="50" s="1"/>
  <c r="D4259" i="50" l="1"/>
  <c r="D4261" i="50"/>
  <c r="D4260" i="50"/>
  <c r="B4260" i="50"/>
  <c r="B4259" i="50"/>
  <c r="B4261" i="50"/>
  <c r="D3740" i="50"/>
  <c r="B4272" i="50"/>
  <c r="B4273" i="50"/>
  <c r="D3738" i="50"/>
  <c r="G4266" i="50"/>
  <c r="G4267" i="50"/>
  <c r="D4273" i="50"/>
  <c r="D4272" i="50"/>
  <c r="D3746" i="50"/>
  <c r="D3750" i="50"/>
  <c r="D3759" i="50"/>
  <c r="D3790" i="50"/>
  <c r="D3800" i="50"/>
  <c r="D3763" i="50"/>
  <c r="D3729" i="50"/>
  <c r="D3825" i="50"/>
  <c r="D3734" i="50"/>
  <c r="D3788" i="50"/>
  <c r="F3605" i="50"/>
  <c r="C3843" i="50" s="1"/>
  <c r="F3651" i="50"/>
  <c r="B3843" i="50" s="1"/>
  <c r="D3826" i="50"/>
  <c r="B3483" i="50"/>
  <c r="H125" i="49"/>
  <c r="I40" i="48"/>
  <c r="D3829" i="50"/>
  <c r="H119" i="49"/>
  <c r="I38" i="48"/>
  <c r="B3474" i="50"/>
  <c r="E3597" i="50"/>
  <c r="C3808" i="50" s="1"/>
  <c r="E3643" i="50"/>
  <c r="B3808" i="50" s="1"/>
  <c r="B3475" i="50"/>
  <c r="M115" i="49"/>
  <c r="E37" i="48"/>
  <c r="D3815" i="50"/>
  <c r="M122" i="49"/>
  <c r="E39" i="48"/>
  <c r="I84" i="48"/>
  <c r="H129" i="49"/>
  <c r="D3658" i="50"/>
  <c r="B3796" i="50" s="1"/>
  <c r="D40" i="48"/>
  <c r="L125" i="49"/>
  <c r="E125" i="49"/>
  <c r="D3817" i="50"/>
  <c r="D3748" i="50"/>
  <c r="D3764" i="50"/>
  <c r="E3646" i="50"/>
  <c r="B3811" i="50" s="1"/>
  <c r="E3600" i="50"/>
  <c r="C3811" i="50" s="1"/>
  <c r="F3606" i="50"/>
  <c r="C3844" i="50" s="1"/>
  <c r="F3652" i="50"/>
  <c r="B3844" i="50" s="1"/>
  <c r="D3742" i="50"/>
  <c r="D3760" i="50"/>
  <c r="D3872" i="50"/>
  <c r="D3730" i="50"/>
  <c r="G4255" i="50"/>
  <c r="G4257" i="50"/>
  <c r="G4256" i="50"/>
  <c r="D3739" i="50"/>
  <c r="D3804" i="50"/>
  <c r="D3745" i="50"/>
  <c r="D3824" i="50"/>
  <c r="B3657" i="50"/>
  <c r="B3741" i="50" s="1"/>
  <c r="B3611" i="50"/>
  <c r="C3741" i="50" s="1"/>
  <c r="D3762" i="50"/>
  <c r="B4266" i="50"/>
  <c r="B4267" i="50"/>
  <c r="D3752" i="50"/>
  <c r="E3644" i="50"/>
  <c r="B3809" i="50" s="1"/>
  <c r="E3598" i="50"/>
  <c r="C3809" i="50" s="1"/>
  <c r="N122" i="49"/>
  <c r="F39" i="48"/>
  <c r="M116" i="49"/>
  <c r="E59" i="48"/>
  <c r="D3814" i="50"/>
  <c r="D77" i="48"/>
  <c r="L106" i="49"/>
  <c r="E106" i="49"/>
  <c r="I41" i="48"/>
  <c r="H128" i="49"/>
  <c r="I80" i="48"/>
  <c r="H117" i="49"/>
  <c r="D3883" i="50"/>
  <c r="D3732" i="50"/>
  <c r="D3736" i="50"/>
  <c r="E4053" i="50"/>
  <c r="B4145" i="50" s="1"/>
  <c r="D3727" i="50"/>
  <c r="D3818" i="50"/>
  <c r="E4049" i="50"/>
  <c r="B4141" i="50" s="1"/>
  <c r="D3725" i="50"/>
  <c r="D3758" i="50"/>
  <c r="D3755" i="50"/>
  <c r="D3827" i="50"/>
  <c r="E84" i="48"/>
  <c r="M129" i="49"/>
  <c r="D3870" i="50"/>
  <c r="E4046" i="50"/>
  <c r="B4138" i="50" s="1"/>
  <c r="L120" i="49"/>
  <c r="D81" i="48"/>
  <c r="E120" i="49"/>
  <c r="D3816" i="50"/>
  <c r="E4052" i="50"/>
  <c r="B4144" i="50" s="1"/>
  <c r="E4051" i="50"/>
  <c r="B4143" i="50" s="1"/>
  <c r="B3490" i="50"/>
  <c r="N123" i="49"/>
  <c r="F82" i="48"/>
  <c r="D3813" i="50"/>
  <c r="L104" i="49"/>
  <c r="D34" i="48"/>
  <c r="E104" i="49"/>
  <c r="D3805" i="50"/>
  <c r="D3806" i="50"/>
  <c r="L109" i="49"/>
  <c r="D78" i="48"/>
  <c r="E109" i="49"/>
  <c r="H115" i="49"/>
  <c r="I37" i="48"/>
  <c r="D3831" i="50"/>
  <c r="E4048" i="50"/>
  <c r="B4140" i="50" s="1"/>
  <c r="B3484" i="50"/>
  <c r="D3735" i="50"/>
  <c r="D3787" i="50"/>
  <c r="B3482" i="50"/>
  <c r="E4047" i="50"/>
  <c r="B4139" i="50" s="1"/>
  <c r="H126" i="49"/>
  <c r="I83" i="48"/>
  <c r="D3880" i="50"/>
  <c r="M128" i="49"/>
  <c r="E41" i="48"/>
  <c r="D3830" i="50"/>
  <c r="B3488" i="50"/>
  <c r="D3828" i="50"/>
  <c r="H120" i="49"/>
  <c r="I81" i="48"/>
  <c r="D38" i="48"/>
  <c r="L119" i="49"/>
  <c r="E119" i="49"/>
  <c r="B4255" i="50"/>
  <c r="B4257" i="50"/>
  <c r="B4256" i="50"/>
  <c r="E3601" i="50"/>
  <c r="C3812" i="50" s="1"/>
  <c r="E3647" i="50"/>
  <c r="B3812" i="50" s="1"/>
  <c r="F3814" i="50" s="1"/>
  <c r="H3814" i="50" s="1"/>
  <c r="D3871" i="50"/>
  <c r="D3757" i="50"/>
  <c r="D3769" i="50"/>
  <c r="E4050" i="50"/>
  <c r="B4142" i="50" s="1"/>
  <c r="E80" i="48"/>
  <c r="M117" i="49"/>
  <c r="E82" i="48"/>
  <c r="M123" i="49"/>
  <c r="E105" i="49"/>
  <c r="D57" i="48"/>
  <c r="L105" i="49"/>
  <c r="F3851" i="50"/>
  <c r="H3851" i="50" s="1"/>
  <c r="F3836" i="50"/>
  <c r="H3836" i="50" s="1"/>
  <c r="F3803" i="50"/>
  <c r="H3803" i="50" s="1"/>
  <c r="F3797" i="50"/>
  <c r="H3797" i="50" s="1"/>
  <c r="F3792" i="50"/>
  <c r="H3792" i="50" s="1"/>
  <c r="F3779" i="50"/>
  <c r="H3779" i="50" s="1"/>
  <c r="F3772" i="50"/>
  <c r="H3772" i="50" s="1"/>
  <c r="F3767" i="50"/>
  <c r="H3767" i="50" s="1"/>
  <c r="F3754" i="50"/>
  <c r="H3754" i="50" s="1"/>
  <c r="D35" i="48"/>
  <c r="L108" i="49"/>
  <c r="E108" i="49"/>
  <c r="F3845" i="50"/>
  <c r="H3845" i="50" s="1"/>
  <c r="D3845" i="50"/>
  <c r="L126" i="49"/>
  <c r="D83" i="48"/>
  <c r="E126" i="49"/>
  <c r="I59" i="48"/>
  <c r="H116" i="49"/>
  <c r="F3731" i="50"/>
  <c r="H3731" i="50" s="1"/>
  <c r="F3737" i="50"/>
  <c r="H3737" i="50" s="1"/>
  <c r="F3867" i="50" l="1"/>
  <c r="H3867" i="50" s="1"/>
  <c r="F3757" i="50"/>
  <c r="H3757" i="50" s="1"/>
  <c r="F3840" i="50"/>
  <c r="H3840" i="50" s="1"/>
  <c r="F3878" i="50"/>
  <c r="H3878" i="50" s="1"/>
  <c r="F3832" i="50"/>
  <c r="H3832" i="50" s="1"/>
  <c r="F3859" i="50"/>
  <c r="H3859" i="50" s="1"/>
  <c r="E4099" i="50"/>
  <c r="F3871" i="50"/>
  <c r="H3871" i="50" s="1"/>
  <c r="F3740" i="50"/>
  <c r="H3740" i="50" s="1"/>
  <c r="E4098" i="50"/>
  <c r="K119" i="49"/>
  <c r="O119" i="49"/>
  <c r="P119" i="49"/>
  <c r="Q119" i="49"/>
  <c r="F3735" i="50"/>
  <c r="H3735" i="50" s="1"/>
  <c r="F3749" i="50"/>
  <c r="H3749" i="50" s="1"/>
  <c r="F3768" i="50"/>
  <c r="H3768" i="50" s="1"/>
  <c r="F3793" i="50"/>
  <c r="H3793" i="50" s="1"/>
  <c r="F3833" i="50"/>
  <c r="H3833" i="50" s="1"/>
  <c r="F3852" i="50"/>
  <c r="H3852" i="50" s="1"/>
  <c r="F3868" i="50"/>
  <c r="H3868" i="50" s="1"/>
  <c r="F3813" i="50"/>
  <c r="H3813" i="50" s="1"/>
  <c r="F3802" i="50"/>
  <c r="H3802" i="50" s="1"/>
  <c r="F3827" i="50"/>
  <c r="H3827" i="50" s="1"/>
  <c r="F3755" i="50"/>
  <c r="H3755" i="50" s="1"/>
  <c r="E4273" i="50"/>
  <c r="E4272" i="50"/>
  <c r="F3883" i="50"/>
  <c r="H3883" i="50" s="1"/>
  <c r="F3751" i="50"/>
  <c r="H3751" i="50" s="1"/>
  <c r="F3781" i="50"/>
  <c r="H3781" i="50" s="1"/>
  <c r="F3810" i="50"/>
  <c r="H3810" i="50" s="1"/>
  <c r="F3842" i="50"/>
  <c r="H3842" i="50" s="1"/>
  <c r="F3861" i="50"/>
  <c r="H3861" i="50" s="1"/>
  <c r="D82" i="48"/>
  <c r="L123" i="49"/>
  <c r="E123" i="49"/>
  <c r="F3824" i="50"/>
  <c r="H3824" i="50" s="1"/>
  <c r="F3745" i="50"/>
  <c r="H3745" i="50" s="1"/>
  <c r="F3739" i="50"/>
  <c r="H3739" i="50" s="1"/>
  <c r="I36" i="48"/>
  <c r="H111" i="49"/>
  <c r="F3872" i="50"/>
  <c r="H3872" i="50" s="1"/>
  <c r="F3748" i="50"/>
  <c r="H3748" i="50" s="1"/>
  <c r="K125" i="49"/>
  <c r="O125" i="49"/>
  <c r="P125" i="49"/>
  <c r="Q125" i="49"/>
  <c r="F3796" i="50"/>
  <c r="H3796" i="50" s="1"/>
  <c r="D3796" i="50"/>
  <c r="F3766" i="50"/>
  <c r="H3766" i="50" s="1"/>
  <c r="F3786" i="50"/>
  <c r="H3786" i="50" s="1"/>
  <c r="F3823" i="50"/>
  <c r="H3823" i="50" s="1"/>
  <c r="F3850" i="50"/>
  <c r="H3850" i="50" s="1"/>
  <c r="F3866" i="50"/>
  <c r="H3866" i="50" s="1"/>
  <c r="F3829" i="50"/>
  <c r="H3829" i="50" s="1"/>
  <c r="F3734" i="50"/>
  <c r="H3734" i="50" s="1"/>
  <c r="F3729" i="50"/>
  <c r="H3729" i="50" s="1"/>
  <c r="F3790" i="50"/>
  <c r="H3790" i="50" s="1"/>
  <c r="F3750" i="50"/>
  <c r="H3750" i="50" s="1"/>
  <c r="N129" i="49"/>
  <c r="F84" i="48"/>
  <c r="F3738" i="50"/>
  <c r="H3738" i="50" s="1"/>
  <c r="E116" i="49"/>
  <c r="D59" i="48"/>
  <c r="L116" i="49"/>
  <c r="P126" i="49"/>
  <c r="Q126" i="49"/>
  <c r="O126" i="49"/>
  <c r="K126" i="49"/>
  <c r="F3783" i="50"/>
  <c r="H3783" i="50" s="1"/>
  <c r="F3820" i="50"/>
  <c r="H3820" i="50" s="1"/>
  <c r="F3847" i="50"/>
  <c r="H3847" i="50" s="1"/>
  <c r="F3863" i="50"/>
  <c r="H3863" i="50" s="1"/>
  <c r="E4096" i="50"/>
  <c r="D58" i="48"/>
  <c r="L112" i="49"/>
  <c r="E112" i="49"/>
  <c r="F3761" i="50"/>
  <c r="H3761" i="50" s="1"/>
  <c r="E4093" i="50"/>
  <c r="E4094" i="50"/>
  <c r="F3805" i="50"/>
  <c r="H3805" i="50" s="1"/>
  <c r="F3774" i="50"/>
  <c r="H3774" i="50" s="1"/>
  <c r="F3798" i="50"/>
  <c r="H3798" i="50" s="1"/>
  <c r="F3837" i="50"/>
  <c r="H3837" i="50" s="1"/>
  <c r="F3856" i="50"/>
  <c r="H3856" i="50" s="1"/>
  <c r="F3875" i="50"/>
  <c r="H3875" i="50" s="1"/>
  <c r="F3791" i="50"/>
  <c r="H3791" i="50" s="1"/>
  <c r="F3816" i="50"/>
  <c r="H3816" i="50" s="1"/>
  <c r="F3726" i="50"/>
  <c r="H3726" i="50" s="1"/>
  <c r="F3765" i="50"/>
  <c r="H3765" i="50" s="1"/>
  <c r="F3785" i="50"/>
  <c r="H3785" i="50" s="1"/>
  <c r="F3822" i="50"/>
  <c r="H3822" i="50" s="1"/>
  <c r="F3849" i="50"/>
  <c r="H3849" i="50" s="1"/>
  <c r="F3865" i="50"/>
  <c r="H3865" i="50" s="1"/>
  <c r="O106" i="49"/>
  <c r="P106" i="49"/>
  <c r="Q106" i="49"/>
  <c r="F3809" i="50"/>
  <c r="H3809" i="50" s="1"/>
  <c r="D3809" i="50"/>
  <c r="E122" i="49"/>
  <c r="D39" i="48"/>
  <c r="L122" i="49"/>
  <c r="F3775" i="50"/>
  <c r="H3775" i="50" s="1"/>
  <c r="F3743" i="50"/>
  <c r="H3743" i="50" s="1"/>
  <c r="F3844" i="50"/>
  <c r="H3844" i="50" s="1"/>
  <c r="D3844" i="50"/>
  <c r="F3771" i="50"/>
  <c r="H3771" i="50" s="1"/>
  <c r="F3795" i="50"/>
  <c r="H3795" i="50" s="1"/>
  <c r="F3835" i="50"/>
  <c r="H3835" i="50" s="1"/>
  <c r="F3854" i="50"/>
  <c r="H3854" i="50" s="1"/>
  <c r="F3873" i="50"/>
  <c r="H3873" i="50" s="1"/>
  <c r="B3511" i="50"/>
  <c r="F3843" i="50"/>
  <c r="H3843" i="50" s="1"/>
  <c r="D3843" i="50"/>
  <c r="I82" i="48"/>
  <c r="H123" i="49"/>
  <c r="F3733" i="50"/>
  <c r="H3733" i="50" s="1"/>
  <c r="N116" i="49"/>
  <c r="F59" i="48"/>
  <c r="F3812" i="50"/>
  <c r="H3812" i="50" s="1"/>
  <c r="D3812" i="50"/>
  <c r="D79" i="48"/>
  <c r="L113" i="49"/>
  <c r="E113" i="49"/>
  <c r="F3830" i="50"/>
  <c r="H3830" i="50" s="1"/>
  <c r="F3880" i="50"/>
  <c r="H3880" i="50" s="1"/>
  <c r="F3787" i="50"/>
  <c r="H3787" i="50" s="1"/>
  <c r="F3831" i="50"/>
  <c r="H3831" i="50" s="1"/>
  <c r="F3789" i="50"/>
  <c r="H3789" i="50" s="1"/>
  <c r="F3724" i="50"/>
  <c r="H3724" i="50" s="1"/>
  <c r="F3780" i="50"/>
  <c r="H3780" i="50" s="1"/>
  <c r="F3807" i="50"/>
  <c r="H3807" i="50" s="1"/>
  <c r="F3841" i="50"/>
  <c r="H3841" i="50" s="1"/>
  <c r="F3860" i="50"/>
  <c r="H3860" i="50" s="1"/>
  <c r="F3879" i="50"/>
  <c r="H3879" i="50" s="1"/>
  <c r="E4270" i="50"/>
  <c r="E4269" i="50"/>
  <c r="P120" i="49"/>
  <c r="Q120" i="49"/>
  <c r="O120" i="49"/>
  <c r="F3870" i="50"/>
  <c r="H3870" i="50" s="1"/>
  <c r="F3881" i="50"/>
  <c r="H3881" i="50" s="1"/>
  <c r="F3758" i="50"/>
  <c r="H3758" i="50" s="1"/>
  <c r="F3725" i="50"/>
  <c r="H3725" i="50" s="1"/>
  <c r="F3818" i="50"/>
  <c r="H3818" i="50" s="1"/>
  <c r="F3732" i="50"/>
  <c r="H3732" i="50" s="1"/>
  <c r="F3770" i="50"/>
  <c r="H3770" i="50" s="1"/>
  <c r="F3794" i="50"/>
  <c r="H3794" i="50" s="1"/>
  <c r="F3834" i="50"/>
  <c r="H3834" i="50" s="1"/>
  <c r="F3853" i="50"/>
  <c r="H3853" i="50" s="1"/>
  <c r="F3869" i="50"/>
  <c r="H3869" i="50" s="1"/>
  <c r="F3741" i="50"/>
  <c r="H3741" i="50" s="1"/>
  <c r="D3741" i="50"/>
  <c r="F3728" i="50"/>
  <c r="H3728" i="50" s="1"/>
  <c r="F3804" i="50"/>
  <c r="H3804" i="50" s="1"/>
  <c r="I58" i="48"/>
  <c r="H112" i="49"/>
  <c r="F3730" i="50"/>
  <c r="H3730" i="50" s="1"/>
  <c r="F3811" i="50"/>
  <c r="H3811" i="50" s="1"/>
  <c r="D3811" i="50"/>
  <c r="F3764" i="50"/>
  <c r="H3764" i="50" s="1"/>
  <c r="F3778" i="50"/>
  <c r="H3778" i="50" s="1"/>
  <c r="F3801" i="50"/>
  <c r="H3801" i="50" s="1"/>
  <c r="F3839" i="50"/>
  <c r="H3839" i="50" s="1"/>
  <c r="F3858" i="50"/>
  <c r="H3858" i="50" s="1"/>
  <c r="F3877" i="50"/>
  <c r="H3877" i="50" s="1"/>
  <c r="F3773" i="50"/>
  <c r="H3773" i="50" s="1"/>
  <c r="F3788" i="50"/>
  <c r="H3788" i="50" s="1"/>
  <c r="F3825" i="50"/>
  <c r="H3825" i="50" s="1"/>
  <c r="F3763" i="50"/>
  <c r="H3763" i="50" s="1"/>
  <c r="F3800" i="50"/>
  <c r="H3800" i="50" s="1"/>
  <c r="F3759" i="50"/>
  <c r="H3759" i="50" s="1"/>
  <c r="F3746" i="50"/>
  <c r="H3746" i="50" s="1"/>
  <c r="I39" i="48"/>
  <c r="H122" i="49"/>
  <c r="D84" i="48"/>
  <c r="L129" i="49"/>
  <c r="E129" i="49"/>
  <c r="D80" i="48"/>
  <c r="L117" i="49"/>
  <c r="E117" i="49"/>
  <c r="K117" i="49" s="1"/>
  <c r="N117" i="49"/>
  <c r="F80" i="48"/>
  <c r="O108" i="49"/>
  <c r="P108" i="49"/>
  <c r="Q108" i="49"/>
  <c r="F3855" i="50"/>
  <c r="H3855" i="50" s="1"/>
  <c r="F3874" i="50"/>
  <c r="H3874" i="50" s="1"/>
  <c r="Q105" i="49"/>
  <c r="K105" i="49"/>
  <c r="O105" i="49"/>
  <c r="P105" i="49"/>
  <c r="F3769" i="50"/>
  <c r="H3769" i="50" s="1"/>
  <c r="E111" i="49"/>
  <c r="D36" i="48"/>
  <c r="L111" i="49"/>
  <c r="F3828" i="50"/>
  <c r="H3828" i="50" s="1"/>
  <c r="F3885" i="50"/>
  <c r="H3885" i="50" s="1"/>
  <c r="P109" i="49"/>
  <c r="Q109" i="49"/>
  <c r="O109" i="49"/>
  <c r="F3806" i="50"/>
  <c r="H3806" i="50" s="1"/>
  <c r="F3756" i="50"/>
  <c r="H3756" i="50" s="1"/>
  <c r="F3784" i="50"/>
  <c r="H3784" i="50" s="1"/>
  <c r="F3821" i="50"/>
  <c r="H3821" i="50" s="1"/>
  <c r="F3848" i="50"/>
  <c r="H3848" i="50" s="1"/>
  <c r="F3864" i="50"/>
  <c r="H3864" i="50" s="1"/>
  <c r="P104" i="49"/>
  <c r="Q104" i="49"/>
  <c r="O104" i="49"/>
  <c r="K104" i="49"/>
  <c r="E4097" i="50"/>
  <c r="E4092" i="50"/>
  <c r="F3882" i="50"/>
  <c r="H3882" i="50" s="1"/>
  <c r="F3747" i="50"/>
  <c r="H3747" i="50" s="1"/>
  <c r="E4095" i="50"/>
  <c r="F3777" i="50"/>
  <c r="H3777" i="50" s="1"/>
  <c r="F3727" i="50"/>
  <c r="H3727" i="50" s="1"/>
  <c r="F3736" i="50"/>
  <c r="H3736" i="50" s="1"/>
  <c r="F3776" i="50"/>
  <c r="H3776" i="50" s="1"/>
  <c r="F3799" i="50"/>
  <c r="H3799" i="50" s="1"/>
  <c r="F3838" i="50"/>
  <c r="H3838" i="50" s="1"/>
  <c r="F3857" i="50"/>
  <c r="H3857" i="50" s="1"/>
  <c r="F3876" i="50"/>
  <c r="H3876" i="50" s="1"/>
  <c r="F3752" i="50"/>
  <c r="H3752" i="50" s="1"/>
  <c r="F3762" i="50"/>
  <c r="H3762" i="50" s="1"/>
  <c r="H113" i="49"/>
  <c r="I79" i="48"/>
  <c r="F3760" i="50"/>
  <c r="H3760" i="50" s="1"/>
  <c r="F3742" i="50"/>
  <c r="H3742" i="50" s="1"/>
  <c r="F3817" i="50"/>
  <c r="H3817" i="50" s="1"/>
  <c r="F3753" i="50"/>
  <c r="H3753" i="50" s="1"/>
  <c r="F3782" i="50"/>
  <c r="H3782" i="50" s="1"/>
  <c r="F3819" i="50"/>
  <c r="H3819" i="50" s="1"/>
  <c r="F3846" i="50"/>
  <c r="H3846" i="50" s="1"/>
  <c r="F3862" i="50"/>
  <c r="H3862" i="50" s="1"/>
  <c r="F3744" i="50"/>
  <c r="H3744" i="50" s="1"/>
  <c r="F3815" i="50"/>
  <c r="H3815" i="50" s="1"/>
  <c r="F3808" i="50"/>
  <c r="H3808" i="50" s="1"/>
  <c r="D3808" i="50"/>
  <c r="F3884" i="50"/>
  <c r="H3884" i="50" s="1"/>
  <c r="F3826" i="50"/>
  <c r="H3826" i="50" s="1"/>
  <c r="I3826" i="50" s="1"/>
  <c r="N128" i="49"/>
  <c r="F41" i="48"/>
  <c r="E128" i="49"/>
  <c r="D41" i="48"/>
  <c r="L128" i="49"/>
  <c r="L115" i="49"/>
  <c r="D37" i="48"/>
  <c r="E115" i="49"/>
  <c r="N115" i="49"/>
  <c r="F37" i="48"/>
  <c r="I3767" i="50" l="1"/>
  <c r="I3740" i="50"/>
  <c r="L3723" i="50"/>
  <c r="I3851" i="50"/>
  <c r="Q128" i="49"/>
  <c r="K128" i="49"/>
  <c r="O128" i="49"/>
  <c r="P128" i="49"/>
  <c r="I3815" i="50"/>
  <c r="I3819" i="50"/>
  <c r="I3742" i="50"/>
  <c r="I3762" i="50"/>
  <c r="I3857" i="50"/>
  <c r="I3736" i="50"/>
  <c r="I3747" i="50"/>
  <c r="I3864" i="50"/>
  <c r="I3756" i="50"/>
  <c r="I3855" i="50"/>
  <c r="I3759" i="50"/>
  <c r="I3788" i="50"/>
  <c r="I3839" i="50"/>
  <c r="I3834" i="50"/>
  <c r="I3818" i="50"/>
  <c r="I3870" i="50"/>
  <c r="D125" i="49"/>
  <c r="F125" i="49"/>
  <c r="G40" i="48"/>
  <c r="I3841" i="50"/>
  <c r="I3789" i="50"/>
  <c r="I3830" i="50"/>
  <c r="I3873" i="50"/>
  <c r="I3771" i="50"/>
  <c r="I3775" i="50"/>
  <c r="Q122" i="49"/>
  <c r="K122" i="49"/>
  <c r="O122" i="49"/>
  <c r="P122" i="49"/>
  <c r="I3822" i="50"/>
  <c r="I3816" i="50"/>
  <c r="I3837" i="50"/>
  <c r="E4256" i="50"/>
  <c r="E4255" i="50"/>
  <c r="E4257" i="50"/>
  <c r="I3847" i="50"/>
  <c r="I3859" i="50"/>
  <c r="Q116" i="49"/>
  <c r="O116" i="49"/>
  <c r="P116" i="49"/>
  <c r="I3750" i="50"/>
  <c r="I3829" i="50"/>
  <c r="I3823" i="50"/>
  <c r="I3796" i="50"/>
  <c r="I3824" i="50"/>
  <c r="I3861" i="50"/>
  <c r="I3751" i="50"/>
  <c r="I3755" i="50"/>
  <c r="I3868" i="50"/>
  <c r="I3768" i="50"/>
  <c r="I3871" i="50"/>
  <c r="I3737" i="50"/>
  <c r="I3884" i="50"/>
  <c r="I3744" i="50"/>
  <c r="I3782" i="50"/>
  <c r="I3760" i="50"/>
  <c r="I3752" i="50"/>
  <c r="I3838" i="50"/>
  <c r="I3727" i="50"/>
  <c r="I3882" i="50"/>
  <c r="I3848" i="50"/>
  <c r="I3806" i="50"/>
  <c r="I3885" i="50"/>
  <c r="Q111" i="49"/>
  <c r="K111" i="49"/>
  <c r="O111" i="49"/>
  <c r="P111" i="49"/>
  <c r="I3836" i="50"/>
  <c r="I3800" i="50"/>
  <c r="I3773" i="50"/>
  <c r="I3801" i="50"/>
  <c r="I3811" i="50"/>
  <c r="I3741" i="50"/>
  <c r="I3794" i="50"/>
  <c r="I3725" i="50"/>
  <c r="D126" i="49"/>
  <c r="F126" i="49"/>
  <c r="G83" i="48"/>
  <c r="I3807" i="50"/>
  <c r="I3831" i="50"/>
  <c r="K113" i="49"/>
  <c r="O113" i="49"/>
  <c r="P113" i="49"/>
  <c r="Q113" i="49"/>
  <c r="I3812" i="50"/>
  <c r="I3832" i="50"/>
  <c r="I3854" i="50"/>
  <c r="I3785" i="50"/>
  <c r="I3791" i="50"/>
  <c r="I3798" i="50"/>
  <c r="E4253" i="50"/>
  <c r="E4252" i="50"/>
  <c r="I3820" i="50"/>
  <c r="I3803" i="50"/>
  <c r="I3738" i="50"/>
  <c r="I3790" i="50"/>
  <c r="I3786" i="50"/>
  <c r="I3748" i="50"/>
  <c r="O123" i="49"/>
  <c r="P123" i="49"/>
  <c r="Q123" i="49"/>
  <c r="I3842" i="50"/>
  <c r="I3883" i="50"/>
  <c r="I3827" i="50"/>
  <c r="I3852" i="50"/>
  <c r="I3749" i="50"/>
  <c r="I3878" i="50"/>
  <c r="I3862" i="50"/>
  <c r="I3753" i="50"/>
  <c r="I3799" i="50"/>
  <c r="I3777" i="50"/>
  <c r="E4248" i="50"/>
  <c r="E4250" i="50"/>
  <c r="E4249" i="50"/>
  <c r="I3821" i="50"/>
  <c r="I3828" i="50"/>
  <c r="I3769" i="50"/>
  <c r="I3797" i="50"/>
  <c r="O129" i="49"/>
  <c r="P129" i="49"/>
  <c r="Q129" i="49"/>
  <c r="I3763" i="50"/>
  <c r="I3877" i="50"/>
  <c r="I3778" i="50"/>
  <c r="I3804" i="50"/>
  <c r="I3869" i="50"/>
  <c r="I3770" i="50"/>
  <c r="I3758" i="50"/>
  <c r="I3879" i="50"/>
  <c r="I3780" i="50"/>
  <c r="I3787" i="50"/>
  <c r="I3757" i="50"/>
  <c r="I3792" i="50"/>
  <c r="I3733" i="50"/>
  <c r="I3843" i="50"/>
  <c r="I3835" i="50"/>
  <c r="I3844" i="50"/>
  <c r="I3809" i="50"/>
  <c r="I3865" i="50"/>
  <c r="I3765" i="50"/>
  <c r="I3875" i="50"/>
  <c r="I3774" i="50"/>
  <c r="I3761" i="50"/>
  <c r="E4264" i="50"/>
  <c r="E4263" i="50"/>
  <c r="I3783" i="50"/>
  <c r="I3729" i="50"/>
  <c r="I3866" i="50"/>
  <c r="I3766" i="50"/>
  <c r="I3739" i="50"/>
  <c r="I3810" i="50"/>
  <c r="F128" i="49"/>
  <c r="D128" i="49"/>
  <c r="G41" i="48"/>
  <c r="I3802" i="50"/>
  <c r="I3833" i="50"/>
  <c r="I3735" i="50"/>
  <c r="I3840" i="50"/>
  <c r="P115" i="49"/>
  <c r="Q115" i="49"/>
  <c r="O115" i="49"/>
  <c r="K115" i="49"/>
  <c r="I3808" i="50"/>
  <c r="I3846" i="50"/>
  <c r="I3817" i="50"/>
  <c r="I3876" i="50"/>
  <c r="I3776" i="50"/>
  <c r="E4259" i="50"/>
  <c r="E4261" i="50"/>
  <c r="E4260" i="50"/>
  <c r="E4267" i="50"/>
  <c r="E4266" i="50"/>
  <c r="I3784" i="50"/>
  <c r="I3874" i="50"/>
  <c r="I3772" i="50"/>
  <c r="I3731" i="50"/>
  <c r="O117" i="49"/>
  <c r="P117" i="49"/>
  <c r="Q117" i="49"/>
  <c r="I3746" i="50"/>
  <c r="I3825" i="50"/>
  <c r="I3858" i="50"/>
  <c r="I3764" i="50"/>
  <c r="I3730" i="50"/>
  <c r="I3728" i="50"/>
  <c r="I3853" i="50"/>
  <c r="I3732" i="50"/>
  <c r="I3881" i="50"/>
  <c r="I3860" i="50"/>
  <c r="I3724" i="50"/>
  <c r="I3880" i="50"/>
  <c r="I3867" i="50"/>
  <c r="I3845" i="50"/>
  <c r="C3511" i="50"/>
  <c r="B4161" i="50"/>
  <c r="I3795" i="50"/>
  <c r="I3743" i="50"/>
  <c r="I3849" i="50"/>
  <c r="I3726" i="50"/>
  <c r="I3856" i="50"/>
  <c r="I3805" i="50"/>
  <c r="O112" i="49"/>
  <c r="P112" i="49"/>
  <c r="Q112" i="49"/>
  <c r="I3863" i="50"/>
  <c r="I3754" i="50"/>
  <c r="I3734" i="50"/>
  <c r="I3850" i="50"/>
  <c r="I3872" i="50"/>
  <c r="I3745" i="50"/>
  <c r="I3781" i="50"/>
  <c r="F129" i="49"/>
  <c r="D129" i="49"/>
  <c r="G84" i="48"/>
  <c r="I3813" i="50"/>
  <c r="I3793" i="50"/>
  <c r="I3779" i="50"/>
  <c r="I3814" i="50"/>
  <c r="F123" i="49" l="1"/>
  <c r="D123" i="49"/>
  <c r="G82" i="48"/>
  <c r="D109" i="49"/>
  <c r="F109" i="49"/>
  <c r="G78" i="48"/>
  <c r="D113" i="49"/>
  <c r="F113" i="49"/>
  <c r="G79" i="48"/>
  <c r="B3680" i="50"/>
  <c r="B3694" i="50" s="1"/>
  <c r="J3724" i="50"/>
  <c r="J3725" i="50"/>
  <c r="K3725" i="50" s="1"/>
  <c r="J3726" i="50"/>
  <c r="K3726" i="50" s="1"/>
  <c r="J3727" i="50"/>
  <c r="K3727" i="50" s="1"/>
  <c r="J3728" i="50"/>
  <c r="K3728" i="50" s="1"/>
  <c r="J3729" i="50"/>
  <c r="K3729" i="50" s="1"/>
  <c r="J3730" i="50"/>
  <c r="K3730" i="50" s="1"/>
  <c r="J3731" i="50"/>
  <c r="K3731" i="50" s="1"/>
  <c r="J3732" i="50"/>
  <c r="K3732" i="50" s="1"/>
  <c r="J3733" i="50"/>
  <c r="K3733" i="50" s="1"/>
  <c r="J3734" i="50"/>
  <c r="K3734" i="50" s="1"/>
  <c r="J3735" i="50"/>
  <c r="K3735" i="50" s="1"/>
  <c r="J3736" i="50"/>
  <c r="K3736" i="50" s="1"/>
  <c r="J3737" i="50"/>
  <c r="K3737" i="50" s="1"/>
  <c r="J3738" i="50"/>
  <c r="K3738" i="50" s="1"/>
  <c r="J3739" i="50"/>
  <c r="K3739" i="50" s="1"/>
  <c r="J3740" i="50"/>
  <c r="K3740" i="50" s="1"/>
  <c r="J3741" i="50"/>
  <c r="K3741" i="50" s="1"/>
  <c r="J3742" i="50"/>
  <c r="K3742" i="50" s="1"/>
  <c r="J3743" i="50"/>
  <c r="K3743" i="50" s="1"/>
  <c r="J3744" i="50"/>
  <c r="K3744" i="50" s="1"/>
  <c r="J3745" i="50"/>
  <c r="K3745" i="50" s="1"/>
  <c r="J3746" i="50"/>
  <c r="K3746" i="50" s="1"/>
  <c r="J3747" i="50"/>
  <c r="K3747" i="50" s="1"/>
  <c r="J3748" i="50"/>
  <c r="K3748" i="50" s="1"/>
  <c r="J3749" i="50"/>
  <c r="K3749" i="50" s="1"/>
  <c r="J3750" i="50"/>
  <c r="K3750" i="50" s="1"/>
  <c r="J3751" i="50"/>
  <c r="K3751" i="50" s="1"/>
  <c r="J3752" i="50"/>
  <c r="K3752" i="50" s="1"/>
  <c r="J3753" i="50"/>
  <c r="K3753" i="50" s="1"/>
  <c r="J3754" i="50"/>
  <c r="K3754" i="50" s="1"/>
  <c r="J3755" i="50"/>
  <c r="K3755" i="50" s="1"/>
  <c r="J3756" i="50"/>
  <c r="K3756" i="50" s="1"/>
  <c r="J3757" i="50"/>
  <c r="K3757" i="50" s="1"/>
  <c r="J3758" i="50"/>
  <c r="K3758" i="50" s="1"/>
  <c r="J3759" i="50"/>
  <c r="K3759" i="50" s="1"/>
  <c r="J3760" i="50"/>
  <c r="K3760" i="50" s="1"/>
  <c r="J3761" i="50"/>
  <c r="K3761" i="50" s="1"/>
  <c r="J3762" i="50"/>
  <c r="K3762" i="50" s="1"/>
  <c r="J3763" i="50"/>
  <c r="K3763" i="50" s="1"/>
  <c r="J3764" i="50"/>
  <c r="K3764" i="50" s="1"/>
  <c r="J3765" i="50"/>
  <c r="K3765" i="50" s="1"/>
  <c r="J3766" i="50"/>
  <c r="K3766" i="50" s="1"/>
  <c r="J3767" i="50"/>
  <c r="K3767" i="50" s="1"/>
  <c r="J3768" i="50"/>
  <c r="K3768" i="50" s="1"/>
  <c r="J3769" i="50"/>
  <c r="K3769" i="50" s="1"/>
  <c r="J3770" i="50"/>
  <c r="K3770" i="50" s="1"/>
  <c r="J3771" i="50"/>
  <c r="K3771" i="50" s="1"/>
  <c r="J3772" i="50"/>
  <c r="K3772" i="50" s="1"/>
  <c r="J3773" i="50"/>
  <c r="K3773" i="50" s="1"/>
  <c r="J3774" i="50"/>
  <c r="K3774" i="50" s="1"/>
  <c r="J3775" i="50"/>
  <c r="K3775" i="50" s="1"/>
  <c r="J3776" i="50"/>
  <c r="K3776" i="50" s="1"/>
  <c r="J3777" i="50"/>
  <c r="K3777" i="50" s="1"/>
  <c r="J3778" i="50"/>
  <c r="K3778" i="50" s="1"/>
  <c r="J3779" i="50"/>
  <c r="K3779" i="50" s="1"/>
  <c r="J3780" i="50"/>
  <c r="K3780" i="50" s="1"/>
  <c r="J3781" i="50"/>
  <c r="K3781" i="50" s="1"/>
  <c r="J3782" i="50"/>
  <c r="K3782" i="50" s="1"/>
  <c r="J3783" i="50"/>
  <c r="K3783" i="50" s="1"/>
  <c r="J3784" i="50"/>
  <c r="K3784" i="50" s="1"/>
  <c r="J3785" i="50"/>
  <c r="K3785" i="50" s="1"/>
  <c r="J3786" i="50"/>
  <c r="K3786" i="50" s="1"/>
  <c r="J3787" i="50"/>
  <c r="K3787" i="50" s="1"/>
  <c r="J3788" i="50"/>
  <c r="K3788" i="50" s="1"/>
  <c r="J3789" i="50"/>
  <c r="K3789" i="50" s="1"/>
  <c r="J3790" i="50"/>
  <c r="K3790" i="50" s="1"/>
  <c r="J3791" i="50"/>
  <c r="K3791" i="50" s="1"/>
  <c r="J3792" i="50"/>
  <c r="K3792" i="50" s="1"/>
  <c r="J3793" i="50"/>
  <c r="K3793" i="50" s="1"/>
  <c r="J3794" i="50"/>
  <c r="K3794" i="50" s="1"/>
  <c r="J3795" i="50"/>
  <c r="K3795" i="50" s="1"/>
  <c r="J3796" i="50"/>
  <c r="K3796" i="50" s="1"/>
  <c r="J3797" i="50"/>
  <c r="K3797" i="50" s="1"/>
  <c r="J3798" i="50"/>
  <c r="K3798" i="50" s="1"/>
  <c r="J3799" i="50"/>
  <c r="K3799" i="50" s="1"/>
  <c r="J3800" i="50"/>
  <c r="K3800" i="50" s="1"/>
  <c r="J3801" i="50"/>
  <c r="K3801" i="50" s="1"/>
  <c r="J3802" i="50"/>
  <c r="K3802" i="50" s="1"/>
  <c r="J3803" i="50"/>
  <c r="K3803" i="50" s="1"/>
  <c r="J3804" i="50"/>
  <c r="K3804" i="50" s="1"/>
  <c r="J3805" i="50"/>
  <c r="K3805" i="50" s="1"/>
  <c r="J3806" i="50"/>
  <c r="K3806" i="50" s="1"/>
  <c r="J3807" i="50"/>
  <c r="K3807" i="50" s="1"/>
  <c r="J3808" i="50"/>
  <c r="K3808" i="50" s="1"/>
  <c r="J3809" i="50"/>
  <c r="K3809" i="50" s="1"/>
  <c r="J3810" i="50"/>
  <c r="K3810" i="50" s="1"/>
  <c r="J3811" i="50"/>
  <c r="K3811" i="50" s="1"/>
  <c r="J3812" i="50"/>
  <c r="K3812" i="50" s="1"/>
  <c r="J3813" i="50"/>
  <c r="K3813" i="50" s="1"/>
  <c r="J3814" i="50"/>
  <c r="K3814" i="50" s="1"/>
  <c r="J3815" i="50"/>
  <c r="K3815" i="50" s="1"/>
  <c r="J3816" i="50"/>
  <c r="K3816" i="50" s="1"/>
  <c r="J3817" i="50"/>
  <c r="K3817" i="50" s="1"/>
  <c r="J3818" i="50"/>
  <c r="K3818" i="50" s="1"/>
  <c r="J3819" i="50"/>
  <c r="K3819" i="50" s="1"/>
  <c r="J3820" i="50"/>
  <c r="K3820" i="50" s="1"/>
  <c r="J3821" i="50"/>
  <c r="K3821" i="50" s="1"/>
  <c r="J3822" i="50"/>
  <c r="K3822" i="50" s="1"/>
  <c r="J3823" i="50"/>
  <c r="K3823" i="50" s="1"/>
  <c r="J3824" i="50"/>
  <c r="K3824" i="50" s="1"/>
  <c r="J3825" i="50"/>
  <c r="K3825" i="50" s="1"/>
  <c r="J3826" i="50"/>
  <c r="K3826" i="50" s="1"/>
  <c r="J3827" i="50"/>
  <c r="K3827" i="50" s="1"/>
  <c r="J3828" i="50"/>
  <c r="K3828" i="50" s="1"/>
  <c r="J3829" i="50"/>
  <c r="K3829" i="50" s="1"/>
  <c r="J3830" i="50"/>
  <c r="K3830" i="50" s="1"/>
  <c r="J3831" i="50"/>
  <c r="K3831" i="50" s="1"/>
  <c r="J3832" i="50"/>
  <c r="K3832" i="50" s="1"/>
  <c r="J3833" i="50"/>
  <c r="K3833" i="50" s="1"/>
  <c r="J3834" i="50"/>
  <c r="K3834" i="50" s="1"/>
  <c r="J3835" i="50"/>
  <c r="K3835" i="50" s="1"/>
  <c r="J3836" i="50"/>
  <c r="K3836" i="50" s="1"/>
  <c r="J3837" i="50"/>
  <c r="K3837" i="50" s="1"/>
  <c r="J3838" i="50"/>
  <c r="K3838" i="50" s="1"/>
  <c r="J3839" i="50"/>
  <c r="K3839" i="50" s="1"/>
  <c r="J3840" i="50"/>
  <c r="K3840" i="50" s="1"/>
  <c r="J3841" i="50"/>
  <c r="K3841" i="50" s="1"/>
  <c r="J3842" i="50"/>
  <c r="K3842" i="50" s="1"/>
  <c r="J3843" i="50"/>
  <c r="K3843" i="50" s="1"/>
  <c r="J3844" i="50"/>
  <c r="K3844" i="50" s="1"/>
  <c r="J3845" i="50"/>
  <c r="K3845" i="50" s="1"/>
  <c r="J3846" i="50"/>
  <c r="K3846" i="50" s="1"/>
  <c r="J3847" i="50"/>
  <c r="K3847" i="50" s="1"/>
  <c r="J3848" i="50"/>
  <c r="K3848" i="50" s="1"/>
  <c r="J3849" i="50"/>
  <c r="K3849" i="50" s="1"/>
  <c r="J3850" i="50"/>
  <c r="K3850" i="50" s="1"/>
  <c r="J3851" i="50"/>
  <c r="K3851" i="50" s="1"/>
  <c r="J3852" i="50"/>
  <c r="K3852" i="50" s="1"/>
  <c r="J3853" i="50"/>
  <c r="K3853" i="50" s="1"/>
  <c r="J3857" i="50"/>
  <c r="K3857" i="50" s="1"/>
  <c r="J3861" i="50"/>
  <c r="K3861" i="50" s="1"/>
  <c r="J3865" i="50"/>
  <c r="K3865" i="50" s="1"/>
  <c r="J3869" i="50"/>
  <c r="K3869" i="50" s="1"/>
  <c r="J3871" i="50"/>
  <c r="K3871" i="50" s="1"/>
  <c r="J3874" i="50"/>
  <c r="K3874" i="50" s="1"/>
  <c r="J3880" i="50"/>
  <c r="K3880" i="50" s="1"/>
  <c r="J3884" i="50"/>
  <c r="K3884" i="50" s="1"/>
  <c r="J3856" i="50"/>
  <c r="K3856" i="50" s="1"/>
  <c r="J3860" i="50"/>
  <c r="K3860" i="50" s="1"/>
  <c r="J3864" i="50"/>
  <c r="K3864" i="50" s="1"/>
  <c r="J3868" i="50"/>
  <c r="K3868" i="50" s="1"/>
  <c r="J3873" i="50"/>
  <c r="K3873" i="50" s="1"/>
  <c r="J3877" i="50"/>
  <c r="K3877" i="50" s="1"/>
  <c r="J3878" i="50"/>
  <c r="K3878" i="50" s="1"/>
  <c r="J3879" i="50"/>
  <c r="K3879" i="50" s="1"/>
  <c r="J3883" i="50"/>
  <c r="K3883" i="50" s="1"/>
  <c r="J3855" i="50"/>
  <c r="K3855" i="50" s="1"/>
  <c r="J3859" i="50"/>
  <c r="K3859" i="50" s="1"/>
  <c r="J3863" i="50"/>
  <c r="K3863" i="50" s="1"/>
  <c r="J3867" i="50"/>
  <c r="K3867" i="50" s="1"/>
  <c r="J3870" i="50"/>
  <c r="K3870" i="50" s="1"/>
  <c r="J3872" i="50"/>
  <c r="K3872" i="50" s="1"/>
  <c r="J3876" i="50"/>
  <c r="K3876" i="50" s="1"/>
  <c r="J3882" i="50"/>
  <c r="K3882" i="50" s="1"/>
  <c r="J3854" i="50"/>
  <c r="K3854" i="50" s="1"/>
  <c r="J3858" i="50"/>
  <c r="K3858" i="50" s="1"/>
  <c r="J3862" i="50"/>
  <c r="K3862" i="50" s="1"/>
  <c r="J3866" i="50"/>
  <c r="K3866" i="50" s="1"/>
  <c r="J3875" i="50"/>
  <c r="K3875" i="50" s="1"/>
  <c r="J3881" i="50"/>
  <c r="K3881" i="50" s="1"/>
  <c r="J3885" i="50"/>
  <c r="K3885" i="50" s="1"/>
  <c r="F116" i="49"/>
  <c r="D116" i="49"/>
  <c r="G59" i="48"/>
  <c r="F105" i="49"/>
  <c r="D105" i="49"/>
  <c r="G57" i="48"/>
  <c r="F111" i="49"/>
  <c r="D111" i="49"/>
  <c r="G36" i="48"/>
  <c r="R129" i="49"/>
  <c r="S129" i="49"/>
  <c r="T129" i="49"/>
  <c r="F117" i="49"/>
  <c r="D117" i="49"/>
  <c r="I117" i="49" s="1"/>
  <c r="G80" i="48"/>
  <c r="I128" i="49"/>
  <c r="R128" i="49"/>
  <c r="S128" i="49"/>
  <c r="T128" i="49"/>
  <c r="J128" i="49"/>
  <c r="D119" i="49"/>
  <c r="F119" i="49"/>
  <c r="G38" i="48"/>
  <c r="F106" i="49"/>
  <c r="D106" i="49"/>
  <c r="G77" i="48"/>
  <c r="F112" i="49"/>
  <c r="D112" i="49"/>
  <c r="G58" i="48"/>
  <c r="S125" i="49"/>
  <c r="T125" i="49"/>
  <c r="I125" i="49"/>
  <c r="R125" i="49"/>
  <c r="J125" i="49"/>
  <c r="F122" i="49"/>
  <c r="D122" i="49"/>
  <c r="G39" i="48"/>
  <c r="D115" i="49"/>
  <c r="F115" i="49"/>
  <c r="G37" i="48"/>
  <c r="D120" i="49"/>
  <c r="F120" i="49"/>
  <c r="G81" i="48"/>
  <c r="D104" i="49"/>
  <c r="F104" i="49"/>
  <c r="G34" i="48"/>
  <c r="D108" i="49"/>
  <c r="F108" i="49"/>
  <c r="G35" i="48"/>
  <c r="T126" i="49"/>
  <c r="R126" i="49"/>
  <c r="S126" i="49"/>
  <c r="I126" i="49"/>
  <c r="T115" i="49" l="1"/>
  <c r="J115" i="49"/>
  <c r="R115" i="49"/>
  <c r="S115" i="49"/>
  <c r="I115" i="49"/>
  <c r="R117" i="49"/>
  <c r="S117" i="49"/>
  <c r="T117" i="49"/>
  <c r="R116" i="49"/>
  <c r="S116" i="49"/>
  <c r="T116" i="49"/>
  <c r="S113" i="49"/>
  <c r="T113" i="49"/>
  <c r="I113" i="49"/>
  <c r="R113" i="49"/>
  <c r="T120" i="49"/>
  <c r="R120" i="49"/>
  <c r="S120" i="49"/>
  <c r="R106" i="49"/>
  <c r="S106" i="49"/>
  <c r="T106" i="49"/>
  <c r="S119" i="49"/>
  <c r="T119" i="49"/>
  <c r="I119" i="49"/>
  <c r="R119" i="49"/>
  <c r="J119" i="49"/>
  <c r="I105" i="49"/>
  <c r="R105" i="49"/>
  <c r="S105" i="49"/>
  <c r="T105" i="49"/>
  <c r="B3723" i="50"/>
  <c r="K3723" i="50" s="1"/>
  <c r="E3884" i="50"/>
  <c r="E3801" i="50"/>
  <c r="E3885" i="50"/>
  <c r="E3798" i="50"/>
  <c r="E3747" i="50"/>
  <c r="E3882" i="50"/>
  <c r="E3746" i="50"/>
  <c r="E3797" i="50"/>
  <c r="E3749" i="50"/>
  <c r="E3880" i="50"/>
  <c r="E3775" i="50"/>
  <c r="E3881" i="50"/>
  <c r="E3777" i="50"/>
  <c r="E3743" i="50"/>
  <c r="E3802" i="50"/>
  <c r="E3883" i="50"/>
  <c r="E3776" i="50"/>
  <c r="E3745" i="50"/>
  <c r="E3879" i="50"/>
  <c r="E3748" i="50"/>
  <c r="E3803" i="50"/>
  <c r="E3772" i="50"/>
  <c r="E3774" i="50"/>
  <c r="E3804" i="50"/>
  <c r="E3773" i="50"/>
  <c r="E3878" i="50"/>
  <c r="E3744" i="50"/>
  <c r="E3800" i="50"/>
  <c r="E3770" i="50"/>
  <c r="E3750" i="50"/>
  <c r="E3799" i="50"/>
  <c r="E3771" i="50"/>
  <c r="E3858" i="50"/>
  <c r="E3856" i="50"/>
  <c r="E3854" i="50"/>
  <c r="E3852" i="50"/>
  <c r="E3857" i="50"/>
  <c r="E3855" i="50"/>
  <c r="E3853" i="50"/>
  <c r="E3851" i="50"/>
  <c r="E3784" i="50"/>
  <c r="E3848" i="50"/>
  <c r="E3866" i="50"/>
  <c r="E3767" i="50"/>
  <c r="E3860" i="50"/>
  <c r="E3807" i="50"/>
  <c r="E3780" i="50"/>
  <c r="E3832" i="50"/>
  <c r="E3779" i="50"/>
  <c r="E3834" i="50"/>
  <c r="E3733" i="50"/>
  <c r="E3727" i="50"/>
  <c r="E3821" i="50"/>
  <c r="E3782" i="50"/>
  <c r="E3865" i="50"/>
  <c r="E3736" i="50"/>
  <c r="E3868" i="50"/>
  <c r="E3835" i="50"/>
  <c r="E3859" i="50"/>
  <c r="E3783" i="50"/>
  <c r="E3838" i="50"/>
  <c r="E3725" i="50"/>
  <c r="E3781" i="50"/>
  <c r="E3819" i="50"/>
  <c r="E3753" i="50"/>
  <c r="E3726" i="50"/>
  <c r="E3792" i="50"/>
  <c r="E3840" i="50"/>
  <c r="E3842" i="50"/>
  <c r="E3837" i="50"/>
  <c r="E3846" i="50"/>
  <c r="E3728" i="50"/>
  <c r="E3785" i="50"/>
  <c r="E3794" i="50"/>
  <c r="E3849" i="50"/>
  <c r="E3761" i="50"/>
  <c r="E3867" i="50"/>
  <c r="E3751" i="50"/>
  <c r="E3864" i="50"/>
  <c r="E3847" i="50"/>
  <c r="E3765" i="50"/>
  <c r="E3795" i="50"/>
  <c r="E3850" i="50"/>
  <c r="E3724" i="50"/>
  <c r="E3793" i="50"/>
  <c r="E3778" i="50"/>
  <c r="E3737" i="50"/>
  <c r="E3731" i="50"/>
  <c r="E3810" i="50"/>
  <c r="E3873" i="50"/>
  <c r="E3754" i="50"/>
  <c r="E3756" i="50"/>
  <c r="E3823" i="50"/>
  <c r="E3734" i="50"/>
  <c r="E3836" i="50"/>
  <c r="E3822" i="50"/>
  <c r="E3833" i="50"/>
  <c r="E3820" i="50"/>
  <c r="E3790" i="50"/>
  <c r="E3863" i="50"/>
  <c r="E3786" i="50"/>
  <c r="E3841" i="50"/>
  <c r="E3791" i="50"/>
  <c r="E3839" i="50"/>
  <c r="E3875" i="50"/>
  <c r="E3766" i="50"/>
  <c r="E3874" i="50"/>
  <c r="E3877" i="50"/>
  <c r="E3789" i="50"/>
  <c r="E3862" i="50"/>
  <c r="E3869" i="50"/>
  <c r="E3768" i="50"/>
  <c r="E3876" i="50"/>
  <c r="E3861" i="50"/>
  <c r="E3759" i="50"/>
  <c r="E3816" i="50"/>
  <c r="E3845" i="50"/>
  <c r="E3758" i="50"/>
  <c r="E3826" i="50"/>
  <c r="E3729" i="50"/>
  <c r="E3764" i="50"/>
  <c r="E3872" i="50"/>
  <c r="E3805" i="50"/>
  <c r="E3828" i="50"/>
  <c r="E3871" i="50"/>
  <c r="E3769" i="50"/>
  <c r="E3813" i="50"/>
  <c r="E3730" i="50"/>
  <c r="E3815" i="50"/>
  <c r="E3814" i="50"/>
  <c r="E3829" i="50"/>
  <c r="E3806" i="50"/>
  <c r="E3830" i="50"/>
  <c r="E3762" i="50"/>
  <c r="E3757" i="50"/>
  <c r="E3825" i="50"/>
  <c r="E3827" i="50"/>
  <c r="E3796" i="50"/>
  <c r="E3831" i="50"/>
  <c r="E3742" i="50"/>
  <c r="E3739" i="50"/>
  <c r="E3824" i="50"/>
  <c r="E3740" i="50"/>
  <c r="E3817" i="50"/>
  <c r="E3787" i="50"/>
  <c r="E3755" i="50"/>
  <c r="E3735" i="50"/>
  <c r="E3870" i="50"/>
  <c r="E3738" i="50"/>
  <c r="E3763" i="50"/>
  <c r="E3732" i="50"/>
  <c r="E3788" i="50"/>
  <c r="E3818" i="50"/>
  <c r="E3760" i="50"/>
  <c r="E3752" i="50"/>
  <c r="E3812" i="50"/>
  <c r="E3843" i="50"/>
  <c r="E3811" i="50"/>
  <c r="E3844" i="50"/>
  <c r="E3809" i="50"/>
  <c r="E3808" i="50"/>
  <c r="E3741" i="50"/>
  <c r="R123" i="49"/>
  <c r="S123" i="49"/>
  <c r="T123" i="49"/>
  <c r="T104" i="49"/>
  <c r="J104" i="49"/>
  <c r="R104" i="49"/>
  <c r="S104" i="49"/>
  <c r="I104" i="49"/>
  <c r="I122" i="49"/>
  <c r="R122" i="49"/>
  <c r="S122" i="49"/>
  <c r="T122" i="49"/>
  <c r="J122" i="49"/>
  <c r="R112" i="49"/>
  <c r="S112" i="49"/>
  <c r="T112" i="49"/>
  <c r="I111" i="49"/>
  <c r="R111" i="49"/>
  <c r="S111" i="49"/>
  <c r="T111" i="49"/>
  <c r="J111" i="49"/>
  <c r="S108" i="49"/>
  <c r="T108" i="49"/>
  <c r="R108" i="49"/>
  <c r="K3724" i="50"/>
  <c r="L3724" i="50"/>
  <c r="L3725" i="50" s="1"/>
  <c r="L3726" i="50" s="1"/>
  <c r="L3727" i="50" s="1"/>
  <c r="L3728" i="50" s="1"/>
  <c r="L3729" i="50" s="1"/>
  <c r="L3730" i="50" s="1"/>
  <c r="L3731" i="50" s="1"/>
  <c r="L3732" i="50" s="1"/>
  <c r="L3733" i="50" s="1"/>
  <c r="L3734" i="50" s="1"/>
  <c r="L3735" i="50" s="1"/>
  <c r="L3736" i="50" s="1"/>
  <c r="L3737" i="50" s="1"/>
  <c r="L3738" i="50" s="1"/>
  <c r="L3739" i="50" s="1"/>
  <c r="L3740" i="50" s="1"/>
  <c r="L3741" i="50" s="1"/>
  <c r="L3742" i="50" s="1"/>
  <c r="L3743" i="50" s="1"/>
  <c r="L3744" i="50" s="1"/>
  <c r="L3745" i="50" s="1"/>
  <c r="L3746" i="50" s="1"/>
  <c r="L3747" i="50" s="1"/>
  <c r="L3748" i="50" s="1"/>
  <c r="L3749" i="50" s="1"/>
  <c r="L3750" i="50" s="1"/>
  <c r="L3751" i="50" s="1"/>
  <c r="L3752" i="50" s="1"/>
  <c r="L3753" i="50" s="1"/>
  <c r="L3754" i="50" s="1"/>
  <c r="L3755" i="50" s="1"/>
  <c r="L3756" i="50" s="1"/>
  <c r="L3757" i="50" s="1"/>
  <c r="L3758" i="50" s="1"/>
  <c r="L3759" i="50" s="1"/>
  <c r="L3760" i="50" s="1"/>
  <c r="L3761" i="50" s="1"/>
  <c r="L3762" i="50" s="1"/>
  <c r="L3763" i="50" s="1"/>
  <c r="L3764" i="50" s="1"/>
  <c r="L3765" i="50" s="1"/>
  <c r="L3766" i="50" s="1"/>
  <c r="L3767" i="50" s="1"/>
  <c r="L3768" i="50" s="1"/>
  <c r="L3769" i="50" s="1"/>
  <c r="L3770" i="50" s="1"/>
  <c r="L3771" i="50" s="1"/>
  <c r="L3772" i="50" s="1"/>
  <c r="L3773" i="50" s="1"/>
  <c r="L3774" i="50" s="1"/>
  <c r="L3775" i="50" s="1"/>
  <c r="L3776" i="50" s="1"/>
  <c r="L3777" i="50" s="1"/>
  <c r="L3778" i="50" s="1"/>
  <c r="L3779" i="50" s="1"/>
  <c r="L3780" i="50" s="1"/>
  <c r="L3781" i="50" s="1"/>
  <c r="L3782" i="50" s="1"/>
  <c r="L3783" i="50" s="1"/>
  <c r="L3784" i="50" s="1"/>
  <c r="L3785" i="50" s="1"/>
  <c r="L3786" i="50" s="1"/>
  <c r="L3787" i="50" s="1"/>
  <c r="L3788" i="50" s="1"/>
  <c r="L3789" i="50" s="1"/>
  <c r="L3790" i="50" s="1"/>
  <c r="L3791" i="50" s="1"/>
  <c r="L3792" i="50" s="1"/>
  <c r="L3793" i="50" s="1"/>
  <c r="L3794" i="50" s="1"/>
  <c r="L3795" i="50" s="1"/>
  <c r="L3796" i="50" s="1"/>
  <c r="L3797" i="50" s="1"/>
  <c r="L3798" i="50" s="1"/>
  <c r="L3799" i="50" s="1"/>
  <c r="L3800" i="50" s="1"/>
  <c r="L3801" i="50" s="1"/>
  <c r="L3802" i="50" s="1"/>
  <c r="L3803" i="50" s="1"/>
  <c r="L3804" i="50" s="1"/>
  <c r="L3805" i="50" s="1"/>
  <c r="L3806" i="50" s="1"/>
  <c r="L3807" i="50" s="1"/>
  <c r="L3808" i="50" s="1"/>
  <c r="L3809" i="50" s="1"/>
  <c r="L3810" i="50" s="1"/>
  <c r="L3811" i="50" s="1"/>
  <c r="L3812" i="50" s="1"/>
  <c r="L3813" i="50" s="1"/>
  <c r="L3814" i="50" s="1"/>
  <c r="L3815" i="50" s="1"/>
  <c r="L3816" i="50" s="1"/>
  <c r="L3817" i="50" s="1"/>
  <c r="L3818" i="50" s="1"/>
  <c r="L3819" i="50" s="1"/>
  <c r="L3820" i="50" s="1"/>
  <c r="L3821" i="50" s="1"/>
  <c r="L3822" i="50" s="1"/>
  <c r="L3823" i="50" s="1"/>
  <c r="L3824" i="50" s="1"/>
  <c r="L3825" i="50" s="1"/>
  <c r="L3826" i="50" s="1"/>
  <c r="L3827" i="50" s="1"/>
  <c r="L3828" i="50" s="1"/>
  <c r="L3829" i="50" s="1"/>
  <c r="L3830" i="50" s="1"/>
  <c r="L3831" i="50" s="1"/>
  <c r="L3832" i="50" s="1"/>
  <c r="L3833" i="50" s="1"/>
  <c r="L3834" i="50" s="1"/>
  <c r="L3835" i="50" s="1"/>
  <c r="L3836" i="50" s="1"/>
  <c r="L3837" i="50" s="1"/>
  <c r="L3838" i="50" s="1"/>
  <c r="L3839" i="50" s="1"/>
  <c r="L3840" i="50" s="1"/>
  <c r="L3841" i="50" s="1"/>
  <c r="L3842" i="50" s="1"/>
  <c r="L3843" i="50" s="1"/>
  <c r="L3844" i="50" s="1"/>
  <c r="L3845" i="50" s="1"/>
  <c r="L3846" i="50" s="1"/>
  <c r="L3847" i="50" s="1"/>
  <c r="L3848" i="50" s="1"/>
  <c r="L3849" i="50" s="1"/>
  <c r="L3850" i="50" s="1"/>
  <c r="L3851" i="50" s="1"/>
  <c r="L3852" i="50" s="1"/>
  <c r="L3853" i="50" s="1"/>
  <c r="L3854" i="50" s="1"/>
  <c r="L3855" i="50" s="1"/>
  <c r="L3856" i="50" s="1"/>
  <c r="L3857" i="50" s="1"/>
  <c r="L3858" i="50" s="1"/>
  <c r="L3859" i="50" s="1"/>
  <c r="L3860" i="50" s="1"/>
  <c r="L3861" i="50" s="1"/>
  <c r="L3862" i="50" s="1"/>
  <c r="L3863" i="50" s="1"/>
  <c r="L3864" i="50" s="1"/>
  <c r="L3865" i="50" s="1"/>
  <c r="L3866" i="50" s="1"/>
  <c r="L3867" i="50" s="1"/>
  <c r="L3868" i="50" s="1"/>
  <c r="L3869" i="50" s="1"/>
  <c r="L3870" i="50" s="1"/>
  <c r="L3871" i="50" s="1"/>
  <c r="L3872" i="50" s="1"/>
  <c r="L3873" i="50" s="1"/>
  <c r="L3874" i="50" s="1"/>
  <c r="L3875" i="50" s="1"/>
  <c r="L3876" i="50" s="1"/>
  <c r="L3877" i="50" s="1"/>
  <c r="L3878" i="50" s="1"/>
  <c r="L3879" i="50" s="1"/>
  <c r="L3880" i="50" s="1"/>
  <c r="L3881" i="50" s="1"/>
  <c r="L3882" i="50" s="1"/>
  <c r="L3883" i="50" s="1"/>
  <c r="L3884" i="50" s="1"/>
  <c r="L3885" i="50" s="1"/>
  <c r="T109" i="49"/>
  <c r="R109" i="49"/>
  <c r="S109" i="49"/>
  <c r="M3723" i="50" l="1"/>
  <c r="M3724" i="50" l="1"/>
  <c r="N3724" i="50" s="1"/>
  <c r="M3725" i="50" l="1"/>
  <c r="N3725" i="50" s="1"/>
  <c r="M3726" i="50" l="1"/>
  <c r="N3726" i="50" s="1"/>
  <c r="M3727" i="50" l="1"/>
  <c r="N3727" i="50" s="1"/>
  <c r="M3728" i="50" l="1"/>
  <c r="N3728" i="50" s="1"/>
  <c r="M3729" i="50" l="1"/>
  <c r="N3729" i="50" s="1"/>
  <c r="M3730" i="50" l="1"/>
  <c r="N3730" i="50" s="1"/>
  <c r="M3731" i="50" l="1"/>
  <c r="N3731" i="50" s="1"/>
  <c r="M3732" i="50" l="1"/>
  <c r="N3732" i="50" s="1"/>
  <c r="M3733" i="50" l="1"/>
  <c r="N3733" i="50" s="1"/>
  <c r="M3734" i="50" l="1"/>
  <c r="N3734" i="50" s="1"/>
  <c r="M3735" i="50" l="1"/>
  <c r="N3735" i="50" s="1"/>
  <c r="M3736" i="50" l="1"/>
  <c r="N3736" i="50" s="1"/>
  <c r="M3737" i="50" l="1"/>
  <c r="N3737" i="50" s="1"/>
  <c r="M3738" i="50" l="1"/>
  <c r="N3738" i="50" s="1"/>
  <c r="M3739" i="50" l="1"/>
  <c r="N3739" i="50" s="1"/>
  <c r="M3740" i="50" l="1"/>
  <c r="N3740" i="50" s="1"/>
  <c r="M3741" i="50" l="1"/>
  <c r="N3741" i="50"/>
  <c r="M3742" i="50" l="1"/>
  <c r="N3742" i="50"/>
  <c r="M3743" i="50" l="1"/>
  <c r="N3743" i="50"/>
  <c r="M3744" i="50" l="1"/>
  <c r="N3744" i="50"/>
  <c r="M3745" i="50" l="1"/>
  <c r="N3745" i="50" s="1"/>
  <c r="M3746" i="50" l="1"/>
  <c r="N3746" i="50" s="1"/>
  <c r="M3747" i="50" l="1"/>
  <c r="N3747" i="50" s="1"/>
  <c r="M3748" i="50" l="1"/>
  <c r="N3748" i="50"/>
  <c r="M3749" i="50" l="1"/>
  <c r="N3749" i="50"/>
  <c r="M3750" i="50" l="1"/>
  <c r="N3750" i="50"/>
  <c r="M3751" i="50" l="1"/>
  <c r="N3751" i="50"/>
  <c r="M3752" i="50" l="1"/>
  <c r="N3752" i="50"/>
  <c r="M3753" i="50" l="1"/>
  <c r="N3753" i="50" s="1"/>
  <c r="M3754" i="50" l="1"/>
  <c r="N3754" i="50" s="1"/>
  <c r="M3755" i="50" l="1"/>
  <c r="N3755" i="50"/>
  <c r="M3756" i="50" l="1"/>
  <c r="N3756" i="50" s="1"/>
  <c r="M3757" i="50" l="1"/>
  <c r="N3757" i="50"/>
  <c r="M3758" i="50" l="1"/>
  <c r="N3758" i="50" s="1"/>
  <c r="M3759" i="50" l="1"/>
  <c r="N3759" i="50" s="1"/>
  <c r="M3760" i="50" l="1"/>
  <c r="N3760" i="50" s="1"/>
  <c r="M3761" i="50" l="1"/>
  <c r="N3761" i="50" s="1"/>
  <c r="M3762" i="50" l="1"/>
  <c r="N3762" i="50"/>
  <c r="M3763" i="50" l="1"/>
  <c r="N3763" i="50"/>
  <c r="M3764" i="50" l="1"/>
  <c r="N3764" i="50"/>
  <c r="M3765" i="50" l="1"/>
  <c r="N3765" i="50"/>
  <c r="M3766" i="50" l="1"/>
  <c r="N3766" i="50" s="1"/>
  <c r="M3767" i="50" l="1"/>
  <c r="N3767" i="50" s="1"/>
  <c r="M3768" i="50" l="1"/>
  <c r="N3768" i="50" s="1"/>
  <c r="M3769" i="50" l="1"/>
  <c r="N3769" i="50"/>
  <c r="M3770" i="50" l="1"/>
  <c r="N3770" i="50" s="1"/>
  <c r="M3771" i="50" l="1"/>
  <c r="N3771" i="50" s="1"/>
  <c r="M3772" i="50" l="1"/>
  <c r="N3772" i="50" s="1"/>
  <c r="M3773" i="50" l="1"/>
  <c r="N3773" i="50"/>
  <c r="M3774" i="50" l="1"/>
  <c r="N3774" i="50" s="1"/>
  <c r="M3775" i="50" l="1"/>
  <c r="N3775" i="50" s="1"/>
  <c r="M3776" i="50" l="1"/>
  <c r="N3776" i="50" s="1"/>
  <c r="M3777" i="50" l="1"/>
  <c r="N3777" i="50" s="1"/>
  <c r="M3778" i="50" l="1"/>
  <c r="N3778" i="50" s="1"/>
  <c r="M3779" i="50" l="1"/>
  <c r="N3779" i="50" s="1"/>
  <c r="M3780" i="50" l="1"/>
  <c r="N3780" i="50" s="1"/>
  <c r="M3781" i="50" l="1"/>
  <c r="N3781" i="50" s="1"/>
  <c r="M3782" i="50" l="1"/>
  <c r="N3782" i="50" s="1"/>
  <c r="M3783" i="50" l="1"/>
  <c r="N3783" i="50" s="1"/>
  <c r="M3784" i="50" l="1"/>
  <c r="N3784" i="50" s="1"/>
  <c r="M3785" i="50" l="1"/>
  <c r="N3785" i="50" s="1"/>
  <c r="M3786" i="50" l="1"/>
  <c r="N3786" i="50" s="1"/>
  <c r="M3787" i="50" l="1"/>
  <c r="N3787" i="50" s="1"/>
  <c r="M3788" i="50" l="1"/>
  <c r="N3788" i="50" s="1"/>
  <c r="M3789" i="50" l="1"/>
  <c r="N3789" i="50" s="1"/>
  <c r="M3790" i="50" l="1"/>
  <c r="N3790" i="50" s="1"/>
  <c r="M3791" i="50" l="1"/>
  <c r="N3791" i="50" s="1"/>
  <c r="M3792" i="50" l="1"/>
  <c r="N3792" i="50" s="1"/>
  <c r="M3793" i="50" l="1"/>
  <c r="N3793" i="50" s="1"/>
  <c r="M3794" i="50" l="1"/>
  <c r="N3794" i="50" s="1"/>
  <c r="M3795" i="50" l="1"/>
  <c r="N3795" i="50" s="1"/>
  <c r="M3796" i="50" l="1"/>
  <c r="N3796" i="50" s="1"/>
  <c r="M3797" i="50" l="1"/>
  <c r="N3797" i="50"/>
  <c r="M3798" i="50" l="1"/>
  <c r="N3798" i="50"/>
  <c r="M3799" i="50" l="1"/>
  <c r="N3799" i="50" s="1"/>
  <c r="M3800" i="50" l="1"/>
  <c r="N3800" i="50" s="1"/>
  <c r="M3801" i="50" l="1"/>
  <c r="N3801" i="50" s="1"/>
  <c r="M3802" i="50" l="1"/>
  <c r="N3802" i="50" s="1"/>
  <c r="M3803" i="50" l="1"/>
  <c r="N3803" i="50" s="1"/>
  <c r="M3804" i="50" l="1"/>
  <c r="N3804" i="50" s="1"/>
  <c r="M3805" i="50" l="1"/>
  <c r="N3805" i="50" s="1"/>
  <c r="M3806" i="50" l="1"/>
  <c r="N3806" i="50" s="1"/>
  <c r="M3807" i="50" l="1"/>
  <c r="N3807" i="50"/>
  <c r="M3808" i="50" l="1"/>
  <c r="N3808" i="50"/>
  <c r="M3809" i="50" l="1"/>
  <c r="N3809" i="50" s="1"/>
  <c r="M3810" i="50" l="1"/>
  <c r="N3810" i="50" s="1"/>
  <c r="M3811" i="50" l="1"/>
  <c r="N3811" i="50" s="1"/>
  <c r="M3812" i="50" l="1"/>
  <c r="N3812" i="50" s="1"/>
  <c r="M3813" i="50" l="1"/>
  <c r="N3813" i="50"/>
  <c r="M3814" i="50" l="1"/>
  <c r="N3814" i="50"/>
  <c r="M3815" i="50" l="1"/>
  <c r="N3815" i="50"/>
  <c r="M3816" i="50" l="1"/>
  <c r="N3816" i="50"/>
  <c r="M3817" i="50" l="1"/>
  <c r="N3817" i="50" s="1"/>
  <c r="M3818" i="50" l="1"/>
  <c r="N3818" i="50" s="1"/>
  <c r="M3819" i="50" l="1"/>
  <c r="N3819" i="50"/>
  <c r="M3820" i="50" l="1"/>
  <c r="N3820" i="50"/>
  <c r="M3821" i="50" l="1"/>
  <c r="N3821" i="50" s="1"/>
  <c r="M3822" i="50" l="1"/>
  <c r="N3822" i="50" s="1"/>
  <c r="M3823" i="50" l="1"/>
  <c r="N3823" i="50" s="1"/>
  <c r="M3824" i="50" l="1"/>
  <c r="N3824" i="50" s="1"/>
  <c r="M3825" i="50" l="1"/>
  <c r="N3825" i="50" s="1"/>
  <c r="M3826" i="50" l="1"/>
  <c r="N3826" i="50" s="1"/>
  <c r="M3827" i="50" l="1"/>
  <c r="N3827" i="50" s="1"/>
  <c r="M3828" i="50" l="1"/>
  <c r="N3828" i="50" s="1"/>
  <c r="M3829" i="50" l="1"/>
  <c r="N3829" i="50" s="1"/>
  <c r="M3830" i="50" l="1"/>
  <c r="N3830" i="50" s="1"/>
  <c r="M3831" i="50" l="1"/>
  <c r="N3831" i="50"/>
  <c r="M3832" i="50" l="1"/>
  <c r="N3832" i="50"/>
  <c r="M3833" i="50" l="1"/>
  <c r="N3833" i="50"/>
  <c r="M3834" i="50" l="1"/>
  <c r="N3834" i="50" s="1"/>
  <c r="M3835" i="50" l="1"/>
  <c r="N3835" i="50" s="1"/>
  <c r="M3836" i="50" l="1"/>
  <c r="N3836" i="50" s="1"/>
  <c r="M3837" i="50" l="1"/>
  <c r="N3837" i="50"/>
  <c r="M3838" i="50" l="1"/>
  <c r="N3838" i="50"/>
  <c r="M3839" i="50" l="1"/>
  <c r="N3839" i="50"/>
  <c r="M3840" i="50" l="1"/>
  <c r="N3840" i="50"/>
  <c r="M3841" i="50" l="1"/>
  <c r="N3841" i="50" s="1"/>
  <c r="M3842" i="50" l="1"/>
  <c r="N3842" i="50"/>
  <c r="M3843" i="50" l="1"/>
  <c r="N3843" i="50"/>
  <c r="M3844" i="50" l="1"/>
  <c r="N3844" i="50"/>
  <c r="M3845" i="50" l="1"/>
  <c r="N3845" i="50" s="1"/>
  <c r="M3846" i="50" l="1"/>
  <c r="N3846" i="50"/>
  <c r="M3847" i="50" l="1"/>
  <c r="N3847" i="50"/>
  <c r="M3848" i="50" l="1"/>
  <c r="N3848" i="50" s="1"/>
  <c r="M3849" i="50" l="1"/>
  <c r="N3849" i="50"/>
  <c r="M3850" i="50" l="1"/>
  <c r="N3850" i="50" s="1"/>
  <c r="M3851" i="50" l="1"/>
  <c r="N3851" i="50"/>
  <c r="M3852" i="50" l="1"/>
  <c r="N3852" i="50"/>
  <c r="M3853" i="50" l="1"/>
  <c r="N3853" i="50" s="1"/>
  <c r="M3854" i="50" l="1"/>
  <c r="N3854" i="50"/>
  <c r="M3855" i="50" l="1"/>
  <c r="N3855" i="50" s="1"/>
  <c r="M3856" i="50" l="1"/>
  <c r="N3856" i="50" s="1"/>
  <c r="M3857" i="50" l="1"/>
  <c r="N3857" i="50" s="1"/>
  <c r="M3858" i="50" l="1"/>
  <c r="N3858" i="50" s="1"/>
  <c r="M3859" i="50" l="1"/>
  <c r="N3859" i="50" s="1"/>
  <c r="M3860" i="50" l="1"/>
  <c r="N3860" i="50" s="1"/>
  <c r="M3861" i="50" l="1"/>
  <c r="N3861" i="50" s="1"/>
  <c r="M3862" i="50" l="1"/>
  <c r="N3862" i="50" s="1"/>
  <c r="M3863" i="50" l="1"/>
  <c r="N3863" i="50" s="1"/>
  <c r="M3864" i="50" l="1"/>
  <c r="N3864" i="50" s="1"/>
  <c r="M3865" i="50" l="1"/>
  <c r="N3865" i="50" s="1"/>
  <c r="M3866" i="50" l="1"/>
  <c r="N3866" i="50" s="1"/>
  <c r="M3867" i="50" l="1"/>
  <c r="N3867" i="50" s="1"/>
  <c r="M3868" i="50" l="1"/>
  <c r="N3868" i="50" s="1"/>
  <c r="M3869" i="50" l="1"/>
  <c r="N3869" i="50" s="1"/>
  <c r="M3870" i="50" l="1"/>
  <c r="N3870" i="50" s="1"/>
  <c r="M3871" i="50" l="1"/>
  <c r="N3871" i="50"/>
  <c r="M3872" i="50" l="1"/>
  <c r="N3872" i="50"/>
  <c r="M3873" i="50" l="1"/>
  <c r="N3873" i="50"/>
  <c r="M3874" i="50" l="1"/>
  <c r="N3874" i="50"/>
  <c r="M3875" i="50" l="1"/>
  <c r="N3875" i="50"/>
  <c r="M3876" i="50" l="1"/>
  <c r="N3876" i="50"/>
  <c r="M3877" i="50" l="1"/>
  <c r="N3877" i="50" s="1"/>
  <c r="M3878" i="50" l="1"/>
  <c r="N3878" i="50" s="1"/>
  <c r="M3879" i="50" l="1"/>
  <c r="N3879" i="50"/>
  <c r="M3880" i="50" l="1"/>
  <c r="N3880" i="50"/>
  <c r="M3881" i="50" l="1"/>
  <c r="N3881" i="50" s="1"/>
  <c r="M3882" i="50" l="1"/>
  <c r="N3882" i="50" s="1"/>
  <c r="M3883" i="50" l="1"/>
  <c r="N3883" i="50" s="1"/>
  <c r="M3884" i="50" l="1"/>
  <c r="N3884" i="50" s="1"/>
  <c r="M3885" i="50" l="1"/>
  <c r="N3723" i="50" s="1"/>
  <c r="N3885" i="50" l="1"/>
  <c r="B3893" i="50"/>
  <c r="B3928" i="50" l="1"/>
  <c r="B3976" i="50" s="1"/>
  <c r="B3930" i="50"/>
  <c r="B3978" i="50" s="1"/>
  <c r="D3941" i="50"/>
  <c r="D3989" i="50" s="1"/>
  <c r="B3941" i="50"/>
  <c r="B3989" i="50" s="1"/>
  <c r="E3943" i="50"/>
  <c r="F3946" i="50"/>
  <c r="F3934" i="50"/>
  <c r="G3935" i="50"/>
  <c r="F3933" i="50"/>
  <c r="E3945" i="50"/>
  <c r="D3945" i="50"/>
  <c r="D3933" i="50"/>
  <c r="C3942" i="50"/>
  <c r="G3928" i="50"/>
  <c r="F3944" i="50"/>
  <c r="F3932" i="50"/>
  <c r="F3943" i="50"/>
  <c r="F3931" i="50"/>
  <c r="D3942" i="50"/>
  <c r="D3930" i="50"/>
  <c r="C3938" i="50"/>
  <c r="C3986" i="50" s="1"/>
  <c r="D3940" i="50"/>
  <c r="D3988" i="50" s="1"/>
  <c r="F3945" i="50"/>
  <c r="C3930" i="50"/>
  <c r="E3930" i="50"/>
  <c r="D3944" i="50"/>
  <c r="D3932" i="50"/>
  <c r="E3942" i="50"/>
  <c r="G3929" i="50"/>
  <c r="G3938" i="50"/>
  <c r="C3928" i="50"/>
  <c r="D3935" i="50"/>
  <c r="E3944" i="50"/>
  <c r="G3931" i="50"/>
  <c r="B3938" i="50"/>
  <c r="B3986" i="50" s="1"/>
  <c r="B3940" i="50"/>
  <c r="B3988" i="50" s="1"/>
  <c r="B3929" i="50"/>
  <c r="B3977" i="50" s="1"/>
  <c r="B3931" i="50"/>
  <c r="B3979" i="50" s="1"/>
  <c r="B3932" i="50"/>
  <c r="B3980" i="50" s="1"/>
  <c r="G3946" i="50"/>
  <c r="G3936" i="50"/>
  <c r="F3942" i="50"/>
  <c r="F3930" i="50"/>
  <c r="G3943" i="50"/>
  <c r="C3931" i="50"/>
  <c r="F3929" i="50"/>
  <c r="G3942" i="50"/>
  <c r="F3938" i="50"/>
  <c r="D3929" i="50"/>
  <c r="C3943" i="50"/>
  <c r="G3944" i="50"/>
  <c r="E3933" i="50"/>
  <c r="F3936" i="50"/>
  <c r="F3928" i="50"/>
  <c r="F3935" i="50"/>
  <c r="G3937" i="50"/>
  <c r="D3934" i="50"/>
  <c r="D3939" i="50"/>
  <c r="D3987" i="50" s="1"/>
  <c r="B3935" i="50"/>
  <c r="B3983" i="50" s="1"/>
  <c r="B3937" i="50"/>
  <c r="B3985" i="50" s="1"/>
  <c r="G3930" i="50"/>
  <c r="E3946" i="50"/>
  <c r="F3937" i="50"/>
  <c r="G3934" i="50"/>
  <c r="G3945" i="50"/>
  <c r="G3933" i="50"/>
  <c r="D3936" i="50"/>
  <c r="D3928" i="50"/>
  <c r="C3945" i="50"/>
  <c r="C3933" i="50"/>
  <c r="C3944" i="50"/>
  <c r="G3932" i="50"/>
  <c r="D3943" i="50"/>
  <c r="D3931" i="50"/>
  <c r="B3942" i="50"/>
  <c r="B3990" i="50" s="1"/>
  <c r="E3936" i="50"/>
  <c r="E3938" i="50"/>
  <c r="C3939" i="50"/>
  <c r="C3987" i="50" s="1"/>
  <c r="E3939" i="50"/>
  <c r="C3932" i="50"/>
  <c r="C3980" i="50" s="1"/>
  <c r="D3938" i="50"/>
  <c r="D3986" i="50" s="1"/>
  <c r="C3940" i="50"/>
  <c r="C3988" i="50" s="1"/>
  <c r="E3940" i="50"/>
  <c r="F3941" i="50"/>
  <c r="F3989" i="50" s="1"/>
  <c r="D3946" i="50"/>
  <c r="D3994" i="50" s="1"/>
  <c r="B3944" i="50"/>
  <c r="B3992" i="50" s="1"/>
  <c r="C3946" i="50"/>
  <c r="C3994" i="50" s="1"/>
  <c r="G3940" i="50"/>
  <c r="G3988" i="50" s="1"/>
  <c r="D3937" i="50"/>
  <c r="D3985" i="50" s="1"/>
  <c r="C3936" i="50"/>
  <c r="C3984" i="50" s="1"/>
  <c r="E3941" i="50"/>
  <c r="B3933" i="50"/>
  <c r="B3981" i="50" s="1"/>
  <c r="E3929" i="50"/>
  <c r="C3934" i="50"/>
  <c r="C3982" i="50" s="1"/>
  <c r="E3928" i="50"/>
  <c r="E3937" i="50"/>
  <c r="C3929" i="50"/>
  <c r="C3977" i="50" s="1"/>
  <c r="B3943" i="50"/>
  <c r="B3991" i="50" s="1"/>
  <c r="B3934" i="50"/>
  <c r="B3982" i="50" s="1"/>
  <c r="G3941" i="50"/>
  <c r="G3989" i="50" s="1"/>
  <c r="C3937" i="50"/>
  <c r="C3985" i="50" s="1"/>
  <c r="G3939" i="50"/>
  <c r="G3987" i="50" s="1"/>
  <c r="B3946" i="50"/>
  <c r="B3994" i="50" s="1"/>
  <c r="C3935" i="50"/>
  <c r="C3983" i="50" s="1"/>
  <c r="B3939" i="50"/>
  <c r="B3987" i="50" s="1"/>
  <c r="C3941" i="50"/>
  <c r="C3989" i="50" s="1"/>
  <c r="B3936" i="50"/>
  <c r="B3984" i="50" s="1"/>
  <c r="E3935" i="50"/>
  <c r="F3939" i="50"/>
  <c r="F3987" i="50" s="1"/>
  <c r="E3931" i="50"/>
  <c r="E3934" i="50"/>
  <c r="F3940" i="50"/>
  <c r="F3988" i="50" s="1"/>
  <c r="B3945" i="50"/>
  <c r="B3993" i="50" s="1"/>
  <c r="E3932" i="50"/>
  <c r="F4039" i="50" l="1"/>
  <c r="F4085" i="50" s="1"/>
  <c r="C4034" i="50"/>
  <c r="C4080" i="50" s="1"/>
  <c r="C4206" i="50" s="1"/>
  <c r="G4040" i="50"/>
  <c r="G4086" i="50" s="1"/>
  <c r="H3937" i="50"/>
  <c r="E3985" i="50"/>
  <c r="B4032" i="50"/>
  <c r="B4124" i="50" s="1"/>
  <c r="G4039" i="50"/>
  <c r="G4085" i="50" s="1"/>
  <c r="F4040" i="50"/>
  <c r="F4086" i="50" s="1"/>
  <c r="C4031" i="50"/>
  <c r="C4077" i="50" s="1"/>
  <c r="H3936" i="50"/>
  <c r="E3984" i="50"/>
  <c r="B4036" i="50"/>
  <c r="B4082" i="50" s="1"/>
  <c r="H3933" i="50"/>
  <c r="B4039" i="50"/>
  <c r="B4085" i="50" s="1"/>
  <c r="H3942" i="50"/>
  <c r="B4040" i="50"/>
  <c r="B4086" i="50" s="1"/>
  <c r="H3935" i="50"/>
  <c r="E3983" i="50"/>
  <c r="H3934" i="50"/>
  <c r="E3982" i="50"/>
  <c r="B4035" i="50"/>
  <c r="B4081" i="50" s="1"/>
  <c r="B4208" i="50" s="1"/>
  <c r="B4045" i="50"/>
  <c r="B4091" i="50" s="1"/>
  <c r="B4033" i="50"/>
  <c r="B4079" i="50" s="1"/>
  <c r="H3928" i="50"/>
  <c r="E3976" i="50"/>
  <c r="H3941" i="50"/>
  <c r="E3989" i="50"/>
  <c r="C4045" i="50"/>
  <c r="C4091" i="50" s="1"/>
  <c r="H3940" i="50"/>
  <c r="E3988" i="50"/>
  <c r="H3939" i="50"/>
  <c r="E3987" i="50"/>
  <c r="B4041" i="50"/>
  <c r="B4133" i="50" s="1"/>
  <c r="B4034" i="50"/>
  <c r="B4080" i="50" s="1"/>
  <c r="B4206" i="50" s="1"/>
  <c r="B4031" i="50"/>
  <c r="B4077" i="50" s="1"/>
  <c r="B4037" i="50"/>
  <c r="B4083" i="50" s="1"/>
  <c r="D4040" i="50"/>
  <c r="D4086" i="50" s="1"/>
  <c r="H3931" i="50"/>
  <c r="E3979" i="50"/>
  <c r="C4040" i="50"/>
  <c r="C4086" i="50" s="1"/>
  <c r="G4038" i="50"/>
  <c r="G4084" i="50" s="1"/>
  <c r="B4042" i="50"/>
  <c r="B4134" i="50" s="1"/>
  <c r="C4033" i="50"/>
  <c r="C4079" i="50" s="1"/>
  <c r="C4035" i="50"/>
  <c r="C4081" i="50" s="1"/>
  <c r="C4208" i="50" s="1"/>
  <c r="B4043" i="50"/>
  <c r="B4135" i="50" s="1"/>
  <c r="C4039" i="50"/>
  <c r="C4085" i="50" s="1"/>
  <c r="C4038" i="50"/>
  <c r="C4084" i="50" s="1"/>
  <c r="H3946" i="50"/>
  <c r="D4038" i="50"/>
  <c r="D4084" i="50" s="1"/>
  <c r="B4030" i="50"/>
  <c r="B4076" i="50" s="1"/>
  <c r="D4039" i="50"/>
  <c r="D4085" i="50" s="1"/>
  <c r="H3945" i="50"/>
  <c r="B4029" i="50"/>
  <c r="B4121" i="50" s="1"/>
  <c r="H3932" i="50"/>
  <c r="E3980" i="50"/>
  <c r="B4044" i="50"/>
  <c r="B4136" i="50" s="1"/>
  <c r="F4038" i="50"/>
  <c r="F4084" i="50" s="1"/>
  <c r="B4038" i="50"/>
  <c r="B4084" i="50" s="1"/>
  <c r="C4036" i="50"/>
  <c r="C4082" i="50" s="1"/>
  <c r="C4028" i="50"/>
  <c r="C4074" i="50" s="1"/>
  <c r="H3929" i="50"/>
  <c r="E3977" i="50"/>
  <c r="D4036" i="50"/>
  <c r="D4082" i="50" s="1"/>
  <c r="D4045" i="50"/>
  <c r="D4091" i="50" s="1"/>
  <c r="D4037" i="50"/>
  <c r="D4083" i="50" s="1"/>
  <c r="H3938" i="50"/>
  <c r="E3986" i="50"/>
  <c r="B4028" i="50"/>
  <c r="B4074" i="50" s="1"/>
  <c r="H3944" i="50"/>
  <c r="H3930" i="50"/>
  <c r="C4037" i="50"/>
  <c r="C4083" i="50" s="1"/>
  <c r="H3943" i="50"/>
  <c r="B4027" i="50"/>
  <c r="B4073" i="50" s="1"/>
  <c r="B4087" i="50" l="1"/>
  <c r="B4078" i="50"/>
  <c r="B4090" i="50"/>
  <c r="D4245" i="50"/>
  <c r="D4244" i="50"/>
  <c r="D4246" i="50"/>
  <c r="F4219" i="50"/>
  <c r="F4218" i="50"/>
  <c r="F4220" i="50"/>
  <c r="B4191" i="50"/>
  <c r="B4190" i="50"/>
  <c r="B4192" i="50"/>
  <c r="C4202" i="50"/>
  <c r="C4204" i="50"/>
  <c r="C4203" i="50"/>
  <c r="D4226" i="50"/>
  <c r="D4225" i="50"/>
  <c r="B4202" i="50"/>
  <c r="B4204" i="50"/>
  <c r="B4203" i="50"/>
  <c r="G4222" i="50"/>
  <c r="G4223" i="50"/>
  <c r="D4210" i="50"/>
  <c r="D4212" i="50"/>
  <c r="D4211" i="50"/>
  <c r="D4218" i="50"/>
  <c r="D4220" i="50"/>
  <c r="D4219" i="50"/>
  <c r="C4222" i="50"/>
  <c r="C4223" i="50"/>
  <c r="B4214" i="50"/>
  <c r="B4216" i="50"/>
  <c r="B4215" i="50"/>
  <c r="G4225" i="50"/>
  <c r="G4226" i="50"/>
  <c r="D4215" i="50"/>
  <c r="D4214" i="50"/>
  <c r="D4216" i="50"/>
  <c r="C4183" i="50"/>
  <c r="C4182" i="50"/>
  <c r="C4184" i="50"/>
  <c r="B4194" i="50"/>
  <c r="B4196" i="50"/>
  <c r="B4195" i="50"/>
  <c r="C4194" i="50"/>
  <c r="C4196" i="50"/>
  <c r="C4195" i="50"/>
  <c r="E22" i="48"/>
  <c r="M62" i="49"/>
  <c r="B4219" i="50"/>
  <c r="B4218" i="50"/>
  <c r="B4220" i="50"/>
  <c r="D4223" i="50"/>
  <c r="D4222" i="50"/>
  <c r="E23" i="48"/>
  <c r="M64" i="49"/>
  <c r="C4244" i="50"/>
  <c r="C4246" i="50"/>
  <c r="C4245" i="50"/>
  <c r="B4211" i="50"/>
  <c r="B4210" i="50"/>
  <c r="B4212" i="50"/>
  <c r="F4225" i="50"/>
  <c r="F4226" i="50"/>
  <c r="F4222" i="50"/>
  <c r="F4223" i="50"/>
  <c r="C4211" i="50"/>
  <c r="C4210" i="50"/>
  <c r="C4212" i="50"/>
  <c r="C4219" i="50"/>
  <c r="C4218" i="50"/>
  <c r="C4220" i="50"/>
  <c r="G4219" i="50"/>
  <c r="G4218" i="50"/>
  <c r="G4220" i="50"/>
  <c r="B4075" i="50"/>
  <c r="B4088" i="50"/>
  <c r="E4039" i="50"/>
  <c r="B4131" i="50" s="1"/>
  <c r="E4040" i="50"/>
  <c r="B4132" i="50" s="1"/>
  <c r="E4034" i="50"/>
  <c r="B4126" i="50" s="1"/>
  <c r="E4036" i="50"/>
  <c r="B4128" i="50" s="1"/>
  <c r="C4214" i="50"/>
  <c r="C4216" i="50"/>
  <c r="C4215" i="50"/>
  <c r="B4241" i="50"/>
  <c r="B4240" i="50"/>
  <c r="B4242" i="50"/>
  <c r="C4225" i="50"/>
  <c r="C4226" i="50"/>
  <c r="B4228" i="50"/>
  <c r="B4230" i="50"/>
  <c r="B4229" i="50"/>
  <c r="D23" i="48"/>
  <c r="L64" i="49"/>
  <c r="E64" i="49"/>
  <c r="B4222" i="50"/>
  <c r="B4223" i="50"/>
  <c r="B4178" i="50"/>
  <c r="B4180" i="50"/>
  <c r="B4179" i="50"/>
  <c r="B4183" i="50"/>
  <c r="B4182" i="50"/>
  <c r="B4184" i="50"/>
  <c r="E4037" i="50"/>
  <c r="B4129" i="50" s="1"/>
  <c r="E4028" i="50"/>
  <c r="B4120" i="50" s="1"/>
  <c r="E4031" i="50"/>
  <c r="B4123" i="50" s="1"/>
  <c r="B4089" i="50"/>
  <c r="E4030" i="50"/>
  <c r="B4122" i="50" s="1"/>
  <c r="E4038" i="50"/>
  <c r="B4130" i="50" s="1"/>
  <c r="E4027" i="50"/>
  <c r="B4119" i="50" s="1"/>
  <c r="B4137" i="50"/>
  <c r="E4033" i="50"/>
  <c r="B4125" i="50" s="1"/>
  <c r="E4035" i="50"/>
  <c r="B4127" i="50" s="1"/>
  <c r="B4199" i="50"/>
  <c r="B4198" i="50"/>
  <c r="B4200" i="50"/>
  <c r="D22" i="48"/>
  <c r="L62" i="49"/>
  <c r="E62" i="49"/>
  <c r="C4161" i="50"/>
  <c r="B4244" i="50"/>
  <c r="B4246" i="50"/>
  <c r="B4245" i="50"/>
  <c r="B4225" i="50"/>
  <c r="B4226" i="50"/>
  <c r="E4086" i="50" l="1"/>
  <c r="E4084" i="50"/>
  <c r="E4076" i="50"/>
  <c r="E4077" i="50"/>
  <c r="E4074" i="50"/>
  <c r="E4182" i="50" s="1"/>
  <c r="E4080" i="50"/>
  <c r="E4206" i="50" s="1"/>
  <c r="D4161" i="50"/>
  <c r="D61" i="48"/>
  <c r="L40" i="49"/>
  <c r="E40" i="49"/>
  <c r="D60" i="48"/>
  <c r="L36" i="49"/>
  <c r="E36" i="49"/>
  <c r="O64" i="49"/>
  <c r="P64" i="49"/>
  <c r="Q64" i="49"/>
  <c r="D72" i="48"/>
  <c r="L86" i="49"/>
  <c r="E86" i="49"/>
  <c r="D86" i="49"/>
  <c r="L98" i="49"/>
  <c r="D75" i="48"/>
  <c r="E98" i="49"/>
  <c r="D98" i="49"/>
  <c r="M72" i="49"/>
  <c r="E68" i="48"/>
  <c r="F62" i="49"/>
  <c r="D62" i="49"/>
  <c r="G22" i="48"/>
  <c r="H76" i="49"/>
  <c r="I69" i="48"/>
  <c r="E26" i="48"/>
  <c r="M74" i="49"/>
  <c r="M67" i="49"/>
  <c r="E49" i="48"/>
  <c r="G81" i="49"/>
  <c r="H28" i="48"/>
  <c r="E56" i="48"/>
  <c r="M101" i="49"/>
  <c r="D26" i="48"/>
  <c r="L74" i="49"/>
  <c r="E74" i="49"/>
  <c r="E46" i="48"/>
  <c r="M51" i="49"/>
  <c r="D64" i="48"/>
  <c r="L52" i="49"/>
  <c r="E52" i="49"/>
  <c r="M39" i="49"/>
  <c r="E43" i="48"/>
  <c r="H82" i="49"/>
  <c r="I71" i="48"/>
  <c r="D25" i="48"/>
  <c r="L70" i="49"/>
  <c r="E70" i="49"/>
  <c r="N76" i="49"/>
  <c r="F69" i="48"/>
  <c r="N66" i="49"/>
  <c r="F24" i="48"/>
  <c r="E60" i="49"/>
  <c r="D66" i="48"/>
  <c r="L60" i="49"/>
  <c r="M59" i="49"/>
  <c r="E48" i="48"/>
  <c r="D18" i="48"/>
  <c r="L46" i="49"/>
  <c r="E46" i="49"/>
  <c r="G75" i="49"/>
  <c r="H51" i="48"/>
  <c r="D56" i="48"/>
  <c r="L101" i="49"/>
  <c r="E101" i="49"/>
  <c r="D101" i="49"/>
  <c r="D76" i="48"/>
  <c r="L102" i="49"/>
  <c r="E102" i="49"/>
  <c r="D102" i="49"/>
  <c r="E55" i="49"/>
  <c r="D47" i="48"/>
  <c r="L55" i="49"/>
  <c r="D55" i="49"/>
  <c r="E4079" i="50"/>
  <c r="E4218" i="50"/>
  <c r="E4220" i="50"/>
  <c r="E4219" i="50"/>
  <c r="B4236" i="50"/>
  <c r="B4238" i="50"/>
  <c r="B4237" i="50"/>
  <c r="L38" i="49"/>
  <c r="D16" i="48"/>
  <c r="E38" i="49"/>
  <c r="E34" i="49"/>
  <c r="D15" i="48"/>
  <c r="L34" i="49"/>
  <c r="E84" i="49"/>
  <c r="D29" i="48"/>
  <c r="L84" i="49"/>
  <c r="D84" i="49"/>
  <c r="D32" i="48"/>
  <c r="L96" i="49"/>
  <c r="E96" i="49"/>
  <c r="D96" i="49"/>
  <c r="E25" i="48"/>
  <c r="M70" i="49"/>
  <c r="E4085" i="50"/>
  <c r="I26" i="48"/>
  <c r="H74" i="49"/>
  <c r="E51" i="48"/>
  <c r="M75" i="49"/>
  <c r="H70" i="48"/>
  <c r="G79" i="49"/>
  <c r="D67" i="48"/>
  <c r="L68" i="49"/>
  <c r="E68" i="49"/>
  <c r="E76" i="48"/>
  <c r="M102" i="49"/>
  <c r="N78" i="49"/>
  <c r="F27" i="48"/>
  <c r="D51" i="48"/>
  <c r="L75" i="49"/>
  <c r="E75" i="49"/>
  <c r="E64" i="48"/>
  <c r="M52" i="49"/>
  <c r="E50" i="49"/>
  <c r="D19" i="48"/>
  <c r="L50" i="49"/>
  <c r="N72" i="49"/>
  <c r="F68" i="48"/>
  <c r="H81" i="49"/>
  <c r="I28" i="48"/>
  <c r="E70" i="48"/>
  <c r="M79" i="49"/>
  <c r="N74" i="49"/>
  <c r="F26" i="48"/>
  <c r="I70" i="48"/>
  <c r="H79" i="49"/>
  <c r="D21" i="48"/>
  <c r="L58" i="49"/>
  <c r="E58" i="49"/>
  <c r="M60" i="49"/>
  <c r="E66" i="48"/>
  <c r="D45" i="48"/>
  <c r="L47" i="49"/>
  <c r="E47" i="49"/>
  <c r="F76" i="48"/>
  <c r="N102" i="49"/>
  <c r="D28" i="48"/>
  <c r="L81" i="49"/>
  <c r="E81" i="49"/>
  <c r="O62" i="49"/>
  <c r="P62" i="49"/>
  <c r="Q62" i="49"/>
  <c r="L54" i="49"/>
  <c r="D20" i="48"/>
  <c r="E54" i="49"/>
  <c r="D54" i="49"/>
  <c r="L82" i="49"/>
  <c r="D71" i="48"/>
  <c r="E82" i="49"/>
  <c r="E100" i="49"/>
  <c r="D33" i="48"/>
  <c r="L100" i="49"/>
  <c r="D100" i="49"/>
  <c r="E4081" i="50"/>
  <c r="E4208" i="50" s="1"/>
  <c r="E4083" i="50"/>
  <c r="E39" i="49"/>
  <c r="D43" i="48"/>
  <c r="L39" i="49"/>
  <c r="D70" i="48"/>
  <c r="L79" i="49"/>
  <c r="E79" i="49"/>
  <c r="K79" i="49" s="1"/>
  <c r="M82" i="49"/>
  <c r="E71" i="48"/>
  <c r="D55" i="48"/>
  <c r="L97" i="49"/>
  <c r="E97" i="49"/>
  <c r="D97" i="49"/>
  <c r="E4082" i="50"/>
  <c r="E4226" i="50"/>
  <c r="E4225" i="50"/>
  <c r="B4233" i="50"/>
  <c r="B4232" i="50"/>
  <c r="B4234" i="50"/>
  <c r="H75" i="49"/>
  <c r="I51" i="48"/>
  <c r="E67" i="48"/>
  <c r="M68" i="49"/>
  <c r="H27" i="48"/>
  <c r="G78" i="49"/>
  <c r="L66" i="49"/>
  <c r="D24" i="48"/>
  <c r="E66" i="49"/>
  <c r="M100" i="49"/>
  <c r="E33" i="48"/>
  <c r="N79" i="49"/>
  <c r="F70" i="48"/>
  <c r="M50" i="49"/>
  <c r="E19" i="48"/>
  <c r="E61" i="48"/>
  <c r="M40" i="49"/>
  <c r="F25" i="48"/>
  <c r="N70" i="49"/>
  <c r="L71" i="49"/>
  <c r="D50" i="48"/>
  <c r="E71" i="49"/>
  <c r="M78" i="49"/>
  <c r="E27" i="48"/>
  <c r="N67" i="49"/>
  <c r="F49" i="48"/>
  <c r="I27" i="48"/>
  <c r="H78" i="49"/>
  <c r="F28" i="48"/>
  <c r="N81" i="49"/>
  <c r="E21" i="48"/>
  <c r="M58" i="49"/>
  <c r="H69" i="48"/>
  <c r="G76" i="49"/>
  <c r="N100" i="49"/>
  <c r="F33" i="48"/>
  <c r="E4161" i="50"/>
  <c r="F4161" i="50" s="1"/>
  <c r="D65" i="48"/>
  <c r="L56" i="49"/>
  <c r="E56" i="49"/>
  <c r="D56" i="49"/>
  <c r="E4073" i="50"/>
  <c r="E4190" i="50"/>
  <c r="E4192" i="50"/>
  <c r="E4191" i="50"/>
  <c r="E4195" i="50"/>
  <c r="E4194" i="50"/>
  <c r="E4196" i="50"/>
  <c r="D42" i="48"/>
  <c r="L35" i="49"/>
  <c r="E35" i="49"/>
  <c r="E78" i="49"/>
  <c r="D27" i="48"/>
  <c r="L78" i="49"/>
  <c r="D52" i="48"/>
  <c r="L85" i="49"/>
  <c r="E85" i="49"/>
  <c r="D85" i="49"/>
  <c r="E28" i="48"/>
  <c r="M81" i="49"/>
  <c r="M71" i="49"/>
  <c r="E50" i="48"/>
  <c r="B4186" i="50"/>
  <c r="B4188" i="50"/>
  <c r="B4187" i="50"/>
  <c r="M76" i="49"/>
  <c r="E69" i="48"/>
  <c r="M66" i="49"/>
  <c r="E24" i="48"/>
  <c r="H71" i="48"/>
  <c r="G82" i="49"/>
  <c r="E67" i="49"/>
  <c r="D49" i="48"/>
  <c r="L67" i="49"/>
  <c r="L76" i="49"/>
  <c r="D69" i="48"/>
  <c r="E76" i="49"/>
  <c r="D46" i="48"/>
  <c r="L51" i="49"/>
  <c r="E51" i="49"/>
  <c r="M38" i="49"/>
  <c r="E16" i="48"/>
  <c r="N71" i="49"/>
  <c r="F50" i="48"/>
  <c r="E72" i="49"/>
  <c r="D68" i="48"/>
  <c r="L72" i="49"/>
  <c r="F51" i="48"/>
  <c r="N75" i="49"/>
  <c r="N68" i="49"/>
  <c r="F67" i="48"/>
  <c r="L59" i="49"/>
  <c r="D48" i="48"/>
  <c r="E59" i="49"/>
  <c r="N82" i="49"/>
  <c r="F71" i="48"/>
  <c r="L48" i="49"/>
  <c r="D63" i="48"/>
  <c r="E48" i="49"/>
  <c r="H26" i="48"/>
  <c r="G74" i="49"/>
  <c r="G144" i="49" s="1"/>
  <c r="N101" i="49"/>
  <c r="F56" i="48"/>
  <c r="E4183" i="50" l="1"/>
  <c r="E4184" i="50"/>
  <c r="P76" i="49"/>
  <c r="Q76" i="49"/>
  <c r="O76" i="49"/>
  <c r="K76" i="49"/>
  <c r="L43" i="49"/>
  <c r="D44" i="48"/>
  <c r="E43" i="49"/>
  <c r="D43" i="49"/>
  <c r="O85" i="49"/>
  <c r="P85" i="49"/>
  <c r="Q85" i="49"/>
  <c r="K85" i="49"/>
  <c r="D47" i="49"/>
  <c r="F47" i="49"/>
  <c r="G45" i="48"/>
  <c r="R56" i="49"/>
  <c r="S56" i="49"/>
  <c r="T56" i="49"/>
  <c r="P66" i="49"/>
  <c r="Q66" i="49"/>
  <c r="O66" i="49"/>
  <c r="D81" i="49"/>
  <c r="F81" i="49"/>
  <c r="G28" i="48"/>
  <c r="O97" i="49"/>
  <c r="P97" i="49"/>
  <c r="Q97" i="49"/>
  <c r="D64" i="49"/>
  <c r="F64" i="49"/>
  <c r="G23" i="48"/>
  <c r="Q100" i="49"/>
  <c r="K100" i="49"/>
  <c r="O100" i="49"/>
  <c r="P100" i="49"/>
  <c r="T54" i="49"/>
  <c r="R54" i="49"/>
  <c r="S54" i="49"/>
  <c r="I54" i="49"/>
  <c r="K47" i="49"/>
  <c r="O47" i="49"/>
  <c r="P47" i="49"/>
  <c r="Q47" i="49"/>
  <c r="Q50" i="49"/>
  <c r="K50" i="49"/>
  <c r="O50" i="49"/>
  <c r="P50" i="49"/>
  <c r="Q34" i="49"/>
  <c r="K34" i="49"/>
  <c r="O34" i="49"/>
  <c r="P34" i="49"/>
  <c r="L93" i="49"/>
  <c r="D54" i="48"/>
  <c r="E93" i="49"/>
  <c r="D93" i="49"/>
  <c r="D76" i="49"/>
  <c r="F76" i="49"/>
  <c r="G69" i="48"/>
  <c r="O102" i="49"/>
  <c r="P102" i="49"/>
  <c r="Q102" i="49"/>
  <c r="O101" i="49"/>
  <c r="P101" i="49"/>
  <c r="Q101" i="49"/>
  <c r="Q60" i="49"/>
  <c r="O60" i="49"/>
  <c r="P60" i="49"/>
  <c r="K52" i="49"/>
  <c r="O52" i="49"/>
  <c r="P52" i="49"/>
  <c r="Q52" i="49"/>
  <c r="P98" i="49"/>
  <c r="Q98" i="49"/>
  <c r="O98" i="49"/>
  <c r="K86" i="49"/>
  <c r="O86" i="49"/>
  <c r="P86" i="49"/>
  <c r="Q86" i="49"/>
  <c r="F39" i="49"/>
  <c r="D39" i="49"/>
  <c r="G43" i="48"/>
  <c r="Q67" i="49"/>
  <c r="O67" i="49"/>
  <c r="P67" i="49"/>
  <c r="Q78" i="49"/>
  <c r="K78" i="49"/>
  <c r="O78" i="49"/>
  <c r="P78" i="49"/>
  <c r="D52" i="49"/>
  <c r="F52" i="49"/>
  <c r="G64" i="48"/>
  <c r="D48" i="49"/>
  <c r="F48" i="49"/>
  <c r="G63" i="48"/>
  <c r="O56" i="49"/>
  <c r="P56" i="49"/>
  <c r="Q56" i="49"/>
  <c r="D73" i="48"/>
  <c r="L90" i="49"/>
  <c r="E90" i="49"/>
  <c r="D90" i="49"/>
  <c r="D82" i="49"/>
  <c r="F82" i="49"/>
  <c r="G71" i="48"/>
  <c r="O79" i="49"/>
  <c r="P79" i="49"/>
  <c r="Q79" i="49"/>
  <c r="I100" i="49"/>
  <c r="R100" i="49"/>
  <c r="S100" i="49"/>
  <c r="T100" i="49"/>
  <c r="J100" i="49"/>
  <c r="P82" i="49"/>
  <c r="Q82" i="49"/>
  <c r="O82" i="49"/>
  <c r="K82" i="49"/>
  <c r="P54" i="49"/>
  <c r="Q54" i="49"/>
  <c r="O54" i="49"/>
  <c r="K54" i="49"/>
  <c r="O58" i="49"/>
  <c r="P58" i="49"/>
  <c r="Q58" i="49"/>
  <c r="H144" i="49"/>
  <c r="Q84" i="49"/>
  <c r="K84" i="49"/>
  <c r="O84" i="49"/>
  <c r="P84" i="49"/>
  <c r="P38" i="49"/>
  <c r="Q38" i="49"/>
  <c r="O38" i="49"/>
  <c r="K38" i="49"/>
  <c r="E94" i="49"/>
  <c r="K94" i="49" s="1"/>
  <c r="D74" i="48"/>
  <c r="L94" i="49"/>
  <c r="D94" i="49"/>
  <c r="I94" i="49" s="1"/>
  <c r="F74" i="49"/>
  <c r="D74" i="49"/>
  <c r="G26" i="48"/>
  <c r="O46" i="49"/>
  <c r="P46" i="49"/>
  <c r="Q46" i="49"/>
  <c r="K46" i="49"/>
  <c r="K70" i="49"/>
  <c r="O70" i="49"/>
  <c r="P70" i="49"/>
  <c r="Q70" i="49"/>
  <c r="O74" i="49"/>
  <c r="P74" i="49"/>
  <c r="Q74" i="49"/>
  <c r="K74" i="49"/>
  <c r="O40" i="49"/>
  <c r="P40" i="49"/>
  <c r="Q40" i="49"/>
  <c r="K40" i="49"/>
  <c r="F40" i="49"/>
  <c r="D40" i="49"/>
  <c r="G61" i="48"/>
  <c r="Q72" i="49"/>
  <c r="K72" i="49"/>
  <c r="O72" i="49"/>
  <c r="P72" i="49"/>
  <c r="O51" i="49"/>
  <c r="P51" i="49"/>
  <c r="Q51" i="49"/>
  <c r="K51" i="49"/>
  <c r="E44" i="49"/>
  <c r="D62" i="48"/>
  <c r="L44" i="49"/>
  <c r="D44" i="49"/>
  <c r="P48" i="49"/>
  <c r="Q48" i="49"/>
  <c r="O48" i="49"/>
  <c r="K48" i="49"/>
  <c r="D17" i="48"/>
  <c r="L42" i="49"/>
  <c r="E42" i="49"/>
  <c r="D42" i="49"/>
  <c r="O35" i="49"/>
  <c r="P35" i="49"/>
  <c r="Q35" i="49"/>
  <c r="K35" i="49"/>
  <c r="F50" i="49"/>
  <c r="D50" i="49"/>
  <c r="G19" i="48"/>
  <c r="F46" i="49"/>
  <c r="D46" i="49"/>
  <c r="G18" i="48"/>
  <c r="L88" i="49"/>
  <c r="D30" i="48"/>
  <c r="E88" i="49"/>
  <c r="D88" i="49"/>
  <c r="E4210" i="50"/>
  <c r="E4212" i="50"/>
  <c r="E4211" i="50"/>
  <c r="Q39" i="49"/>
  <c r="K39" i="49"/>
  <c r="O39" i="49"/>
  <c r="P39" i="49"/>
  <c r="O68" i="49"/>
  <c r="P68" i="49"/>
  <c r="Q68" i="49"/>
  <c r="J96" i="49"/>
  <c r="R96" i="49"/>
  <c r="S96" i="49"/>
  <c r="T96" i="49"/>
  <c r="I96" i="49"/>
  <c r="I84" i="49"/>
  <c r="R84" i="49"/>
  <c r="S84" i="49"/>
  <c r="T84" i="49"/>
  <c r="J84" i="49"/>
  <c r="D31" i="48"/>
  <c r="L92" i="49"/>
  <c r="E92" i="49"/>
  <c r="D92" i="49"/>
  <c r="E4203" i="50"/>
  <c r="E4202" i="50"/>
  <c r="E4204" i="50"/>
  <c r="Q55" i="49"/>
  <c r="O55" i="49"/>
  <c r="P55" i="49"/>
  <c r="K36" i="49"/>
  <c r="O36" i="49"/>
  <c r="P36" i="49"/>
  <c r="Q36" i="49"/>
  <c r="D38" i="49"/>
  <c r="F38" i="49"/>
  <c r="G16" i="48"/>
  <c r="P59" i="49"/>
  <c r="Q59" i="49"/>
  <c r="O59" i="49"/>
  <c r="R85" i="49"/>
  <c r="S85" i="49"/>
  <c r="T85" i="49"/>
  <c r="I85" i="49"/>
  <c r="F51" i="49"/>
  <c r="D51" i="49"/>
  <c r="G46" i="48"/>
  <c r="E4179" i="50"/>
  <c r="E4178" i="50"/>
  <c r="E4180" i="50"/>
  <c r="P71" i="49"/>
  <c r="Q71" i="49"/>
  <c r="O71" i="49"/>
  <c r="K71" i="49"/>
  <c r="E89" i="49"/>
  <c r="D53" i="48"/>
  <c r="L89" i="49"/>
  <c r="D89" i="49"/>
  <c r="S97" i="49"/>
  <c r="T97" i="49"/>
  <c r="R97" i="49"/>
  <c r="E4215" i="50"/>
  <c r="E4214" i="50"/>
  <c r="E4216" i="50"/>
  <c r="K81" i="49"/>
  <c r="O81" i="49"/>
  <c r="P81" i="49"/>
  <c r="Q81" i="49"/>
  <c r="K75" i="49"/>
  <c r="O75" i="49"/>
  <c r="P75" i="49"/>
  <c r="Q75" i="49"/>
  <c r="E4223" i="50"/>
  <c r="E4222" i="50"/>
  <c r="O96" i="49"/>
  <c r="P96" i="49"/>
  <c r="Q96" i="49"/>
  <c r="K96" i="49"/>
  <c r="D75" i="49"/>
  <c r="F75" i="49"/>
  <c r="G51" i="48"/>
  <c r="R55" i="49"/>
  <c r="S55" i="49"/>
  <c r="T55" i="49"/>
  <c r="S102" i="49"/>
  <c r="T102" i="49"/>
  <c r="R102" i="49"/>
  <c r="R101" i="49"/>
  <c r="S101" i="49"/>
  <c r="T101" i="49"/>
  <c r="R62" i="49"/>
  <c r="S62" i="49"/>
  <c r="T62" i="49"/>
  <c r="T98" i="49"/>
  <c r="R98" i="49"/>
  <c r="S98" i="49"/>
  <c r="S86" i="49"/>
  <c r="T86" i="49"/>
  <c r="I86" i="49"/>
  <c r="R86" i="49"/>
  <c r="E144" i="49" l="1"/>
  <c r="F35" i="49"/>
  <c r="D35" i="49"/>
  <c r="G42" i="48"/>
  <c r="S92" i="49"/>
  <c r="T92" i="49"/>
  <c r="I92" i="49"/>
  <c r="R92" i="49"/>
  <c r="J92" i="49"/>
  <c r="T88" i="49"/>
  <c r="J88" i="49"/>
  <c r="R88" i="49"/>
  <c r="S88" i="49"/>
  <c r="I88" i="49"/>
  <c r="I50" i="49"/>
  <c r="R50" i="49"/>
  <c r="S50" i="49"/>
  <c r="T50" i="49"/>
  <c r="J50" i="49"/>
  <c r="R94" i="49"/>
  <c r="S94" i="49"/>
  <c r="T94" i="49"/>
  <c r="O90" i="49"/>
  <c r="P90" i="49"/>
  <c r="Q90" i="49"/>
  <c r="K90" i="49"/>
  <c r="T48" i="49"/>
  <c r="J48" i="49"/>
  <c r="R48" i="49"/>
  <c r="S48" i="49"/>
  <c r="I48" i="49"/>
  <c r="I39" i="49"/>
  <c r="R39" i="49"/>
  <c r="S39" i="49"/>
  <c r="T39" i="49"/>
  <c r="J39" i="49"/>
  <c r="T76" i="49"/>
  <c r="J76" i="49"/>
  <c r="R76" i="49"/>
  <c r="S76" i="49"/>
  <c r="I76" i="49"/>
  <c r="S64" i="49"/>
  <c r="T64" i="49"/>
  <c r="R64" i="49"/>
  <c r="T43" i="49"/>
  <c r="R43" i="49"/>
  <c r="S43" i="49"/>
  <c r="S75" i="49"/>
  <c r="T75" i="49"/>
  <c r="I75" i="49"/>
  <c r="R75" i="49"/>
  <c r="J75" i="49"/>
  <c r="D70" i="49"/>
  <c r="F70" i="49"/>
  <c r="G25" i="48"/>
  <c r="Q89" i="49"/>
  <c r="K89" i="49"/>
  <c r="O89" i="49"/>
  <c r="P89" i="49"/>
  <c r="T38" i="49"/>
  <c r="J38" i="49"/>
  <c r="R38" i="49"/>
  <c r="S38" i="49"/>
  <c r="I38" i="49"/>
  <c r="F60" i="49"/>
  <c r="D60" i="49"/>
  <c r="G66" i="48"/>
  <c r="K92" i="49"/>
  <c r="O92" i="49"/>
  <c r="P92" i="49"/>
  <c r="Q92" i="49"/>
  <c r="F67" i="49"/>
  <c r="D67" i="49"/>
  <c r="G49" i="48"/>
  <c r="P88" i="49"/>
  <c r="Q88" i="49"/>
  <c r="O88" i="49"/>
  <c r="K88" i="49"/>
  <c r="J46" i="49"/>
  <c r="R46" i="49"/>
  <c r="S46" i="49"/>
  <c r="T46" i="49"/>
  <c r="I46" i="49"/>
  <c r="Q44" i="49"/>
  <c r="O44" i="49"/>
  <c r="P44" i="49"/>
  <c r="T93" i="49"/>
  <c r="R93" i="49"/>
  <c r="S93" i="49"/>
  <c r="P43" i="49"/>
  <c r="Q43" i="49"/>
  <c r="O43" i="49"/>
  <c r="I89" i="49"/>
  <c r="R89" i="49"/>
  <c r="S89" i="49"/>
  <c r="T89" i="49"/>
  <c r="D36" i="49"/>
  <c r="F36" i="49"/>
  <c r="G60" i="48"/>
  <c r="J51" i="49"/>
  <c r="R51" i="49"/>
  <c r="S51" i="49"/>
  <c r="T51" i="49"/>
  <c r="I51" i="49"/>
  <c r="D58" i="49"/>
  <c r="F58" i="49"/>
  <c r="G21" i="48"/>
  <c r="F68" i="49"/>
  <c r="D68" i="49"/>
  <c r="G67" i="48"/>
  <c r="S42" i="49"/>
  <c r="T42" i="49"/>
  <c r="I42" i="49"/>
  <c r="R42" i="49"/>
  <c r="R44" i="49"/>
  <c r="S44" i="49"/>
  <c r="T44" i="49"/>
  <c r="J74" i="49"/>
  <c r="R74" i="49"/>
  <c r="S74" i="49"/>
  <c r="T74" i="49"/>
  <c r="I74" i="49"/>
  <c r="T82" i="49"/>
  <c r="J82" i="49"/>
  <c r="R82" i="49"/>
  <c r="S82" i="49"/>
  <c r="I82" i="49"/>
  <c r="P93" i="49"/>
  <c r="Q93" i="49"/>
  <c r="O93" i="49"/>
  <c r="S81" i="49"/>
  <c r="T81" i="49"/>
  <c r="I81" i="49"/>
  <c r="R81" i="49"/>
  <c r="J81" i="49"/>
  <c r="F72" i="49"/>
  <c r="D72" i="49"/>
  <c r="G68" i="48"/>
  <c r="F78" i="49"/>
  <c r="D78" i="49"/>
  <c r="G27" i="48"/>
  <c r="D71" i="49"/>
  <c r="F71" i="49"/>
  <c r="G50" i="48"/>
  <c r="F79" i="49"/>
  <c r="D79" i="49"/>
  <c r="G70" i="48"/>
  <c r="F34" i="49"/>
  <c r="D34" i="49"/>
  <c r="G15" i="48"/>
  <c r="D59" i="49"/>
  <c r="F59" i="49"/>
  <c r="G48" i="48"/>
  <c r="D66" i="49"/>
  <c r="F66" i="49"/>
  <c r="G24" i="48"/>
  <c r="K42" i="49"/>
  <c r="O42" i="49"/>
  <c r="P42" i="49"/>
  <c r="Q42" i="49"/>
  <c r="J40" i="49"/>
  <c r="R40" i="49"/>
  <c r="S40" i="49"/>
  <c r="T40" i="49"/>
  <c r="I40" i="49"/>
  <c r="Q94" i="49"/>
  <c r="O94" i="49"/>
  <c r="P94" i="49"/>
  <c r="R90" i="49"/>
  <c r="S90" i="49"/>
  <c r="T90" i="49"/>
  <c r="I90" i="49"/>
  <c r="S52" i="49"/>
  <c r="T52" i="49"/>
  <c r="I52" i="49"/>
  <c r="R52" i="49"/>
  <c r="J52" i="49"/>
  <c r="S47" i="49"/>
  <c r="T47" i="49"/>
  <c r="I47" i="49"/>
  <c r="R47" i="49"/>
  <c r="J47" i="49"/>
  <c r="J79" i="49" l="1"/>
  <c r="I79" i="49"/>
  <c r="I72" i="49"/>
  <c r="R72" i="49"/>
  <c r="S72" i="49"/>
  <c r="T72" i="49"/>
  <c r="J72" i="49"/>
  <c r="R68" i="49"/>
  <c r="S68" i="49"/>
  <c r="T68" i="49"/>
  <c r="S58" i="49"/>
  <c r="T58" i="49"/>
  <c r="R58" i="49"/>
  <c r="S36" i="49"/>
  <c r="T36" i="49"/>
  <c r="I36" i="49"/>
  <c r="R36" i="49"/>
  <c r="J36" i="49"/>
  <c r="R67" i="49"/>
  <c r="S67" i="49"/>
  <c r="T67" i="49"/>
  <c r="S70" i="49"/>
  <c r="T70" i="49"/>
  <c r="I70" i="49"/>
  <c r="R70" i="49"/>
  <c r="J70" i="49"/>
  <c r="F144" i="49"/>
  <c r="I78" i="49"/>
  <c r="R78" i="49"/>
  <c r="S78" i="49"/>
  <c r="T78" i="49"/>
  <c r="J78" i="49"/>
  <c r="I34" i="49"/>
  <c r="R34" i="49"/>
  <c r="D144" i="49"/>
  <c r="S34" i="49"/>
  <c r="T34" i="49"/>
  <c r="J34" i="49"/>
  <c r="T59" i="49"/>
  <c r="R59" i="49"/>
  <c r="S59" i="49"/>
  <c r="J35" i="49"/>
  <c r="R35" i="49"/>
  <c r="S35" i="49"/>
  <c r="T35" i="49"/>
  <c r="I35" i="49"/>
  <c r="T66" i="49"/>
  <c r="R66" i="49"/>
  <c r="S66" i="49"/>
  <c r="R79" i="49"/>
  <c r="S79" i="49"/>
  <c r="T79" i="49"/>
  <c r="T71" i="49"/>
  <c r="J71" i="49"/>
  <c r="R71" i="49"/>
  <c r="S71" i="49"/>
  <c r="I71" i="49"/>
  <c r="R60" i="49"/>
  <c r="S60" i="49"/>
  <c r="T60" i="49"/>
</calcChain>
</file>

<file path=xl/comments1.xml><?xml version="1.0" encoding="utf-8"?>
<comments xmlns="http://schemas.openxmlformats.org/spreadsheetml/2006/main">
  <authors>
    <author>ong001c</author>
  </authors>
  <commentList>
    <comment ref="G7" authorId="0">
      <text>
        <r>
          <rPr>
            <b/>
            <sz val="8"/>
            <color indexed="81"/>
            <rFont val="Tahoma"/>
            <family val="2"/>
          </rPr>
          <t>ong001c:</t>
        </r>
        <r>
          <rPr>
            <sz val="8"/>
            <color indexed="81"/>
            <rFont val="Tahoma"/>
            <family val="2"/>
          </rPr>
          <t xml:space="preserve">
Left blank intentionally</t>
        </r>
      </text>
    </comment>
  </commentList>
</comments>
</file>

<file path=xl/sharedStrings.xml><?xml version="1.0" encoding="utf-8"?>
<sst xmlns="http://schemas.openxmlformats.org/spreadsheetml/2006/main" count="10760" uniqueCount="1893">
  <si>
    <t>1000. Company, charging year, data version</t>
  </si>
  <si>
    <t>Company</t>
  </si>
  <si>
    <t>Year</t>
  </si>
  <si>
    <t>Version</t>
  </si>
  <si>
    <t>Company, charging year, data version</t>
  </si>
  <si>
    <t>CRC</t>
  </si>
  <si>
    <t>Value</t>
  </si>
  <si>
    <t>H = F + G</t>
  </si>
  <si>
    <t>PUt</t>
  </si>
  <si>
    <t>PIADt</t>
  </si>
  <si>
    <t>MGt</t>
  </si>
  <si>
    <t>BRt</t>
  </si>
  <si>
    <t>RBt</t>
  </si>
  <si>
    <t>LFt</t>
  </si>
  <si>
    <t>TBt</t>
  </si>
  <si>
    <t>UNCt</t>
  </si>
  <si>
    <t>MPTt, HBt, IEDt</t>
  </si>
  <si>
    <t>PTt</t>
  </si>
  <si>
    <t>UILt</t>
  </si>
  <si>
    <t>PCOLt</t>
  </si>
  <si>
    <t>-COLt</t>
  </si>
  <si>
    <t>PPLt</t>
  </si>
  <si>
    <t>IQt</t>
  </si>
  <si>
    <t>ITt</t>
  </si>
  <si>
    <t>IFIt</t>
  </si>
  <si>
    <t>IGt</t>
  </si>
  <si>
    <t>LCN1t</t>
  </si>
  <si>
    <t>LCN2t</t>
  </si>
  <si>
    <t>LCN3t</t>
  </si>
  <si>
    <t>-Kt</t>
  </si>
  <si>
    <t>CTRAt</t>
  </si>
  <si>
    <t>ARt</t>
  </si>
  <si>
    <t>ES4</t>
  </si>
  <si>
    <t>ES5</t>
  </si>
  <si>
    <t>ES7</t>
  </si>
  <si>
    <t>CRC3</t>
  </si>
  <si>
    <t>CRC4</t>
  </si>
  <si>
    <t>CRC7</t>
  </si>
  <si>
    <t>CRC8</t>
  </si>
  <si>
    <t>CRC9</t>
  </si>
  <si>
    <t>CRC10</t>
  </si>
  <si>
    <t>CRC11</t>
  </si>
  <si>
    <t>CRC12</t>
  </si>
  <si>
    <t>CRC13</t>
  </si>
  <si>
    <t>CRC15</t>
  </si>
  <si>
    <t>1010. Financial and general assumptions</t>
  </si>
  <si>
    <t>Sources: financial assumptions; calendar; network model.</t>
  </si>
  <si>
    <t>These financial assumptions determine the annuity rate applied to convert the asset values of the network model into an annual charge.</t>
  </si>
  <si>
    <t>Rate of return</t>
  </si>
  <si>
    <t>Annualisation period (years)</t>
  </si>
  <si>
    <t>Annuity proportion for customer-contributed assets</t>
  </si>
  <si>
    <t>Power factor</t>
  </si>
  <si>
    <t>Financial and general assumptions</t>
  </si>
  <si>
    <t>1017. Diversity allowance between top and bottom of network level</t>
  </si>
  <si>
    <t>Source: operational data analysis and/or network model.</t>
  </si>
  <si>
    <t>The diversity figure against GSP is the diversity between GSP Group (the whole system) and individual GSPs.</t>
  </si>
  <si>
    <t>The diversity figure against 132kV is the diversity between GSPs (the top of the 132kV network) and 132kV/EHV bulk supply points (the bottom of the 132kV network). </t>
  </si>
  <si>
    <t>The diversity figure against EHV is the diversity between 132kV/EHV bulk supply points (the top of the EHV network) and EHV/HV primary substations (the bottom of the EHV network). </t>
  </si>
  <si>
    <t>The diversity figure against HV is the diversity between EHV/HV primary substations (the top of the HV network) and HV/LV substations (the bottom of the HV network). </t>
  </si>
  <si>
    <t>Diversity allowance between top and bottom of network level</t>
  </si>
  <si>
    <t>GSPs</t>
  </si>
  <si>
    <t>132kV</t>
  </si>
  <si>
    <t>132kV/EHV</t>
  </si>
  <si>
    <t>EHV</t>
  </si>
  <si>
    <t>EHV/HV</t>
  </si>
  <si>
    <t>HV</t>
  </si>
  <si>
    <t>HV/LV</t>
  </si>
  <si>
    <t>LV circuits</t>
  </si>
  <si>
    <t>1018. Proportion of relevant load going through 132kV/HV direct transformation</t>
  </si>
  <si>
    <t>132kV/HV</t>
  </si>
  <si>
    <t>1019. Network model GSP peak demand (MW)</t>
  </si>
  <si>
    <t>Network model GSP peak demand (MW)</t>
  </si>
  <si>
    <t>1020. Gross asset cost by network level (£)</t>
  </si>
  <si>
    <t>Gross assets £</t>
  </si>
  <si>
    <t>1022. LV service model asset cost (£)</t>
  </si>
  <si>
    <t>LV service model 1</t>
  </si>
  <si>
    <t>LV service model 2</t>
  </si>
  <si>
    <t>LV service model 3</t>
  </si>
  <si>
    <t>LV service model 4</t>
  </si>
  <si>
    <t>LV service model 5</t>
  </si>
  <si>
    <t>LV service model 6</t>
  </si>
  <si>
    <t>LV service model 7</t>
  </si>
  <si>
    <t>LV service model 8</t>
  </si>
  <si>
    <t>LV service model asset cost (£)</t>
  </si>
  <si>
    <t>1023. HV service model asset cost (£)</t>
  </si>
  <si>
    <t>HV service model 1</t>
  </si>
  <si>
    <t>HV service model 2</t>
  </si>
  <si>
    <t>HV service model 3</t>
  </si>
  <si>
    <t>HV service model 4</t>
  </si>
  <si>
    <t>HV service model 5</t>
  </si>
  <si>
    <t>HV service model asset cost (£)</t>
  </si>
  <si>
    <t>1025. Matrix of applicability of LV service models to tariffs with fixed charges</t>
  </si>
  <si>
    <t>Domestic Unrestricted</t>
  </si>
  <si>
    <t>Domestic Two Rate</t>
  </si>
  <si>
    <t>Small Non Domestic Unrestricted</t>
  </si>
  <si>
    <t>Small Non Domestic Two Rate</t>
  </si>
  <si>
    <t>LV Medium Non-Domestic</t>
  </si>
  <si>
    <t>LV Sub Medium Non-Domestic</t>
  </si>
  <si>
    <t>LV HH Metered</t>
  </si>
  <si>
    <t>LV Sub HH Metered</t>
  </si>
  <si>
    <t>LV Sub Generation NHH</t>
  </si>
  <si>
    <t>LV Generation Intermittent</t>
  </si>
  <si>
    <t>LV Generation Non-Intermittent</t>
  </si>
  <si>
    <t>LV Sub Generation Intermittent</t>
  </si>
  <si>
    <t>LV Sub Generation Non-Intermittent</t>
  </si>
  <si>
    <t>1026. Matrix of applicability of LV service models to unmetered tariffs</t>
  </si>
  <si>
    <t>Source: service models</t>
  </si>
  <si>
    <t>Proportion of service model involved in connecting load of 1 MWh/year</t>
  </si>
  <si>
    <t>All LV unmetered tariffs</t>
  </si>
  <si>
    <t>1028. Matrix of applicability of HV service models to tariffs with fixed charges</t>
  </si>
  <si>
    <t>HV Medium Non-Domestic</t>
  </si>
  <si>
    <t>HV HH Metered</t>
  </si>
  <si>
    <t>HV Generation Intermittent</t>
  </si>
  <si>
    <t>HV Generation Non-Intermittent</t>
  </si>
  <si>
    <t>1032. Loss adjustment factors to transmission</t>
  </si>
  <si>
    <t>Source: losses model or loss adjustment factors at time of system peak.</t>
  </si>
  <si>
    <t>Loss adjustment factor</t>
  </si>
  <si>
    <t>1037. Embedded network (LDNO) discounts</t>
  </si>
  <si>
    <t>Source: separate price control disaggregation model.</t>
  </si>
  <si>
    <t>No discount</t>
  </si>
  <si>
    <t>LDNO LV: LV user</t>
  </si>
  <si>
    <t>LDNO HV: LV user</t>
  </si>
  <si>
    <t>LDNO HV: LV sub user</t>
  </si>
  <si>
    <t>LDNO HV: HV user</t>
  </si>
  <si>
    <t>LDNO discount</t>
  </si>
  <si>
    <t>1041. Load profile data for demand users</t>
  </si>
  <si>
    <t>Source: load data analysis.</t>
  </si>
  <si>
    <t>Coincidence factor</t>
  </si>
  <si>
    <t>Load factor</t>
  </si>
  <si>
    <t>Domestic Off Peak (related MPAN)</t>
  </si>
  <si>
    <t>Small Non Domestic Off Peak (related MPAN)</t>
  </si>
  <si>
    <t>NHH UMS category A</t>
  </si>
  <si>
    <t>NHH UMS category B</t>
  </si>
  <si>
    <t>NHH UMS category C</t>
  </si>
  <si>
    <t>NHH UMS category D</t>
  </si>
  <si>
    <t>LV UMS (Pseudo HH Metered)</t>
  </si>
  <si>
    <t>1053. Volume forecasts for the charging year</t>
  </si>
  <si>
    <t>Source: forecast.</t>
  </si>
  <si>
    <t>Please include MPAN counts for tariffs with no fixed charge (e.g. off-peak tariffs),</t>
  </si>
  <si>
    <t>but exclude MPANs on tariffs with a fixed charge that are not subject to a fixed charge due to a site grouping arrangement.</t>
  </si>
  <si>
    <t>Rate 1 units (MWh)</t>
  </si>
  <si>
    <t>Rate 2 units (MWh)</t>
  </si>
  <si>
    <t>Rate 3 units (MWh)</t>
  </si>
  <si>
    <t>MPANs</t>
  </si>
  <si>
    <t>Import capacity (kVA)</t>
  </si>
  <si>
    <t>Reactive power units (MVArh)</t>
  </si>
  <si>
    <t>&gt; Domestic Unrestricted</t>
  </si>
  <si>
    <t>LDNO LV: Domestic Unrestricted</t>
  </si>
  <si>
    <t>LDNO HV: Domestic Unrestricted</t>
  </si>
  <si>
    <t>&gt; Domestic Two Rate</t>
  </si>
  <si>
    <t>LDNO LV: Domestic Two Rate</t>
  </si>
  <si>
    <t>LDNO HV: Domestic Two Rate</t>
  </si>
  <si>
    <t>&gt; Domestic Off Peak (related MPAN)</t>
  </si>
  <si>
    <t>LDNO LV: Domestic Off Peak (related MPAN)</t>
  </si>
  <si>
    <t>LDNO HV: Domestic Off Peak (related MPAN)</t>
  </si>
  <si>
    <t>&gt; Small Non Domestic Unrestricted</t>
  </si>
  <si>
    <t>LDNO LV: Small Non Domestic Unrestricted</t>
  </si>
  <si>
    <t>LDNO HV: Small Non Domestic Unrestricted</t>
  </si>
  <si>
    <t>&gt; Small Non Domestic Two Rate</t>
  </si>
  <si>
    <t>LDNO LV: Small Non Domestic Two Rate</t>
  </si>
  <si>
    <t>LDNO HV: Small Non Domestic Two Rate</t>
  </si>
  <si>
    <t>&gt; Small Non Domestic Off Peak (related MPAN)</t>
  </si>
  <si>
    <t>LDNO LV: Small Non Domestic Off Peak (related MPAN)</t>
  </si>
  <si>
    <t>LDNO HV: Small Non Domestic Off Peak (related MPAN)</t>
  </si>
  <si>
    <t>&gt; LV Medium Non-Domestic</t>
  </si>
  <si>
    <t>LDNO LV: LV Medium Non-Domestic</t>
  </si>
  <si>
    <t>LDNO HV: LV Medium Non-Domestic</t>
  </si>
  <si>
    <t>&gt; LV Sub Medium Non-Domestic</t>
  </si>
  <si>
    <t>&gt; HV Medium Non-Domestic</t>
  </si>
  <si>
    <t>&gt; LV HH Metered</t>
  </si>
  <si>
    <t>LDNO LV: LV HH Metered</t>
  </si>
  <si>
    <t>LDNO HV: LV HH Metered</t>
  </si>
  <si>
    <t>&gt; LV Sub HH Metered</t>
  </si>
  <si>
    <t>LDNO HV: LV Sub HH Metered</t>
  </si>
  <si>
    <t>&gt; HV HH Metered</t>
  </si>
  <si>
    <t>LDNO HV: HV HH Metered</t>
  </si>
  <si>
    <t>&gt; NHH UMS category A</t>
  </si>
  <si>
    <t>LDNO LV: NHH UMS category A</t>
  </si>
  <si>
    <t>LDNO HV: NHH UMS category A</t>
  </si>
  <si>
    <t>&gt; NHH UMS category B</t>
  </si>
  <si>
    <t>LDNO LV: NHH UMS category B</t>
  </si>
  <si>
    <t>LDNO HV: NHH UMS category B</t>
  </si>
  <si>
    <t>&gt; NHH UMS category C</t>
  </si>
  <si>
    <t>LDNO LV: NHH UMS category C</t>
  </si>
  <si>
    <t>LDNO HV: NHH UMS category C</t>
  </si>
  <si>
    <t>&gt; NHH UMS category D</t>
  </si>
  <si>
    <t>LDNO LV: NHH UMS category D</t>
  </si>
  <si>
    <t>LDNO HV: NHH UMS category D</t>
  </si>
  <si>
    <t>&gt; LV UMS (Pseudo HH Metered)</t>
  </si>
  <si>
    <t>LDNO LV: LV UMS (Pseudo HH Metered)</t>
  </si>
  <si>
    <t>LDNO HV: LV UMS (Pseudo HH Metered)</t>
  </si>
  <si>
    <t>&gt; LV Sub Generation NHH</t>
  </si>
  <si>
    <t>LDNO HV: LV Sub Generation NHH</t>
  </si>
  <si>
    <t>&gt; LV Generation Intermittent</t>
  </si>
  <si>
    <t>LDNO LV: LV Generation Intermittent</t>
  </si>
  <si>
    <t>LDNO HV: LV Generation Intermittent</t>
  </si>
  <si>
    <t>&gt; LV Generation Non-Intermittent</t>
  </si>
  <si>
    <t>LDNO LV: LV Generation Non-Intermittent</t>
  </si>
  <si>
    <t>LDNO HV: LV Generation Non-Intermittent</t>
  </si>
  <si>
    <t>&gt; LV Sub Generation Intermittent</t>
  </si>
  <si>
    <t>LDNO HV: LV Sub Generation Intermittent</t>
  </si>
  <si>
    <t>&gt; LV Sub Generation Non-Intermittent</t>
  </si>
  <si>
    <t>LDNO HV: LV Sub Generation Non-Intermittent</t>
  </si>
  <si>
    <t>&gt; HV Generation Intermittent</t>
  </si>
  <si>
    <t>LDNO HV: HV Generation Intermittent</t>
  </si>
  <si>
    <t>&gt; HV Generation Non-Intermittent</t>
  </si>
  <si>
    <t>LDNO HV: HV Generation Non-Intermittent</t>
  </si>
  <si>
    <t>1055. Transmission exit charges (£/year)</t>
  </si>
  <si>
    <t>Transmission
exit</t>
  </si>
  <si>
    <t>Transmission exit charges (£/year)</t>
  </si>
  <si>
    <t>1059. Other expenditure</t>
  </si>
  <si>
    <t>Direct cost (£/year)</t>
  </si>
  <si>
    <t>Indirect cost (£/year)</t>
  </si>
  <si>
    <t>Indirect cost proportion</t>
  </si>
  <si>
    <t>Network rates (£/year)</t>
  </si>
  <si>
    <t>Other expenditure</t>
  </si>
  <si>
    <t>1060. Customer contributions under current connection charging policy</t>
  </si>
  <si>
    <t>Source: analysis of expenditure data and/or survey of capital expenditure schemes.</t>
  </si>
  <si>
    <t>Customer contribution percentages by network level of supply and by asset network level.</t>
  </si>
  <si>
    <t>These proportions should reflect the current connection charging method, not necessarily the method that was in place when the connection was built.</t>
  </si>
  <si>
    <t>Assets
132kV</t>
  </si>
  <si>
    <t>Assets
132kV/EHV</t>
  </si>
  <si>
    <t>Assets
EHV</t>
  </si>
  <si>
    <t>Assets
EHV/HV</t>
  </si>
  <si>
    <t>Assets
132kV/HV</t>
  </si>
  <si>
    <t>Assets
HV</t>
  </si>
  <si>
    <t>Assets
HV/LV</t>
  </si>
  <si>
    <t>Assets
LV circuits</t>
  </si>
  <si>
    <t>LV network</t>
  </si>
  <si>
    <t>LV substation</t>
  </si>
  <si>
    <t>HV network</t>
  </si>
  <si>
    <t>HV substation</t>
  </si>
  <si>
    <t>1061. Average split of rate 1 units by distribution time band</t>
  </si>
  <si>
    <t>Red</t>
  </si>
  <si>
    <t>Amber</t>
  </si>
  <si>
    <t>Green</t>
  </si>
  <si>
    <t>1062. Average split of rate 2 units by distribution time band</t>
  </si>
  <si>
    <t>1064. Average split of rate 1 units by special distribution time band</t>
  </si>
  <si>
    <t>Black</t>
  </si>
  <si>
    <t>Yellow</t>
  </si>
  <si>
    <t>1066. Typical annual hours by special distribution time band</t>
  </si>
  <si>
    <t>Source: definition of distribution time bands.</t>
  </si>
  <si>
    <t>The figures in this table will be automatically adjusted to match the number of days in the charging period.</t>
  </si>
  <si>
    <t>Annual hours</t>
  </si>
  <si>
    <t>1068. Typical annual hours by distribution time band</t>
  </si>
  <si>
    <t>1069. Peaking probabilities by network level</t>
  </si>
  <si>
    <t>Source: analysis of network operation data.</t>
  </si>
  <si>
    <t>Black peaking probabilities</t>
  </si>
  <si>
    <t>1092. Average kVAr by kVA, by network level</t>
  </si>
  <si>
    <t>Source: analysis of operational data.</t>
  </si>
  <si>
    <t>This is the average of MVAr/MVA or SQRT(1-PF^2) across relevant network elements.</t>
  </si>
  <si>
    <t>Average kVAr by kVA, by network level</t>
  </si>
  <si>
    <t>This sheet calculates matrices of loss adjustment factors and of network use factors.</t>
  </si>
  <si>
    <t>These matrices map out the extent to which each type of user uses each level of the network, and are used throughout the workbook.</t>
  </si>
  <si>
    <t>2001. Loss adjustment factors to transmission</t>
  </si>
  <si>
    <t>Data sources:</t>
  </si>
  <si>
    <t>x1 = Network level for each tariff (to get loss factors applicable to capacity) (in Loss adjustment factors to transmission)</t>
  </si>
  <si>
    <t>x2 = 1032. Loss adjustment factors to transmission</t>
  </si>
  <si>
    <t>Kind:</t>
  </si>
  <si>
    <t>Fixed data</t>
  </si>
  <si>
    <t>Sum-product calculation</t>
  </si>
  <si>
    <t>Formula:</t>
  </si>
  <si>
    <t/>
  </si>
  <si>
    <t>=SUMPRODUCT(x1, x2)</t>
  </si>
  <si>
    <t>Network level for each tariff (to get loss factors applicable to capacity)</t>
  </si>
  <si>
    <t>2002. Mapping of DRM network levels to core network levels</t>
  </si>
  <si>
    <t>2003. Loss adjustment factor to transmission for each DRM network level</t>
  </si>
  <si>
    <t>x1 = 2002. Mapping of DRM network levels to core network levels</t>
  </si>
  <si>
    <t>Sum-product calculation =SUMPRODUCT(x1, x2)</t>
  </si>
  <si>
    <t>Loss adjustment factor to transmission for each DRM network level</t>
  </si>
  <si>
    <t>2004. Loss adjustment factor to transmission for each network level</t>
  </si>
  <si>
    <t>x1 = 2003. Loss adjustment factor to transmission for each DRM network level</t>
  </si>
  <si>
    <t>x2 = 1 for GSP level</t>
  </si>
  <si>
    <t>Combine tables = x1 or x2</t>
  </si>
  <si>
    <t>Loss adjustment factor to transmission for each network level</t>
  </si>
  <si>
    <t>2005. Network use factors</t>
  </si>
  <si>
    <t>2006. Proportion going through 132kV/EHV</t>
  </si>
  <si>
    <t>x1 = 1018. Proportion of relevant load going through 132kV/HV direct transformation</t>
  </si>
  <si>
    <t>Calculation =1-x1</t>
  </si>
  <si>
    <t>2007. Proportion going through EHV</t>
  </si>
  <si>
    <t>2008. Proportion going through EHV/HV</t>
  </si>
  <si>
    <t>2009. Rerouteing matrix for all network levels</t>
  </si>
  <si>
    <t>x2 = 2006. Proportion going through 132kV/EHV</t>
  </si>
  <si>
    <t>x3 = 2007. Proportion going through EHV</t>
  </si>
  <si>
    <t>x4 = 2008. Proportion going through EHV/HV</t>
  </si>
  <si>
    <t>x5 = Rerouteing matrix: default elements</t>
  </si>
  <si>
    <t>x6 = Map GSP to GSP</t>
  </si>
  <si>
    <t>Combine tables = x1 or x2 or x3 or x4 or x5 or x6</t>
  </si>
  <si>
    <t>2010. Network use factors: interim step in calculations before adjustments</t>
  </si>
  <si>
    <t>x1 = 2005. Network use factors</t>
  </si>
  <si>
    <t>x2 = 2009. Rerouteing matrix for all network levels</t>
  </si>
  <si>
    <t>2011. Network use factors for all tariffs</t>
  </si>
  <si>
    <t>x1 = Network use factors including 132kV/HV for generation dominated tariffs</t>
  </si>
  <si>
    <t>x2 = Network use factors including 132kV/HV for HV Sub tariffs</t>
  </si>
  <si>
    <t>x3 = 2010. Network use factors: interim step in calculations before adjustments</t>
  </si>
  <si>
    <t>Combine tables = x1 or x2 or x3</t>
  </si>
  <si>
    <t>2012. Loss adjustment factors between end user meter reading and each network level, scaled by network use</t>
  </si>
  <si>
    <t>x1 = 2004. Loss adjustment factor to transmission for each network level</t>
  </si>
  <si>
    <t>x2 = 2011. Network use factors for all tariffs</t>
  </si>
  <si>
    <t>x3 = 2001. Loss adjustment factor to transmission (in Loss adjustment factors to transmission)</t>
  </si>
  <si>
    <t>Calculation =IF(x1="",x2,x2*x3/x1)</t>
  </si>
  <si>
    <t>This sheet collects data from a network model and calculates aggregated annuitised unit costs from these data.</t>
  </si>
  <si>
    <t>2101. Annuity rate</t>
  </si>
  <si>
    <t>x1 = 1010. Rate of return (in Financial and general assumptions)</t>
  </si>
  <si>
    <t>x2 = 1010. Annualisation period (years) (in Financial and general assumptions)</t>
  </si>
  <si>
    <t>x3 = 1010. Days in the charging year (in Financial and general assumptions)</t>
  </si>
  <si>
    <t>Calculation =PMT(x1,x2,-1)*IF(OR(x3&gt;366,x3&lt;365),x3/365.25,1)</t>
  </si>
  <si>
    <t>Annuity rate</t>
  </si>
  <si>
    <t>2102. Loss adjustment factor to transmission for each core level</t>
  </si>
  <si>
    <t>x1 = 1032. Loss adjustment factors to transmission</t>
  </si>
  <si>
    <t>Loss adjustment factor to transmission for each core level</t>
  </si>
  <si>
    <t>2103. Loss adjustment factors</t>
  </si>
  <si>
    <t>x1 = 2102. Loss adjustment factor to transmission for each core level</t>
  </si>
  <si>
    <t>x2 = Loss adjustment factor to transmission for network level exit (in Loss adjustment factors)</t>
  </si>
  <si>
    <t>Copy cells</t>
  </si>
  <si>
    <t>Special copy</t>
  </si>
  <si>
    <t>=x1</t>
  </si>
  <si>
    <t>= x2</t>
  </si>
  <si>
    <t>Loss adjustment factor to transmission for network level exit</t>
  </si>
  <si>
    <t>Loss adjustment factor to transmission for network level entry</t>
  </si>
  <si>
    <t>2104. Diversity calculations</t>
  </si>
  <si>
    <t>x1 = 1017. Diversity allowance between top and bottom of network level</t>
  </si>
  <si>
    <t>x2 = Coincidence to system peak at level exit (in Diversity calculations)</t>
  </si>
  <si>
    <t>Special calculation</t>
  </si>
  <si>
    <t>=previous/(1+x1)</t>
  </si>
  <si>
    <t>=1/x2-1</t>
  </si>
  <si>
    <t>Coincidence to GSP peak at level exit</t>
  </si>
  <si>
    <t>Coincidence to system peak at level exit</t>
  </si>
  <si>
    <t>Diversity allowance between level exit and GSP Group</t>
  </si>
  <si>
    <t>2105. Network model total maximum demand at substation (MW)</t>
  </si>
  <si>
    <t>x1 = 1019. Network model GSP peak demand (MW)</t>
  </si>
  <si>
    <t>x2 = 2104. Coincidence to GSP peak at level exit (in Diversity calculations)</t>
  </si>
  <si>
    <t>Calculation =x1/x2</t>
  </si>
  <si>
    <t>Network model total maximum demand at substation (MW)</t>
  </si>
  <si>
    <t>2106. Network model contribution to system maximum load measured at network level exit (MW)</t>
  </si>
  <si>
    <t>x1 = 2105. Network model total maximum demand at substation (MW)</t>
  </si>
  <si>
    <t>x2 = 2104. Coincidence to system peak at level exit (in Diversity calculations)</t>
  </si>
  <si>
    <t>x3 = 2103. Loss adjustment factor to transmission for network level exit (in Loss adjustment factors)</t>
  </si>
  <si>
    <t>Calculation =x1*x2/x3</t>
  </si>
  <si>
    <t>Network model contribution to system maximum load measured at network level exit (MW)</t>
  </si>
  <si>
    <t>2107. Rerouteing matrix for DRM network levels</t>
  </si>
  <si>
    <t>Combine tables = x1 or x2 or x3 or x4 or x5</t>
  </si>
  <si>
    <t>2108. GSP simultaneous maximum load assumed through each network level (MW)</t>
  </si>
  <si>
    <t>x1 = 2106. Network model contribution to system maximum load measured at network level exit (MW)</t>
  </si>
  <si>
    <t>x2 = 2107. Rerouteing matrix for DRM network levels</t>
  </si>
  <si>
    <t>GSP simultaneous maximum load assumed through each network level (MW)</t>
  </si>
  <si>
    <t>2109. Network model annuity by simultaneous maximum load for each network level (£/kW/year)</t>
  </si>
  <si>
    <t>x1 = 2108. GSP simultaneous maximum load assumed through each network level (MW)</t>
  </si>
  <si>
    <t>x2 = 1020. Gross asset cost by network level (£)</t>
  </si>
  <si>
    <t>x3 = 2101. Annuity rate</t>
  </si>
  <si>
    <t>Calculation =IF(x1,0.001*x2*x3/x1,0)</t>
  </si>
  <si>
    <t>Model £/kW SML</t>
  </si>
  <si>
    <t>Assets 132kV</t>
  </si>
  <si>
    <t>Assets 132kV/EHV</t>
  </si>
  <si>
    <t>Assets EHV</t>
  </si>
  <si>
    <t>Assets EHV/HV</t>
  </si>
  <si>
    <t>Assets 132kV/HV</t>
  </si>
  <si>
    <t>Assets HV</t>
  </si>
  <si>
    <t>Assets HV/LV</t>
  </si>
  <si>
    <t>Assets LV circuits</t>
  </si>
  <si>
    <t>This sheet collects and processes data from the service models.</t>
  </si>
  <si>
    <t>2201. Asset £/customer from LV service models</t>
  </si>
  <si>
    <t>x1 = 1025. Matrix of applicability of LV service models to tariffs with fixed charges</t>
  </si>
  <si>
    <t>x2 = 1022. LV service model asset cost (£)</t>
  </si>
  <si>
    <t>Assets
LV customer</t>
  </si>
  <si>
    <t>x1 = 1026. Matrix of applicability of LV service models to unmetered tariffs</t>
  </si>
  <si>
    <t>x1 = 1010. Annuity proportion for customer-contributed assets (in Financial and general assumptions)</t>
  </si>
  <si>
    <t>Calculation =0.1*x1*x2*x3</t>
  </si>
  <si>
    <t>2204. Asset £/customer from HV service models</t>
  </si>
  <si>
    <t>x1 = 1028. Matrix of applicability of HV service models to tariffs with fixed charges</t>
  </si>
  <si>
    <t>x2 = 1023. HV service model asset cost (£)</t>
  </si>
  <si>
    <t>Assets
HV customer</t>
  </si>
  <si>
    <t>2205. Service model assets by tariff (£)</t>
  </si>
  <si>
    <t>x1 = 2201. Asset £/customer from LV service models</t>
  </si>
  <si>
    <t>x2 = 2204. Asset £/customer from HV service models</t>
  </si>
  <si>
    <t>2206. Replacement annuities for service models</t>
  </si>
  <si>
    <t>x1 = 1010. Days in the charging year (in Financial and general assumptions)</t>
  </si>
  <si>
    <t>x2 = 2205. Service model assets by tariff (£)</t>
  </si>
  <si>
    <t>x4 = 1010. Annuity proportion for customer-contributed assets (in Financial and general assumptions)</t>
  </si>
  <si>
    <t>x5 = Service model p/MPAN/day charge (in Replacement annuities for service models)</t>
  </si>
  <si>
    <t>Calculation</t>
  </si>
  <si>
    <t>Cell summation</t>
  </si>
  <si>
    <t>=100/x1*x2*x3*x4</t>
  </si>
  <si>
    <t>=SUM(x5)</t>
  </si>
  <si>
    <t>Service model p/MPAN/day charge</t>
  </si>
  <si>
    <t>Service model p/MPAN/day</t>
  </si>
  <si>
    <t>This sheet compiles information about the assumed characteristics of network users.</t>
  </si>
  <si>
    <t>A load factor represents the average load of a user or user group, relative to the maximum load level of that user or</t>
  </si>
  <si>
    <t>user group. Load factors are numbers between 0 and 1.</t>
  </si>
  <si>
    <t>A coincidence factor represents the expectation value of the load of a user or user group at the time of system maximum load,</t>
  </si>
  <si>
    <t>relative to the maximum load level of that user or user group.  Coincidence factors are numbers between 0 and 1.</t>
  </si>
  <si>
    <t>A load coefficient is the expectation value of the load of a user or user group at the time of system maximum load, relative to the average load level of that user or user group.</t>
  </si>
  <si>
    <t>For demand users, the load coefficient is a demand coefficient and can be calculated as the ratio of the coincidence factor to the load factor.</t>
  </si>
  <si>
    <t>2301. Demand coefficient (load at time of system maximum load divided by average load)</t>
  </si>
  <si>
    <t>x1 = 1041. Coincidence factor to system maximum load for each type of demand user (in Load profile data for demand users)</t>
  </si>
  <si>
    <t>x2 = 1041. Load factor for each type of demand user (in Load profile data for demand users)</t>
  </si>
  <si>
    <t>Demand coefficient</t>
  </si>
  <si>
    <t>2302. Load coefficient</t>
  </si>
  <si>
    <t>x1 = 2301. Demand coefficient (load at time of system maximum load divided by average load)</t>
  </si>
  <si>
    <t>x2 = Negative of generation coefficient; set to -1</t>
  </si>
  <si>
    <t>Load coefficient</t>
  </si>
  <si>
    <t>2303. Discount map</t>
  </si>
  <si>
    <t>2304. LDNO discounts and volumes adjusted for discount</t>
  </si>
  <si>
    <t>x1 = 2303. Discount map</t>
  </si>
  <si>
    <t>x2 = 1037. Embedded network (LDNO) discounts</t>
  </si>
  <si>
    <t>x3 = 100 per cent discount for generators on LDNO networks</t>
  </si>
  <si>
    <t>x4 = Discount for each tariff (except for fixed charges) (in LDNO discounts and volumes adjusted for discount)</t>
  </si>
  <si>
    <t>x5 = 1053. Rate 1 units (MWh) by tariff (in Volume forecasts for the charging year)</t>
  </si>
  <si>
    <t>x6 = 1053. Rate 2 units (MWh) by tariff (in Volume forecasts for the charging year)</t>
  </si>
  <si>
    <t>x7 = 1053. Rate 3 units (MWh) by tariff (in Volume forecasts for the charging year)</t>
  </si>
  <si>
    <t>x8 = 1053. MPANs by tariff (in Volume forecasts for the charging year)</t>
  </si>
  <si>
    <t>x9 = Discount for each tariff for fixed charges only (in LDNO discounts and volumes adjusted for discount)</t>
  </si>
  <si>
    <t>x10 = 1053. Import capacity (kVA) by tariff (in Volume forecasts for the charging year)</t>
  </si>
  <si>
    <t>x11 = 1053. Reactive power units (MVArh) by tariff (in Volume forecasts for the charging year)</t>
  </si>
  <si>
    <t>Combine tables</t>
  </si>
  <si>
    <t>= x3 or x4</t>
  </si>
  <si>
    <t>=x5*(1-x4)</t>
  </si>
  <si>
    <t>=x6*(1-x4)</t>
  </si>
  <si>
    <t>=x7*(1-x4)</t>
  </si>
  <si>
    <t>=x8*(1-x9)</t>
  </si>
  <si>
    <t>=x10*(1-x4)</t>
  </si>
  <si>
    <t>=x11*(1-x4)</t>
  </si>
  <si>
    <t>Discount for each tariff (except for fixed charges)</t>
  </si>
  <si>
    <t>Discount for each tariff for fixed charges only</t>
  </si>
  <si>
    <t>2305. Equivalent volume for each end user</t>
  </si>
  <si>
    <t>x1 = 2304. Rate 1 units (MWh) (in LDNO discounts and volumes adjusted for discount)</t>
  </si>
  <si>
    <t>x2 = 2304. Rate 2 units (MWh) (in LDNO discounts and volumes adjusted for discount)</t>
  </si>
  <si>
    <t>x3 = 2304. Rate 3 units (MWh) (in LDNO discounts and volumes adjusted for discount)</t>
  </si>
  <si>
    <t>x4 = 2304. MPANs (in LDNO discounts and volumes adjusted for discount)</t>
  </si>
  <si>
    <t>x5 = 2304. Import capacity (kVA) (in LDNO discounts and volumes adjusted for discount)</t>
  </si>
  <si>
    <t>x6 = 2304. Reactive power units (MVArh) (in LDNO discounts and volumes adjusted for discount)</t>
  </si>
  <si>
    <t>=SUM(x1)</t>
  </si>
  <si>
    <t>=SUM(x2)</t>
  </si>
  <si>
    <t>=SUM(x3)</t>
  </si>
  <si>
    <t>=SUM(x4)</t>
  </si>
  <si>
    <t>=SUM(x6)</t>
  </si>
  <si>
    <t>2401. Adjust annual hours by distribution time band to match days in year</t>
  </si>
  <si>
    <t>x1 = 1068. Typical annual hours by distribution time band</t>
  </si>
  <si>
    <t>x2 = 1010. Days in the charging year (in Financial and general assumptions)</t>
  </si>
  <si>
    <t>x3 = Total hours in the year according to time band hours input data (in Adjust annual hours by distribution time band to match days in year)</t>
  </si>
  <si>
    <t>=x1*24*x2/x3</t>
  </si>
  <si>
    <t>Hours aggregate</t>
  </si>
  <si>
    <t>Annual hours by distribution time band (reconciled to days in year)</t>
  </si>
  <si>
    <t>Adjust annual hours by distribution time band to match days in year</t>
  </si>
  <si>
    <t>2402. Normalisation of split of rate 1 units by time band</t>
  </si>
  <si>
    <t>x1 = 1061. Average split of rate 1 units by distribution time band</t>
  </si>
  <si>
    <t>x2 = Total split (in Normalisation of split of rate 1 units by time band)</t>
  </si>
  <si>
    <t>x3 = 2401. Annual hours by distribution time band (reconciled to days in year) (in Adjust annual hours by distribution time band to match days in year)</t>
  </si>
  <si>
    <t>x4 = 1010. Days in the charging year (in Financial and general assumptions)</t>
  </si>
  <si>
    <t>=IF(x2,x1/x2,x3/x4/24)</t>
  </si>
  <si>
    <t>Total split</t>
  </si>
  <si>
    <t>Normalised split of rate 1 units by distribution time band</t>
  </si>
  <si>
    <t>2403. Split of rate 1 units between distribution time bands</t>
  </si>
  <si>
    <t>x1 = 2402. Normalised split of rate 1 units by distribution time band (in Normalisation of split of rate 1 units by time band)</t>
  </si>
  <si>
    <t>x2 = Split of rate 1 units between distribution time bands (default)</t>
  </si>
  <si>
    <t>2404. Normalisation of split of rate 2 units by time band</t>
  </si>
  <si>
    <t>x1 = 1062. Average split of rate 2 units by distribution time band</t>
  </si>
  <si>
    <t>x2 = Total split (in Normalisation of split of rate 2 units by time band)</t>
  </si>
  <si>
    <t>Normalised split of rate 2 units by distribution time band</t>
  </si>
  <si>
    <t>2405. Split of rate 2 units between distribution time bands</t>
  </si>
  <si>
    <t>x1 = 2404. Normalised split of rate 2 units by distribution time band (in Normalisation of split of rate 2 units by time band)</t>
  </si>
  <si>
    <t>x2 = Split of rate 2 units between distribution time bands (default)</t>
  </si>
  <si>
    <t>2406. Split of rate 3 units between distribution time bands (default)</t>
  </si>
  <si>
    <t>2407. All units (MWh)</t>
  </si>
  <si>
    <t>x1 = 2305. Rate 1 units (MWh) (in Equivalent volume for each end user)</t>
  </si>
  <si>
    <t>x2 = 2305. Rate 2 units (MWh) (in Equivalent volume for each end user)</t>
  </si>
  <si>
    <t>x3 = 2305. Rate 3 units (MWh) (in Equivalent volume for each end user)</t>
  </si>
  <si>
    <t>Calculation =x1+x2+x3</t>
  </si>
  <si>
    <t>All units (MWh)</t>
  </si>
  <si>
    <t>x1 = 2407. All units (MWh)</t>
  </si>
  <si>
    <t>x2 = 2305. Rate 1 units (MWh) (in Equivalent volume for each end user)</t>
  </si>
  <si>
    <t>x3 = 2403. Split of rate 1 units between distribution time bands</t>
  </si>
  <si>
    <t>x4 = 2305. Rate 2 units (MWh) (in Equivalent volume for each end user)</t>
  </si>
  <si>
    <t>x5 = 2405. Split of rate 2 units between distribution time bands</t>
  </si>
  <si>
    <t>x6 = 2401. Annual hours by distribution time band (reconciled to days in year) (in Adjust annual hours by distribution time band to match days in year)</t>
  </si>
  <si>
    <t>x7 = Use of distribution time bands by units in demand forecast for two-rate tariffs (in Calculation of implied load coefficients for two-rate users)</t>
  </si>
  <si>
    <t>x8 = 1010. Days in the charging year (in Financial and general assumptions)</t>
  </si>
  <si>
    <t>=IF(x1&gt;0,(x2*x3+x4*x5)/x1,0)</t>
  </si>
  <si>
    <t>=IF(x6&gt;0,x7*x8*24/x6,0)</t>
  </si>
  <si>
    <t>Use of distribution time bands by units in demand forecast for two-rate tariffs</t>
  </si>
  <si>
    <t>x6 = 2305. Rate 3 units (MWh) (in Equivalent volume for each end user)</t>
  </si>
  <si>
    <t>x7 = 2406. Split of rate 3 units between distribution time bands (default)</t>
  </si>
  <si>
    <t>x8 = 2401. Annual hours by distribution time band (reconciled to days in year) (in Adjust annual hours by distribution time band to match days in year)</t>
  </si>
  <si>
    <t>x9 = Use of distribution time bands by units in demand forecast for three-rate tariffs (in Calculation of implied load coefficients for three-rate users)</t>
  </si>
  <si>
    <t>x10 = 1010. Days in the charging year (in Financial and general assumptions)</t>
  </si>
  <si>
    <t>=IF(x1&gt;0,(x2*x3+x4*x5+x6*x7)/x1,0)</t>
  </si>
  <si>
    <t>=IF(x8&gt;0,x9*x10*24/x8,0)</t>
  </si>
  <si>
    <t>Use of distribution time bands by units in demand forecast for three-rate tariffs</t>
  </si>
  <si>
    <t>= x1 or x2</t>
  </si>
  <si>
    <t>Load coefficient correction factor (kW at peak in band / band average kW)</t>
  </si>
  <si>
    <t>x1 = 1069. Red, amber and green peaking probabilities (in Peaking probabilities by network level)</t>
  </si>
  <si>
    <t>x2 = Total probability (should be 100%) (in Normalisation of peaking probabilities)</t>
  </si>
  <si>
    <t>x3 = 1068. Typical annual hours by distribution time band</t>
  </si>
  <si>
    <t>x4 = 2401. Total hours in the year according to time band hours input data (in Adjust annual hours by distribution time band to match days in year)</t>
  </si>
  <si>
    <t>=IF(x2,x1/x2,x3/x4)</t>
  </si>
  <si>
    <t>Total probability (should be 100%)</t>
  </si>
  <si>
    <t>Normalised peaking probabilities</t>
  </si>
  <si>
    <t>Reshape table = x1</t>
  </si>
  <si>
    <t>Probability of peak within timeband</t>
  </si>
  <si>
    <t>x1 = 2401. Annual hours by distribution time band (reconciled to days in year) (in Adjust annual hours by distribution time band to match days in year)</t>
  </si>
  <si>
    <t>Calculation =IF(x1&gt;0,x2*x3*24*x4/x1,0)</t>
  </si>
  <si>
    <t>x2 = 2403. Split of rate 1 units between distribution time bands</t>
  </si>
  <si>
    <t>x2 = 2405. Split of rate 2 units between distribution time bands</t>
  </si>
  <si>
    <t>x2 = 2406. Split of rate 3 units between distribution time bands (default)</t>
  </si>
  <si>
    <t>x1 = 1066. Typical annual hours by special distribution time band</t>
  </si>
  <si>
    <t>x3 = Total hours in the year according to special time band hours input data (in Adjust annual hours by special distribution time band to match days in year)</t>
  </si>
  <si>
    <t>Annual hours by special distribution time band (reconciled to days in year)</t>
  </si>
  <si>
    <t>Adjust annual hours by special distribution time band to match days in year</t>
  </si>
  <si>
    <t>x1 = 1064. Average split of rate 1 units by special distribution time band</t>
  </si>
  <si>
    <t>x2 = Total split (in Normalisation of split of rate 1 units by special time band)</t>
  </si>
  <si>
    <t>Normalised split of rate 1 units by special distribution time band</t>
  </si>
  <si>
    <t>x2 = Split of rate 1 units between special distribution time bands (default)</t>
  </si>
  <si>
    <t>x5 = Use of special distribution time bands by units in demand forecast for one-rate tariffs (in Calculation of implied special load coefficients for one-rate users)</t>
  </si>
  <si>
    <t>x6 = 1010. Days in the charging year (in Financial and general assumptions)</t>
  </si>
  <si>
    <t>=IF(x1&gt;0,(x2*x3)/x1,0)</t>
  </si>
  <si>
    <t>=IF(x4&gt;0,x5*x6*24/x4,0)</t>
  </si>
  <si>
    <t>Use of special distribution time bands by units in demand forecast for one-rate tariffs</t>
  </si>
  <si>
    <t>x9 = Use of special distribution time bands by units in demand forecast for three-rate tariffs (in Calculation of implied special load coefficients for three-rate users)</t>
  </si>
  <si>
    <t>Use of special distribution time bands by units in demand forecast for three-rate tariffs</t>
  </si>
  <si>
    <t>x4 = 2407. All units (MWh)</t>
  </si>
  <si>
    <t>x5 = 1010. Days in the charging year (in Financial and general assumptions)</t>
  </si>
  <si>
    <t>x6 = 2302. Load coefficient</t>
  </si>
  <si>
    <t>=x3*x4/24/x5*1000</t>
  </si>
  <si>
    <t>=x6*x4/24/x5*1000</t>
  </si>
  <si>
    <t>Contribution to system-peak-time kW</t>
  </si>
  <si>
    <t>x2 = Amber peaking probabilities (in Calculation of special peaking probabilities)</t>
  </si>
  <si>
    <t>x4 = 2401. Annual hours by distribution time band (reconciled to days in year) (in Adjust annual hours by distribution time band to match days in year)</t>
  </si>
  <si>
    <t>x5 = 1069. Black peaking probabilities (in Peaking probabilities by network level)</t>
  </si>
  <si>
    <t>x6 = Red peaking probabilities (in Calculation of special peaking probabilities)</t>
  </si>
  <si>
    <t>x7 = Amber peaking rates (in Calculation of special peaking probabilities)</t>
  </si>
  <si>
    <t>x9 = Yellow peaking probabilities (in Calculation of special peaking probabilities)</t>
  </si>
  <si>
    <t>x10 = Green peaking probabilities (in Calculation of special peaking probabilities)</t>
  </si>
  <si>
    <t>=x2*24*x3/x4</t>
  </si>
  <si>
    <t>=1-x9-x10</t>
  </si>
  <si>
    <t>Red peaking probabilities</t>
  </si>
  <si>
    <t>Amber peaking probabilities</t>
  </si>
  <si>
    <t>Green peaking probabilities</t>
  </si>
  <si>
    <t>Amber peaking rates</t>
  </si>
  <si>
    <t>Yellow peaking probabilities</t>
  </si>
  <si>
    <t>2501. Contributions of users on one-rate multi tariffs to system simultaneous maximum load by network level (kW)</t>
  </si>
  <si>
    <t>x3 = 2012. Loss adjustment factors between end user meter reading and each network level, scaled by network use</t>
  </si>
  <si>
    <t>Calculation =(x1*x2)*x3/(24*x4)*1000</t>
  </si>
  <si>
    <t>2502. Contributions of users on two-rate multi tariffs to system simultaneous maximum load by network level (kW)</t>
  </si>
  <si>
    <t>x3 = 2305. Rate 2 units (MWh) (in Equivalent volume for each end user)</t>
  </si>
  <si>
    <t>x5 = 2012. Loss adjustment factors between end user meter reading and each network level, scaled by network use</t>
  </si>
  <si>
    <t>Calculation =(x1*x2+x3*x4)*x5/(24*x6)*1000</t>
  </si>
  <si>
    <t>2503. Contributions of users on three-rate multi tariffs to system simultaneous maximum load by network level (kW)</t>
  </si>
  <si>
    <t>x5 = 2305. Rate 3 units (MWh) (in Equivalent volume for each end user)</t>
  </si>
  <si>
    <t>x7 = 2012. Loss adjustment factors between end user meter reading and each network level, scaled by network use</t>
  </si>
  <si>
    <t>Calculation =(x1*x2+x3*x4+x5*x6)*x7/(24*x8)*1000</t>
  </si>
  <si>
    <t>2504. Estimated contributions of users on each tariff to system simultaneous maximum load by network level (kW)</t>
  </si>
  <si>
    <t>x2 = 2302. Load coefficient</t>
  </si>
  <si>
    <t>Calculation =x1*x2*x3/(24*x4)*1000</t>
  </si>
  <si>
    <t>2505. Contributions of users on each tariff to system simultaneous maximum load by network level (kW)</t>
  </si>
  <si>
    <t>x1 = 2501. Contributions of users on one-rate multi tariffs to system simultaneous maximum load by network level (kW)</t>
  </si>
  <si>
    <t>x2 = 2502. Contributions of users on two-rate multi tariffs to system simultaneous maximum load by network level (kW)</t>
  </si>
  <si>
    <t>x3 = 2503. Contributions of users on three-rate multi tariffs to system simultaneous maximum load by network level (kW)</t>
  </si>
  <si>
    <t>x4 = 2504. Estimated contributions of users on each tariff to system simultaneous maximum load by network level (kW)</t>
  </si>
  <si>
    <t>Combine tables = x1 or x2 or x3 or x4</t>
  </si>
  <si>
    <t>2506. Forecast system simultaneous maximum load (kW) from forecast units</t>
  </si>
  <si>
    <t>x1 = 2505. Contributions of users on each tariff to system simultaneous maximum load by network level (kW)</t>
  </si>
  <si>
    <t>Cell summation =SUM(x1)</t>
  </si>
  <si>
    <t>Forecast system simultaneous maximum load (kW) from forecast units</t>
  </si>
  <si>
    <t>2601. Pre-processing of data for standing charge factors</t>
  </si>
  <si>
    <t>x1 = Standing charges factors (in Pre-processing of data for standing charge factors)</t>
  </si>
  <si>
    <t>x2 = 1018. Proportion of relevant load going through 132kV/HV direct transformation</t>
  </si>
  <si>
    <t>x3 = Standing charges factors for 132kV/HV (in Pre-processing of data for standing charge factors)</t>
  </si>
  <si>
    <t>=x1+0.2*x2*x3</t>
  </si>
  <si>
    <t>Standing charges factors</t>
  </si>
  <si>
    <t>Standing charges factors for 132kV/HV</t>
  </si>
  <si>
    <t>Adjusted standing charges factors for 132kV</t>
  </si>
  <si>
    <t>2602. Standing charges factors adapted to use 132kV/HV</t>
  </si>
  <si>
    <t>x1 = 2601. Standing charges factors for 132kV/HV (in Pre-processing of data for standing charge factors)</t>
  </si>
  <si>
    <t>x2 = 2601. Adjusted standing charges factors for 132kV (in Pre-processing of data for standing charge factors)</t>
  </si>
  <si>
    <t>x3 = 2601. Standing charges factors (in Pre-processing of data for standing charge factors)</t>
  </si>
  <si>
    <t>2603. Capacity-based contributions to chargeable aggregate maximum load by network level (kW)</t>
  </si>
  <si>
    <t>x1 = 2305. Import capacity (kVA) (in Equivalent volume for each end user)</t>
  </si>
  <si>
    <t>x2 = 1010. Power factor for all flows in the network model (in Financial and general assumptions)</t>
  </si>
  <si>
    <t>x3 = 2602. Standing charges factors adapted to use 132kV/HV</t>
  </si>
  <si>
    <t>x4 = 2012. Loss adjustment factors between end user meter reading and each network level, scaled by network use</t>
  </si>
  <si>
    <t>Calculation =x1*x2*x3*x4</t>
  </si>
  <si>
    <t>2604. Unit-based contributions to chargeable aggregate maximum load (kW)</t>
  </si>
  <si>
    <t>Calculation =x1/x2*x3*x4/(24*x5)*1000</t>
  </si>
  <si>
    <t>2605. Contributions to aggregate maximum load by network level (kW)</t>
  </si>
  <si>
    <t>x1 = 2603. Capacity-based contributions to chargeable aggregate maximum load by network level (kW)</t>
  </si>
  <si>
    <t>x2 = 2604. Unit-based contributions to chargeable aggregate maximum load (kW)</t>
  </si>
  <si>
    <t>2606. Forecast chargeable aggregate maximum load (kW)</t>
  </si>
  <si>
    <t>x1 = 2605. Contributions to aggregate maximum load by network level (kW)</t>
  </si>
  <si>
    <t>Forecast chargeable aggregate maximum load (kW)</t>
  </si>
  <si>
    <t>2607. Forecast simultaneous load subject to standing charge factors (kW)</t>
  </si>
  <si>
    <t>x2 = 2602. Standing charges factors adapted to use 132kV/HV</t>
  </si>
  <si>
    <t>Calculation =x1*x2</t>
  </si>
  <si>
    <t>2608. Forecast simultaneous load replaced by standing charge (kW)</t>
  </si>
  <si>
    <t>x1 = 2607. Forecast simultaneous load subject to standing charge factors (kW)</t>
  </si>
  <si>
    <t>Forecast simultaneous load replaced by standing charge (kW)</t>
  </si>
  <si>
    <t>2609. Calculated LV diversity allowance</t>
  </si>
  <si>
    <t>x1 = 2606. Forecast chargeable aggregate maximum load (kW)</t>
  </si>
  <si>
    <t>x2 = 2608. Forecast simultaneous load replaced by standing charge (kW)</t>
  </si>
  <si>
    <t>Calculation =x1/x2-1</t>
  </si>
  <si>
    <t>Calculated LV diversity allowance</t>
  </si>
  <si>
    <t>2610. Network level mapping for diversity allowances</t>
  </si>
  <si>
    <t>2611. Diversity allowances including 132kV/HV</t>
  </si>
  <si>
    <t>x1 = 2104. Diversity allowance between level exit and GSP Group (in Diversity calculations)</t>
  </si>
  <si>
    <t>x2 = 2610. Network level mapping for diversity allowances</t>
  </si>
  <si>
    <t>Diversity allowances including 132kV/HV</t>
  </si>
  <si>
    <t>2612. Diversity allowances (including calculated LV value)</t>
  </si>
  <si>
    <t>x1 = 2609. Calculated LV diversity allowance</t>
  </si>
  <si>
    <t>x2 = 2611. Diversity allowances including 132kV/HV</t>
  </si>
  <si>
    <t>Diversity allowances (including calculated LV value)</t>
  </si>
  <si>
    <t>2613. Forecast simultaneous maximum load (kW) adjusted for standing charges</t>
  </si>
  <si>
    <t>x1 = 2506. Forecast system simultaneous maximum load (kW) from forecast units</t>
  </si>
  <si>
    <t>x3 = 2606. Forecast chargeable aggregate maximum load (kW)</t>
  </si>
  <si>
    <t>x4 = 2612. Diversity allowances (including calculated LV value)</t>
  </si>
  <si>
    <t>Calculation =x1-x2+x3/(1+x4)</t>
  </si>
  <si>
    <t>Forecast simultaneous maximum load (kW) adjusted for standing charges</t>
  </si>
  <si>
    <t>2701. Operating expenditure coded by network level (£/year)</t>
  </si>
  <si>
    <t>x1 = 1055. Transmission exit charges (£/year)</t>
  </si>
  <si>
    <t>x2 = Zero for levels other than transmission exit</t>
  </si>
  <si>
    <t>Operating
132kV</t>
  </si>
  <si>
    <t>Operating
132kV/EHV</t>
  </si>
  <si>
    <t>Operating
EHV</t>
  </si>
  <si>
    <t>Operating
EHV/HV</t>
  </si>
  <si>
    <t>Operating
132kV/HV</t>
  </si>
  <si>
    <t>Operating
HV</t>
  </si>
  <si>
    <t>Operating
HV/LV</t>
  </si>
  <si>
    <t>Operating
LV circuits</t>
  </si>
  <si>
    <t>Operating
LV customer</t>
  </si>
  <si>
    <t>Operating
HV customer</t>
  </si>
  <si>
    <t>Operating expenditure coded by network level (£/year)</t>
  </si>
  <si>
    <t>2702. Network model assets (£) scaled by load forecast</t>
  </si>
  <si>
    <t>x2 = 2613. Forecast simultaneous maximum load (kW) adjusted for standing charges</t>
  </si>
  <si>
    <t>x3 = 1020. Gross asset cost by network level (£)</t>
  </si>
  <si>
    <t>Calculation =IF(x1,x2*x3/x1/1000,0)</t>
  </si>
  <si>
    <t>Network model assets (£) scaled by load forecast</t>
  </si>
  <si>
    <t>2703. Annual consumption by tariff for unmetered users (MWh)</t>
  </si>
  <si>
    <t>Copy cells = x1</t>
  </si>
  <si>
    <t>Annual consumption by tariff for unmetered users (MWh)</t>
  </si>
  <si>
    <t>2704. Total unmetered units</t>
  </si>
  <si>
    <t>x1 = 2703. Annual consumption by tariff for unmetered users (MWh)</t>
  </si>
  <si>
    <t>Total unmetered units</t>
  </si>
  <si>
    <t>2705. Service model asset data</t>
  </si>
  <si>
    <t>x1 = 2205. Service model assets by tariff (£)</t>
  </si>
  <si>
    <t>x2 = 2305. MPANs (in Equivalent volume for each end user)</t>
  </si>
  <si>
    <t>x4 = 2704. Total unmetered units</t>
  </si>
  <si>
    <t>x5 = Service model assets (£) scaled by annual MWh (in Service model asset data)</t>
  </si>
  <si>
    <t>x6 = Service model assets (£) scaled by user count (in Service model asset data)</t>
  </si>
  <si>
    <t>x7 = Service model assets (£) scaled by annual MWh (in Service model asset data)</t>
  </si>
  <si>
    <t>=x3*x4</t>
  </si>
  <si>
    <t>= x5</t>
  </si>
  <si>
    <t>=x6+x7</t>
  </si>
  <si>
    <t>Service model assets (£) scaled by user count</t>
  </si>
  <si>
    <t>Service model assets (£) scaled by annual MWh</t>
  </si>
  <si>
    <t>Service model assets (£)</t>
  </si>
  <si>
    <t>Service model asset data</t>
  </si>
  <si>
    <t>2706. Data for allocation of operating expenditure</t>
  </si>
  <si>
    <t>x1 = 2702. Network model assets (£) scaled by load forecast</t>
  </si>
  <si>
    <t>x2 = 2705. Service model assets (£) (in Service model asset data)</t>
  </si>
  <si>
    <t>x3 = Model assets (£) scaled by demand forecast (in Data for allocation of operating expenditure)</t>
  </si>
  <si>
    <t>Model assets (£) scaled by demand forecast</t>
  </si>
  <si>
    <t>Denominator for allocation of operating expenditure</t>
  </si>
  <si>
    <t>Data for allocation of operating expenditure</t>
  </si>
  <si>
    <t>2707. Amount of expenditure to be allocated according to asset values (£/year)</t>
  </si>
  <si>
    <t>x1 = 1059. Direct cost (£/year) (in Other expenditure)</t>
  </si>
  <si>
    <t>x2 = 1059. Network rates (£/year) (in Other expenditure)</t>
  </si>
  <si>
    <t>x3 = 1059. Indirect cost (£/year) (in Other expenditure)</t>
  </si>
  <si>
    <t>x4 = 1059. Indirect cost proportion (in Other expenditure)</t>
  </si>
  <si>
    <t>Calculation =x1+x2+x3*x4</t>
  </si>
  <si>
    <t>Amount of expenditure to be allocated according to asset values (£/year)</t>
  </si>
  <si>
    <t>2708. Total operating expenditure by network level  (£/year)</t>
  </si>
  <si>
    <t>x1 = 2701. Operating expenditure coded by network level (£/year)</t>
  </si>
  <si>
    <t>x2 = 2707. Amount of expenditure to be allocated according to asset values (£/year)</t>
  </si>
  <si>
    <t>x3 = 2706. Denominator for allocation of operating expenditure (in Data for allocation of operating expenditure)</t>
  </si>
  <si>
    <t>x4 = 2706. Model assets (£) scaled by demand forecast (in Data for allocation of operating expenditure)</t>
  </si>
  <si>
    <t>Calculation =x1+x2/x3*x4</t>
  </si>
  <si>
    <t>Total operating expenditure by network level  (£/year)</t>
  </si>
  <si>
    <t>2709. Operating expenditure percentage by network level</t>
  </si>
  <si>
    <t>x1 = 2706. Model assets (£) scaled by demand forecast (in Data for allocation of operating expenditure)</t>
  </si>
  <si>
    <t>x2 = 2708. Total operating expenditure by network level  (£/year)</t>
  </si>
  <si>
    <t>Calculation =IF(x1="","",IF(x1&gt;0,x2/x1,0))</t>
  </si>
  <si>
    <t>Operating expenditure percentage by network level</t>
  </si>
  <si>
    <t>2710. Unit operating expenditure based on simultaneous maximum load (£/kW/year)</t>
  </si>
  <si>
    <t>x1 = 2613. Forecast simultaneous maximum load (kW) adjusted for standing charges</t>
  </si>
  <si>
    <t>Calculation =IF(x1&gt;0,x2/x1,0)</t>
  </si>
  <si>
    <t>Unit operating expenditure based on simultaneous maximum load (£/kW/year)</t>
  </si>
  <si>
    <t>2711. Operating expenditure for customer assets p/MPAN/day</t>
  </si>
  <si>
    <t>x2 = 2709. Operating expenditure percentage by network level</t>
  </si>
  <si>
    <t>x3 = 2205. Service model assets by tariff (£)</t>
  </si>
  <si>
    <t>x4 = Operating expenditure p/MPAN/day by level (in Operating expenditure for customer assets p/MPAN/day)</t>
  </si>
  <si>
    <t>=100/x1*x2*x3</t>
  </si>
  <si>
    <t>Operating expenditure p/MPAN/day by level</t>
  </si>
  <si>
    <t>Operating expenditure for customer assets p/MPAN/day total</t>
  </si>
  <si>
    <t>2712. Operating expenditure for unmetered customer assets (p/kWh)</t>
  </si>
  <si>
    <t>x1 = 2709. Operating expenditure percentage by network level</t>
  </si>
  <si>
    <t>Calculation =0.1*x1*x2</t>
  </si>
  <si>
    <t>This sheet calculates factors used to take account of the costs deemed to be covered by connection charges.</t>
  </si>
  <si>
    <t>2801. Network level of supply (for customer contributions) by tariff</t>
  </si>
  <si>
    <t>2802. Contribution proportion of asset annuities, by customer type and network level of assets</t>
  </si>
  <si>
    <t>x1 = 1060. Customer contributions under current connection charging policy</t>
  </si>
  <si>
    <t>x2 = 1010. Annuity proportion for customer-contributed assets (in Financial and general assumptions)</t>
  </si>
  <si>
    <t>Calculation =x1*(1-x2)</t>
  </si>
  <si>
    <t>2803. Proportion of assets annuities deemed to be covered by customer contributions</t>
  </si>
  <si>
    <t>x1 = 2801. Network level of supply (for customer contributions) by tariff</t>
  </si>
  <si>
    <t>x2 = 2802. Contribution proportion of asset annuities, by customer type and network level of assets</t>
  </si>
  <si>
    <t>2804. Proportion of annual charge covered by contributions (for all charging levels)</t>
  </si>
  <si>
    <t>x1 = Zero for operating expenditure</t>
  </si>
  <si>
    <t>x2 = Zero for GSPs level</t>
  </si>
  <si>
    <t>x3 = 2803. Proportion of assets annuities deemed to be covered by customer contributions</t>
  </si>
  <si>
    <t>This sheet calculates average p/kWh and p/kW/day charges that would apply if no costs were recovered through capacity or fixed charges.</t>
  </si>
  <si>
    <t>2901. Unit cost at each level, £/kW/year (relative to system simultaneous maximum load)</t>
  </si>
  <si>
    <t>x1 = 2109. Network model annuity by simultaneous maximum load for each network level (£/kW/year)</t>
  </si>
  <si>
    <t>x2 = 2710. Unit operating expenditure based on simultaneous maximum load (£/kW/year)</t>
  </si>
  <si>
    <t>Unit cost at each level, £/kW/year (relative to system simultaneous maximum load)</t>
  </si>
  <si>
    <t>2902. Pay-as-you-go yardstick unit costs by charging level (p/kWh)</t>
  </si>
  <si>
    <t>x1 = 2901. Unit cost at each level, £/kW/year (relative to system simultaneous maximum load)</t>
  </si>
  <si>
    <t>x4 = 2804. Proportion of annual charge covered by contributions (for all charging levels)</t>
  </si>
  <si>
    <t>Calculation =x1*x2*x3*(1-x4)/(24*x5)*100</t>
  </si>
  <si>
    <t>x2 = 2901. Unit cost at each level, £/kW/year (relative to system simultaneous maximum load)</t>
  </si>
  <si>
    <t>This sheet reallocates some costs from unit charges to fixed or capacity charges, for demand users only.</t>
  </si>
  <si>
    <t>3001. Costs based on aggregate maximum load (£/kW/year)</t>
  </si>
  <si>
    <t>x2 = 2612. Diversity allowances (including calculated LV value)</t>
  </si>
  <si>
    <t>Calculation =x1/(1+x2)</t>
  </si>
  <si>
    <t>Costs based on aggregate maximum load (£/kW/year)</t>
  </si>
  <si>
    <t>3002. Capacity elements p/kVA/day</t>
  </si>
  <si>
    <t>This calculation uses aggregate maximum load and no coincidence factor.</t>
  </si>
  <si>
    <t>x1 = 2602. Standing charges factors adapted to use 132kV/HV</t>
  </si>
  <si>
    <t>x2 = 2012. Loss adjustment factors between end user meter reading and each network level, scaled by network use</t>
  </si>
  <si>
    <t>x3 = 3001. Costs based on aggregate maximum load (£/kW/year)</t>
  </si>
  <si>
    <t>x4 = 1010. Power factor for all flows in the network model (in Financial and general assumptions)</t>
  </si>
  <si>
    <t>x6 = 2804. Proportion of annual charge covered by contributions (for all charging levels)</t>
  </si>
  <si>
    <t>Calculation =100*x1*x2*x3*x4/x5*(1-x6)</t>
  </si>
  <si>
    <t>x2 = 2902. Pay-as-you-go yardstick unit costs by charging level (p/kWh)</t>
  </si>
  <si>
    <t>This sheet allocates standing charges to fixed charges for non half hourly settled demand users.</t>
  </si>
  <si>
    <t>x3 = 1010. Power factor for all flows in the network model (in Financial and general assumptions)</t>
  </si>
  <si>
    <t>x1 = 3002. Capacity elements p/kVA/day</t>
  </si>
  <si>
    <t>= x1</t>
  </si>
  <si>
    <t>Calculation =ABS(x1)</t>
  </si>
  <si>
    <t>x2 = 1092. Average kVAr by kVA, by network level</t>
  </si>
  <si>
    <t>Calculation =x1*x2*x3</t>
  </si>
  <si>
    <t>3204. Absolute value of load coefficient (kW peak / average kW)</t>
  </si>
  <si>
    <t>x1 = 2302. Load coefficient</t>
  </si>
  <si>
    <t>Absolute load coefficient</t>
  </si>
  <si>
    <t>3205. Pay-as-you-go components p/kWh for reactive power (absolute value)</t>
  </si>
  <si>
    <t>x2 = 3204. Absolute value of load coefficient (kW peak / average kW)</t>
  </si>
  <si>
    <t>x4 = 2004. Loss adjustment factor to transmission for each network level</t>
  </si>
  <si>
    <t>x5 = 2804. Proportion of annual charge covered by contributions (for all charging levels)</t>
  </si>
  <si>
    <t>x7 = 1010. Days in the charging year (in Financial and general assumptions)</t>
  </si>
  <si>
    <t>Calculation =x1*x2*x3/x4*(1-x5)*x6/(24*x7)*100</t>
  </si>
  <si>
    <t>3206. Pay-as-you-go reactive p/kVArh</t>
  </si>
  <si>
    <t>x1 = 3205. Pay-as-you-go components p/kWh for reactive power (absolute value)</t>
  </si>
  <si>
    <t>This sheet aggregates elements of tariffs excluding revenue matching and final adjustments and rounding.</t>
  </si>
  <si>
    <t>3301. Unit rate 1 p/kWh (elements)</t>
  </si>
  <si>
    <t>3302. Unit rate 2 p/kWh (elements)</t>
  </si>
  <si>
    <t>x5 = 2712. Operating expenditure for unmetered customer assets (p/kWh) — for Tariffs with Unit rate 2 p/kWh from PAYG 2 kWh &amp; customer</t>
  </si>
  <si>
    <t>3303. Unit rate 3 p/kWh (elements)</t>
  </si>
  <si>
    <t>x5 = 2712. Operating expenditure for unmetered customer assets (p/kWh) — for Tariffs with Unit rate 3 p/kWh from PAYG 3 kWh &amp; customer</t>
  </si>
  <si>
    <t>3304. Fixed charge p/MPAN/day (elements)</t>
  </si>
  <si>
    <t>x2 = 2206. Service model p/MPAN/day (in Replacement annuities for service models) — for Tariffs with Fixed charge p/MPAN/day from Customer</t>
  </si>
  <si>
    <t>x3 = 2206. Service model p/MPAN/day (in Replacement annuities for service models) — for Tariffs with Fixed charge p/MPAN/day from Fixed from network &amp; customer</t>
  </si>
  <si>
    <t>x4 = 2711. Operating expenditure for customer assets p/MPAN/day total (in Operating expenditure for customer assets p/MPAN/day) — for Tariffs with Fixed charge p/MPAN/day from Customer</t>
  </si>
  <si>
    <t>x5 = 2711. Operating expenditure for customer assets p/MPAN/day total (in Operating expenditure for customer assets p/MPAN/day) — for Tariffs with Fixed charge p/MPAN/day from Fixed from network &amp; customer</t>
  </si>
  <si>
    <t>3305. Capacity charge p/kVA/day (elements)</t>
  </si>
  <si>
    <t>x1 = 3002. Capacity charge p/kVA/day — for Tariffs with Capacity charge p/kVA/day from Capacity</t>
  </si>
  <si>
    <t>3306. Reactive power charge p/kVArh (elements)</t>
  </si>
  <si>
    <t>x1 = 3206. Pay-as-you-go reactive p/kVArh</t>
  </si>
  <si>
    <t>3307. Summary of charges before revenue matching</t>
  </si>
  <si>
    <t>x1 = 3301. Unit rate 1 p/kWh (elements)</t>
  </si>
  <si>
    <t>x2 = 3302. Unit rate 2 p/kWh (elements)</t>
  </si>
  <si>
    <t>x3 = 3303. Unit rate 3 p/kWh (elements)</t>
  </si>
  <si>
    <t>x4 = 3304. Fixed charge p/MPAN/day (elements)</t>
  </si>
  <si>
    <t>x5 = 3305. Capacity charge p/kVA/day (elements)</t>
  </si>
  <si>
    <t>x6 = 3306. Reactive power charge p/kVArh (elements)</t>
  </si>
  <si>
    <t>Unit rate 1 p/kWh (total)</t>
  </si>
  <si>
    <t>Unit rate 2 p/kWh (total)</t>
  </si>
  <si>
    <t>Unit rate 3 p/kWh (total)</t>
  </si>
  <si>
    <t>Fixed charge p/MPAN/day (total)</t>
  </si>
  <si>
    <t>Capacity charge p/kVA/day (total)</t>
  </si>
  <si>
    <t>Reactive power charge p/kVArh</t>
  </si>
  <si>
    <t>3401. Net revenues by tariff before matching (£)</t>
  </si>
  <si>
    <t>x2 = 3307. Fixed charge p/MPAN/day (total) (in Summary of charges before revenue matching)</t>
  </si>
  <si>
    <t>x3 = 2305. MPANs (in Equivalent volume for each end user)</t>
  </si>
  <si>
    <t>x4 = 3307. Capacity charge p/kVA/day (total) (in Summary of charges before revenue matching)</t>
  </si>
  <si>
    <t>x5 = 2305. Import capacity (kVA) (in Equivalent volume for each end user)</t>
  </si>
  <si>
    <t>x6 = 3307. Unit rate 1 p/kWh (total) (in Summary of charges before revenue matching)</t>
  </si>
  <si>
    <t>x7 = 2305. Rate 1 units (MWh) (in Equivalent volume for each end user)</t>
  </si>
  <si>
    <t>x8 = 3307. Unit rate 2 p/kWh (total) (in Summary of charges before revenue matching)</t>
  </si>
  <si>
    <t>x9 = 2305. Rate 2 units (MWh) (in Equivalent volume for each end user)</t>
  </si>
  <si>
    <t>x10 = 3307. Unit rate 3 p/kWh (total) (in Summary of charges before revenue matching)</t>
  </si>
  <si>
    <t>x11 = 2305. Rate 3 units (MWh) (in Equivalent volume for each end user)</t>
  </si>
  <si>
    <t>x12 = 3307. Reactive power charge p/kVArh (in Summary of charges before revenue matching)</t>
  </si>
  <si>
    <t>x13 = 2305. Reactive power units (MVArh) (in Equivalent volume for each end user)</t>
  </si>
  <si>
    <t>Calculation =0.01*x1*(x2*x3+x4*x5)+10*(x6*x7+x8*x9+x10*x11+x12*x13)</t>
  </si>
  <si>
    <t>Net revenues</t>
  </si>
  <si>
    <t>x1 = 3401. Net revenues by tariff before matching (£)</t>
  </si>
  <si>
    <t>x3 = Total net revenues before matching (£) (in Revenue surplus or shortfall)</t>
  </si>
  <si>
    <t>=x2-x3</t>
  </si>
  <si>
    <t>Total net revenues before matching (£)</t>
  </si>
  <si>
    <t>Revenue shortfall (surplus) £</t>
  </si>
  <si>
    <t>Revenue surplus or shortfall</t>
  </si>
  <si>
    <t>This sheet modifies tariffs so that the total expected net revenues matches the target.</t>
  </si>
  <si>
    <t>3501. Factor to scale to £1/kW at transmission exit level</t>
  </si>
  <si>
    <t>Calculation =IF(x1,1/x1,0)</t>
  </si>
  <si>
    <t>Factor to scale to £1/kW at transmission exit level</t>
  </si>
  <si>
    <t>3502. Applicability factor for £1/kW scaler</t>
  </si>
  <si>
    <t>x1 = 3501. Factor to scale to £1/kW at transmission exit level</t>
  </si>
  <si>
    <t>x2 = Zero for other levels</t>
  </si>
  <si>
    <t>Applicability factor for £1/kW scaler</t>
  </si>
  <si>
    <t>3503. Scalable elements of tariff components</t>
  </si>
  <si>
    <t>x2 = 3502. Applicability factor for £1/kW scaler</t>
  </si>
  <si>
    <t>x3 = 3302. Unit rate 2 p/kWh (elements)</t>
  </si>
  <si>
    <t>x4 = 3303. Unit rate 3 p/kWh (elements)</t>
  </si>
  <si>
    <t>x5 = 3304. Fixed charge p/MPAN/day (elements)</t>
  </si>
  <si>
    <t>x6 = 3305. Capacity charge p/kVA/day (elements)</t>
  </si>
  <si>
    <t>x7 = 3306. Reactive power charge p/kVArh (elements)</t>
  </si>
  <si>
    <t>=SUMPRODUCT(x3, x2)</t>
  </si>
  <si>
    <t>=SUMPRODUCT(x4, x2)</t>
  </si>
  <si>
    <t>=SUMPRODUCT(x5, x2)</t>
  </si>
  <si>
    <t>=SUMPRODUCT(x6, x2)</t>
  </si>
  <si>
    <t>=SUMPRODUCT(x7, x2)</t>
  </si>
  <si>
    <t>Unit rate 1 p/kWh scalable part</t>
  </si>
  <si>
    <t>Unit rate 2 p/kWh scalable part</t>
  </si>
  <si>
    <t>Unit rate 3 p/kWh scalable part</t>
  </si>
  <si>
    <t>Fixed charge p/MPAN/day scalable part</t>
  </si>
  <si>
    <t>Capacity charge p/kVA/day scalable part</t>
  </si>
  <si>
    <t>Reactive power charge p/kVArh scalable part</t>
  </si>
  <si>
    <t>x1 = 3503. Unit rate 1 p/kWh scalable part (in Scalable elements of tariff components)</t>
  </si>
  <si>
    <t>x2 = 3307. Unit rate 1 p/kWh (total) (in Summary of charges before revenue matching)</t>
  </si>
  <si>
    <t>x3 = 3503. Unit rate 2 p/kWh scalable part (in Scalable elements of tariff components)</t>
  </si>
  <si>
    <t>x4 = 3307. Unit rate 2 p/kWh (total) (in Summary of charges before revenue matching)</t>
  </si>
  <si>
    <t>x5 = 3503. Unit rate 3 p/kWh scalable part (in Scalable elements of tariff components)</t>
  </si>
  <si>
    <t>x6 = 3307. Unit rate 3 p/kWh (total) (in Summary of charges before revenue matching)</t>
  </si>
  <si>
    <t>x7 = 3503. Fixed charge p/MPAN/day scalable part (in Scalable elements of tariff components)</t>
  </si>
  <si>
    <t>x8 = 3307. Fixed charge p/MPAN/day (total) (in Summary of charges before revenue matching)</t>
  </si>
  <si>
    <t>x9 = 3503. Capacity charge p/kVA/day scalable part (in Scalable elements of tariff components)</t>
  </si>
  <si>
    <t>x10 = 3307. Capacity charge p/kVA/day (total) (in Summary of charges before revenue matching)</t>
  </si>
  <si>
    <t>x11 = 3503. Reactive power charge p/kVArh scalable part (in Scalable elements of tariff components)</t>
  </si>
  <si>
    <t>=IF(x1,0-x2/x1,0)</t>
  </si>
  <si>
    <t>=IF(x3,0-x4/x3,0)</t>
  </si>
  <si>
    <t>=IF(x5,0-x6/x5,0)</t>
  </si>
  <si>
    <t>=IF(x7,0-x8/x7,0)</t>
  </si>
  <si>
    <t>=IF(x9,0-x10/x9,0)</t>
  </si>
  <si>
    <t>=IF(x11,0-x12/x11,0)</t>
  </si>
  <si>
    <t>Scaler threshold for Unit rate 1 p/kWh</t>
  </si>
  <si>
    <t>Scaler threshold for Unit rate 2 p/kWh</t>
  </si>
  <si>
    <t>Scaler threshold for Unit rate 3 p/kWh</t>
  </si>
  <si>
    <t>Scaler threshold for Fixed charge p/MPAN/day</t>
  </si>
  <si>
    <t>Scaler threshold for Capacity charge p/kVA/day</t>
  </si>
  <si>
    <t>Scaler threshold for Reactive power charge p/kVArh</t>
  </si>
  <si>
    <t>x2 = 3503. Unit rate 1 p/kWh scalable part (in Scalable elements of tariff components)</t>
  </si>
  <si>
    <t>x3 = 2305. Rate 1 units (MWh) (in Equivalent volume for each end user)</t>
  </si>
  <si>
    <t>x4 = 3503. Unit rate 2 p/kWh scalable part (in Scalable elements of tariff components)</t>
  </si>
  <si>
    <t>x5 = 2305. Rate 2 units (MWh) (in Equivalent volume for each end user)</t>
  </si>
  <si>
    <t>x6 = 3503. Unit rate 3 p/kWh scalable part (in Scalable elements of tariff components)</t>
  </si>
  <si>
    <t>x7 = 2305. Rate 3 units (MWh) (in Equivalent volume for each end user)</t>
  </si>
  <si>
    <t>x8 = 3503. Fixed charge p/MPAN/day scalable part (in Scalable elements of tariff components)</t>
  </si>
  <si>
    <t>x9 = 1010. Days in the charging year (in Financial and general assumptions)</t>
  </si>
  <si>
    <t>x10 = 2305. MPANs (in Equivalent volume for each end user)</t>
  </si>
  <si>
    <t>x11 = 3503. Capacity charge p/kVA/day scalable part (in Scalable elements of tariff components)</t>
  </si>
  <si>
    <t>x12 = 2305. Import capacity (kVA) (in Equivalent volume for each end user)</t>
  </si>
  <si>
    <t>x13 = 3503. Reactive power charge p/kVArh scalable part (in Scalable elements of tariff components)</t>
  </si>
  <si>
    <t>x14 = 2305. Reactive power units (MVArh) (in Equivalent volume for each end user)</t>
  </si>
  <si>
    <t>=IF(x1&lt;0,0,x2*x3*10)</t>
  </si>
  <si>
    <t>=IF(x1&lt;0,0,x4*x5*10)</t>
  </si>
  <si>
    <t>=IF(x1&lt;0,0,x6*x7*10)</t>
  </si>
  <si>
    <t>=x8*x9*x10/100</t>
  </si>
  <si>
    <t>=x11*x9*x12/100</t>
  </si>
  <si>
    <t>=IF(x1&lt;0,0,x13*x14*10)</t>
  </si>
  <si>
    <t>Effect through Unit rate 1 p/kWh</t>
  </si>
  <si>
    <t>Effect through Unit rate 2 p/kWh</t>
  </si>
  <si>
    <t>Effect through Unit rate 3 p/kWh</t>
  </si>
  <si>
    <t>Effect through Fixed charge p/MPAN/day</t>
  </si>
  <si>
    <t>Effect through Capacity charge p/kVA/day</t>
  </si>
  <si>
    <t>Effect through Reactive power charge p/kVArh</t>
  </si>
  <si>
    <t>3506. Constraint-free solution</t>
  </si>
  <si>
    <t>Calculation =x1/SUM(x2,x3,x4,x5,x6,x7)</t>
  </si>
  <si>
    <t>Constraint-free solution</t>
  </si>
  <si>
    <t>3507. Starting point</t>
  </si>
  <si>
    <t>x1 = 3506. Constraint-free solution</t>
  </si>
  <si>
    <t>Calculation =MIN(x1,x2,x3,x4,x5,x6,x7)</t>
  </si>
  <si>
    <t>Starting point</t>
  </si>
  <si>
    <t>3508. Solve for General scaler rate</t>
  </si>
  <si>
    <t>x1 = 3507. Starting point</t>
  </si>
  <si>
    <t>Location</t>
  </si>
  <si>
    <t>Kink</t>
  </si>
  <si>
    <t>Starting slope contributions</t>
  </si>
  <si>
    <t>Starting values</t>
  </si>
  <si>
    <t>Ranking before tie break</t>
  </si>
  <si>
    <t>Counter</t>
  </si>
  <si>
    <t>Tie breaker</t>
  </si>
  <si>
    <t>Ranking</t>
  </si>
  <si>
    <t>Kink reordering</t>
  </si>
  <si>
    <t>Location (ordered)</t>
  </si>
  <si>
    <t>New slope</t>
  </si>
  <si>
    <t>Root</t>
  </si>
  <si>
    <t>Kink 1</t>
  </si>
  <si>
    <t>Kink 2</t>
  </si>
  <si>
    <t>Kink 3</t>
  </si>
  <si>
    <t>Kink 4</t>
  </si>
  <si>
    <t>Kink 5</t>
  </si>
  <si>
    <t>Kink 6</t>
  </si>
  <si>
    <t>Kink 7</t>
  </si>
  <si>
    <t>Kink 8</t>
  </si>
  <si>
    <t>Kink 9</t>
  </si>
  <si>
    <t>Kink 10</t>
  </si>
  <si>
    <t>Kink 11</t>
  </si>
  <si>
    <t>Kink 12</t>
  </si>
  <si>
    <t>Kink 13</t>
  </si>
  <si>
    <t>Kink 14</t>
  </si>
  <si>
    <t>Kink 15</t>
  </si>
  <si>
    <t>Kink 16</t>
  </si>
  <si>
    <t>Kink 17</t>
  </si>
  <si>
    <t>Kink 18</t>
  </si>
  <si>
    <t>Kink 19</t>
  </si>
  <si>
    <t>Kink 20</t>
  </si>
  <si>
    <t>Kink 21</t>
  </si>
  <si>
    <t>Kink 22</t>
  </si>
  <si>
    <t>Kink 23</t>
  </si>
  <si>
    <t>Kink 24</t>
  </si>
  <si>
    <t>Kink 25</t>
  </si>
  <si>
    <t>Kink 26</t>
  </si>
  <si>
    <t>Kink 27</t>
  </si>
  <si>
    <t>Kink 28</t>
  </si>
  <si>
    <t>Kink 29</t>
  </si>
  <si>
    <t>Kink 30</t>
  </si>
  <si>
    <t>Kink 31</t>
  </si>
  <si>
    <t>Kink 32</t>
  </si>
  <si>
    <t>Kink 33</t>
  </si>
  <si>
    <t>Kink 34</t>
  </si>
  <si>
    <t>Kink 35</t>
  </si>
  <si>
    <t>Kink 36</t>
  </si>
  <si>
    <t>Kink 37</t>
  </si>
  <si>
    <t>Kink 38</t>
  </si>
  <si>
    <t>Kink 39</t>
  </si>
  <si>
    <t>Kink 40</t>
  </si>
  <si>
    <t>Kink 41</t>
  </si>
  <si>
    <t>Kink 42</t>
  </si>
  <si>
    <t>Kink 43</t>
  </si>
  <si>
    <t>Kink 44</t>
  </si>
  <si>
    <t>Kink 45</t>
  </si>
  <si>
    <t>Kink 46</t>
  </si>
  <si>
    <t>Kink 47</t>
  </si>
  <si>
    <t>Kink 48</t>
  </si>
  <si>
    <t>Kink 49</t>
  </si>
  <si>
    <t>Kink 50</t>
  </si>
  <si>
    <t>Kink 51</t>
  </si>
  <si>
    <t>Kink 52</t>
  </si>
  <si>
    <t>Kink 53</t>
  </si>
  <si>
    <t>Kink 54</t>
  </si>
  <si>
    <t>Kink 55</t>
  </si>
  <si>
    <t>Kink 56</t>
  </si>
  <si>
    <t>Kink 57</t>
  </si>
  <si>
    <t>Kink 58</t>
  </si>
  <si>
    <t>Kink 59</t>
  </si>
  <si>
    <t>Kink 60</t>
  </si>
  <si>
    <t>Kink 61</t>
  </si>
  <si>
    <t>Kink 62</t>
  </si>
  <si>
    <t>Kink 63</t>
  </si>
  <si>
    <t>Kink 64</t>
  </si>
  <si>
    <t>Kink 65</t>
  </si>
  <si>
    <t>Kink 66</t>
  </si>
  <si>
    <t>Kink 67</t>
  </si>
  <si>
    <t>Kink 68</t>
  </si>
  <si>
    <t>Kink 69</t>
  </si>
  <si>
    <t>Kink 70</t>
  </si>
  <si>
    <t>Kink 71</t>
  </si>
  <si>
    <t>Kink 72</t>
  </si>
  <si>
    <t>Kink 73</t>
  </si>
  <si>
    <t>Kink 74</t>
  </si>
  <si>
    <t>Kink 75</t>
  </si>
  <si>
    <t>Kink 76</t>
  </si>
  <si>
    <t>Kink 77</t>
  </si>
  <si>
    <t>Kink 78</t>
  </si>
  <si>
    <t>Kink 79</t>
  </si>
  <si>
    <t>Kink 80</t>
  </si>
  <si>
    <t>Kink 81</t>
  </si>
  <si>
    <t>Kink 82</t>
  </si>
  <si>
    <t>Kink 83</t>
  </si>
  <si>
    <t>Kink 84</t>
  </si>
  <si>
    <t>Kink 85</t>
  </si>
  <si>
    <t>Kink 86</t>
  </si>
  <si>
    <t>Kink 87</t>
  </si>
  <si>
    <t>Kink 88</t>
  </si>
  <si>
    <t>Kink 89</t>
  </si>
  <si>
    <t>Kink 90</t>
  </si>
  <si>
    <t>Kink 91</t>
  </si>
  <si>
    <t>Kink 92</t>
  </si>
  <si>
    <t>Kink 93</t>
  </si>
  <si>
    <t>Kink 94</t>
  </si>
  <si>
    <t>Kink 95</t>
  </si>
  <si>
    <t>Kink 96</t>
  </si>
  <si>
    <t>Kink 97</t>
  </si>
  <si>
    <t>Kink 98</t>
  </si>
  <si>
    <t>Kink 99</t>
  </si>
  <si>
    <t>Kink 100</t>
  </si>
  <si>
    <t>Kink 101</t>
  </si>
  <si>
    <t>Kink 102</t>
  </si>
  <si>
    <t>Kink 103</t>
  </si>
  <si>
    <t>Kink 104</t>
  </si>
  <si>
    <t>Kink 105</t>
  </si>
  <si>
    <t>Kink 106</t>
  </si>
  <si>
    <t>Kink 107</t>
  </si>
  <si>
    <t>Kink 108</t>
  </si>
  <si>
    <t>Kink 109</t>
  </si>
  <si>
    <t>Kink 110</t>
  </si>
  <si>
    <t>Kink 111</t>
  </si>
  <si>
    <t>Kink 112</t>
  </si>
  <si>
    <t>Kink 113</t>
  </si>
  <si>
    <t>Kink 114</t>
  </si>
  <si>
    <t>Kink 115</t>
  </si>
  <si>
    <t>Kink 116</t>
  </si>
  <si>
    <t>Kink 117</t>
  </si>
  <si>
    <t>Kink 118</t>
  </si>
  <si>
    <t>Kink 119</t>
  </si>
  <si>
    <t>Kink 120</t>
  </si>
  <si>
    <t>Kink 121</t>
  </si>
  <si>
    <t>Kink 122</t>
  </si>
  <si>
    <t>Kink 123</t>
  </si>
  <si>
    <t>Kink 124</t>
  </si>
  <si>
    <t>Kink 125</t>
  </si>
  <si>
    <t>Kink 126</t>
  </si>
  <si>
    <t>Kink 127</t>
  </si>
  <si>
    <t>Kink 128</t>
  </si>
  <si>
    <t>Kink 129</t>
  </si>
  <si>
    <t>Kink 130</t>
  </si>
  <si>
    <t>Kink 131</t>
  </si>
  <si>
    <t>Kink 132</t>
  </si>
  <si>
    <t>Kink 133</t>
  </si>
  <si>
    <t>Kink 134</t>
  </si>
  <si>
    <t>Kink 135</t>
  </si>
  <si>
    <t>Kink 136</t>
  </si>
  <si>
    <t>Kink 137</t>
  </si>
  <si>
    <t>Kink 138</t>
  </si>
  <si>
    <t>Kink 139</t>
  </si>
  <si>
    <t>Kink 140</t>
  </si>
  <si>
    <t>Kink 141</t>
  </si>
  <si>
    <t>Kink 142</t>
  </si>
  <si>
    <t>Kink 143</t>
  </si>
  <si>
    <t>Kink 144</t>
  </si>
  <si>
    <t>Kink 145</t>
  </si>
  <si>
    <t>Kink 146</t>
  </si>
  <si>
    <t>Kink 147</t>
  </si>
  <si>
    <t>Kink 148</t>
  </si>
  <si>
    <t>Kink 149</t>
  </si>
  <si>
    <t>Kink 150</t>
  </si>
  <si>
    <t>Kink 151</t>
  </si>
  <si>
    <t>Kink 152</t>
  </si>
  <si>
    <t>Kink 153</t>
  </si>
  <si>
    <t>Kink 154</t>
  </si>
  <si>
    <t>Kink 155</t>
  </si>
  <si>
    <t>Kink 156</t>
  </si>
  <si>
    <t>Kink 157</t>
  </si>
  <si>
    <t>Kink 158</t>
  </si>
  <si>
    <t>Kink 159</t>
  </si>
  <si>
    <t>Kink 160</t>
  </si>
  <si>
    <t>Kink 161</t>
  </si>
  <si>
    <t>Kink 162</t>
  </si>
  <si>
    <t>3509. General scaler rate</t>
  </si>
  <si>
    <t>x1 = 3508. Root (in Solve for General scaler rate)</t>
  </si>
  <si>
    <t>Calculation =MIN(x1)</t>
  </si>
  <si>
    <t>General scaler rate</t>
  </si>
  <si>
    <t>3510. Scaler</t>
  </si>
  <si>
    <t>x3 = 3509. General scaler rate</t>
  </si>
  <si>
    <t>x4 = 3307. Unit rate 1 p/kWh (total) (in Summary of charges before revenue matching)</t>
  </si>
  <si>
    <t>x5 = 3503. Unit rate 2 p/kWh scalable part (in Scalable elements of tariff components)</t>
  </si>
  <si>
    <t>x6 = 3307. Unit rate 2 p/kWh (total) (in Summary of charges before revenue matching)</t>
  </si>
  <si>
    <t>x7 = 3503. Unit rate 3 p/kWh scalable part (in Scalable elements of tariff components)</t>
  </si>
  <si>
    <t>x8 = 3307. Unit rate 3 p/kWh (total) (in Summary of charges before revenue matching)</t>
  </si>
  <si>
    <t>x9 = 3503. Fixed charge p/MPAN/day scalable part (in Scalable elements of tariff components)</t>
  </si>
  <si>
    <t>x10 = 3307. Fixed charge p/MPAN/day (total) (in Summary of charges before revenue matching)</t>
  </si>
  <si>
    <t>x12 = 3307. Capacity charge p/kVA/day (total) (in Summary of charges before revenue matching)</t>
  </si>
  <si>
    <t>x14 = 3307. Reactive power charge p/kVArh (in Summary of charges before revenue matching)</t>
  </si>
  <si>
    <t>x15 = 1010. Days in the charging year (in Financial and general assumptions)</t>
  </si>
  <si>
    <t>x16 = Fixed charge p/MPAN/day scaler (in Scaler)</t>
  </si>
  <si>
    <t>x17 = 2305. MPANs (in Equivalent volume for each end user)</t>
  </si>
  <si>
    <t>x18 = Capacity charge p/kVA/day scaler (in Scaler)</t>
  </si>
  <si>
    <t>x19 = 2305. Import capacity (kVA) (in Equivalent volume for each end user)</t>
  </si>
  <si>
    <t>x20 = Unit rate 1 p/kWh scaler (in Scaler)</t>
  </si>
  <si>
    <t>x21 = 2305. Rate 1 units (MWh) (in Equivalent volume for each end user)</t>
  </si>
  <si>
    <t>x22 = Unit rate 2 p/kWh scaler (in Scaler)</t>
  </si>
  <si>
    <t>x23 = 2305. Rate 2 units (MWh) (in Equivalent volume for each end user)</t>
  </si>
  <si>
    <t>x24 = Unit rate 3 p/kWh scaler (in Scaler)</t>
  </si>
  <si>
    <t>x25 = 2305. Rate 3 units (MWh) (in Equivalent volume for each end user)</t>
  </si>
  <si>
    <t>x26 = Reactive power charge p/kVArh scaler (in Scaler)</t>
  </si>
  <si>
    <t>x27 = 2305. Reactive power units (MVArh) (in Equivalent volume for each end user)</t>
  </si>
  <si>
    <t>=IF(x1&lt;0,0,IF(x2*x3+x4&gt;0,x2*x3,0-x4))</t>
  </si>
  <si>
    <t>=IF(x1&lt;0,0,IF(x5*x3+x6&gt;0,x5*x3,0-x6))</t>
  </si>
  <si>
    <t>=IF(x1&lt;0,0,IF(x7*x3+x8&gt;0,x7*x3,0-x8))</t>
  </si>
  <si>
    <t>=IF(x1&lt;0,0,IF(x9*x3+x10&gt;0,x9*x3,0-x10))</t>
  </si>
  <si>
    <t>=IF(x1&lt;0,0,IF(x11*x3+x12&gt;0,x11*x3,0-x12))</t>
  </si>
  <si>
    <t>=IF(x1&lt;0,0,IF(x13*x3+x14&gt;0,x13*x3,0-x14))</t>
  </si>
  <si>
    <t>=0.01*x15*(x16*x17+x18*x19)+10*(x20*x21+x22*x23+x24*x25+x26*x27)</t>
  </si>
  <si>
    <t>Unit rate 1 p/kWh scaler</t>
  </si>
  <si>
    <t>Unit rate 2 p/kWh scaler</t>
  </si>
  <si>
    <t>Unit rate 3 p/kWh scaler</t>
  </si>
  <si>
    <t>Fixed charge p/MPAN/day scaler</t>
  </si>
  <si>
    <t>Capacity charge p/kVA/day scaler</t>
  </si>
  <si>
    <t>Reactive power charge p/kVArh scaler</t>
  </si>
  <si>
    <t>Net revenues by tariff from scaler</t>
  </si>
  <si>
    <t>3601. Tariffs before rounding</t>
  </si>
  <si>
    <t>x1 = 3307. Unit rate 1 p/kWh (total) (in Summary of charges before revenue matching)</t>
  </si>
  <si>
    <t>x2 = 3510. Unit rate 1 p/kWh scaler (in Scaler)</t>
  </si>
  <si>
    <t>x3 = 3307. Unit rate 2 p/kWh (total) (in Summary of charges before revenue matching)</t>
  </si>
  <si>
    <t>x4 = 3510. Unit rate 2 p/kWh scaler (in Scaler)</t>
  </si>
  <si>
    <t>x5 = 3307. Unit rate 3 p/kWh (total) (in Summary of charges before revenue matching)</t>
  </si>
  <si>
    <t>x6 = 3510. Unit rate 3 p/kWh scaler (in Scaler)</t>
  </si>
  <si>
    <t>x7 = 3307. Fixed charge p/MPAN/day (total) (in Summary of charges before revenue matching)</t>
  </si>
  <si>
    <t>x8 = 3510. Fixed charge p/MPAN/day scaler (in Scaler)</t>
  </si>
  <si>
    <t>x9 = 3307. Capacity charge p/kVA/day (total) (in Summary of charges before revenue matching)</t>
  </si>
  <si>
    <t>x10 = 3510. Capacity charge p/kVA/day scaler (in Scaler)</t>
  </si>
  <si>
    <t>x11 = 3307. Reactive power charge p/kVArh (in Summary of charges before revenue matching)</t>
  </si>
  <si>
    <t>x12 = 3510. Reactive power charge p/kVArh scaler (in Scaler)</t>
  </si>
  <si>
    <t>=x1+x2</t>
  </si>
  <si>
    <t>=x3+x4</t>
  </si>
  <si>
    <t>=x5+x6</t>
  </si>
  <si>
    <t>=x7+x8</t>
  </si>
  <si>
    <t>=x9+x10</t>
  </si>
  <si>
    <t>=x11+x12</t>
  </si>
  <si>
    <t>Unit rate 1 p/kWh</t>
  </si>
  <si>
    <t>Unit rate 2 p/kWh</t>
  </si>
  <si>
    <t>Unit rate 3 p/kWh</t>
  </si>
  <si>
    <t>Fixed charge p/MPAN/day</t>
  </si>
  <si>
    <t>Capacity charge p/kVA/day</t>
  </si>
  <si>
    <t>3602. Decimal places</t>
  </si>
  <si>
    <t>Decimal places</t>
  </si>
  <si>
    <t>3603. Tariff rounding</t>
  </si>
  <si>
    <t>x1 = 3601. Unit rate 1 p/kWh before rounding (in Tariffs before rounding)</t>
  </si>
  <si>
    <t>x2 = 3602. Unit rate 1 p/kWh decimal places (in Decimal places)</t>
  </si>
  <si>
    <t>x3 = 3601. Unit rate 2 p/kWh before rounding (in Tariffs before rounding)</t>
  </si>
  <si>
    <t>x4 = 3602. Unit rate 2 p/kWh decimal places (in Decimal places)</t>
  </si>
  <si>
    <t>x5 = 3601. Unit rate 3 p/kWh before rounding (in Tariffs before rounding)</t>
  </si>
  <si>
    <t>x6 = 3602. Unit rate 3 p/kWh decimal places (in Decimal places)</t>
  </si>
  <si>
    <t>x7 = 3601. Fixed charge p/MPAN/day before rounding (in Tariffs before rounding)</t>
  </si>
  <si>
    <t>x8 = 3602. Fixed charge p/MPAN/day decimal places (in Decimal places)</t>
  </si>
  <si>
    <t>x9 = 3601. Capacity charge p/kVA/day before rounding (in Tariffs before rounding)</t>
  </si>
  <si>
    <t>x10 = 3602. Capacity charge p/kVA/day decimal places (in Decimal places)</t>
  </si>
  <si>
    <t>x11 = 3601. Reactive power charge p/kVArh before rounding (in Tariffs before rounding)</t>
  </si>
  <si>
    <t>x12 = 3602. Reactive power charge p/kVArh decimal places (in Decimal places)</t>
  </si>
  <si>
    <t>=ROUND(x1,x2)-x1</t>
  </si>
  <si>
    <t>=ROUND(x3,x4)-x3</t>
  </si>
  <si>
    <t>=ROUND(x5,x6)-x5</t>
  </si>
  <si>
    <t>=ROUND(x7,x8)-x7</t>
  </si>
  <si>
    <t>=ROUND(x9,x10)-x9</t>
  </si>
  <si>
    <t>=ROUND(x11,x12)-x11</t>
  </si>
  <si>
    <t>3604. All the way tariffs</t>
  </si>
  <si>
    <t>x2 = 3603. Unit rate 1 p/kWh rounding (in Tariff rounding)</t>
  </si>
  <si>
    <t>x4 = 3603. Unit rate 2 p/kWh rounding (in Tariff rounding)</t>
  </si>
  <si>
    <t>x6 = 3603. Unit rate 3 p/kWh rounding (in Tariff rounding)</t>
  </si>
  <si>
    <t>x8 = 3603. Fixed charge p/MPAN/day rounding (in Tariff rounding)</t>
  </si>
  <si>
    <t>x10 = 3603. Capacity charge p/kVA/day rounding (in Tariff rounding)</t>
  </si>
  <si>
    <t>x12 = 3603. Reactive power charge p/kVArh rounding (in Tariff rounding)</t>
  </si>
  <si>
    <t>3605. Net revenues by tariff from rounding</t>
  </si>
  <si>
    <t>x2 = 3603. Fixed charge p/MPAN/day rounding (in Tariff rounding)</t>
  </si>
  <si>
    <t>x4 = 3603. Capacity charge p/kVA/day rounding (in Tariff rounding)</t>
  </si>
  <si>
    <t>x6 = 3603. Unit rate 1 p/kWh rounding (in Tariff rounding)</t>
  </si>
  <si>
    <t>x8 = 3603. Unit rate 2 p/kWh rounding (in Tariff rounding)</t>
  </si>
  <si>
    <t>x10 = 3603. Unit rate 3 p/kWh rounding (in Tariff rounding)</t>
  </si>
  <si>
    <t>Net revenues by tariff from rounding</t>
  </si>
  <si>
    <t>3606. Revenue forecast summary</t>
  </si>
  <si>
    <t>x2 = 3510. Net revenues by tariff from scaler (in Scaler)</t>
  </si>
  <si>
    <t>x3 = 3605. Net revenues by tariff from rounding</t>
  </si>
  <si>
    <t>x4 = Total net revenues before matching (£) (in Revenue forecast summary)</t>
  </si>
  <si>
    <t>x5 = Total net revenues from scaler (£) (in Revenue forecast summary)</t>
  </si>
  <si>
    <t>x6 = Total net revenues from rounding (£) (in Revenue forecast summary)</t>
  </si>
  <si>
    <t>x7 = Total net revenues (£) (in Revenue forecast summary)</t>
  </si>
  <si>
    <t>=x4+x5+x6</t>
  </si>
  <si>
    <t>=x7-x8</t>
  </si>
  <si>
    <t>Total net revenues from scaler (£)</t>
  </si>
  <si>
    <t>Total net revenues from rounding (£)</t>
  </si>
  <si>
    <t>Total net revenues (£)</t>
  </si>
  <si>
    <t>Deviation from target revenue (£)</t>
  </si>
  <si>
    <t>Revenue forecast summary</t>
  </si>
  <si>
    <t>3607. Tariffs</t>
  </si>
  <si>
    <t>x1 = 3604. Unit rate 1 p/kWh (in All the way tariffs)</t>
  </si>
  <si>
    <t>x2 = 2304. Discount for each tariff (except for fixed charges) (in LDNO discounts and volumes adjusted for discount)</t>
  </si>
  <si>
    <t>x3 = 3604. Unit rate 2 p/kWh (in All the way tariffs)</t>
  </si>
  <si>
    <t>x4 = 3604. Unit rate 3 p/kWh (in All the way tariffs)</t>
  </si>
  <si>
    <t>x5 = 3604. Fixed charge p/MPAN/day (in All the way tariffs)</t>
  </si>
  <si>
    <t>x6 = 2304. Discount for each tariff for fixed charges only (in LDNO discounts and volumes adjusted for discount)</t>
  </si>
  <si>
    <t>x7 = 3604. Capacity charge p/kVA/day (in All the way tariffs)</t>
  </si>
  <si>
    <t>x8 = 3604. Reactive power charge p/kVArh (in All the way tariffs)</t>
  </si>
  <si>
    <t>=ROUND(x1*(1-x2),3)</t>
  </si>
  <si>
    <t>=ROUND(x3*(1-x2),3)</t>
  </si>
  <si>
    <t>=ROUND(x4*(1-x2),3)</t>
  </si>
  <si>
    <t>=ROUND(x5*(1-x6),2)</t>
  </si>
  <si>
    <t>=ROUND(x7*(1-x2),2)</t>
  </si>
  <si>
    <t>=ROUND(x8*(1-x2),3)</t>
  </si>
  <si>
    <t>3701. Tariffs</t>
  </si>
  <si>
    <t>x1 = 3607. Unit rate 1 p/kWh (in Tariffs)</t>
  </si>
  <si>
    <t>x2 = 3607. Unit rate 2 p/kWh (in Tariffs)</t>
  </si>
  <si>
    <t>x3 = 3607. Unit rate 3 p/kWh (in Tariffs)</t>
  </si>
  <si>
    <t>x4 = 3607. Fixed charge p/MPAN/day (in Tariffs)</t>
  </si>
  <si>
    <t>x5 = 3607. Capacity charge p/kVA/day (in Tariffs)</t>
  </si>
  <si>
    <t>x6 = 3607. Reactive power charge p/kVArh (in Tariffs)</t>
  </si>
  <si>
    <t>Input data</t>
  </si>
  <si>
    <t>= x3</t>
  </si>
  <si>
    <t>= x4</t>
  </si>
  <si>
    <t>= x6</t>
  </si>
  <si>
    <t>Open LLFCs</t>
  </si>
  <si>
    <t>PCs</t>
  </si>
  <si>
    <t>Closed LLFCs</t>
  </si>
  <si>
    <t>5-8</t>
  </si>
  <si>
    <t>This sheet is for information only.  It can be deleted without affecting any calculations elsewhere in the model.</t>
  </si>
  <si>
    <t xml:space="preserve"> </t>
  </si>
  <si>
    <t>x1 = 1053. Rate 1 units (MWh) by tariff (in Volume forecasts for the charging year)</t>
  </si>
  <si>
    <t>x2 = 1053. Rate 2 units (MWh) by tariff (in Volume forecasts for the charging year)</t>
  </si>
  <si>
    <t>x3 = 1053. Rate 3 units (MWh) by tariff (in Volume forecasts for the charging year)</t>
  </si>
  <si>
    <t>x4 = 1053. MPANs by tariff (in Volume forecasts for the charging year)</t>
  </si>
  <si>
    <t>x6 = 3607. Fixed charge p/MPAN/day (in Tariffs)</t>
  </si>
  <si>
    <t>x7 = 3607. Capacity charge p/kVA/day (in Tariffs)</t>
  </si>
  <si>
    <t>x8 = 1053. Import capacity (kVA) by tariff (in Volume forecasts for the charging year)</t>
  </si>
  <si>
    <t>x9 = 3607. Unit rate 1 p/kWh (in Tariffs)</t>
  </si>
  <si>
    <t>x10 = 3607. Unit rate 2 p/kWh (in Tariffs)</t>
  </si>
  <si>
    <t>x11 = 3607. Unit rate 3 p/kWh (in Tariffs)</t>
  </si>
  <si>
    <t>x12 = 3607. Reactive power charge p/kVArh (in Tariffs)</t>
  </si>
  <si>
    <t>x13 = 1053. Reactive power units (MVArh) by tariff (in Volume forecasts for the charging year)</t>
  </si>
  <si>
    <t>x14 = All units (MWh) (in Revenue summary)</t>
  </si>
  <si>
    <t>x15 = Net revenues (£) (in Revenue summary)</t>
  </si>
  <si>
    <t>x17 = Revenues from unit rates (£) (in Revenue summary)</t>
  </si>
  <si>
    <t>x18 = Net revenues from unit rate 1 (£) (in Revenue summary)</t>
  </si>
  <si>
    <t>x19 = Net revenues from unit rate 2 (£) (in Revenue summary)</t>
  </si>
  <si>
    <t>x20 = Net revenues from unit rate 3 (£) (in Revenue summary)</t>
  </si>
  <si>
    <t>x21 = Revenues from fixed charges (£) (in Revenue summary)</t>
  </si>
  <si>
    <t>x22 = Revenues from capacity charges (£) (in Revenue summary)</t>
  </si>
  <si>
    <t>x23 = Revenues from reactive power charges (£) (in Revenue summary)</t>
  </si>
  <si>
    <t>=x1+x2+x3</t>
  </si>
  <si>
    <t>=0.01*x5*(x6*x4+x7*x8)+10*(x9*x1+x10*x2+x11*x3+x12*x13)</t>
  </si>
  <si>
    <t>=10*(x9*x1+x10*x2+x11*x3)</t>
  </si>
  <si>
    <t>=x6*x5*x4/100</t>
  </si>
  <si>
    <t>=x7*x5*x8/100</t>
  </si>
  <si>
    <t>=x12*x13*10</t>
  </si>
  <si>
    <t>=IF(x14&lt;&gt;0,0.1*x15/x14,"")</t>
  </si>
  <si>
    <t>=IF(x16&lt;&gt;0,x15/x16,"")</t>
  </si>
  <si>
    <t>=IF(x14&lt;&gt;0,0.1*x17/x14,0)</t>
  </si>
  <si>
    <t>=x9*x1*10</t>
  </si>
  <si>
    <t>=x10*x2*10</t>
  </si>
  <si>
    <t>=x11*x3*10</t>
  </si>
  <si>
    <t>=IF(x17&lt;&gt;0,x18/x17,"")</t>
  </si>
  <si>
    <t>=IF(x17&lt;&gt;0,x19/x17,"")</t>
  </si>
  <si>
    <t>=IF(x17&lt;&gt;0,x20/x17,"")</t>
  </si>
  <si>
    <t>=IF(x15&lt;&gt;0,x21/x15,"")</t>
  </si>
  <si>
    <t>=IF(x15&lt;&gt;0,x22/x15,"")</t>
  </si>
  <si>
    <t>=IF(x15&lt;&gt;0,x23/x15,"")</t>
  </si>
  <si>
    <t>Net revenues (£)</t>
  </si>
  <si>
    <t>Revenues from unit rates (£)</t>
  </si>
  <si>
    <t>Revenues from fixed charges (£)</t>
  </si>
  <si>
    <t>Revenues from capacity charges (£)</t>
  </si>
  <si>
    <t>Revenues from reactive power charges (£)</t>
  </si>
  <si>
    <t>Average p/kWh</t>
  </si>
  <si>
    <t>Average £/MPAN</t>
  </si>
  <si>
    <t>Average unit rate p/kWh</t>
  </si>
  <si>
    <t>Net revenues from unit rate 1 (£)</t>
  </si>
  <si>
    <t>Net revenues from unit rate 2 (£)</t>
  </si>
  <si>
    <t>Net revenues from unit rate 3 (£)</t>
  </si>
  <si>
    <t>Rate 1 revenue proportion</t>
  </si>
  <si>
    <t>Rate 2 revenue proportion</t>
  </si>
  <si>
    <t>Rate 3 revenue proportion</t>
  </si>
  <si>
    <t>Fixed charge proportion</t>
  </si>
  <si>
    <t>Capacity charge proportion</t>
  </si>
  <si>
    <t>Reactive power charge proportion</t>
  </si>
  <si>
    <t>=SUM(x7)</t>
  </si>
  <si>
    <t>Total units (MWh)</t>
  </si>
  <si>
    <t>Total MPANs</t>
  </si>
  <si>
    <t>Total net revenues from unit rates (£)</t>
  </si>
  <si>
    <t>Total revenues from fixed charges (£)</t>
  </si>
  <si>
    <t>Total revenues from capacity charges (£)</t>
  </si>
  <si>
    <t>Total revenues from reactive power charges (£)</t>
  </si>
  <si>
    <t>Revenue summary by tariff component</t>
  </si>
  <si>
    <t>This document, model or dataset has been prepared by Reckon LLP on the instructions of the DCUSA Panel or</t>
  </si>
  <si>
    <t>one of its working groups.  Only the DCUSA Panel and its working groups have authority to approve this</t>
  </si>
  <si>
    <t>material as meeting their requirements.  Reckon LLP makes no representation about the suitability of this</t>
  </si>
  <si>
    <t>material for the purposes of complying with any licence conditions or furthering any relevant objective.</t>
  </si>
  <si>
    <t>---</t>
  </si>
  <si>
    <t>PerlModule: CDCM</t>
  </si>
  <si>
    <t>colour: orange</t>
  </si>
  <si>
    <t>drm: top500gsp</t>
  </si>
  <si>
    <t>extraLevels: 1</t>
  </si>
  <si>
    <t>noReplacement: blanket</t>
  </si>
  <si>
    <t>pcd: 1</t>
  </si>
  <si>
    <t>portfolio: 1</t>
  </si>
  <si>
    <t>scaler: levelledpickexitnogenminzero</t>
  </si>
  <si>
    <t>standing: sub132</t>
  </si>
  <si>
    <t>validation: lenientnomsg</t>
  </si>
  <si>
    <t>'~codeValidation':</t>
  </si>
  <si>
    <t xml:space="preserve">  SpreadsheetModel/Label.pm: 053d8801da63a168d467ae3cf12c6c32325befe3</t>
  </si>
  <si>
    <t>This sheet contains the CDCM tariffs that are produced from the CDCM input data, after the Macro on this sheet has been run.  It contains the tariffs for each of the 5 years.</t>
  </si>
  <si>
    <t>Tariffs ARP</t>
  </si>
  <si>
    <t>This sheet contains the CDCM input sheet for base year +4 (Y+4) in a format that can be copy and pasted (paste-value) into the CDCM spreadsheet model.</t>
  </si>
  <si>
    <t>CDCM Input Sheet (Y + 4)</t>
  </si>
  <si>
    <t>This sheet contains the CDCM input sheet for base year +3 (Y+3) in a format that can be copy and pasted (paste-value) into the CDCM spreadsheet model.</t>
  </si>
  <si>
    <t>CDCM Input Sheet (Y + 3)</t>
  </si>
  <si>
    <t>This sheet contains the CDCM input sheet for base year +2 (Y+2) in a format that can be copy and pasted (paste-value) into the CDCM spreadsheet model.</t>
  </si>
  <si>
    <t>CDCM Input Sheet (Y + 2)</t>
  </si>
  <si>
    <t>This sheet contains the CDCM input sheet for base year +1 (Y+1) in a format that can be copy and pasted (paste-value) into the CDCM spreadsheet model.</t>
  </si>
  <si>
    <t>CDCM Input Sheet (Y + 1)</t>
  </si>
  <si>
    <t>This sheet contains the CDCM input sheet for base year 0 (Y) in a format that can be copy and pasted (paste-value) into the CDCM spreadsheet model.</t>
  </si>
  <si>
    <t>CDCM Input Sheet (Y)</t>
  </si>
  <si>
    <t>Contains the time bands that the DNO plans to use for the coming year and advance warning of any changes.</t>
  </si>
  <si>
    <t>CDCM Timebands</t>
  </si>
  <si>
    <t>This sheet contains forecast CDCM volume data (table 1053).  The matrix at the top can be used to apply different growth rates to groups of customers.</t>
  </si>
  <si>
    <t>CDCM Volume Forecasts</t>
  </si>
  <si>
    <t>This sheet contains the forecast CDCM matrix of applicability data (table 1025 - 1028).  The default value is that the same matrix will be used for each of the five years.</t>
  </si>
  <si>
    <t>Mat of App</t>
  </si>
  <si>
    <t>This sheet contains historical and forecast data for all CDCM inputs except for volume data (table 1053) and matrix of applicability data (table 1025 - 1028).
The RPI forecast is seperated out and listed as a standalone assumption.  Any forecasts that relate to RPI will be linked to this row.
Comments are provided alongside each forecast explaining any assumptions made by the DNO.</t>
  </si>
  <si>
    <t>CDCM Forecast Data</t>
  </si>
  <si>
    <t>This sheet contains the DNO's commentary on the forecast input CDCM data for the forecast over the 5 year period.</t>
  </si>
  <si>
    <t>Commentary</t>
  </si>
  <si>
    <t>Detail</t>
  </si>
  <si>
    <t>Sheet Name</t>
  </si>
  <si>
    <t>Contents:</t>
  </si>
  <si>
    <t>Date of Issue:</t>
  </si>
  <si>
    <t>Company:</t>
  </si>
  <si>
    <t>Overall % change to Use of System Charges effective 1st April of Regulatory Year to balance (M)</t>
  </si>
  <si>
    <t>Ft / Ft-1</t>
  </si>
  <si>
    <t>Forecast overall percentage change to Allowed Revenue (L)</t>
  </si>
  <si>
    <t>being K - G - F + I2</t>
  </si>
  <si>
    <t>Forecast Over / (Under) Recovery 
[being (K - G - F + I2]</t>
  </si>
  <si>
    <t>Final Collected Revenue Forecast (K)</t>
  </si>
  <si>
    <t>CDCM Revenue Used in Charging Model</t>
  </si>
  <si>
    <t>J =  H - I</t>
  </si>
  <si>
    <t>Latest forecast of CDCM Collected Revenue (J): [J =  H - I]</t>
  </si>
  <si>
    <t>I = I1 + I2 + I3 + I4</t>
  </si>
  <si>
    <t>Total Revenue to be raised outside the CDCM (I): [I = I1 + I2 + I3 + I4]</t>
  </si>
  <si>
    <t>4. Revenue raised outside CDCM - blank or if required please provide description (I4)</t>
  </si>
  <si>
    <t>3. Revenue raised outside CDCM - blank or if required please provide description (I3)</t>
  </si>
  <si>
    <t>2. Revenue raised outside CDCM - Voluntary under-recovery (I2)</t>
  </si>
  <si>
    <t>1. Revenue raised outside CDCM - EDCM and interconnector charges (I1)</t>
  </si>
  <si>
    <t>Total Revenue for Use of System Charges (H): 
[H =F + G]</t>
  </si>
  <si>
    <t>G = G1 + G2 + G3 + G4 +G5</t>
  </si>
  <si>
    <t>Total Other Revenue to be recovered by Use of System Charges (G): [G = G1 + G2 + G3 + G4 +G5]</t>
  </si>
  <si>
    <t>Other 5. - blank or if required please provide description (G5)</t>
  </si>
  <si>
    <t>Other 4. - blank or if required please provide description (G4)</t>
  </si>
  <si>
    <t>Other 3. Excluded services - Miscellaneous (G3)</t>
  </si>
  <si>
    <t>Other 2. Excluded services - Revenue protection services (G2)</t>
  </si>
  <si>
    <t>Other 1. Excluded services - Top-up, standby, and enhanced system security (G1)</t>
  </si>
  <si>
    <t>F= A + B + C + D + E</t>
  </si>
  <si>
    <t>Total allowed Revenue (F): 
[F= A + B + C + D + E]</t>
  </si>
  <si>
    <t>Tax Trigger Mechanism Adjustment (E)</t>
  </si>
  <si>
    <t>Correction Factor (D)</t>
  </si>
  <si>
    <t>C = C1 + C2 + C3 + C4 + C5 + C6 + C7</t>
  </si>
  <si>
    <t>Incentive Revenue and Other Adjustments (C): 
[C = C1 + C2 + C3 + C4 + C5 + C6 + C7]</t>
  </si>
  <si>
    <t>Low Carbon Networks Fund (C7)</t>
  </si>
  <si>
    <t>CGSRAt,CGSSPt &amp; AUMt</t>
  </si>
  <si>
    <t>Connection Guaranteed Standards Systems &amp; Processes penalty (C6)</t>
  </si>
  <si>
    <t>Incentive revenue for Distributed Generation (C5)</t>
  </si>
  <si>
    <t>Innovation funding incentive adjustment (C4)</t>
  </si>
  <si>
    <t>Transmission connection point charges incentive adjustment (C3)</t>
  </si>
  <si>
    <t>Quality of service incentive adjustment (C2)</t>
  </si>
  <si>
    <t>Losses Incentive (C1)</t>
  </si>
  <si>
    <t>B = B1 + B2 + B3 +B4 + B5</t>
  </si>
  <si>
    <t>Allowed Pass-Through Items (B): 
[B = B1 + B2 + B3 +B4 + B5]</t>
  </si>
  <si>
    <t>Pass-Through Others (B5)</t>
  </si>
  <si>
    <t>Price Control Reopener (B4)</t>
  </si>
  <si>
    <t>Pass-Through Transmission Exit (B3)</t>
  </si>
  <si>
    <t>Pass-Through Licence Fees (B2)</t>
  </si>
  <si>
    <t>Pass-Through Business Rates (B1)</t>
  </si>
  <si>
    <t>A = A1 * A2 - A3</t>
  </si>
  <si>
    <t>Base Demand Revenue (A): 
[A = A1 * A2 - A3]</t>
  </si>
  <si>
    <t>Merger adjustment (A3)</t>
  </si>
  <si>
    <t>RPI Effective % (A2)</t>
  </si>
  <si>
    <t>Base Demand Before Inflation (A1)</t>
  </si>
  <si>
    <t>Regulatory Year</t>
  </si>
  <si>
    <t>t+4</t>
  </si>
  <si>
    <t>t+3</t>
  </si>
  <si>
    <t>t+2</t>
  </si>
  <si>
    <t>t+1</t>
  </si>
  <si>
    <t>t</t>
  </si>
  <si>
    <t>t-1</t>
  </si>
  <si>
    <t>t-2</t>
  </si>
  <si>
    <t>Assumptions</t>
  </si>
  <si>
    <t>Licence Term</t>
  </si>
  <si>
    <t>Description</t>
  </si>
  <si>
    <t xml:space="preserve">Date: </t>
  </si>
  <si>
    <t>Schedule 15 table 1</t>
  </si>
  <si>
    <t>1092 Average kVAr by kVA, by network level</t>
  </si>
  <si>
    <t>BLACK</t>
  </si>
  <si>
    <t>GREEN</t>
  </si>
  <si>
    <t>AMBER</t>
  </si>
  <si>
    <t>RED</t>
  </si>
  <si>
    <t>1069 Peaking probabilities by network level</t>
  </si>
  <si>
    <t>1068 Typical annual hours by distribution time band</t>
  </si>
  <si>
    <t>YELLOW</t>
  </si>
  <si>
    <t>1062 Average split of rate 2 units by distribution time band</t>
  </si>
  <si>
    <t>1061 Average split of rate 1 units by distribution time band</t>
  </si>
  <si>
    <t>1060 Customer contributions under current connection charging policy</t>
  </si>
  <si>
    <t>1059 Other Expenditure (£/year)</t>
  </si>
  <si>
    <t>1055 Transmission exit charges (£/year)</t>
  </si>
  <si>
    <t>1041 Load profile data for demand users: load factor</t>
  </si>
  <si>
    <t>1041 Load profile data for demand users: coincidence factor</t>
  </si>
  <si>
    <t>1037 Embedded network (LDNO) discounts</t>
  </si>
  <si>
    <t>1032 Loss adjustment factors to transmission</t>
  </si>
  <si>
    <t>1028 Matrix of applicability of HV service models to tariffs with fixed charges</t>
  </si>
  <si>
    <t>1026 Matrix of applicability of LV service models to unmetered tariffs</t>
  </si>
  <si>
    <t>1025 Matrix of applicability of LV service models to tariffs with fixed charges</t>
  </si>
  <si>
    <t>1023 HV service model asset cost (£)</t>
  </si>
  <si>
    <t>1022 LV service model asset cost (£)</t>
  </si>
  <si>
    <t>1020 Gross asset cost by network level (£)</t>
  </si>
  <si>
    <t>1019 Network model GSP demand (MW)</t>
  </si>
  <si>
    <t>1018 Proportion of relevant load going through 132kV/HV direct transformation</t>
  </si>
  <si>
    <t>1017 Diversity allowance between top and bottom of network level</t>
  </si>
  <si>
    <t>Days in the charging period</t>
  </si>
  <si>
    <t>1010 Financial and general assumptions</t>
  </si>
  <si>
    <t>1000 Company name, charging year and model version</t>
  </si>
  <si>
    <t>RPI Forecast:</t>
  </si>
  <si>
    <t>RIIO - ED1</t>
  </si>
  <si>
    <t>DPCR -&gt;</t>
  </si>
  <si>
    <t>2017/18</t>
  </si>
  <si>
    <t>2016/17</t>
  </si>
  <si>
    <t>2015/16</t>
  </si>
  <si>
    <t>Charging Year -&gt;</t>
  </si>
  <si>
    <t>Y+4</t>
  </si>
  <si>
    <t>Y+3</t>
  </si>
  <si>
    <t>Y+2</t>
  </si>
  <si>
    <t>Y+1</t>
  </si>
  <si>
    <t>Y</t>
  </si>
  <si>
    <t>Y-1</t>
  </si>
  <si>
    <t>Y-2</t>
  </si>
  <si>
    <t>Year Ref -&gt;</t>
  </si>
  <si>
    <t>Forecast CDCM Values</t>
  </si>
  <si>
    <t>Historical CDCM Input Data (Actuals)</t>
  </si>
  <si>
    <t>Status</t>
  </si>
  <si>
    <t>Information to be used calculating tariffs in year t</t>
  </si>
  <si>
    <t>Y - 2</t>
  </si>
  <si>
    <t>Y - 3</t>
  </si>
  <si>
    <t>Y - 4</t>
  </si>
  <si>
    <t>1069 - Peaking probabilities by network level</t>
  </si>
  <si>
    <t>1062 - Average split of rate 2 units by distribution time band</t>
  </si>
  <si>
    <t>1061 - Average split of rate 1 units by distribution time band</t>
  </si>
  <si>
    <t>1041 - load profile for demand users - load factors</t>
  </si>
  <si>
    <t>1041 - load profile for demand users - coincidence factors</t>
  </si>
  <si>
    <t>Year Y - 4</t>
  </si>
  <si>
    <t>Year Y - 3</t>
  </si>
  <si>
    <t>Year Y-2</t>
  </si>
  <si>
    <t>Year to which input data relates</t>
  </si>
  <si>
    <t>Year charges are set (year Y-1)</t>
  </si>
  <si>
    <t>Charges for (year Y)</t>
  </si>
  <si>
    <t>DNO</t>
  </si>
  <si>
    <t>Tariff</t>
  </si>
  <si>
    <t>Customer Category</t>
  </si>
  <si>
    <t>1053. Volume forecasts for the charging year:</t>
  </si>
  <si>
    <t>Total Reactive</t>
  </si>
  <si>
    <t>Total Import Capacity</t>
  </si>
  <si>
    <t>No. of MPANs</t>
  </si>
  <si>
    <t>Total Volume</t>
  </si>
  <si>
    <t>Summary Data</t>
  </si>
  <si>
    <t>Y + 4</t>
  </si>
  <si>
    <t>Y + 3</t>
  </si>
  <si>
    <t>Y + 2</t>
  </si>
  <si>
    <t>Y + 1</t>
  </si>
  <si>
    <t>REACTIVE POWER</t>
  </si>
  <si>
    <t>IMPORT CAPACITY</t>
  </si>
  <si>
    <t>CUSTOMER NUMBERS</t>
  </si>
  <si>
    <t>VOLUME - GREEN BAND</t>
  </si>
  <si>
    <t>VOLUME - AMBER BAND</t>
  </si>
  <si>
    <t>VOLUME - RED BAND</t>
  </si>
  <si>
    <t>Growth Rates (%)</t>
  </si>
  <si>
    <t>WE</t>
  </si>
  <si>
    <t>WD 
(incl. bank holidays) Mar to Oct</t>
  </si>
  <si>
    <t>WD 
(incl. bank holidays) Nov to Feb</t>
  </si>
  <si>
    <t xml:space="preserve">Amber </t>
  </si>
  <si>
    <t>WD 
(incl. bank holidays)</t>
  </si>
  <si>
    <t>Year 4:</t>
  </si>
  <si>
    <t>Year 3:</t>
  </si>
  <si>
    <t>Year 2:</t>
  </si>
  <si>
    <t>Year 1:</t>
  </si>
  <si>
    <t>Year 0:</t>
  </si>
  <si>
    <t>Shortcut</t>
  </si>
  <si>
    <t>TARIFF</t>
  </si>
  <si>
    <t>Typical Bills by Customer Category</t>
  </si>
  <si>
    <t>Source: operational data analysis.</t>
  </si>
  <si>
    <t>See notes on table 1061.</t>
  </si>
  <si>
    <t>This table relates to the second TPR or charging period for each tariff.</t>
  </si>
  <si>
    <t>the proportion of the units recorded on the relevant TPR or within the relevant charging period that would fall with each time band.</t>
  </si>
  <si>
    <t>For each user type and tariff structure, the figure entered against each of the time bands used for network analysis is</t>
  </si>
  <si>
    <t>Each line relates to a different user type and tariff structure.</t>
  </si>
  <si>
    <t>This table relates to the first TPR or charging period for each tariff.</t>
  </si>
  <si>
    <t>Table 1</t>
  </si>
  <si>
    <t>This sheet contains the DNO's table 1 produced in accordance with DCUSA Schedule 15 "cost information table".</t>
  </si>
  <si>
    <t>Input data (Y)</t>
  </si>
  <si>
    <t>Input data (Y+1)</t>
  </si>
  <si>
    <t>Input data (Y+2)</t>
  </si>
  <si>
    <t>Input data (Y+3)</t>
  </si>
  <si>
    <t>Input data (Y+4)</t>
  </si>
  <si>
    <t>'~datasetSource': Empty dataset</t>
  </si>
  <si>
    <t>'~datasetName': Blank</t>
  </si>
  <si>
    <t>targetRevenue: single</t>
  </si>
  <si>
    <t>x8 = 1076. Target CDCM net revenue (£/year)</t>
  </si>
  <si>
    <t>x1 = 3402. Total net revenues before matching (£) (in Revenue surplus or shortfall)</t>
  </si>
  <si>
    <t>x1 = 3402. Revenue shortfall (surplus) £ (in Revenue surplus or shortfall)</t>
  </si>
  <si>
    <t>x2 = 1076. Target CDCM net revenue (£/year)</t>
  </si>
  <si>
    <t>3402. Revenue surplus or shortfall</t>
  </si>
  <si>
    <t>x3 = 2905. Pay-as-you-go unit rate 3 (p/kWh) — for Tariffs with Unit rate 3 p/kWh from PAYG 3 kWh &amp; customer</t>
  </si>
  <si>
    <t>x2 = 2905. Pay-as-you-go unit rate 3 (p/kWh) — for Tariffs with Unit rate 3 p/kWh from PAYG 3 kWh</t>
  </si>
  <si>
    <t>x1 = 3006. Unit rate 3 total p/kWh (taking account of standing charges) — for Tariffs with Unit rate 3 p/kWh from Standard 3 kWh</t>
  </si>
  <si>
    <t>x3 = 2904. Pay-as-you-go unit rate 2 (p/kWh) — for Tariffs with Unit rate 2 p/kWh from PAYG 2 kWh &amp; customer</t>
  </si>
  <si>
    <t>x2 = 2904. Pay-as-you-go unit rate 2 (p/kWh) — for Tariffs with Unit rate 2 p/kWh from PAYG 2 kWh</t>
  </si>
  <si>
    <t>x1 = 3005. Unit rate 2 total p/kWh (taking account of standing charges) — for Tariffs with Unit rate 2 p/kWh from Standard 2 kWh</t>
  </si>
  <si>
    <t>x1 = 3004. Unit rate 1 total p/kWh (taking account of standing charges) — for Tariffs with Unit rate 1 p/kWh from Standard 1 kWh</t>
  </si>
  <si>
    <t>for active power credits at the voltage of connection but are charged reactive unit charges for costs caused at that voltage.</t>
  </si>
  <si>
    <t>These factors differ from the network use factors for active power charges/credits in the case of generators, who do not qualify</t>
  </si>
  <si>
    <t>x1 = 3003. Yardstick components p/kWh (taking account of standing charges)</t>
  </si>
  <si>
    <t>Calculation =(1-x1)*x2</t>
  </si>
  <si>
    <t>x2 = 2905. Contributions to pay-as-you-go unit rate 3 (p/kWh)</t>
  </si>
  <si>
    <t>3006. Contributions to unit rate 3 p/kWh by network level (taking account of standing charges)</t>
  </si>
  <si>
    <t>x2 = 2904. Contributions to pay-as-you-go unit rate 2 (p/kWh)</t>
  </si>
  <si>
    <t>3005. Contributions to unit rate 2 p/kWh by network level (taking account of standing charges)</t>
  </si>
  <si>
    <t>x2 = 2903. Contributions to pay-as-you-go unit rate 1 (p/kWh)</t>
  </si>
  <si>
    <t>3004. Contributions to unit rate 1 p/kWh by network level (taking account of standing charges)</t>
  </si>
  <si>
    <t>3003. Yardstick components p/kWh (taking account of standing charges)</t>
  </si>
  <si>
    <t>Calculation =x1*x2*x3*(1-x4)*100/(24*x5)</t>
  </si>
  <si>
    <t>2905. Contributions to pay-as-you-go unit rate 3 (p/kWh)</t>
  </si>
  <si>
    <t>2904. Contributions to pay-as-you-go unit rate 2 (p/kWh)</t>
  </si>
  <si>
    <t>2903. Contributions to pay-as-you-go unit rate 1 (p/kWh)</t>
  </si>
  <si>
    <t>Contribution to peak band kW</t>
  </si>
  <si>
    <t>Peak band special load coefficient</t>
  </si>
  <si>
    <t>x3 = Peak band special load coefficient (in Estimated contributions to peak demand)</t>
  </si>
  <si>
    <t>Peak band special load coefficient for three-rate tariffs</t>
  </si>
  <si>
    <t>Peak band special load coefficient for one-rate tariffs</t>
  </si>
  <si>
    <t>Peak band load coefficient</t>
  </si>
  <si>
    <t>Peak band load coefficient for three-rate tariffs</t>
  </si>
  <si>
    <t>Peak band load coefficient for two-rate tariffs</t>
  </si>
  <si>
    <t>voltage of connection. The factors in this table are before any adjustment for a 132kV/HV network level or for generation-dominated areas.</t>
  </si>
  <si>
    <t>generators receive credits only in respect of network levels above the voltage of connection. Generators do not receive credits at the</t>
  </si>
  <si>
    <t>These network use factors indicate to what extent each network level is used by each tariff. This table reflects the policy that</t>
  </si>
  <si>
    <t>Target CDCM net revenue (£/year)</t>
  </si>
  <si>
    <t>Source: mostly forecasts and price control formulae.</t>
  </si>
  <si>
    <t>1076. Target CDCM net revenue (£/year)</t>
  </si>
  <si>
    <t>Note: These tariffs are based on the assumptions set out in the CDCM forecast Data and CDCM Volume Forecast sheets.
If the assumptions in these sheets have been changed, the tariffs can be updated by pressing the button below.</t>
  </si>
  <si>
    <t>This is an ancillary sheet used in calculations</t>
  </si>
  <si>
    <t>8&amp;0</t>
  </si>
  <si>
    <t>LDNO HV: LV Generation NHH or Aggregate HH</t>
  </si>
  <si>
    <t>LDNO HV: LV Network Non-Domestic Non-CT</t>
  </si>
  <si>
    <t>LDNO HV: LV Network Domestic</t>
  </si>
  <si>
    <t>LDNO LV: LV Generation NHH or Aggregate HH</t>
  </si>
  <si>
    <t>LDNO LV: LV Network Non-Domestic Non-CT</t>
  </si>
  <si>
    <t>LDNO LV: LV Network Domestic</t>
  </si>
  <si>
    <t>LV Generation NHH or Aggregate HH</t>
  </si>
  <si>
    <t>LV Network Non-Domestic Non-CT</t>
  </si>
  <si>
    <t>LV Network Domestic</t>
  </si>
  <si>
    <t>&gt; LV Generation NHH or Aggregate HH</t>
  </si>
  <si>
    <t>&gt; LV Network Non-Domestic Non-CT</t>
  </si>
  <si>
    <t>&gt; LV Network Domestic</t>
  </si>
  <si>
    <t>timeOfDay: timeOfDay179</t>
  </si>
  <si>
    <t>tariffs: commongensubdcp130dcp163pc12hhpc34hh</t>
  </si>
  <si>
    <t>fixedCap: 1-4</t>
  </si>
  <si>
    <t>alwaysUseRAG: 1</t>
  </si>
  <si>
    <t>x1 = 3107. Fixed charge from standing charges factors p/MPAN/day — for Tariffs with Fixed charge p/MPAN/day from Fixed from network &amp; customer</t>
  </si>
  <si>
    <t>x6 = 2712. Operating expenditure for unmetered customer assets (p/kWh) — for Tariffs with Unit rate 1 p/kWh from PAYG 1 kWh &amp; customer</t>
  </si>
  <si>
    <t>x4 = 2902. Pay-as-you-go yardstick unit rate (p/kWh) — for Tariffs with Unit rate 1 p/kWh from PAYG yardstick kWh</t>
  </si>
  <si>
    <t>x3 = 2903. Pay-as-you-go unit rate 1 (p/kWh) — for Tariffs with Unit rate 1 p/kWh from PAYG 1 kWh &amp; customer</t>
  </si>
  <si>
    <t>x2 = 2903. Pay-as-you-go unit rate 1 (p/kWh) — for Tariffs with Unit rate 1 p/kWh from PAYG 1 kWh</t>
  </si>
  <si>
    <t>x2 = 3106. Deemed average maximum kVA for each tariff</t>
  </si>
  <si>
    <t>3107. Capacity-driven fixed charge elements from standing charges factors p/MPAN/day</t>
  </si>
  <si>
    <t>Deemed average maximum kVA for each tariff</t>
  </si>
  <si>
    <t>x2 = 3105. Average maximum kVA by exit point</t>
  </si>
  <si>
    <t>x1 = 3101. Mapping of tariffs to tariff groups</t>
  </si>
  <si>
    <t>3106. Deemed average maximum kVA for each tariff</t>
  </si>
  <si>
    <t>Average maximum kVA by exit point</t>
  </si>
  <si>
    <t>HV network aggregated tariffs</t>
  </si>
  <si>
    <t>LV substation aggregated tariffs</t>
  </si>
  <si>
    <t>LV medium non-domestic tariffs</t>
  </si>
  <si>
    <t>LV domestic and small non-domestic tariffs</t>
  </si>
  <si>
    <t>Calculation =IF(x1,x2/x1/x3,0)</t>
  </si>
  <si>
    <t>3105. Average maximum kVA by exit point</t>
  </si>
  <si>
    <t>Aggregate capacity (kW)</t>
  </si>
  <si>
    <t>x2 = 3102. Unit-based contributions to aggregate maximum load (kW) (in Capacity use for tariffs charged for capacity on an exit point basis)</t>
  </si>
  <si>
    <t>Aggregate number of users charged for capacity on an exit point basis</t>
  </si>
  <si>
    <t>x2 = 3102. MPANs (in Equivalent volume for each end user) (in Capacity use for tariffs charged for capacity on an exit point basis)</t>
  </si>
  <si>
    <t>Unit-based contributions to aggregate maximum load (kW)</t>
  </si>
  <si>
    <t>=x1/x2/(24*x3)*1000</t>
  </si>
  <si>
    <t>x4 = 2305. MPANs (in Equivalent volume for each end user)</t>
  </si>
  <si>
    <t>3102. Capacity use for tariffs charged for capacity on an exit point basis</t>
  </si>
  <si>
    <t>3101. Mapping of tariffs to tariff groups</t>
  </si>
  <si>
    <t>x1 = 2412. Normalised peaking probabilities (in Normalisation of peaking probabilities)</t>
  </si>
  <si>
    <t>Load coefficient correction factor for the group</t>
  </si>
  <si>
    <t>Calculation =IF(SUM(x1),SUM(x2)/SUM(x1),0)</t>
  </si>
  <si>
    <t>x5 = 2414. Pseudo load coefficient by time band and network level</t>
  </si>
  <si>
    <t>x1 = 2424. Off-peak non half hourly pseudo timeband load coefficients</t>
  </si>
  <si>
    <t>Non-domestic equalisation group</t>
  </si>
  <si>
    <t>Domestic equalisation group</t>
  </si>
  <si>
    <t>Calculation =(x1*x2+x3*x4+x5*x6+x7*x8)/(x1*x2+x3*x4+x5*x6+x7*x8*x9)</t>
  </si>
  <si>
    <t>x1 = 2410. Use of distribution time bands by units in demand forecast for three-rate tariffs (in Calculation of implied load coefficients for three-rate users)</t>
  </si>
  <si>
    <t>Aggregated half hourly units (MWh)</t>
  </si>
  <si>
    <t>Calculation =(x1*x2+x3*x4+x5*x6)/(x1+x3+x5)</t>
  </si>
  <si>
    <t>x2 = 2421. Multi rate non half hourly timeband use</t>
  </si>
  <si>
    <t>x1 = 2414. Pseudo load coefficient by time band and network level</t>
  </si>
  <si>
    <t>2424. Off-peak non half hourly pseudo timeband load coefficients</t>
  </si>
  <si>
    <t>x4 = 2421. Multi rate non half hourly timeband use</t>
  </si>
  <si>
    <t>x1 = 2409. Use of distribution time bands by units in demand forecast for two-rate tariffs (in Calculation of implied load coefficients for two-rate users)</t>
  </si>
  <si>
    <t>2421. Multi rate non half hourly timeband use</t>
  </si>
  <si>
    <t>Single rate non half hourly units (MWh)</t>
  </si>
  <si>
    <t>x1 = 2403. Split of rate 1 units between distribution time bands</t>
  </si>
  <si>
    <t>Multi rate non half hourly units (MWh)</t>
  </si>
  <si>
    <t>Off-peak non half hourly units (MWh)</t>
  </si>
  <si>
    <t>x3 = 2413. Peaking probabilities by network level (reshaped)</t>
  </si>
  <si>
    <t>x2 = 2411. Load coefficient correction factor (kW at peak in band / band average kW) (in Calculation of adjusted time band load coefficients)</t>
  </si>
  <si>
    <t>2414. Pseudo load coefficient by time band and network level</t>
  </si>
  <si>
    <t>2413. Peaking probabilities by network level (reshaped)</t>
  </si>
  <si>
    <t>2412. Normalisation of peaking probabilities</t>
  </si>
  <si>
    <t>=IF(x4&lt;&gt;0,x5/x4,IF(x5&lt;0,-1,1))</t>
  </si>
  <si>
    <t>= x1 or x2 or x3</t>
  </si>
  <si>
    <t>x5 = 2302. Load coefficient</t>
  </si>
  <si>
    <t>x4 = Peak band load coefficient (in Calculation of adjusted time band load coefficients)</t>
  </si>
  <si>
    <t>x3 = 2410. Peak band load coefficient for three-rate tariffs (in Calculation of implied load coefficients for three-rate users)</t>
  </si>
  <si>
    <t>x2 = 2409. Peak band load coefficient for two-rate tariffs (in Calculation of implied load coefficients for two-rate users)</t>
  </si>
  <si>
    <t>x1 = 2408. Peak band load coefficient for one-rate tariffs (in Calculation of implied load coefficients for one-rate users)</t>
  </si>
  <si>
    <t>2411. Calculation of adjusted time band load coefficients</t>
  </si>
  <si>
    <t>2410. Calculation of implied load coefficients for three-rate users</t>
  </si>
  <si>
    <t>2409. Calculation of implied load coefficients for two-rate users</t>
  </si>
  <si>
    <t>Peak band load coefficient for one-rate tariffs</t>
  </si>
  <si>
    <t>Use of distribution time bands by units in demand forecast for one-rate tariffs</t>
  </si>
  <si>
    <t>x5 = Use of distribution time bands by units in demand forecast for one-rate tariffs (in Calculation of implied load coefficients for one-rate users)</t>
  </si>
  <si>
    <t>2408. Calculation of implied load coefficients for one-rate users</t>
  </si>
  <si>
    <t>Aggregated demand</t>
  </si>
  <si>
    <t>Site-specific demand</t>
  </si>
  <si>
    <t>Generation</t>
  </si>
  <si>
    <t>Not used</t>
  </si>
  <si>
    <t>Note: These tariffs are based on the assumptions set out in the CDCM forecast Data and CDCM Volume Forecast sheets.
If the assumptions in these sheets have been changed, the typical bills can be updated by pressing the button on the Tariffs ARP sheet.</t>
  </si>
  <si>
    <t>This sheet contains all the input data (except LLFCs which might be entered directly into the Tariff sheet).</t>
  </si>
  <si>
    <t>2202. LV unmetered service model assets £/(MWh/year)</t>
  </si>
  <si>
    <t>LV unmetered service model assets £/(MWh/year)</t>
  </si>
  <si>
    <t>2203. LV unmetered service model asset charge (p/kWh)</t>
  </si>
  <si>
    <t>x2 = 2202. LV unmetered service model assets £/(MWh/year)</t>
  </si>
  <si>
    <t>LV unmetered service model asset charge (p/kWh)</t>
  </si>
  <si>
    <t>2415. Single rate non half hourly pseudo timeband load coefficients</t>
  </si>
  <si>
    <t>2416. Single rate non half hourly units (MWh)</t>
  </si>
  <si>
    <t>2417. Single rate non half hourly timeband use</t>
  </si>
  <si>
    <t>2418. Single rate non half hourly tariff pseudo load coefficient</t>
  </si>
  <si>
    <t>x1 = 2415. Single rate non half hourly pseudo timeband load coefficients</t>
  </si>
  <si>
    <t>x2 = 2417. Single rate non half hourly timeband use</t>
  </si>
  <si>
    <t>2419. Multi rate non half hourly units (MWh)</t>
  </si>
  <si>
    <t>2420. Multi rate non half hourly pseudo timeband load coefficients</t>
  </si>
  <si>
    <t>2422. Multi rate non half hourly tariff pseudo load coefficient</t>
  </si>
  <si>
    <t>x1 = 2420. Multi rate non half hourly pseudo timeband load coefficients</t>
  </si>
  <si>
    <t>2423. Off-peak non half hourly units (MWh)</t>
  </si>
  <si>
    <t>2425. Off-peak non half hourly timeband use</t>
  </si>
  <si>
    <t>2426. Off-peak non half hourly tariff pseudo load coefficient</t>
  </si>
  <si>
    <t>x2 = 2425. Off-peak non half hourly timeband use</t>
  </si>
  <si>
    <t>2427. Aggregated half hourly units (MWh)</t>
  </si>
  <si>
    <t>2428. Aggregated half hourly pseudo timeband load coefficients</t>
  </si>
  <si>
    <t>2429. Aggregated half hourly timeband use</t>
  </si>
  <si>
    <t>2430. Aggregated half hourly tariff pseudo load coefficient</t>
  </si>
  <si>
    <t>x1 = 2428. Aggregated half hourly pseudo timeband load coefficients</t>
  </si>
  <si>
    <t>x2 = 2429. Aggregated half hourly timeband use</t>
  </si>
  <si>
    <t>2431. Average non half hourly tariff pseudo load coefficient</t>
  </si>
  <si>
    <t>x1 = 2416. Single rate non half hourly units (MWh)</t>
  </si>
  <si>
    <t>x2 = 2418. Single rate non half hourly tariff pseudo load coefficient</t>
  </si>
  <si>
    <t>x3 = 2419. Multi rate non half hourly units (MWh)</t>
  </si>
  <si>
    <t>x4 = 2422. Multi rate non half hourly tariff pseudo load coefficient</t>
  </si>
  <si>
    <t>x5 = 2423. Off-peak non half hourly units (MWh)</t>
  </si>
  <si>
    <t>x6 = 2426. Off-peak non half hourly tariff pseudo load coefficient</t>
  </si>
  <si>
    <t>2432. Average non half hourly timeband use</t>
  </si>
  <si>
    <t>x6 = 2425. Off-peak non half hourly timeband use</t>
  </si>
  <si>
    <t>2433. Aggregated half hourly tariff pseudo load coefficient using average non half hourly unit mix</t>
  </si>
  <si>
    <t>x2 = 2432. Average non half hourly timeband use</t>
  </si>
  <si>
    <t>2434. Relative correction factor for aggregated half hourly tariff</t>
  </si>
  <si>
    <t>x1 = 2431. Average non half hourly tariff pseudo load coefficient</t>
  </si>
  <si>
    <t>x2 = 2433. Aggregated half hourly tariff pseudo load coefficient using average non half hourly unit mix</t>
  </si>
  <si>
    <t>2435. Correction factor for non half hourly tariffs</t>
  </si>
  <si>
    <t>x7 = 2427. Aggregated half hourly units (MWh)</t>
  </si>
  <si>
    <t>x8 = 2430. Aggregated half hourly tariff pseudo load coefficient</t>
  </si>
  <si>
    <t>x9 = 2434. Relative correction factor for aggregated half hourly tariff</t>
  </si>
  <si>
    <t>2436. Single rate non half hourly corrected pseudo timeband load coefficient</t>
  </si>
  <si>
    <t>x2 = 2435. Correction factor for non half hourly tariffs</t>
  </si>
  <si>
    <t>2437. Multi rate non half hourly corrected pseudo timeband load coefficient</t>
  </si>
  <si>
    <t>2438. Off-peak non half hourly corrected pseudo timeband load coefficient</t>
  </si>
  <si>
    <t>2439. Aggregated half hourly corrected pseudo timeband load coefficient</t>
  </si>
  <si>
    <t>x3 = 2434. Relative correction factor for aggregated half hourly tariff</t>
  </si>
  <si>
    <t>2440. Pseudo load coefficient by time band and network level (equalised)</t>
  </si>
  <si>
    <t>x1 = 2436. Single rate non half hourly corrected pseudo timeband load coefficient</t>
  </si>
  <si>
    <t>x2 = 2437. Multi rate non half hourly corrected pseudo timeband load coefficient</t>
  </si>
  <si>
    <t>x3 = 2438. Off-peak non half hourly corrected pseudo timeband load coefficient</t>
  </si>
  <si>
    <t>x4 = 2439. Aggregated half hourly corrected pseudo timeband load coefficient</t>
  </si>
  <si>
    <t>2441. Unit rate 1 pseudo load coefficient by network level</t>
  </si>
  <si>
    <t>x1 = 2440. Pseudo load coefficient by time band and network level (equalised)</t>
  </si>
  <si>
    <t>2442. Unit rate 2 pseudo load coefficient by network level</t>
  </si>
  <si>
    <t>2443. Unit rate 3 pseudo load coefficient by network level</t>
  </si>
  <si>
    <t>2444. Adjust annual hours by special distribution time band to match days in year</t>
  </si>
  <si>
    <t>2445. Normalisation of split of rate 1 units by special time band</t>
  </si>
  <si>
    <t>x3 = 2444. Annual hours by special distribution time band (reconciled to days in year) (in Adjust annual hours by special distribution time band to match days in year)</t>
  </si>
  <si>
    <t>2446. Split of rate 1 units between special distribution time bands</t>
  </si>
  <si>
    <t>x1 = 2445. Normalised split of rate 1 units by special distribution time band (in Normalisation of split of rate 1 units by special time band)</t>
  </si>
  <si>
    <t>2447. Split of rate 2 units between special distribution time bands (default)</t>
  </si>
  <si>
    <t>2448. Split of rate 3 units between special distribution time bands (default)</t>
  </si>
  <si>
    <t>2449. Calculation of implied special load coefficients for one-rate users</t>
  </si>
  <si>
    <t>x3 = 2446. Split of rate 1 units between special distribution time bands</t>
  </si>
  <si>
    <t>x4 = 2444. Annual hours by special distribution time band (reconciled to days in year) (in Adjust annual hours by special distribution time band to match days in year)</t>
  </si>
  <si>
    <t>2450. Calculation of implied special load coefficients for three-rate users</t>
  </si>
  <si>
    <t>x5 = 2447. Split of rate 2 units between special distribution time bands (default)</t>
  </si>
  <si>
    <t>x7 = 2448. Split of rate 3 units between special distribution time bands (default)</t>
  </si>
  <si>
    <t>x8 = 2444. Annual hours by special distribution time band (reconciled to days in year) (in Adjust annual hours by special distribution time band to match days in year)</t>
  </si>
  <si>
    <t>2451. Estimated contributions to peak demand</t>
  </si>
  <si>
    <t>x1 = 2449. Peak band special load coefficient for one-rate tariffs (in Calculation of implied special load coefficients for one-rate users)</t>
  </si>
  <si>
    <t>x2 = 2450. Peak band special load coefficient for three-rate tariffs (in Calculation of implied special load coefficients for three-rate users)</t>
  </si>
  <si>
    <t>2452. Load coefficient correction factor for the group</t>
  </si>
  <si>
    <t>x1 = 2451. Contribution to peak band kW (in Estimated contributions to peak demand)</t>
  </si>
  <si>
    <t>x2 = 2451. Contribution to system-peak-time kW (in Estimated contributions to peak demand)</t>
  </si>
  <si>
    <t>2453. Calculation of special peaking probabilities</t>
  </si>
  <si>
    <t>=IF(x5,MAX(0,x2+x6-x5),x7*x8/x3/24)</t>
  </si>
  <si>
    <t>2454. Special peaking probabilities by network level</t>
  </si>
  <si>
    <t>x1 = 2453. Green peaking probabilities (in Calculation of special peaking probabilities)</t>
  </si>
  <si>
    <t>x2 = 2453. Yellow peaking probabilities (in Calculation of special peaking probabilities)</t>
  </si>
  <si>
    <t>x3 = 2453. Black peaking probabilities (in Calculation of special peaking probabilities)</t>
  </si>
  <si>
    <t>2455. Special peaking probabilities by network level (reshaped)</t>
  </si>
  <si>
    <t>x1 = 2454. Special peaking probabilities by network level</t>
  </si>
  <si>
    <t>2456. Pseudo load coefficient by special time band and network level</t>
  </si>
  <si>
    <t>x1 = 2444. Annual hours by special distribution time band (reconciled to days in year) (in Adjust annual hours by special distribution time band to match days in year)</t>
  </si>
  <si>
    <t>x2 = 2452. Load coefficient correction factor for the group</t>
  </si>
  <si>
    <t>x3 = 2455. Special peaking probabilities by network level (reshaped)</t>
  </si>
  <si>
    <t>Pseudo load coefficient by special time band and network level</t>
  </si>
  <si>
    <t>2457. Unit rate 1 pseudo load coefficient by network level (special)</t>
  </si>
  <si>
    <t>x1 = 2456. Pseudo load coefficient by special time band and network level</t>
  </si>
  <si>
    <t>x2 = 2446. Split of rate 1 units between special distribution time bands</t>
  </si>
  <si>
    <t>2458. Unit rate 2 pseudo load coefficient by network level (special)</t>
  </si>
  <si>
    <t>x2 = 2447. Split of rate 2 units between special distribution time bands (default)</t>
  </si>
  <si>
    <t>2459. Unit rate 3 pseudo load coefficient by network level (special)</t>
  </si>
  <si>
    <t>x2 = 2448. Split of rate 3 units between special distribution time bands (default)</t>
  </si>
  <si>
    <t>2460. Unit rate 1 pseudo load coefficient by network level (combined)</t>
  </si>
  <si>
    <t>x1 = 2441. Unit rate 1 pseudo load coefficient by network level</t>
  </si>
  <si>
    <t>x2 = 2457. Unit rate 1 pseudo load coefficient by network level (special)</t>
  </si>
  <si>
    <t>2461. Unit rate 2 pseudo load coefficient by network level (combined)</t>
  </si>
  <si>
    <t>x1 = 2442. Unit rate 2 pseudo load coefficient by network level</t>
  </si>
  <si>
    <t>x2 = 2458. Unit rate 2 pseudo load coefficient by network level (special)</t>
  </si>
  <si>
    <t>2462. Unit rate 3 pseudo load coefficient by network level (combined)</t>
  </si>
  <si>
    <t>x1 = 2443. Unit rate 3 pseudo load coefficient by network level</t>
  </si>
  <si>
    <t>x2 = 2459. Unit rate 3 pseudo load coefficient by network level (special)</t>
  </si>
  <si>
    <t>x2 = 2460. Unit rate 1 pseudo load coefficient by network level (combined)</t>
  </si>
  <si>
    <t>x4 = 2461. Unit rate 2 pseudo load coefficient by network level (combined)</t>
  </si>
  <si>
    <t>x6 = 2462. Unit rate 3 pseudo load coefficient by network level (combined)</t>
  </si>
  <si>
    <t>x3 = 2202. LV unmetered service model assets £/(MWh/year)</t>
  </si>
  <si>
    <t>x1 = 2460. Unit rate 1 pseudo load coefficient by network level (combined)</t>
  </si>
  <si>
    <t>x1 = 2461. Unit rate 2 pseudo load coefficient by network level (combined)</t>
  </si>
  <si>
    <t>x1 = 2462. Unit rate 3 pseudo load coefficient by network level (combined)</t>
  </si>
  <si>
    <t>3103. Aggregate capacity (kW)</t>
  </si>
  <si>
    <t>3104. Aggregate number of users charged for capacity on an exit point basis</t>
  </si>
  <si>
    <t>x1 = 3104. Aggregate number of users charged for capacity on an exit point basis</t>
  </si>
  <si>
    <t>x2 = 3103. Aggregate capacity (kW)</t>
  </si>
  <si>
    <t>3201. Network use factors for generator reactive unit charges</t>
  </si>
  <si>
    <t>3202. Standard components p/kWh for reactive power (absolute value)</t>
  </si>
  <si>
    <t>3203. Standard reactive p/kVArh</t>
  </si>
  <si>
    <t>x1 = 3202. Standard components p/kWh for reactive power (absolute value)</t>
  </si>
  <si>
    <t>x6 = 3201. Network use factors for generator reactive unit charges</t>
  </si>
  <si>
    <t>x5 = 2203. LV unmetered service model asset charge (p/kWh) — for Tariffs with Unit rate 1 p/kWh from PAYG 1 kWh &amp; customer</t>
  </si>
  <si>
    <t>x4 = 2203. LV unmetered service model asset charge (p/kWh) — for Tariffs with Unit rate 2 p/kWh from PAYG 2 kWh &amp; customer</t>
  </si>
  <si>
    <t>x4 = 2203. LV unmetered service model asset charge (p/kWh) — for Tariffs with Unit rate 3 p/kWh from PAYG 3 kWh &amp; customer</t>
  </si>
  <si>
    <t>x2 = 3203. Standard reactive p/kVArh</t>
  </si>
  <si>
    <t>3504. Marginal revenue effect of scaler</t>
  </si>
  <si>
    <t>3505. Scaler value at which the minimum is breached</t>
  </si>
  <si>
    <t>x2 = 3504. Effect through Unit rate 1 p/kWh (in Marginal revenue effect of scaler)</t>
  </si>
  <si>
    <t>x3 = 3504. Effect through Unit rate 2 p/kWh (in Marginal revenue effect of scaler)</t>
  </si>
  <si>
    <t>x4 = 3504. Effect through Unit rate 3 p/kWh (in Marginal revenue effect of scaler)</t>
  </si>
  <si>
    <t>x5 = 3504. Effect through Fixed charge p/MPAN/day (in Marginal revenue effect of scaler)</t>
  </si>
  <si>
    <t>x6 = 3504. Effect through Capacity charge p/kVA/day (in Marginal revenue effect of scaler)</t>
  </si>
  <si>
    <t>x7 = 3504. Effect through Reactive power charge p/kVArh (in Marginal revenue effect of scaler)</t>
  </si>
  <si>
    <t>x2 = 3505. Scaler threshold for Unit rate 1 p/kWh (in Scaler value at which the minimum is breached)</t>
  </si>
  <si>
    <t>x3 = 3505. Scaler threshold for Unit rate 2 p/kWh (in Scaler value at which the minimum is breached)</t>
  </si>
  <si>
    <t>x4 = 3505. Scaler threshold for Unit rate 3 p/kWh (in Scaler value at which the minimum is breached)</t>
  </si>
  <si>
    <t>x5 = 3505. Scaler threshold for Fixed charge p/MPAN/day (in Scaler value at which the minimum is breached)</t>
  </si>
  <si>
    <t>x6 = 3505. Scaler threshold for Capacity charge p/kVA/day (in Scaler value at which the minimum is breached)</t>
  </si>
  <si>
    <t>x7 = 3505. Scaler threshold for Reactive power charge p/kVArh (in Scaler value at which the minimum is breached)</t>
  </si>
  <si>
    <t>x8 = Location (in Solve for General scaler rate)</t>
  </si>
  <si>
    <t>x9 = Kink (in Solve for General scaler rate)</t>
  </si>
  <si>
    <t>x10 = Ranking before tie break (in Solve for General scaler rate)</t>
  </si>
  <si>
    <t>x11 = Counter (in Solve for General scaler rate)</t>
  </si>
  <si>
    <t>x12 = Tie breaker (in Solve for General scaler rate)</t>
  </si>
  <si>
    <t>x13 = Ranking (in Solve for General scaler rate)</t>
  </si>
  <si>
    <t>x14 = Kink reordering (in Solve for General scaler rate)</t>
  </si>
  <si>
    <t>x15 = Starting slope contributions (in Solve for General scaler rate)</t>
  </si>
  <si>
    <t>x16 = New slope (in Solve for General scaler rate)</t>
  </si>
  <si>
    <t>x17 = Location (ordered) (in Solve for General scaler rate)</t>
  </si>
  <si>
    <t>x18 = Starting values (in Solve for General scaler rate)</t>
  </si>
  <si>
    <t>x19 = 3402. Revenue shortfall (surplus) £ (in Revenue surplus or shortfall)</t>
  </si>
  <si>
    <t>x20 = 3506. Constraint-free solution</t>
  </si>
  <si>
    <t>x21 = Value (in Solve for General scaler rate)</t>
  </si>
  <si>
    <t>=IF(ISERROR(x8),x9,0)</t>
  </si>
  <si>
    <t>=MAX(x1,x8)*x9</t>
  </si>
  <si>
    <t>=RANK(x8,x8,1)</t>
  </si>
  <si>
    <t>=x10*162+x11</t>
  </si>
  <si>
    <t>=RANK(x12,x12,1)</t>
  </si>
  <si>
    <t>=MATCH(x11,x13,0)</t>
  </si>
  <si>
    <t>=INDEX(x8,x14,1) or =x8</t>
  </si>
  <si>
    <t>Technical model rules and version control</t>
  </si>
  <si>
    <t>agghhequalisation: rag</t>
  </si>
  <si>
    <t>coincidenceAdj: groupums</t>
  </si>
  <si>
    <t>compact: 1</t>
  </si>
  <si>
    <t>protect: 0</t>
  </si>
  <si>
    <t>revisionText: r7055</t>
  </si>
  <si>
    <t>summary: arp</t>
  </si>
  <si>
    <t>template: '%-arp227+'</t>
  </si>
  <si>
    <t>unauth: ''</t>
  </si>
  <si>
    <t xml:space="preserve">  Ancillary/Validation.pm: fdb5a46b1b8fbd1573e33c165ae1cddec92c37ee</t>
  </si>
  <si>
    <t xml:space="preserve">  CDCM/AML.pm: b8e65799e0293d3f65d21d47e4c56b31688a9ab8</t>
  </si>
  <si>
    <t xml:space="preserve">  CDCM/Aggregation.pm: 372b53e6dba1fe9433020bbd13328009851a036a</t>
  </si>
  <si>
    <t xml:space="preserve">  CDCM/Contributions.pm: 59059a8d19bbfa52829fec34b5ea22693cd64085</t>
  </si>
  <si>
    <t xml:space="preserve">  CDCM/Discounts.pm: 7da37bdae365cee037cc886326918eeea537f8a9</t>
  </si>
  <si>
    <t xml:space="preserve">  CDCM/Loads.pm: 37ecb145b481f519789dd55df6b3abe350614bab</t>
  </si>
  <si>
    <t xml:space="preserve">  CDCM/Master.pm: 6beeb565422e1dc5aec583e69cf459cc95ca9ba9</t>
  </si>
  <si>
    <t xml:space="preserve">  CDCM/Matching.pm: a8a99513b1105ec79371ca31d8ca2d323cb517ca</t>
  </si>
  <si>
    <t xml:space="preserve">  CDCM/NetworkSizer.pm: 50def4231b67757f2bd222cc1579fa342876afd0</t>
  </si>
  <si>
    <t xml:space="preserve">  CDCM/Operating.pm: e01eeb096f43ab8cb183e26c30d2c1dc15d27a5d</t>
  </si>
  <si>
    <t xml:space="preserve">  CDCM/Reactive.pm: e2318e6ee9559bf7cd3cfcfff58c399eb12c866a</t>
  </si>
  <si>
    <t xml:space="preserve">  CDCM/Revenue.pm: bb9fa27043e2ec8edecdbd630bd6023962e87136</t>
  </si>
  <si>
    <t xml:space="preserve">  CDCM/Routeing.pm: b5f53b67c00da9f33b3134520ba4bdf36d12ccf7</t>
  </si>
  <si>
    <t xml:space="preserve">  CDCM/SML.pm: e7799175fb0b06ae377f08ff486dfb83205ab68c</t>
  </si>
  <si>
    <t xml:space="preserve">  CDCM/ServiceModels.pm: ef64ca7f9c557fd1ac7b71f36a3a643f83bf1d8f</t>
  </si>
  <si>
    <t xml:space="preserve">  CDCM/Setup.pm: f65c9424e5b82946dccbc0cc45cddf56423b1d24</t>
  </si>
  <si>
    <t xml:space="preserve">  CDCM/Sheets.pm: 4149570c5be0a4dd8f9e10a834377e6357b6b830</t>
  </si>
  <si>
    <t xml:space="preserve">  CDCM/Standing.pm: 0677863cc8c69940e82611a34f6a4cf6e6c938f6</t>
  </si>
  <si>
    <t xml:space="preserve">  CDCM/Summary.pm: d5ee870037a73fe4679e90776667206a16a8024e</t>
  </si>
  <si>
    <t xml:space="preserve">  CDCM/TariffList.pm: 5862c24646e9084505c961ce4882a61d76880847</t>
  </si>
  <si>
    <t xml:space="preserve">  CDCM/Tariffs.pm: 74408ddcb0ff951c20ab0d9e7295f437f444de05</t>
  </si>
  <si>
    <t xml:space="preserve">  CDCM/TimeOfDay179.pm: a73c7ed284224f9aee660d248df1208482914259</t>
  </si>
  <si>
    <t xml:space="preserve">  CDCM/Yardsticks.pm: 14fa4ca8c5e1b83888203f2a0a27b027b0e1be67</t>
  </si>
  <si>
    <t xml:space="preserve">  SpreadsheetModel/Arithmetic.pm: 629d127e38688ee0e58015f6e1ff913520351394</t>
  </si>
  <si>
    <t xml:space="preserve">  SpreadsheetModel/CalcBlock.pm: 838d832955c7671d8b9c042d855c105de22ef3c6</t>
  </si>
  <si>
    <t xml:space="preserve">  SpreadsheetModel/ColourCodeWriter.pm: 13c9e4e8d877a4dab61e9ab3ae26886bcad04914</t>
  </si>
  <si>
    <t xml:space="preserve">  SpreadsheetModel/Columnset.pm: 9c41f8f190c0de29b53089e92b30b4b05a4bf80b</t>
  </si>
  <si>
    <t xml:space="preserve">  SpreadsheetModel/Custom.pm: 64258a1a23160d1b05311a838e34f4078f7516be</t>
  </si>
  <si>
    <t xml:space="preserve">  SpreadsheetModel/Dataset.pm: b85f0e902b8bce62f21a95cc6d2dfe7e812b9739</t>
  </si>
  <si>
    <t xml:space="preserve">  SpreadsheetModel/GroupBy.pm: a05f4878f468a3191257c58c4711fc115bde7e7d</t>
  </si>
  <si>
    <t xml:space="preserve">  SpreadsheetModel/Labelset.pm: 04739284141966c1ce3b175d877edb97c79f48f4</t>
  </si>
  <si>
    <t xml:space="preserve">  SpreadsheetModel/Logger.pm: 504306d6f19faf478bdccc6fa8db41fc87859593</t>
  </si>
  <si>
    <t xml:space="preserve">  SpreadsheetModel/Notes.pm: 3d92bc2948537a675ba36a2fd72b6c965ac08d56</t>
  </si>
  <si>
    <t xml:space="preserve">  SpreadsheetModel/Object.pm: 1eb394612892d4786a4c6f6be1446bfaf92d9db0</t>
  </si>
  <si>
    <t xml:space="preserve">  SpreadsheetModel/Reshape.pm: 44d60329c15bdfdf839a71781406c921808898b4</t>
  </si>
  <si>
    <t xml:space="preserve">  SpreadsheetModel/SegmentRoot.pm: f684d07d04056e2553a5e46c1e78fe34c4ee6852</t>
  </si>
  <si>
    <t xml:space="preserve">  SpreadsheetModel/Shortcuts.pm: f067f969beb9395efdeaab6efe3241592b2908cc</t>
  </si>
  <si>
    <t xml:space="preserve">  SpreadsheetModel/Stack.pm: 05a927d320fe0b49a01b5d253723cf04175915ac</t>
  </si>
  <si>
    <t xml:space="preserve">  SpreadsheetModel/SumProduct.pm: 2ae76b5dc30c7b829aa206d41662d4147f4c1fa9</t>
  </si>
  <si>
    <t xml:space="preserve">  SpreadsheetModel/WorkbookCreate.pm: 67c6a52779375daf27c9f2efede9d45e753ca1eb</t>
  </si>
  <si>
    <t xml:space="preserve">  SpreadsheetModel/WorkbookFormats.pm: b20c126ad0c502a1d21ade0ff22c7e18fb4491db</t>
  </si>
  <si>
    <t>Generated on Tue 10 Nov 2015 16:59:52 by www.dcmf.co.uk</t>
  </si>
  <si>
    <t>x7 = 3801. Revenues from reactive power charges (£) (in Revenue summary)</t>
  </si>
  <si>
    <t>x6 = 3801. Revenues from capacity charges (£) (in Revenue summary)</t>
  </si>
  <si>
    <t>x5 = 3801. Revenues from fixed charges (£) (in Revenue summary)</t>
  </si>
  <si>
    <t>x4 = 3801. Revenues from unit rates (£) (in Revenue summary)</t>
  </si>
  <si>
    <t>x3 = 3801. Net revenues (£) (in Revenue summary)</t>
  </si>
  <si>
    <t>x2 = 3801. MPANs (in Revenue summary)</t>
  </si>
  <si>
    <t>x1 = 3801. All units (MWh) (in Revenue summary)</t>
  </si>
  <si>
    <t>3802. Revenue summary by tariff component</t>
  </si>
  <si>
    <t>x16 = MPANs (in Revenue summary)</t>
  </si>
  <si>
    <t>3801. Revenue summary</t>
  </si>
  <si>
    <t>2018/19</t>
  </si>
  <si>
    <t>2019/20</t>
  </si>
  <si>
    <t>2020/21</t>
  </si>
  <si>
    <t>2021/22</t>
  </si>
  <si>
    <t>Charges for year Y are set in Y-1 using historical data for the previous three years</t>
  </si>
  <si>
    <t>CDCM Annual Review Pack</t>
  </si>
  <si>
    <t xml:space="preserve">Black </t>
  </si>
  <si>
    <t>Finals</t>
  </si>
  <si>
    <t>Forecast</t>
  </si>
  <si>
    <t>West Mids</t>
  </si>
  <si>
    <t>WPD West Mids</t>
  </si>
  <si>
    <t>16:00 to 19:00</t>
  </si>
  <si>
    <t>No Change</t>
  </si>
  <si>
    <t>07:30 to 16:00</t>
  </si>
  <si>
    <t>19:00 to 21:00</t>
  </si>
  <si>
    <t>00:00 to 07:30</t>
  </si>
  <si>
    <t>00:00 to 24:00</t>
  </si>
  <si>
    <t>21:00 to 24:00</t>
  </si>
  <si>
    <t>07:30 to 21:00</t>
  </si>
  <si>
    <t>2, 3</t>
  </si>
  <si>
    <t>5, 6, 30</t>
  </si>
  <si>
    <t>35, 36</t>
  </si>
  <si>
    <t>8, 9, 13, 14, 15, 46, 47, 49, 107, 108, 109</t>
  </si>
  <si>
    <t>11, 12, 110, 111, 112</t>
  </si>
  <si>
    <t>41, 42</t>
  </si>
  <si>
    <t>20, 22, 25, 26, 27</t>
  </si>
  <si>
    <t>121, 124, 132</t>
  </si>
  <si>
    <t>1</t>
  </si>
  <si>
    <t>4</t>
  </si>
  <si>
    <t>34</t>
  </si>
  <si>
    <t>7</t>
  </si>
  <si>
    <t>10</t>
  </si>
  <si>
    <t>40</t>
  </si>
  <si>
    <t>21</t>
  </si>
  <si>
    <t>19</t>
  </si>
  <si>
    <t>322, 323</t>
  </si>
  <si>
    <t>127, 129</t>
  </si>
  <si>
    <t>128</t>
  </si>
  <si>
    <t>365, 367</t>
  </si>
  <si>
    <t>95</t>
  </si>
  <si>
    <t>96</t>
  </si>
  <si>
    <t>97</t>
  </si>
  <si>
    <t>98</t>
  </si>
  <si>
    <t>99</t>
  </si>
  <si>
    <t>625</t>
  </si>
  <si>
    <t>570</t>
  </si>
  <si>
    <t>571</t>
  </si>
  <si>
    <t>573</t>
  </si>
  <si>
    <t>572</t>
  </si>
  <si>
    <t>574</t>
  </si>
  <si>
    <t>575</t>
  </si>
  <si>
    <t>577</t>
  </si>
  <si>
    <t>Final</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</si>
</sst>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8" formatCode="&quot;£&quot;#,##0.00;[Red]\-&quot;£&quot;#,##0.00"/>
    <numFmt numFmtId="43" formatCode="_-* #,##0.00_-;\-* #,##0.00_-;_-* &quot;-&quot;??_-;_-@_-"/>
    <numFmt numFmtId="164" formatCode="\ _(???,???,??0.000_);[Red]\ \(???,???,??0.000\);;@"/>
    <numFmt numFmtId="165" formatCode="0.000;\-0.000;;@"/>
    <numFmt numFmtId="166" formatCode="\ _(???,???,??0_);[Red]\ \(???,???,??0\);;@"/>
    <numFmt numFmtId="167" formatCode="\ _(??0.0%_);[Red]\ \(??0.0%\);;@"/>
    <numFmt numFmtId="168" formatCode="\ _(???,???,??0.0_);[Red]\ \(???,???,??0.0\);;@"/>
    <numFmt numFmtId="169" formatCode="\ _(???,???,??0.00_);[Red]\ \(???,???,??0.00\);;@"/>
    <numFmt numFmtId="170" formatCode="[$-F800]dddd\,\ mmmm\ dd\,\ yyyy"/>
    <numFmt numFmtId="171" formatCode="0.0%"/>
    <numFmt numFmtId="172" formatCode="#,##0.0;[Red]\(#,##0.0\)"/>
    <numFmt numFmtId="173" formatCode="#,##0.0_ ;[Red]\-#,##0.0\ "/>
    <numFmt numFmtId="174" formatCode="0.0"/>
    <numFmt numFmtId="175" formatCode="#,##0.000;[Red]\(#,##0.000\)"/>
    <numFmt numFmtId="176" formatCode="#,##0.000_ ;[Red]\-#,##0.000\ "/>
    <numFmt numFmtId="177" formatCode="#,##0.00_ ;[Red]\-#,##0.00\ "/>
    <numFmt numFmtId="178" formatCode="_-* #,##0.000_-;\-* #,##0.000_-;_-* &quot;-&quot;??_-;_-@_-"/>
    <numFmt numFmtId="179" formatCode="_-* #,##0_-;\-* #,##0_-;_-* &quot;-&quot;??_-;_-@_-"/>
    <numFmt numFmtId="180" formatCode="_(??0.0%_);[Red]\(??0.0%\);_(???.?_%_)"/>
    <numFmt numFmtId="181" formatCode="0.000;\-0.000;"/>
    <numFmt numFmtId="182" formatCode="_(??0.0%_);[Red]\(??0.0%\);"/>
    <numFmt numFmtId="183" formatCode="#,##0_ ;[Red]\-#,##0\ "/>
    <numFmt numFmtId="184" formatCode="_(?,???,???,??0_);[Red]\(?,???,???,??0\);_(?,???,???,???_)"/>
    <numFmt numFmtId="185" formatCode="_(?,???,??0.000_);[Red]\(?,???,??0.000\);_(?,???,???.???_)"/>
    <numFmt numFmtId="186" formatCode="_(?,???,??0_);[Red]\(?,???,??0\);_(?,???,???_)"/>
    <numFmt numFmtId="187" formatCode="[Blue]0;[Red]\-0;;[Black]@"/>
    <numFmt numFmtId="188" formatCode="[Black]0;[Black]\-0;;[Black]@"/>
    <numFmt numFmtId="189" formatCode="[Black]\ _(??0.0%_);[Red]\ \(??0.0%\);;[Cyan]@"/>
    <numFmt numFmtId="190" formatCode="[Black]\ _(???,???,??0_);[Red]\ \(???,???,??0\);;[Cyan]@"/>
    <numFmt numFmtId="191" formatCode="[Black]\ _(???,??0.000_);[Red]\ \(???,??0.000\);;[Cyan]@"/>
    <numFmt numFmtId="192" formatCode="[Black]\ _(???,???,??0.0_);[Red]\ \(???,???,??0.0\);;[Cyan]@"/>
    <numFmt numFmtId="193" formatCode="[Black]\ _(???,??0.00000_);[Red]\ \(???,??0.00000\);;[Cyan]@"/>
    <numFmt numFmtId="194" formatCode="[Black]\ _(???,??0.00_);[Red]\ \(???,??0.00\);;[Cyan]@"/>
  </numFmts>
  <fonts count="55">
    <font>
      <sz val="11"/>
      <color theme="1"/>
      <name val="Calibri"/>
      <family val="2"/>
      <scheme val="minor"/>
    </font>
    <font>
      <b/>
      <sz val="15"/>
      <color theme="1"/>
      <name val="Calibri"/>
      <family val="2"/>
      <scheme val="minor"/>
    </font>
    <font>
      <b/>
      <sz val="11"/>
      <color theme="1"/>
      <name val="Calibri"/>
      <family val="2"/>
      <scheme val="minor"/>
    </font>
    <font>
      <sz val="11"/>
      <color rgb="FF800080"/>
      <name val="Calibri"/>
      <family val="2"/>
      <scheme val="minor"/>
    </font>
    <font>
      <u/>
      <sz val="11"/>
      <color rgb="FF0066CC"/>
      <name val="Calibri"/>
      <family val="2"/>
      <scheme val="minor"/>
    </font>
    <font>
      <i/>
      <sz val="11"/>
      <color theme="1"/>
      <name val="Calibri"/>
      <family val="2"/>
      <scheme val="minor"/>
    </font>
    <font>
      <sz val="11"/>
      <color theme="1"/>
      <name val="Calibri"/>
      <family val="2"/>
      <scheme val="minor"/>
    </font>
    <font>
      <sz val="10"/>
      <name val="Arial"/>
      <family val="2"/>
    </font>
    <font>
      <b/>
      <sz val="10"/>
      <name val="Arial"/>
      <family val="2"/>
    </font>
    <font>
      <b/>
      <u/>
      <sz val="18"/>
      <name val="Arial"/>
      <family val="2"/>
    </font>
    <font>
      <sz val="10"/>
      <color theme="1"/>
      <name val="Arial"/>
      <family val="2"/>
    </font>
    <font>
      <u/>
      <sz val="10"/>
      <color indexed="12"/>
      <name val="Arial"/>
      <family val="2"/>
    </font>
    <font>
      <sz val="11"/>
      <name val="CG Omega"/>
      <family val="2"/>
    </font>
    <font>
      <sz val="10"/>
      <name val="Verdana"/>
      <family val="2"/>
    </font>
    <font>
      <b/>
      <u/>
      <sz val="16"/>
      <color indexed="60"/>
      <name val="Arial"/>
      <family val="2"/>
    </font>
    <font>
      <sz val="12"/>
      <color indexed="8"/>
      <name val="Times New Roman"/>
      <family val="1"/>
    </font>
    <font>
      <b/>
      <sz val="12"/>
      <color indexed="8"/>
      <name val="Times New Roman"/>
      <family val="1"/>
    </font>
    <font>
      <sz val="12"/>
      <name val="Times New Roman"/>
      <family val="1"/>
    </font>
    <font>
      <b/>
      <sz val="12"/>
      <name val="Times New Roman"/>
      <family val="1"/>
    </font>
    <font>
      <b/>
      <sz val="12"/>
      <color theme="1"/>
      <name val="Times New Roman"/>
      <family val="1"/>
    </font>
    <font>
      <i/>
      <sz val="12"/>
      <name val="Times New Roman"/>
      <family val="1"/>
    </font>
    <font>
      <b/>
      <u/>
      <sz val="12"/>
      <name val="Times New Roman"/>
      <family val="1"/>
    </font>
    <font>
      <sz val="10"/>
      <name val="Tw Cen MT"/>
      <family val="2"/>
    </font>
    <font>
      <sz val="9"/>
      <name val="Tw Cen MT"/>
      <family val="2"/>
    </font>
    <font>
      <b/>
      <sz val="10"/>
      <name val="Tw Cen MT"/>
      <family val="2"/>
    </font>
    <font>
      <sz val="9"/>
      <name val="Arial"/>
      <family val="2"/>
    </font>
    <font>
      <b/>
      <sz val="14"/>
      <color indexed="12"/>
      <name val="Tw Cen MT"/>
      <family val="2"/>
    </font>
    <font>
      <b/>
      <sz val="14"/>
      <name val="Tw Cen MT"/>
      <family val="2"/>
    </font>
    <font>
      <b/>
      <sz val="10"/>
      <color indexed="9"/>
      <name val="Tw Cen MT"/>
      <family val="2"/>
    </font>
    <font>
      <b/>
      <sz val="12"/>
      <name val="Arial"/>
      <family val="2"/>
    </font>
    <font>
      <sz val="12"/>
      <name val="Arial"/>
      <family val="2"/>
    </font>
    <font>
      <b/>
      <sz val="8"/>
      <color indexed="81"/>
      <name val="Tahoma"/>
      <family val="2"/>
    </font>
    <font>
      <sz val="8"/>
      <color indexed="81"/>
      <name val="Tahoma"/>
      <family val="2"/>
    </font>
    <font>
      <sz val="10"/>
      <name val="Calibri"/>
      <family val="2"/>
      <scheme val="minor"/>
    </font>
    <font>
      <b/>
      <sz val="10"/>
      <name val="Calibri"/>
      <family val="2"/>
      <scheme val="minor"/>
    </font>
    <font>
      <b/>
      <sz val="12"/>
      <color indexed="12"/>
      <name val="Arial"/>
      <family val="2"/>
    </font>
    <font>
      <b/>
      <sz val="11"/>
      <name val="Calibri"/>
      <family val="2"/>
      <scheme val="minor"/>
    </font>
    <font>
      <b/>
      <sz val="12"/>
      <name val="Calibri"/>
      <family val="2"/>
      <scheme val="minor"/>
    </font>
    <font>
      <b/>
      <sz val="14"/>
      <color theme="1"/>
      <name val="Calibri"/>
      <family val="2"/>
      <scheme val="minor"/>
    </font>
    <font>
      <sz val="11"/>
      <color indexed="20"/>
      <name val="Arial"/>
      <family val="2"/>
    </font>
    <font>
      <b/>
      <sz val="10"/>
      <color indexed="12"/>
      <name val="Arial"/>
      <family val="2"/>
    </font>
    <font>
      <b/>
      <sz val="14"/>
      <name val="Arial"/>
      <family val="2"/>
    </font>
    <font>
      <b/>
      <u/>
      <sz val="10"/>
      <name val="Arial"/>
      <family val="2"/>
    </font>
    <font>
      <sz val="10"/>
      <color indexed="20"/>
      <name val="Arial"/>
      <family val="2"/>
    </font>
    <font>
      <b/>
      <sz val="13"/>
      <name val="Arial"/>
      <family val="2"/>
    </font>
    <font>
      <u/>
      <sz val="11"/>
      <color theme="11"/>
      <name val="Calibri"/>
      <family val="2"/>
      <scheme val="minor"/>
    </font>
    <font>
      <b/>
      <sz val="10"/>
      <color indexed="53"/>
      <name val="Arial"/>
      <family val="2"/>
    </font>
    <font>
      <u/>
      <sz val="10"/>
      <name val="Arial"/>
      <family val="2"/>
    </font>
    <font>
      <b/>
      <sz val="10"/>
      <color theme="1"/>
      <name val="Calibri"/>
      <family val="2"/>
      <scheme val="minor"/>
    </font>
    <font>
      <u/>
      <sz val="15"/>
      <name val="Arial"/>
      <family val="2"/>
    </font>
    <font>
      <b/>
      <sz val="10"/>
      <color rgb="FFFFFF00"/>
      <name val="Arial"/>
      <family val="2"/>
    </font>
    <font>
      <b/>
      <sz val="12"/>
      <color rgb="FFFFFF00"/>
      <name val="Arial"/>
      <family val="2"/>
    </font>
    <font>
      <sz val="8"/>
      <name val="Calibri"/>
      <family val="2"/>
      <scheme val="minor"/>
    </font>
    <font>
      <u/>
      <sz val="11"/>
      <color theme="10"/>
      <name val="Calibri"/>
      <family val="2"/>
      <scheme val="minor"/>
    </font>
    <font>
      <sz val="11"/>
      <color rgb="FFFF00FF"/>
      <name val="Calibri"/>
      <family val="2"/>
      <scheme val="minor"/>
    </font>
  </fonts>
  <fills count="26">
    <fill>
      <patternFill patternType="none"/>
    </fill>
    <fill>
      <patternFill patternType="gray125"/>
    </fill>
    <fill>
      <patternFill patternType="solid">
        <fgColor rgb="FFFFCC99"/>
        <bgColor indexed="64"/>
      </patternFill>
    </fill>
    <fill>
      <patternFill patternType="solid">
        <fgColor rgb="FFCCFFFF"/>
        <bgColor indexed="64"/>
      </patternFill>
    </fill>
    <fill>
      <patternFill patternType="solid">
        <fgColor rgb="FFE9E9E9"/>
        <bgColor indexed="64"/>
      </patternFill>
    </fill>
    <fill>
      <patternFill patternType="solid">
        <fgColor rgb="FFFFFFCC"/>
        <bgColor indexed="64"/>
      </patternFill>
    </fill>
    <fill>
      <patternFill patternType="solid">
        <fgColor rgb="FFCCFFCC"/>
        <bgColor indexed="64"/>
      </patternFill>
    </fill>
    <fill>
      <patternFill patternType="lightGrid">
        <fgColor rgb="FFE9E9E9"/>
        <bgColor rgb="FFFFFFFF"/>
      </patternFill>
    </fill>
    <fill>
      <patternFill patternType="lightUp">
        <fgColor rgb="FFE9E9E9"/>
        <bgColor rgb="FFFFFFFF"/>
      </patternFill>
    </fill>
    <fill>
      <patternFill patternType="solid">
        <fgColor theme="0"/>
        <bgColor indexed="64"/>
      </patternFill>
    </fill>
    <fill>
      <patternFill patternType="solid">
        <fgColor theme="0" tint="-0.14999847407452621"/>
        <bgColor indexed="64"/>
      </patternFill>
    </fill>
    <fill>
      <patternFill patternType="solid">
        <fgColor indexed="22"/>
        <bgColor indexed="64"/>
      </patternFill>
    </fill>
    <fill>
      <patternFill patternType="solid">
        <fgColor indexed="47"/>
        <bgColor indexed="64"/>
      </patternFill>
    </fill>
    <fill>
      <patternFill patternType="solid">
        <fgColor indexed="41"/>
        <bgColor indexed="64"/>
      </patternFill>
    </fill>
    <fill>
      <patternFill patternType="solid">
        <fgColor theme="3" tint="0.39997558519241921"/>
        <bgColor indexed="64"/>
      </patternFill>
    </fill>
    <fill>
      <patternFill patternType="lightGrid">
        <fgColor indexed="22"/>
      </patternFill>
    </fill>
    <fill>
      <patternFill patternType="solid">
        <fgColor rgb="FFFFFFFF"/>
        <bgColor indexed="64"/>
      </patternFill>
    </fill>
    <fill>
      <patternFill patternType="solid">
        <fgColor indexed="60"/>
        <bgColor indexed="64"/>
      </patternFill>
    </fill>
    <fill>
      <patternFill patternType="solid">
        <fgColor indexed="26"/>
        <bgColor indexed="64"/>
      </patternFill>
    </fill>
    <fill>
      <patternFill patternType="solid">
        <fgColor theme="9" tint="0.39997558519241921"/>
        <bgColor indexed="64"/>
      </patternFill>
    </fill>
    <fill>
      <patternFill patternType="solid">
        <fgColor theme="1" tint="0.14999847407452621"/>
        <bgColor indexed="64"/>
      </patternFill>
    </fill>
    <fill>
      <patternFill patternType="solid">
        <fgColor indexed="9"/>
        <bgColor indexed="64"/>
      </patternFill>
    </fill>
    <fill>
      <patternFill patternType="solid">
        <fgColor rgb="FF4579C9"/>
        <bgColor indexed="64"/>
      </patternFill>
    </fill>
    <fill>
      <patternFill patternType="solid">
        <fgColor rgb="FFC5FFFF"/>
        <bgColor indexed="64"/>
      </patternFill>
    </fill>
    <fill>
      <patternFill patternType="solid">
        <fgColor theme="1"/>
        <bgColor indexed="64"/>
      </patternFill>
    </fill>
    <fill>
      <patternFill patternType="solid">
        <fgColor rgb="FF000000"/>
        <bgColor rgb="FF000000"/>
      </patternFill>
    </fill>
  </fills>
  <borders count="49">
    <border>
      <left/>
      <right/>
      <top/>
      <bottom/>
      <diagonal/>
    </border>
    <border>
      <left/>
      <right/>
      <top style="dashed">
        <color rgb="FF800080"/>
      </top>
      <bottom style="dashed">
        <color rgb="FF800080"/>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style="medium">
        <color auto="1"/>
      </left>
      <right/>
      <top/>
      <bottom style="thin">
        <color auto="1"/>
      </bottom>
      <diagonal/>
    </border>
    <border>
      <left style="medium">
        <color auto="1"/>
      </left>
      <right/>
      <top style="medium">
        <color auto="1"/>
      </top>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bottom style="medium">
        <color auto="1"/>
      </bottom>
      <diagonal/>
    </border>
    <border>
      <left/>
      <right/>
      <top/>
      <bottom style="medium">
        <color auto="1"/>
      </bottom>
      <diagonal/>
    </border>
    <border>
      <left/>
      <right style="medium">
        <color auto="1"/>
      </right>
      <top/>
      <bottom/>
      <diagonal/>
    </border>
    <border>
      <left style="medium">
        <color auto="1"/>
      </left>
      <right/>
      <top/>
      <bottom/>
      <diagonal/>
    </border>
    <border>
      <left style="thin">
        <color auto="1"/>
      </left>
      <right style="medium">
        <color auto="1"/>
      </right>
      <top style="medium">
        <color auto="1"/>
      </top>
      <bottom style="thin">
        <color auto="1"/>
      </bottom>
      <diagonal/>
    </border>
    <border>
      <left style="dashed">
        <color indexed="20"/>
      </left>
      <right/>
      <top style="dashed">
        <color indexed="20"/>
      </top>
      <bottom style="dashed">
        <color indexed="20"/>
      </bottom>
      <diagonal/>
    </border>
    <border>
      <left/>
      <right style="medium">
        <color auto="1"/>
      </right>
      <top style="medium">
        <color auto="1"/>
      </top>
      <bottom/>
      <diagonal/>
    </border>
    <border>
      <left/>
      <right/>
      <top style="medium">
        <color auto="1"/>
      </top>
      <bottom/>
      <diagonal/>
    </border>
    <border>
      <left/>
      <right style="thin">
        <color auto="1"/>
      </right>
      <top style="thin">
        <color auto="1"/>
      </top>
      <bottom style="medium">
        <color auto="1"/>
      </bottom>
      <diagonal/>
    </border>
    <border>
      <left/>
      <right/>
      <top style="thin">
        <color auto="1"/>
      </top>
      <bottom style="medium">
        <color auto="1"/>
      </bottom>
      <diagonal/>
    </border>
    <border>
      <left/>
      <right/>
      <top style="dashed">
        <color indexed="20"/>
      </top>
      <bottom style="dashed">
        <color indexed="20"/>
      </bottom>
      <diagonal/>
    </border>
  </borders>
  <cellStyleXfs count="288">
    <xf numFmtId="0" fontId="0" fillId="0" borderId="0"/>
    <xf numFmtId="0" fontId="7" fillId="0" borderId="0"/>
    <xf numFmtId="0" fontId="7" fillId="0" borderId="0"/>
    <xf numFmtId="43" fontId="7" fillId="0" borderId="0" applyFont="0" applyFill="0" applyBorder="0" applyAlignment="0" applyProtection="0"/>
    <xf numFmtId="43" fontId="10" fillId="0" borderId="0" applyFont="0" applyFill="0" applyBorder="0" applyAlignment="0" applyProtection="0"/>
    <xf numFmtId="0" fontId="11" fillId="0" borderId="0" applyNumberFormat="0" applyFill="0" applyBorder="0" applyAlignment="0" applyProtection="0">
      <alignment vertical="top"/>
      <protection locked="0"/>
    </xf>
    <xf numFmtId="0" fontId="12" fillId="0" borderId="0"/>
    <xf numFmtId="0" fontId="6" fillId="0" borderId="0"/>
    <xf numFmtId="0" fontId="12" fillId="0" borderId="0">
      <alignment vertical="top"/>
    </xf>
    <xf numFmtId="0" fontId="10" fillId="0" borderId="0"/>
    <xf numFmtId="0" fontId="10" fillId="0" borderId="0"/>
    <xf numFmtId="0" fontId="13" fillId="0" borderId="0"/>
    <xf numFmtId="9" fontId="7"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53" fillId="0" borderId="0" applyNumberFormat="0" applyFill="0" applyBorder="0" applyAlignment="0" applyProtection="0"/>
  </cellStyleXfs>
  <cellXfs count="388">
    <xf numFmtId="0" fontId="0" fillId="0" borderId="0" xfId="0"/>
    <xf numFmtId="49" fontId="1" fillId="0" borderId="0" xfId="0" applyNumberFormat="1" applyFont="1" applyAlignment="1">
      <alignment horizontal="left"/>
    </xf>
    <xf numFmtId="49" fontId="0" fillId="0" borderId="0" xfId="0" applyNumberFormat="1" applyAlignment="1">
      <alignment horizontal="left" vertical="center"/>
    </xf>
    <xf numFmtId="49" fontId="2" fillId="2" borderId="0" xfId="0" applyNumberFormat="1" applyFont="1" applyFill="1" applyAlignment="1">
      <alignment horizontal="center" vertical="center" wrapText="1"/>
    </xf>
    <xf numFmtId="164" fontId="0" fillId="3" borderId="0" xfId="0" applyNumberFormat="1" applyFill="1" applyAlignment="1" applyProtection="1">
      <alignment horizontal="center" vertical="center"/>
      <protection locked="0"/>
    </xf>
    <xf numFmtId="164" fontId="0" fillId="4" borderId="0" xfId="0" applyNumberFormat="1" applyFill="1" applyAlignment="1">
      <alignment horizontal="center" vertical="center"/>
    </xf>
    <xf numFmtId="165" fontId="0" fillId="7" borderId="0" xfId="0" applyNumberFormat="1" applyFill="1" applyAlignment="1" applyProtection="1">
      <alignment horizontal="center" vertical="center"/>
      <protection locked="0"/>
    </xf>
    <xf numFmtId="0" fontId="3" fillId="0" borderId="1" xfId="0" applyFont="1" applyBorder="1" applyAlignment="1" applyProtection="1">
      <alignment vertical="center"/>
      <protection locked="0"/>
    </xf>
    <xf numFmtId="49" fontId="2" fillId="2" borderId="0" xfId="0" applyNumberFormat="1" applyFont="1" applyFill="1" applyAlignment="1">
      <alignment horizontal="left" vertical="center" wrapText="1"/>
    </xf>
    <xf numFmtId="49" fontId="0" fillId="3" borderId="0" xfId="0" applyNumberFormat="1" applyFill="1" applyAlignment="1" applyProtection="1">
      <alignment horizontal="left" vertical="center" wrapText="1"/>
      <protection locked="0"/>
    </xf>
    <xf numFmtId="166" fontId="0" fillId="3" borderId="0" xfId="0" applyNumberFormat="1" applyFill="1" applyAlignment="1" applyProtection="1">
      <alignment horizontal="center" vertical="center"/>
      <protection locked="0"/>
    </xf>
    <xf numFmtId="167" fontId="0" fillId="3" borderId="0" xfId="0" applyNumberFormat="1" applyFill="1" applyAlignment="1" applyProtection="1">
      <alignment horizontal="center" vertical="center"/>
      <protection locked="0"/>
    </xf>
    <xf numFmtId="49" fontId="5" fillId="2" borderId="0" xfId="0" applyNumberFormat="1" applyFont="1" applyFill="1" applyAlignment="1">
      <alignment horizontal="left" vertical="center" wrapText="1"/>
    </xf>
    <xf numFmtId="0" fontId="0" fillId="0" borderId="0" xfId="0" applyAlignment="1" applyProtection="1">
      <alignment vertical="center"/>
      <protection locked="0"/>
    </xf>
    <xf numFmtId="168" fontId="0" fillId="3" borderId="0" xfId="0" applyNumberFormat="1" applyFill="1" applyAlignment="1" applyProtection="1">
      <alignment horizontal="center" vertical="center"/>
      <protection locked="0"/>
    </xf>
    <xf numFmtId="49" fontId="5" fillId="2" borderId="2" xfId="0" applyNumberFormat="1" applyFont="1" applyFill="1" applyBorder="1" applyAlignment="1">
      <alignment horizontal="centerContinuous" vertical="center" wrapText="1"/>
    </xf>
    <xf numFmtId="0" fontId="7" fillId="0" borderId="0" xfId="1" applyAlignment="1">
      <alignment vertical="center"/>
    </xf>
    <xf numFmtId="0" fontId="7" fillId="0" borderId="0" xfId="1" applyAlignment="1">
      <alignment horizontal="right" vertical="center"/>
    </xf>
    <xf numFmtId="0" fontId="0" fillId="0" borderId="3" xfId="1" applyFont="1" applyBorder="1" applyAlignment="1">
      <alignment vertical="center"/>
    </xf>
    <xf numFmtId="0" fontId="7" fillId="0" borderId="3" xfId="1" applyBorder="1" applyAlignment="1">
      <alignment vertical="center"/>
    </xf>
    <xf numFmtId="0" fontId="7" fillId="0" borderId="3" xfId="1" applyFill="1" applyBorder="1" applyAlignment="1">
      <alignment vertical="center"/>
    </xf>
    <xf numFmtId="0" fontId="8" fillId="0" borderId="3" xfId="1" applyFont="1" applyBorder="1" applyAlignment="1">
      <alignment vertical="center"/>
    </xf>
    <xf numFmtId="0" fontId="8" fillId="0" borderId="0" xfId="1" applyFont="1" applyAlignment="1">
      <alignment vertical="center"/>
    </xf>
    <xf numFmtId="170" fontId="7" fillId="0" borderId="0" xfId="1" applyNumberFormat="1" applyAlignment="1">
      <alignment horizontal="left" vertical="center"/>
    </xf>
    <xf numFmtId="0" fontId="7" fillId="0" borderId="0" xfId="1" applyAlignment="1">
      <alignment horizontal="left" vertical="center"/>
    </xf>
    <xf numFmtId="0" fontId="9" fillId="0" borderId="0" xfId="1" applyFont="1" applyAlignment="1">
      <alignment vertical="center"/>
    </xf>
    <xf numFmtId="0" fontId="7" fillId="0" borderId="0" xfId="1"/>
    <xf numFmtId="0" fontId="8" fillId="0" borderId="0" xfId="1" applyFont="1"/>
    <xf numFmtId="0" fontId="7" fillId="0" borderId="0" xfId="1" applyFont="1"/>
    <xf numFmtId="0" fontId="7" fillId="0" borderId="0" xfId="1" applyFill="1" applyBorder="1" applyAlignment="1">
      <alignment wrapText="1"/>
    </xf>
    <xf numFmtId="0" fontId="14" fillId="0" borderId="0" xfId="1" applyFont="1" applyFill="1"/>
    <xf numFmtId="0" fontId="7" fillId="0" borderId="0" xfId="7" applyFont="1" applyBorder="1"/>
    <xf numFmtId="0" fontId="15" fillId="0" borderId="3" xfId="7" applyFont="1" applyBorder="1" applyAlignment="1">
      <alignment horizontal="left" vertical="center" wrapText="1"/>
    </xf>
    <xf numFmtId="171" fontId="16" fillId="0" borderId="3" xfId="14" applyNumberFormat="1" applyFont="1" applyBorder="1" applyAlignment="1">
      <alignment horizontal="center" vertical="center" wrapText="1"/>
    </xf>
    <xf numFmtId="0" fontId="17" fillId="0" borderId="3" xfId="7" applyFont="1" applyBorder="1" applyAlignment="1">
      <alignment horizontal="center" vertical="center" wrapText="1"/>
    </xf>
    <xf numFmtId="0" fontId="17" fillId="0" borderId="3" xfId="7" applyFont="1" applyFill="1" applyBorder="1" applyAlignment="1">
      <alignment vertical="center" wrapText="1"/>
    </xf>
    <xf numFmtId="172" fontId="17" fillId="0" borderId="3" xfId="7" applyNumberFormat="1" applyFont="1" applyBorder="1" applyAlignment="1">
      <alignment horizontal="left" vertical="center" wrapText="1"/>
    </xf>
    <xf numFmtId="171" fontId="18" fillId="0" borderId="3" xfId="14" applyNumberFormat="1" applyFont="1" applyBorder="1" applyAlignment="1">
      <alignment horizontal="center" vertical="center" wrapText="1"/>
    </xf>
    <xf numFmtId="173" fontId="18" fillId="0" borderId="3" xfId="7" applyNumberFormat="1" applyFont="1" applyBorder="1" applyAlignment="1">
      <alignment horizontal="center" vertical="center" wrapText="1"/>
    </xf>
    <xf numFmtId="172" fontId="19" fillId="10" borderId="3" xfId="7" applyNumberFormat="1" applyFont="1" applyFill="1" applyBorder="1" applyAlignment="1">
      <alignment horizontal="left" vertical="center" wrapText="1"/>
    </xf>
    <xf numFmtId="173" fontId="19" fillId="10" borderId="3" xfId="7" applyNumberFormat="1" applyFont="1" applyFill="1" applyBorder="1" applyAlignment="1">
      <alignment horizontal="center" vertical="center" wrapText="1"/>
    </xf>
    <xf numFmtId="0" fontId="18" fillId="10" borderId="3" xfId="7" applyFont="1" applyFill="1" applyBorder="1" applyAlignment="1">
      <alignment vertical="center" wrapText="1"/>
    </xf>
    <xf numFmtId="0" fontId="19" fillId="10" borderId="3" xfId="7" applyFont="1" applyFill="1" applyBorder="1" applyAlignment="1">
      <alignment vertical="center" wrapText="1"/>
    </xf>
    <xf numFmtId="172" fontId="18" fillId="10" borderId="3" xfId="7" applyNumberFormat="1" applyFont="1" applyFill="1" applyBorder="1" applyAlignment="1">
      <alignment horizontal="left" vertical="center" wrapText="1"/>
    </xf>
    <xf numFmtId="173" fontId="18" fillId="10" borderId="3" xfId="7" applyNumberFormat="1" applyFont="1" applyFill="1" applyBorder="1" applyAlignment="1">
      <alignment horizontal="center" vertical="center" wrapText="1"/>
    </xf>
    <xf numFmtId="0" fontId="18" fillId="10" borderId="3" xfId="7" applyFont="1" applyFill="1" applyBorder="1" applyAlignment="1">
      <alignment horizontal="center" vertical="center" wrapText="1"/>
    </xf>
    <xf numFmtId="0" fontId="20" fillId="0" borderId="3" xfId="7" applyFont="1" applyFill="1" applyBorder="1" applyAlignment="1">
      <alignment vertical="center" wrapText="1"/>
    </xf>
    <xf numFmtId="0" fontId="17" fillId="0" borderId="3" xfId="7" applyFont="1" applyBorder="1" applyAlignment="1">
      <alignment vertical="center" wrapText="1"/>
    </xf>
    <xf numFmtId="0" fontId="17" fillId="10" borderId="3" xfId="7" applyFont="1" applyFill="1" applyBorder="1" applyAlignment="1">
      <alignment vertical="center" wrapText="1"/>
    </xf>
    <xf numFmtId="0" fontId="18" fillId="10" borderId="15" xfId="7" applyFont="1" applyFill="1" applyBorder="1" applyAlignment="1">
      <alignment vertical="center" wrapText="1"/>
    </xf>
    <xf numFmtId="0" fontId="20" fillId="9" borderId="3" xfId="7" applyFont="1" applyFill="1" applyBorder="1" applyAlignment="1">
      <alignment vertical="center" wrapText="1"/>
    </xf>
    <xf numFmtId="0" fontId="17" fillId="9" borderId="3" xfId="7" applyFont="1" applyFill="1" applyBorder="1" applyAlignment="1">
      <alignment vertical="center" wrapText="1"/>
    </xf>
    <xf numFmtId="0" fontId="17" fillId="0" borderId="3" xfId="7" applyFont="1" applyFill="1" applyBorder="1" applyAlignment="1">
      <alignment horizontal="center" vertical="center" wrapText="1"/>
    </xf>
    <xf numFmtId="0" fontId="18" fillId="10" borderId="4" xfId="7" applyFont="1" applyFill="1" applyBorder="1" applyAlignment="1">
      <alignment vertical="center" wrapText="1"/>
    </xf>
    <xf numFmtId="0" fontId="19" fillId="10" borderId="6" xfId="7" applyFont="1" applyFill="1" applyBorder="1" applyAlignment="1">
      <alignment vertical="center" wrapText="1"/>
    </xf>
    <xf numFmtId="174" fontId="15" fillId="10" borderId="3" xfId="7" applyNumberFormat="1" applyFont="1" applyFill="1" applyBorder="1" applyAlignment="1">
      <alignment horizontal="left" vertical="center" wrapText="1"/>
    </xf>
    <xf numFmtId="0" fontId="18" fillId="10" borderId="6" xfId="7" applyFont="1" applyFill="1" applyBorder="1" applyAlignment="1">
      <alignment vertical="center" wrapText="1"/>
    </xf>
    <xf numFmtId="172" fontId="17" fillId="10" borderId="3" xfId="7" applyNumberFormat="1" applyFont="1" applyFill="1" applyBorder="1" applyAlignment="1">
      <alignment horizontal="left" vertical="center" wrapText="1"/>
    </xf>
    <xf numFmtId="0" fontId="18" fillId="10" borderId="3" xfId="7" quotePrefix="1" applyFont="1" applyFill="1" applyBorder="1" applyAlignment="1">
      <alignment horizontal="center" vertical="center" wrapText="1"/>
    </xf>
    <xf numFmtId="0" fontId="15" fillId="9" borderId="3" xfId="7" applyFont="1" applyFill="1" applyBorder="1" applyAlignment="1">
      <alignment horizontal="left" vertical="center" wrapText="1"/>
    </xf>
    <xf numFmtId="0" fontId="17" fillId="0" borderId="3" xfId="11" applyFont="1" applyBorder="1" applyAlignment="1">
      <alignment horizontal="center" vertical="center" wrapText="1"/>
    </xf>
    <xf numFmtId="0" fontId="15" fillId="0" borderId="3" xfId="7" applyFont="1" applyFill="1" applyBorder="1" applyAlignment="1">
      <alignment horizontal="left" vertical="center" wrapText="1"/>
    </xf>
    <xf numFmtId="0" fontId="17" fillId="0" borderId="3" xfId="7" quotePrefix="1" applyFont="1" applyBorder="1" applyAlignment="1">
      <alignment horizontal="center" vertical="center" wrapText="1"/>
    </xf>
    <xf numFmtId="0" fontId="17" fillId="9" borderId="3" xfId="7" applyFont="1" applyFill="1" applyBorder="1" applyAlignment="1">
      <alignment horizontal="center" vertical="center" wrapText="1"/>
    </xf>
    <xf numFmtId="0" fontId="18" fillId="10" borderId="16" xfId="7" applyFont="1" applyFill="1" applyBorder="1" applyAlignment="1">
      <alignment vertical="center" wrapText="1"/>
    </xf>
    <xf numFmtId="175" fontId="17" fillId="0" borderId="3" xfId="7" applyNumberFormat="1" applyFont="1" applyBorder="1" applyAlignment="1">
      <alignment horizontal="left" vertical="center" wrapText="1"/>
    </xf>
    <xf numFmtId="172" fontId="18" fillId="0" borderId="6" xfId="7" applyNumberFormat="1" applyFont="1" applyFill="1" applyBorder="1" applyAlignment="1">
      <alignment horizontal="center" vertical="center" wrapText="1"/>
    </xf>
    <xf numFmtId="0" fontId="18" fillId="0" borderId="3" xfId="7" applyFont="1" applyFill="1" applyBorder="1" applyAlignment="1">
      <alignment horizontal="center" vertical="center" wrapText="1"/>
    </xf>
    <xf numFmtId="0" fontId="18" fillId="0" borderId="6" xfId="7" applyFont="1" applyFill="1" applyBorder="1" applyAlignment="1">
      <alignment horizontal="center" vertical="center" wrapText="1"/>
    </xf>
    <xf numFmtId="172" fontId="17" fillId="0" borderId="3" xfId="7" applyNumberFormat="1" applyFont="1" applyFill="1" applyBorder="1" applyAlignment="1">
      <alignment horizontal="center" vertical="center" wrapText="1"/>
    </xf>
    <xf numFmtId="172" fontId="18" fillId="0" borderId="6" xfId="7" quotePrefix="1" applyNumberFormat="1" applyFont="1" applyFill="1" applyBorder="1" applyAlignment="1">
      <alignment horizontal="center" vertical="center" wrapText="1"/>
    </xf>
    <xf numFmtId="0" fontId="17" fillId="0" borderId="0" xfId="7" applyFont="1" applyAlignment="1">
      <alignment vertical="center"/>
    </xf>
    <xf numFmtId="0" fontId="18" fillId="0" borderId="0" xfId="7" applyFont="1" applyAlignment="1">
      <alignment horizontal="center" vertical="center"/>
    </xf>
    <xf numFmtId="0" fontId="17" fillId="0" borderId="0" xfId="7" applyFont="1" applyAlignment="1">
      <alignment horizontal="center" vertical="center"/>
    </xf>
    <xf numFmtId="0" fontId="18" fillId="0" borderId="0" xfId="7" applyFont="1" applyAlignment="1">
      <alignment vertical="center"/>
    </xf>
    <xf numFmtId="0" fontId="21" fillId="0" borderId="0" xfId="7" applyFont="1" applyAlignment="1">
      <alignment vertical="center"/>
    </xf>
    <xf numFmtId="0" fontId="22" fillId="0" borderId="0" xfId="1" applyFont="1"/>
    <xf numFmtId="0" fontId="22" fillId="0" borderId="0" xfId="1" applyFont="1" applyAlignment="1">
      <alignment horizontal="center" vertical="center" wrapText="1"/>
    </xf>
    <xf numFmtId="0" fontId="22" fillId="0" borderId="0" xfId="1" applyFont="1" applyAlignment="1">
      <alignment horizontal="center"/>
    </xf>
    <xf numFmtId="177" fontId="23" fillId="11" borderId="3" xfId="1" applyNumberFormat="1" applyFont="1" applyFill="1" applyBorder="1" applyAlignment="1">
      <alignment horizontal="center" wrapText="1"/>
    </xf>
    <xf numFmtId="177" fontId="23" fillId="11" borderId="3" xfId="1" applyNumberFormat="1" applyFont="1" applyFill="1" applyBorder="1" applyAlignment="1">
      <alignment horizontal="center"/>
    </xf>
    <xf numFmtId="0" fontId="24" fillId="12" borderId="3" xfId="1" applyFont="1" applyFill="1" applyBorder="1"/>
    <xf numFmtId="177" fontId="23" fillId="13" borderId="3" xfId="1" applyNumberFormat="1" applyFont="1" applyFill="1" applyBorder="1" applyAlignment="1">
      <alignment horizontal="center" wrapText="1"/>
    </xf>
    <xf numFmtId="178" fontId="25" fillId="13" borderId="3" xfId="3" applyNumberFormat="1" applyFont="1" applyFill="1" applyBorder="1" applyAlignment="1" applyProtection="1">
      <alignment horizontal="center" vertical="center"/>
      <protection locked="0"/>
    </xf>
    <xf numFmtId="178" fontId="23" fillId="13" borderId="3" xfId="3" applyNumberFormat="1" applyFont="1" applyFill="1" applyBorder="1" applyAlignment="1">
      <alignment horizontal="center"/>
    </xf>
    <xf numFmtId="0" fontId="22" fillId="12" borderId="3" xfId="1" applyFont="1" applyFill="1" applyBorder="1" applyAlignment="1">
      <alignment horizontal="left" indent="2"/>
    </xf>
    <xf numFmtId="179" fontId="25" fillId="13" borderId="3" xfId="3" applyNumberFormat="1" applyFont="1" applyFill="1" applyBorder="1" applyAlignment="1" applyProtection="1">
      <alignment horizontal="center" vertical="center"/>
      <protection locked="0"/>
    </xf>
    <xf numFmtId="179" fontId="23" fillId="13" borderId="3" xfId="3" applyNumberFormat="1" applyFont="1" applyFill="1" applyBorder="1" applyAlignment="1">
      <alignment horizontal="center"/>
    </xf>
    <xf numFmtId="180" fontId="25" fillId="13" borderId="3" xfId="1" applyNumberFormat="1" applyFont="1" applyFill="1" applyBorder="1" applyAlignment="1" applyProtection="1">
      <alignment horizontal="center" vertical="center"/>
      <protection locked="0"/>
    </xf>
    <xf numFmtId="171" fontId="23" fillId="13" borderId="3" xfId="1" applyNumberFormat="1" applyFont="1" applyFill="1" applyBorder="1" applyAlignment="1">
      <alignment horizontal="center"/>
    </xf>
    <xf numFmtId="171" fontId="23" fillId="11" borderId="3" xfId="1" applyNumberFormat="1" applyFont="1" applyFill="1" applyBorder="1" applyAlignment="1">
      <alignment horizontal="center"/>
    </xf>
    <xf numFmtId="0" fontId="22" fillId="12" borderId="3" xfId="1" applyFont="1" applyFill="1" applyBorder="1"/>
    <xf numFmtId="171" fontId="23" fillId="13" borderId="3" xfId="12" applyNumberFormat="1" applyFont="1" applyFill="1" applyBorder="1" applyAlignment="1">
      <alignment horizontal="center"/>
    </xf>
    <xf numFmtId="171" fontId="23" fillId="11" borderId="3" xfId="12" applyNumberFormat="1" applyFont="1" applyFill="1" applyBorder="1" applyAlignment="1">
      <alignment horizontal="center"/>
    </xf>
    <xf numFmtId="0" fontId="22" fillId="12" borderId="3" xfId="1" applyFont="1" applyFill="1" applyBorder="1" applyAlignment="1">
      <alignment horizontal="left" wrapText="1" indent="2"/>
    </xf>
    <xf numFmtId="9" fontId="23" fillId="11" borderId="3" xfId="1" applyNumberFormat="1" applyFont="1" applyFill="1" applyBorder="1" applyAlignment="1">
      <alignment horizontal="center"/>
    </xf>
    <xf numFmtId="179" fontId="25" fillId="14" borderId="3" xfId="3" applyNumberFormat="1" applyFont="1" applyFill="1" applyBorder="1" applyAlignment="1" applyProtection="1">
      <alignment horizontal="center" vertical="center"/>
    </xf>
    <xf numFmtId="9" fontId="23" fillId="13" borderId="3" xfId="12" applyFont="1" applyFill="1" applyBorder="1" applyAlignment="1">
      <alignment horizontal="center"/>
    </xf>
    <xf numFmtId="0" fontId="24" fillId="12" borderId="3" xfId="1" applyFont="1" applyFill="1" applyBorder="1" applyAlignment="1">
      <alignment horizontal="left"/>
    </xf>
    <xf numFmtId="181" fontId="25" fillId="15" borderId="3" xfId="1" applyNumberFormat="1" applyFont="1" applyFill="1" applyBorder="1" applyAlignment="1" applyProtection="1">
      <alignment horizontal="center" vertical="center"/>
      <protection locked="0"/>
    </xf>
    <xf numFmtId="182" fontId="25" fillId="13" borderId="3" xfId="1" applyNumberFormat="1" applyFont="1" applyFill="1" applyBorder="1" applyAlignment="1" applyProtection="1">
      <alignment horizontal="center" vertical="center"/>
      <protection locked="0"/>
    </xf>
    <xf numFmtId="183" fontId="23" fillId="13" borderId="3" xfId="1" applyNumberFormat="1" applyFont="1" applyFill="1" applyBorder="1" applyAlignment="1">
      <alignment horizontal="center"/>
    </xf>
    <xf numFmtId="184" fontId="25" fillId="13" borderId="3" xfId="1" applyNumberFormat="1" applyFont="1" applyFill="1" applyBorder="1" applyAlignment="1" applyProtection="1">
      <alignment horizontal="center" vertical="center"/>
      <protection locked="0"/>
    </xf>
    <xf numFmtId="179" fontId="23" fillId="14" borderId="3" xfId="3" applyNumberFormat="1" applyFont="1" applyFill="1" applyBorder="1" applyAlignment="1" applyProtection="1">
      <alignment horizontal="center"/>
    </xf>
    <xf numFmtId="177" fontId="23" fillId="13" borderId="3" xfId="1" applyNumberFormat="1" applyFont="1" applyFill="1" applyBorder="1" applyAlignment="1">
      <alignment horizontal="center"/>
    </xf>
    <xf numFmtId="0" fontId="22" fillId="12" borderId="3" xfId="1" applyFont="1" applyFill="1" applyBorder="1" applyAlignment="1" applyProtection="1">
      <alignment horizontal="left" vertical="center" wrapText="1" indent="2"/>
    </xf>
    <xf numFmtId="10" fontId="23" fillId="13" borderId="3" xfId="1" applyNumberFormat="1" applyFont="1" applyFill="1" applyBorder="1" applyAlignment="1">
      <alignment horizontal="center" wrapText="1"/>
    </xf>
    <xf numFmtId="177" fontId="23" fillId="13" borderId="3" xfId="1" quotePrefix="1" applyNumberFormat="1" applyFont="1" applyFill="1" applyBorder="1" applyAlignment="1">
      <alignment horizontal="center"/>
    </xf>
    <xf numFmtId="0" fontId="25" fillId="13" borderId="3" xfId="1" applyFont="1" applyFill="1" applyBorder="1" applyAlignment="1" applyProtection="1">
      <alignment horizontal="center" vertical="center" wrapText="1"/>
      <protection locked="0"/>
    </xf>
    <xf numFmtId="177" fontId="23" fillId="13" borderId="3" xfId="1" quotePrefix="1" applyNumberFormat="1" applyFont="1" applyFill="1" applyBorder="1" applyAlignment="1">
      <alignment horizontal="center" wrapText="1"/>
    </xf>
    <xf numFmtId="17" fontId="25" fillId="16" borderId="3" xfId="1" applyNumberFormat="1" applyFont="1" applyFill="1" applyBorder="1" applyAlignment="1" applyProtection="1">
      <alignment horizontal="center" vertical="center" wrapText="1"/>
    </xf>
    <xf numFmtId="0" fontId="24" fillId="0" borderId="0" xfId="1" applyFont="1" applyAlignment="1">
      <alignment vertical="center" wrapText="1"/>
    </xf>
    <xf numFmtId="9" fontId="22" fillId="13" borderId="3" xfId="1" applyNumberFormat="1" applyFont="1" applyFill="1" applyBorder="1" applyAlignment="1">
      <alignment horizontal="center" vertical="center" wrapText="1"/>
    </xf>
    <xf numFmtId="171" fontId="22" fillId="13" borderId="3" xfId="1" applyNumberFormat="1" applyFont="1" applyFill="1" applyBorder="1" applyAlignment="1">
      <alignment horizontal="center" vertical="center"/>
    </xf>
    <xf numFmtId="9" fontId="22" fillId="11" borderId="3" xfId="1" applyNumberFormat="1" applyFont="1" applyFill="1" applyBorder="1" applyAlignment="1">
      <alignment vertical="center"/>
    </xf>
    <xf numFmtId="0" fontId="22" fillId="11" borderId="3" xfId="1" applyFont="1" applyFill="1" applyBorder="1" applyAlignment="1">
      <alignment vertical="center"/>
    </xf>
    <xf numFmtId="0" fontId="26" fillId="11" borderId="3" xfId="1" applyFont="1" applyFill="1" applyBorder="1" applyAlignment="1">
      <alignment horizontal="center" vertical="center"/>
    </xf>
    <xf numFmtId="0" fontId="27" fillId="12" borderId="3" xfId="1" applyFont="1" applyFill="1" applyBorder="1" applyAlignment="1">
      <alignment vertical="center"/>
    </xf>
    <xf numFmtId="0" fontId="24" fillId="0" borderId="0" xfId="1" applyFont="1"/>
    <xf numFmtId="0" fontId="24" fillId="12" borderId="3" xfId="1" applyFont="1" applyFill="1" applyBorder="1" applyAlignment="1">
      <alignment horizontal="center" vertical="center" wrapText="1"/>
    </xf>
    <xf numFmtId="0" fontId="28" fillId="17" borderId="15" xfId="1" applyFont="1" applyFill="1" applyBorder="1" applyAlignment="1">
      <alignment horizontal="center" vertical="center" wrapText="1"/>
    </xf>
    <xf numFmtId="0" fontId="28" fillId="17" borderId="16" xfId="1" applyFont="1" applyFill="1" applyBorder="1" applyAlignment="1">
      <alignment horizontal="right" wrapText="1"/>
    </xf>
    <xf numFmtId="0" fontId="24" fillId="0" borderId="0" xfId="1" applyFont="1" applyBorder="1" applyAlignment="1">
      <alignment horizontal="center" vertical="center" wrapText="1"/>
    </xf>
    <xf numFmtId="0" fontId="24" fillId="13" borderId="16" xfId="1" quotePrefix="1" applyFont="1" applyFill="1" applyBorder="1" applyAlignment="1" applyProtection="1">
      <alignment horizontal="center" vertical="center" wrapText="1"/>
      <protection locked="0"/>
    </xf>
    <xf numFmtId="177" fontId="28" fillId="17" borderId="16" xfId="1" quotePrefix="1" applyNumberFormat="1" applyFont="1" applyFill="1" applyBorder="1" applyAlignment="1">
      <alignment horizontal="right" vertical="center" wrapText="1"/>
    </xf>
    <xf numFmtId="0" fontId="24" fillId="12" borderId="15" xfId="1" applyFont="1" applyFill="1" applyBorder="1" applyAlignment="1">
      <alignment horizontal="center"/>
    </xf>
    <xf numFmtId="0" fontId="28" fillId="17" borderId="3" xfId="1" applyFont="1" applyFill="1" applyBorder="1" applyAlignment="1">
      <alignment horizontal="right"/>
    </xf>
    <xf numFmtId="0" fontId="27" fillId="0" borderId="0" xfId="1" applyFont="1" applyFill="1" applyBorder="1"/>
    <xf numFmtId="0" fontId="30" fillId="12" borderId="3" xfId="1" applyFont="1" applyFill="1" applyBorder="1"/>
    <xf numFmtId="0" fontId="6" fillId="0" borderId="0" xfId="7"/>
    <xf numFmtId="185" fontId="33" fillId="18" borderId="17" xfId="1" applyNumberFormat="1" applyFont="1" applyFill="1" applyBorder="1" applyAlignment="1" applyProtection="1">
      <alignment horizontal="center" vertical="center"/>
    </xf>
    <xf numFmtId="185" fontId="33" fillId="18" borderId="18" xfId="1" applyNumberFormat="1" applyFont="1" applyFill="1" applyBorder="1" applyAlignment="1" applyProtection="1">
      <alignment horizontal="center" vertical="center"/>
    </xf>
    <xf numFmtId="185" fontId="33" fillId="18" borderId="19" xfId="1" applyNumberFormat="1" applyFont="1" applyFill="1" applyBorder="1" applyAlignment="1" applyProtection="1">
      <alignment horizontal="center" vertical="center"/>
    </xf>
    <xf numFmtId="177" fontId="23" fillId="13" borderId="20" xfId="1" applyNumberFormat="1" applyFont="1" applyFill="1" applyBorder="1" applyAlignment="1">
      <alignment horizontal="center" wrapText="1"/>
    </xf>
    <xf numFmtId="177" fontId="23" fillId="13" borderId="18" xfId="1" applyNumberFormat="1" applyFont="1" applyFill="1" applyBorder="1" applyAlignment="1">
      <alignment horizontal="center" wrapText="1"/>
    </xf>
    <xf numFmtId="177" fontId="23" fillId="13" borderId="19" xfId="1" applyNumberFormat="1" applyFont="1" applyFill="1" applyBorder="1" applyAlignment="1">
      <alignment horizontal="center" wrapText="1"/>
    </xf>
    <xf numFmtId="177" fontId="23" fillId="13" borderId="17" xfId="1" applyNumberFormat="1" applyFont="1" applyFill="1" applyBorder="1" applyAlignment="1">
      <alignment horizontal="center" wrapText="1"/>
    </xf>
    <xf numFmtId="0" fontId="34" fillId="12" borderId="21" xfId="1" applyFont="1" applyFill="1" applyBorder="1" applyAlignment="1">
      <alignment horizontal="left"/>
    </xf>
    <xf numFmtId="185" fontId="33" fillId="18" borderId="22" xfId="1" applyNumberFormat="1" applyFont="1" applyFill="1" applyBorder="1" applyAlignment="1" applyProtection="1">
      <alignment horizontal="center" vertical="center"/>
    </xf>
    <xf numFmtId="185" fontId="33" fillId="18" borderId="3" xfId="1" applyNumberFormat="1" applyFont="1" applyFill="1" applyBorder="1" applyAlignment="1" applyProtection="1">
      <alignment horizontal="center" vertical="center"/>
    </xf>
    <xf numFmtId="185" fontId="33" fillId="18" borderId="23" xfId="1" applyNumberFormat="1" applyFont="1" applyFill="1" applyBorder="1" applyAlignment="1" applyProtection="1">
      <alignment horizontal="center" vertical="center"/>
    </xf>
    <xf numFmtId="177" fontId="23" fillId="13" borderId="6" xfId="1" applyNumberFormat="1" applyFont="1" applyFill="1" applyBorder="1" applyAlignment="1">
      <alignment horizontal="center" wrapText="1"/>
    </xf>
    <xf numFmtId="177" fontId="23" fillId="13" borderId="23" xfId="1" applyNumberFormat="1" applyFont="1" applyFill="1" applyBorder="1" applyAlignment="1">
      <alignment horizontal="center" wrapText="1"/>
    </xf>
    <xf numFmtId="177" fontId="23" fillId="13" borderId="22" xfId="1" applyNumberFormat="1" applyFont="1" applyFill="1" applyBorder="1" applyAlignment="1">
      <alignment horizontal="center" wrapText="1"/>
    </xf>
    <xf numFmtId="0" fontId="34" fillId="12" borderId="24" xfId="1" applyFont="1" applyFill="1" applyBorder="1" applyAlignment="1">
      <alignment horizontal="left"/>
    </xf>
    <xf numFmtId="0" fontId="2" fillId="19" borderId="22" xfId="7" applyFont="1" applyFill="1" applyBorder="1" applyAlignment="1">
      <alignment horizontal="center" vertical="center" wrapText="1"/>
    </xf>
    <xf numFmtId="0" fontId="2" fillId="19" borderId="3" xfId="7" applyFont="1" applyFill="1" applyBorder="1" applyAlignment="1">
      <alignment horizontal="center" vertical="center" wrapText="1"/>
    </xf>
    <xf numFmtId="0" fontId="2" fillId="19" borderId="23" xfId="7" applyFont="1" applyFill="1" applyBorder="1" applyAlignment="1">
      <alignment horizontal="center" vertical="center" wrapText="1"/>
    </xf>
    <xf numFmtId="0" fontId="2" fillId="19" borderId="6" xfId="7" applyFont="1" applyFill="1" applyBorder="1" applyAlignment="1">
      <alignment horizontal="center" vertical="center" wrapText="1"/>
    </xf>
    <xf numFmtId="0" fontId="6" fillId="0" borderId="0" xfId="7" applyAlignment="1">
      <alignment vertical="center"/>
    </xf>
    <xf numFmtId="0" fontId="35" fillId="0" borderId="0" xfId="1" applyFont="1" applyAlignment="1">
      <alignment vertical="center"/>
    </xf>
    <xf numFmtId="0" fontId="6" fillId="20" borderId="0" xfId="7" applyFill="1"/>
    <xf numFmtId="0" fontId="34" fillId="12" borderId="29" xfId="1" applyFont="1" applyFill="1" applyBorder="1" applyAlignment="1">
      <alignment horizontal="left"/>
    </xf>
    <xf numFmtId="0" fontId="34" fillId="12" borderId="30" xfId="1" applyFont="1" applyFill="1" applyBorder="1" applyAlignment="1">
      <alignment horizontal="left"/>
    </xf>
    <xf numFmtId="0" fontId="6" fillId="0" borderId="0" xfId="7" applyFont="1" applyAlignment="1">
      <alignment vertical="center"/>
    </xf>
    <xf numFmtId="0" fontId="34" fillId="12" borderId="9" xfId="1" applyFont="1" applyFill="1" applyBorder="1" applyAlignment="1">
      <alignment horizontal="left"/>
    </xf>
    <xf numFmtId="185" fontId="33" fillId="18" borderId="32" xfId="1" applyNumberFormat="1" applyFont="1" applyFill="1" applyBorder="1" applyAlignment="1" applyProtection="1">
      <alignment horizontal="center" vertical="center"/>
    </xf>
    <xf numFmtId="185" fontId="33" fillId="18" borderId="33" xfId="1" applyNumberFormat="1" applyFont="1" applyFill="1" applyBorder="1" applyAlignment="1" applyProtection="1">
      <alignment horizontal="center" vertical="center"/>
    </xf>
    <xf numFmtId="0" fontId="36" fillId="12" borderId="34" xfId="1" applyFont="1" applyFill="1" applyBorder="1" applyAlignment="1">
      <alignment horizontal="center" vertical="center" wrapText="1"/>
    </xf>
    <xf numFmtId="0" fontId="37" fillId="12" borderId="35" xfId="1" applyFont="1" applyFill="1" applyBorder="1" applyAlignment="1">
      <alignment horizontal="center"/>
    </xf>
    <xf numFmtId="0" fontId="37" fillId="12" borderId="36" xfId="1" applyFont="1" applyFill="1" applyBorder="1" applyAlignment="1">
      <alignment horizontal="center"/>
    </xf>
    <xf numFmtId="0" fontId="37" fillId="12" borderId="37" xfId="1" applyFont="1" applyFill="1" applyBorder="1" applyAlignment="1">
      <alignment horizontal="center"/>
    </xf>
    <xf numFmtId="0" fontId="34" fillId="12" borderId="34" xfId="1" applyFont="1" applyFill="1" applyBorder="1" applyAlignment="1">
      <alignment horizontal="left"/>
    </xf>
    <xf numFmtId="2" fontId="7" fillId="15" borderId="33" xfId="7" applyNumberFormat="1" applyFont="1" applyFill="1" applyBorder="1" applyAlignment="1" applyProtection="1">
      <alignment horizontal="center" vertical="center"/>
      <protection locked="0"/>
    </xf>
    <xf numFmtId="175" fontId="7" fillId="15" borderId="6" xfId="7" applyNumberFormat="1" applyFont="1" applyFill="1" applyBorder="1" applyAlignment="1" applyProtection="1">
      <alignment horizontal="center" vertical="center"/>
      <protection locked="0"/>
    </xf>
    <xf numFmtId="175" fontId="7" fillId="15" borderId="3" xfId="7" applyNumberFormat="1" applyFont="1" applyFill="1" applyBorder="1" applyAlignment="1" applyProtection="1">
      <alignment horizontal="center" vertical="center"/>
      <protection locked="0"/>
    </xf>
    <xf numFmtId="175" fontId="7" fillId="15" borderId="23" xfId="7" applyNumberFormat="1" applyFont="1" applyFill="1" applyBorder="1" applyAlignment="1" applyProtection="1">
      <alignment horizontal="center" vertical="center"/>
      <protection locked="0"/>
    </xf>
    <xf numFmtId="0" fontId="38" fillId="0" borderId="0" xfId="7" applyFont="1" applyAlignment="1">
      <alignment vertical="center"/>
    </xf>
    <xf numFmtId="0" fontId="29" fillId="13" borderId="3" xfId="1" applyFont="1" applyFill="1" applyBorder="1" applyAlignment="1">
      <alignment horizontal="center"/>
    </xf>
    <xf numFmtId="0" fontId="37" fillId="12" borderId="3" xfId="1" applyFont="1" applyFill="1" applyBorder="1" applyAlignment="1">
      <alignment horizontal="left"/>
    </xf>
    <xf numFmtId="0" fontId="6" fillId="0" borderId="0" xfId="7" applyAlignment="1">
      <alignment horizontal="center" vertical="center"/>
    </xf>
    <xf numFmtId="0" fontId="2" fillId="0" borderId="0" xfId="7" applyFont="1" applyAlignment="1">
      <alignment vertical="center"/>
    </xf>
    <xf numFmtId="0" fontId="8" fillId="12" borderId="0" xfId="1" applyFont="1" applyFill="1" applyAlignment="1">
      <alignment vertical="center" wrapText="1"/>
    </xf>
    <xf numFmtId="0" fontId="8" fillId="12" borderId="40" xfId="1" applyFont="1" applyFill="1" applyBorder="1" applyAlignment="1">
      <alignment horizontal="center" vertical="center" wrapText="1"/>
    </xf>
    <xf numFmtId="0" fontId="8" fillId="12" borderId="0" xfId="1" applyFont="1" applyFill="1" applyBorder="1" applyAlignment="1">
      <alignment horizontal="center" vertical="center" wrapText="1"/>
    </xf>
    <xf numFmtId="0" fontId="8" fillId="12" borderId="41" xfId="1" applyFont="1" applyFill="1" applyBorder="1" applyAlignment="1">
      <alignment horizontal="center" vertical="center" wrapText="1"/>
    </xf>
    <xf numFmtId="0" fontId="39" fillId="0" borderId="43" xfId="1" applyFont="1" applyBorder="1" applyProtection="1">
      <protection locked="0"/>
    </xf>
    <xf numFmtId="0" fontId="7" fillId="0" borderId="0" xfId="1" applyAlignment="1">
      <alignment horizontal="center"/>
    </xf>
    <xf numFmtId="186" fontId="7" fillId="0" borderId="0" xfId="1" applyNumberFormat="1"/>
    <xf numFmtId="0" fontId="7" fillId="13" borderId="3" xfId="1" applyFill="1" applyBorder="1" applyAlignment="1">
      <alignment horizontal="center"/>
    </xf>
    <xf numFmtId="0" fontId="7" fillId="12" borderId="3" xfId="1" applyFill="1" applyBorder="1" applyAlignment="1">
      <alignment horizontal="center"/>
    </xf>
    <xf numFmtId="0" fontId="7" fillId="12" borderId="3" xfId="1" applyFill="1" applyBorder="1" applyAlignment="1">
      <alignment horizontal="center" wrapText="1"/>
    </xf>
    <xf numFmtId="0" fontId="29" fillId="0" borderId="0" xfId="1" applyFont="1" applyBorder="1" applyAlignment="1">
      <alignment vertical="center"/>
    </xf>
    <xf numFmtId="185" fontId="7" fillId="0" borderId="0" xfId="1" applyNumberFormat="1" applyBorder="1"/>
    <xf numFmtId="0" fontId="7" fillId="0" borderId="0" xfId="1" applyBorder="1"/>
    <xf numFmtId="185" fontId="7" fillId="0" borderId="3" xfId="1" applyNumberFormat="1" applyBorder="1"/>
    <xf numFmtId="0" fontId="7" fillId="0" borderId="3" xfId="1" applyBorder="1"/>
    <xf numFmtId="0" fontId="41" fillId="0" borderId="0" xfId="1" applyFont="1" applyFill="1" applyAlignment="1">
      <alignment horizontal="left" indent="4"/>
    </xf>
    <xf numFmtId="10" fontId="8" fillId="0" borderId="0" xfId="1" applyNumberFormat="1" applyFont="1" applyBorder="1" applyAlignment="1">
      <alignment horizontal="center"/>
    </xf>
    <xf numFmtId="10" fontId="8" fillId="0" borderId="3" xfId="1" applyNumberFormat="1" applyFont="1" applyBorder="1" applyAlignment="1">
      <alignment horizontal="center"/>
    </xf>
    <xf numFmtId="0" fontId="8" fillId="0" borderId="3" xfId="1" applyFont="1" applyBorder="1" applyAlignment="1">
      <alignment horizontal="center"/>
    </xf>
    <xf numFmtId="0" fontId="8" fillId="0" borderId="0" xfId="1" applyFont="1" applyBorder="1" applyAlignment="1">
      <alignment horizontal="center"/>
    </xf>
    <xf numFmtId="10" fontId="40" fillId="0" borderId="0" xfId="1" applyNumberFormat="1" applyFont="1" applyBorder="1" applyAlignment="1">
      <alignment horizontal="center"/>
    </xf>
    <xf numFmtId="0" fontId="7" fillId="0" borderId="0" xfId="1" applyBorder="1" applyAlignment="1">
      <alignment horizontal="center"/>
    </xf>
    <xf numFmtId="0" fontId="7" fillId="0" borderId="4" xfId="1" applyBorder="1"/>
    <xf numFmtId="10" fontId="8" fillId="13" borderId="23" xfId="1" applyNumberFormat="1" applyFont="1" applyFill="1" applyBorder="1" applyAlignment="1">
      <alignment horizontal="center"/>
    </xf>
    <xf numFmtId="0" fontId="7" fillId="11" borderId="19" xfId="1" applyFill="1" applyBorder="1"/>
    <xf numFmtId="0" fontId="7" fillId="13" borderId="6" xfId="1" applyFill="1" applyBorder="1"/>
    <xf numFmtId="0" fontId="7" fillId="11" borderId="23" xfId="1" applyFill="1" applyBorder="1"/>
    <xf numFmtId="0" fontId="7" fillId="12" borderId="4" xfId="1" applyFill="1" applyBorder="1" applyAlignment="1">
      <alignment horizontal="center"/>
    </xf>
    <xf numFmtId="0" fontId="8" fillId="12" borderId="22" xfId="1" applyFont="1" applyFill="1" applyBorder="1" applyAlignment="1">
      <alignment horizontal="center"/>
    </xf>
    <xf numFmtId="0" fontId="8" fillId="12" borderId="3" xfId="1" applyFont="1" applyFill="1" applyBorder="1" applyAlignment="1">
      <alignment horizontal="center"/>
    </xf>
    <xf numFmtId="0" fontId="8" fillId="12" borderId="23" xfId="1" applyFont="1" applyFill="1" applyBorder="1" applyAlignment="1">
      <alignment horizontal="center"/>
    </xf>
    <xf numFmtId="0" fontId="7" fillId="12" borderId="6" xfId="1" applyFill="1" applyBorder="1"/>
    <xf numFmtId="0" fontId="7" fillId="12" borderId="3" xfId="1" applyFill="1" applyBorder="1"/>
    <xf numFmtId="0" fontId="7" fillId="12" borderId="22" xfId="1" applyFill="1" applyBorder="1" applyAlignment="1">
      <alignment horizontal="center"/>
    </xf>
    <xf numFmtId="0" fontId="7" fillId="12" borderId="23" xfId="1" applyFill="1" applyBorder="1" applyAlignment="1">
      <alignment horizontal="center"/>
    </xf>
    <xf numFmtId="0" fontId="24" fillId="13" borderId="3" xfId="1" applyFont="1" applyFill="1" applyBorder="1" applyAlignment="1">
      <alignment horizontal="center" textRotation="90" wrapText="1"/>
    </xf>
    <xf numFmtId="0" fontId="24" fillId="12" borderId="16" xfId="1" quotePrefix="1" applyFont="1" applyFill="1" applyBorder="1" applyAlignment="1">
      <alignment horizontal="center" vertical="center" wrapText="1"/>
    </xf>
    <xf numFmtId="0" fontId="24" fillId="12" borderId="16" xfId="1" applyFont="1" applyFill="1" applyBorder="1" applyAlignment="1">
      <alignment horizontal="center" vertical="center" wrapText="1"/>
    </xf>
    <xf numFmtId="0" fontId="42" fillId="0" borderId="0" xfId="1" applyFont="1"/>
    <xf numFmtId="0" fontId="39" fillId="0" borderId="43" xfId="1" applyFont="1" applyBorder="1" applyAlignment="1" applyProtection="1">
      <alignment vertical="center" wrapText="1"/>
      <protection locked="0"/>
    </xf>
    <xf numFmtId="0" fontId="8" fillId="12" borderId="0" xfId="1" applyFont="1" applyFill="1" applyAlignment="1">
      <alignment horizontal="center" vertical="center" wrapText="1"/>
    </xf>
    <xf numFmtId="0" fontId="39" fillId="0" borderId="43" xfId="1" applyFont="1" applyBorder="1" applyAlignment="1" applyProtection="1">
      <alignment vertical="center"/>
      <protection locked="0"/>
    </xf>
    <xf numFmtId="49" fontId="7" fillId="0" borderId="0" xfId="1" applyNumberFormat="1" applyAlignment="1">
      <alignment horizontal="left" vertical="center"/>
    </xf>
    <xf numFmtId="0" fontId="43" fillId="0" borderId="48" xfId="1" applyFont="1" applyBorder="1" applyAlignment="1" applyProtection="1">
      <alignment vertical="center"/>
      <protection locked="0"/>
    </xf>
    <xf numFmtId="49" fontId="44" fillId="0" borderId="0" xfId="1" applyNumberFormat="1" applyFont="1" applyAlignment="1">
      <alignment horizontal="left"/>
    </xf>
    <xf numFmtId="0" fontId="8" fillId="12" borderId="3" xfId="1" applyFont="1" applyFill="1" applyBorder="1" applyAlignment="1">
      <alignment vertical="center" wrapText="1"/>
    </xf>
    <xf numFmtId="0" fontId="8" fillId="12" borderId="3" xfId="1" applyFont="1" applyFill="1" applyBorder="1" applyAlignment="1">
      <alignment horizontal="center" vertical="center" wrapText="1"/>
    </xf>
    <xf numFmtId="0" fontId="39" fillId="0" borderId="48" xfId="1" applyFont="1" applyBorder="1" applyAlignment="1" applyProtection="1">
      <alignment vertical="center" wrapText="1"/>
      <protection locked="0"/>
    </xf>
    <xf numFmtId="0" fontId="46" fillId="0" borderId="0" xfId="1" applyFont="1" applyAlignment="1">
      <alignment vertical="center"/>
    </xf>
    <xf numFmtId="0" fontId="8" fillId="0" borderId="0" xfId="1" applyFont="1" applyBorder="1" applyAlignment="1">
      <alignment horizontal="center" vertical="center" wrapText="1"/>
    </xf>
    <xf numFmtId="0" fontId="11" fillId="0" borderId="0" xfId="5" applyFont="1" applyBorder="1" applyAlignment="1" applyProtection="1">
      <alignment horizontal="center" vertical="center"/>
    </xf>
    <xf numFmtId="0" fontId="46" fillId="0" borderId="0" xfId="1" applyFont="1" applyAlignment="1">
      <alignment horizontal="left" vertical="center"/>
    </xf>
    <xf numFmtId="0" fontId="40" fillId="0" borderId="0" xfId="1" applyFont="1" applyAlignment="1">
      <alignment vertical="center"/>
    </xf>
    <xf numFmtId="0" fontId="43" fillId="0" borderId="0" xfId="1" applyFont="1" applyBorder="1" applyAlignment="1" applyProtection="1">
      <alignment vertical="center"/>
      <protection locked="0"/>
    </xf>
    <xf numFmtId="0" fontId="47" fillId="0" borderId="0" xfId="1" applyFont="1"/>
    <xf numFmtId="0" fontId="42" fillId="0" borderId="0" xfId="1" applyFont="1" applyBorder="1" applyAlignment="1"/>
    <xf numFmtId="0" fontId="7" fillId="0" borderId="0" xfId="1" applyFont="1" applyBorder="1"/>
    <xf numFmtId="0" fontId="11" fillId="0" borderId="0" xfId="1" applyFont="1" applyBorder="1" applyAlignment="1">
      <alignment vertical="center"/>
    </xf>
    <xf numFmtId="0" fontId="11" fillId="0" borderId="7" xfId="1" applyFont="1" applyBorder="1" applyAlignment="1">
      <alignment vertical="center"/>
    </xf>
    <xf numFmtId="0" fontId="24" fillId="12" borderId="3" xfId="1" applyFont="1" applyFill="1" applyBorder="1" applyAlignment="1">
      <alignment horizontal="center"/>
    </xf>
    <xf numFmtId="0" fontId="24" fillId="12" borderId="3" xfId="1" quotePrefix="1" applyFont="1" applyFill="1" applyBorder="1" applyAlignment="1">
      <alignment horizontal="center" vertical="center" wrapText="1"/>
    </xf>
    <xf numFmtId="0" fontId="7" fillId="0" borderId="3" xfId="1" applyFont="1" applyBorder="1"/>
    <xf numFmtId="49" fontId="48" fillId="2" borderId="0" xfId="0" applyNumberFormat="1" applyFont="1" applyFill="1" applyAlignment="1">
      <alignment horizontal="left" vertical="center" wrapText="1"/>
    </xf>
    <xf numFmtId="8" fontId="7" fillId="0" borderId="3" xfId="1" applyNumberFormat="1" applyFont="1" applyBorder="1"/>
    <xf numFmtId="0" fontId="7" fillId="0" borderId="0" xfId="1" applyFont="1" applyAlignment="1"/>
    <xf numFmtId="0" fontId="8" fillId="21" borderId="3" xfId="1" applyFont="1" applyFill="1" applyBorder="1" applyAlignment="1"/>
    <xf numFmtId="0" fontId="8" fillId="21" borderId="3" xfId="1" applyFont="1" applyFill="1" applyBorder="1" applyAlignment="1">
      <alignment horizontal="center"/>
    </xf>
    <xf numFmtId="0" fontId="7" fillId="0" borderId="31" xfId="1" applyFont="1" applyBorder="1" applyAlignment="1"/>
    <xf numFmtId="0" fontId="11" fillId="0" borderId="45" xfId="1" applyFont="1" applyBorder="1" applyAlignment="1">
      <alignment vertical="center"/>
    </xf>
    <xf numFmtId="0" fontId="7" fillId="0" borderId="45" xfId="1" applyFont="1" applyBorder="1" applyAlignment="1"/>
    <xf numFmtId="0" fontId="7" fillId="0" borderId="44" xfId="1" applyFont="1" applyBorder="1" applyAlignment="1"/>
    <xf numFmtId="0" fontId="7" fillId="0" borderId="41" xfId="1" applyFont="1" applyBorder="1" applyAlignment="1"/>
    <xf numFmtId="0" fontId="42" fillId="0" borderId="0" xfId="1" applyFont="1" applyBorder="1" applyAlignment="1">
      <alignment horizontal="left"/>
    </xf>
    <xf numFmtId="0" fontId="7" fillId="0" borderId="0" xfId="1" applyFont="1" applyBorder="1" applyAlignment="1"/>
    <xf numFmtId="0" fontId="7" fillId="0" borderId="40" xfId="1" applyFont="1" applyBorder="1" applyAlignment="1"/>
    <xf numFmtId="0" fontId="7" fillId="0" borderId="3" xfId="1" applyFont="1" applyBorder="1" applyAlignment="1"/>
    <xf numFmtId="49" fontId="7" fillId="13" borderId="3" xfId="1" applyNumberFormat="1" applyFont="1" applyFill="1" applyBorder="1" applyAlignment="1" applyProtection="1">
      <alignment horizontal="center" vertical="center" wrapText="1"/>
      <protection locked="0"/>
    </xf>
    <xf numFmtId="0" fontId="7" fillId="0" borderId="29" xfId="1" applyFont="1" applyBorder="1" applyAlignment="1"/>
    <xf numFmtId="0" fontId="7" fillId="0" borderId="39" xfId="1" applyFont="1" applyBorder="1" applyAlignment="1"/>
    <xf numFmtId="0" fontId="7" fillId="0" borderId="38" xfId="1" applyFont="1" applyBorder="1" applyAlignment="1"/>
    <xf numFmtId="0" fontId="49" fillId="0" borderId="0" xfId="1" applyFont="1" applyAlignment="1"/>
    <xf numFmtId="171" fontId="23" fillId="22" borderId="3" xfId="1" applyNumberFormat="1" applyFont="1" applyFill="1" applyBorder="1" applyAlignment="1">
      <alignment horizontal="center"/>
    </xf>
    <xf numFmtId="183" fontId="23" fillId="22" borderId="3" xfId="1" applyNumberFormat="1" applyFont="1" applyFill="1" applyBorder="1" applyAlignment="1">
      <alignment horizontal="center"/>
    </xf>
    <xf numFmtId="179" fontId="25" fillId="23" borderId="3" xfId="3" applyNumberFormat="1" applyFont="1" applyFill="1" applyBorder="1" applyAlignment="1" applyProtection="1">
      <alignment horizontal="center" vertical="center"/>
    </xf>
    <xf numFmtId="9" fontId="23" fillId="23" borderId="3" xfId="12" applyFont="1" applyFill="1" applyBorder="1" applyAlignment="1">
      <alignment horizontal="center"/>
    </xf>
    <xf numFmtId="176" fontId="15" fillId="23" borderId="3" xfId="7" applyNumberFormat="1" applyFont="1" applyFill="1" applyBorder="1" applyAlignment="1">
      <alignment horizontal="center" vertical="center" wrapText="1"/>
    </xf>
    <xf numFmtId="0" fontId="50" fillId="24" borderId="0" xfId="1" applyFont="1" applyFill="1" applyAlignment="1">
      <alignment horizontal="center"/>
    </xf>
    <xf numFmtId="0" fontId="51" fillId="24" borderId="0" xfId="1" applyFont="1" applyFill="1" applyAlignment="1">
      <alignment horizontal="left"/>
    </xf>
    <xf numFmtId="164" fontId="0" fillId="6" borderId="3" xfId="0" applyNumberFormat="1" applyFill="1" applyBorder="1" applyAlignment="1">
      <alignment horizontal="center" vertical="center"/>
    </xf>
    <xf numFmtId="169" fontId="0" fillId="6" borderId="3" xfId="0" applyNumberFormat="1" applyFill="1" applyBorder="1" applyAlignment="1">
      <alignment horizontal="center" vertical="center"/>
    </xf>
    <xf numFmtId="0" fontId="50" fillId="25" borderId="0" xfId="0" applyFont="1" applyFill="1" applyAlignment="1">
      <alignment horizontal="center"/>
    </xf>
    <xf numFmtId="182" fontId="7" fillId="13" borderId="3" xfId="1" applyNumberFormat="1" applyFill="1" applyBorder="1" applyAlignment="1" applyProtection="1">
      <alignment horizontal="center" vertical="center"/>
      <protection locked="0"/>
    </xf>
    <xf numFmtId="182" fontId="7" fillId="22" borderId="3" xfId="1" applyNumberFormat="1" applyFill="1" applyBorder="1" applyAlignment="1" applyProtection="1">
      <alignment horizontal="center" vertical="center"/>
      <protection locked="0"/>
    </xf>
    <xf numFmtId="182" fontId="0" fillId="13" borderId="3" xfId="12" applyNumberFormat="1" applyFont="1" applyFill="1" applyBorder="1" applyAlignment="1" applyProtection="1">
      <alignment horizontal="center" vertical="center"/>
      <protection locked="0"/>
    </xf>
    <xf numFmtId="182" fontId="0" fillId="22" borderId="3" xfId="12" applyNumberFormat="1" applyFont="1" applyFill="1" applyBorder="1" applyAlignment="1" applyProtection="1">
      <alignment horizontal="center" vertical="center"/>
      <protection locked="0"/>
    </xf>
    <xf numFmtId="0" fontId="0" fillId="0" borderId="3" xfId="0" applyBorder="1" applyAlignment="1" applyProtection="1">
      <alignment vertical="center"/>
      <protection locked="0"/>
    </xf>
    <xf numFmtId="164" fontId="0" fillId="3" borderId="3" xfId="0" applyNumberFormat="1" applyFill="1" applyBorder="1" applyAlignment="1" applyProtection="1">
      <alignment horizontal="center" vertical="center"/>
      <protection locked="0"/>
    </xf>
    <xf numFmtId="165" fontId="0" fillId="7" borderId="3" xfId="0" applyNumberFormat="1" applyFill="1" applyBorder="1" applyAlignment="1" applyProtection="1">
      <alignment horizontal="center" vertical="center"/>
      <protection locked="0"/>
    </xf>
    <xf numFmtId="166" fontId="0" fillId="3" borderId="3" xfId="0" applyNumberFormat="1" applyFill="1" applyBorder="1" applyAlignment="1" applyProtection="1">
      <alignment horizontal="center" vertical="center"/>
      <protection locked="0"/>
    </xf>
    <xf numFmtId="0" fontId="7" fillId="12" borderId="6" xfId="1" applyFill="1" applyBorder="1" applyAlignment="1">
      <alignment horizontal="center"/>
    </xf>
    <xf numFmtId="49" fontId="5" fillId="2" borderId="6" xfId="0" applyNumberFormat="1" applyFont="1" applyFill="1" applyBorder="1" applyAlignment="1">
      <alignment horizontal="left" vertical="center" wrapText="1"/>
    </xf>
    <xf numFmtId="49" fontId="2" fillId="2" borderId="6" xfId="0" applyNumberFormat="1" applyFont="1" applyFill="1" applyBorder="1" applyAlignment="1">
      <alignment horizontal="left" vertical="center" wrapText="1"/>
    </xf>
    <xf numFmtId="0" fontId="8" fillId="12" borderId="23" xfId="1" applyFont="1" applyFill="1" applyBorder="1" applyAlignment="1">
      <alignment horizontal="center" vertical="center" wrapText="1"/>
    </xf>
    <xf numFmtId="0" fontId="8" fillId="12" borderId="22" xfId="1" applyFont="1" applyFill="1" applyBorder="1" applyAlignment="1">
      <alignment horizontal="center" vertical="center" wrapText="1"/>
    </xf>
    <xf numFmtId="0" fontId="0" fillId="0" borderId="23" xfId="0" applyBorder="1" applyAlignment="1" applyProtection="1">
      <alignment vertical="center"/>
      <protection locked="0"/>
    </xf>
    <xf numFmtId="0" fontId="0" fillId="0" borderId="22" xfId="0" applyBorder="1" applyAlignment="1" applyProtection="1">
      <alignment vertical="center"/>
      <protection locked="0"/>
    </xf>
    <xf numFmtId="164" fontId="0" fillId="3" borderId="23" xfId="0" applyNumberFormat="1" applyFill="1" applyBorder="1" applyAlignment="1" applyProtection="1">
      <alignment horizontal="center" vertical="center"/>
      <protection locked="0"/>
    </xf>
    <xf numFmtId="165" fontId="0" fillId="7" borderId="22" xfId="0" applyNumberFormat="1" applyFill="1" applyBorder="1" applyAlignment="1" applyProtection="1">
      <alignment horizontal="center" vertical="center"/>
      <protection locked="0"/>
    </xf>
    <xf numFmtId="164" fontId="0" fillId="3" borderId="22" xfId="0" applyNumberFormat="1" applyFill="1" applyBorder="1" applyAlignment="1" applyProtection="1">
      <alignment horizontal="center" vertical="center"/>
      <protection locked="0"/>
    </xf>
    <xf numFmtId="164" fontId="0" fillId="3" borderId="19" xfId="0" applyNumberFormat="1" applyFill="1" applyBorder="1" applyAlignment="1" applyProtection="1">
      <alignment horizontal="center" vertical="center"/>
      <protection locked="0"/>
    </xf>
    <xf numFmtId="164" fontId="0" fillId="3" borderId="18" xfId="0" applyNumberFormat="1" applyFill="1" applyBorder="1" applyAlignment="1" applyProtection="1">
      <alignment horizontal="center" vertical="center"/>
      <protection locked="0"/>
    </xf>
    <xf numFmtId="166" fontId="0" fillId="3" borderId="18" xfId="0" applyNumberFormat="1" applyFill="1" applyBorder="1" applyAlignment="1" applyProtection="1">
      <alignment horizontal="center" vertical="center"/>
      <protection locked="0"/>
    </xf>
    <xf numFmtId="165" fontId="0" fillId="7" borderId="18" xfId="0" applyNumberFormat="1" applyFill="1" applyBorder="1" applyAlignment="1" applyProtection="1">
      <alignment horizontal="center" vertical="center"/>
      <protection locked="0"/>
    </xf>
    <xf numFmtId="164" fontId="0" fillId="3" borderId="17" xfId="0" applyNumberFormat="1" applyFill="1" applyBorder="1" applyAlignment="1" applyProtection="1">
      <alignment horizontal="center" vertical="center"/>
      <protection locked="0"/>
    </xf>
    <xf numFmtId="0" fontId="53" fillId="21" borderId="3" xfId="287" applyFill="1" applyBorder="1" applyAlignment="1" applyProtection="1">
      <alignment horizontal="center" vertical="center"/>
    </xf>
    <xf numFmtId="49" fontId="0" fillId="0" borderId="0" xfId="0" applyNumberFormat="1"/>
    <xf numFmtId="187" fontId="2" fillId="2" borderId="0" xfId="0" applyNumberFormat="1" applyFont="1" applyFill="1" applyAlignment="1">
      <alignment horizontal="center" wrapText="1"/>
    </xf>
    <xf numFmtId="187" fontId="2" fillId="2" borderId="0" xfId="0" applyNumberFormat="1" applyFont="1" applyFill="1" applyAlignment="1">
      <alignment horizontal="left" wrapText="1"/>
    </xf>
    <xf numFmtId="188" fontId="54" fillId="3" borderId="0" xfId="0" applyNumberFormat="1" applyFont="1" applyFill="1" applyAlignment="1" applyProtection="1">
      <alignment horizontal="center" wrapText="1"/>
      <protection locked="0"/>
    </xf>
    <xf numFmtId="0" fontId="3" fillId="0" borderId="1" xfId="0" applyFont="1" applyBorder="1" applyProtection="1">
      <protection locked="0"/>
    </xf>
    <xf numFmtId="189" fontId="54" fillId="3" borderId="0" xfId="0" applyNumberFormat="1" applyFont="1" applyFill="1" applyAlignment="1" applyProtection="1">
      <alignment horizontal="center"/>
      <protection locked="0"/>
    </xf>
    <xf numFmtId="190" fontId="54" fillId="3" borderId="0" xfId="0" applyNumberFormat="1" applyFont="1" applyFill="1" applyAlignment="1" applyProtection="1">
      <alignment horizontal="center"/>
      <protection locked="0"/>
    </xf>
    <xf numFmtId="191" fontId="54" fillId="4" borderId="0" xfId="0" applyNumberFormat="1" applyFont="1" applyFill="1" applyAlignment="1">
      <alignment horizontal="center"/>
    </xf>
    <xf numFmtId="191" fontId="54" fillId="3" borderId="0" xfId="0" applyNumberFormat="1" applyFont="1" applyFill="1" applyAlignment="1" applyProtection="1">
      <alignment horizontal="center"/>
      <protection locked="0"/>
    </xf>
    <xf numFmtId="187" fontId="0" fillId="7" borderId="0" xfId="0" applyNumberFormat="1" applyFill="1" applyProtection="1">
      <protection locked="0"/>
    </xf>
    <xf numFmtId="187" fontId="5" fillId="2" borderId="0" xfId="0" applyNumberFormat="1" applyFont="1" applyFill="1" applyAlignment="1">
      <alignment horizontal="left" wrapText="1"/>
    </xf>
    <xf numFmtId="0" fontId="0" fillId="0" borderId="0" xfId="0" applyProtection="1">
      <protection locked="0"/>
    </xf>
    <xf numFmtId="192" fontId="54" fillId="3" borderId="0" xfId="0" applyNumberFormat="1" applyFont="1" applyFill="1" applyAlignment="1" applyProtection="1">
      <alignment horizontal="center"/>
      <protection locked="0"/>
    </xf>
    <xf numFmtId="187" fontId="5" fillId="2" borderId="2" xfId="0" applyNumberFormat="1" applyFont="1" applyFill="1" applyBorder="1" applyAlignment="1">
      <alignment horizontal="centerContinuous" wrapText="1"/>
    </xf>
    <xf numFmtId="49" fontId="4" fillId="0" borderId="0" xfId="0" applyNumberFormat="1" applyFont="1"/>
    <xf numFmtId="49" fontId="0" fillId="0" borderId="2" xfId="0" applyNumberFormat="1" applyBorder="1" applyAlignment="1">
      <alignment horizontal="centerContinuous" wrapText="1"/>
    </xf>
    <xf numFmtId="49" fontId="0" fillId="0" borderId="0" xfId="0" applyNumberFormat="1" applyAlignment="1">
      <alignment horizontal="left"/>
    </xf>
    <xf numFmtId="187" fontId="5" fillId="2" borderId="0" xfId="0" applyNumberFormat="1" applyFont="1" applyFill="1" applyAlignment="1">
      <alignment horizontal="left"/>
    </xf>
    <xf numFmtId="190" fontId="54" fillId="4" borderId="0" xfId="0" applyNumberFormat="1" applyFont="1" applyFill="1" applyAlignment="1">
      <alignment horizontal="center"/>
    </xf>
    <xf numFmtId="191" fontId="54" fillId="5" borderId="0" xfId="0" applyNumberFormat="1" applyFont="1" applyFill="1" applyAlignment="1">
      <alignment horizontal="center"/>
    </xf>
    <xf numFmtId="191" fontId="54" fillId="6" borderId="0" xfId="0" applyNumberFormat="1" applyFont="1" applyFill="1" applyAlignment="1">
      <alignment horizontal="center"/>
    </xf>
    <xf numFmtId="189" fontId="54" fillId="5" borderId="0" xfId="0" applyNumberFormat="1" applyFont="1" applyFill="1" applyAlignment="1">
      <alignment horizontal="center"/>
    </xf>
    <xf numFmtId="187" fontId="0" fillId="8" borderId="0" xfId="0" applyNumberFormat="1" applyFill="1"/>
    <xf numFmtId="189" fontId="54" fillId="4" borderId="0" xfId="0" applyNumberFormat="1" applyFont="1" applyFill="1" applyAlignment="1">
      <alignment horizontal="center"/>
    </xf>
    <xf numFmtId="189" fontId="54" fillId="6" borderId="0" xfId="0" applyNumberFormat="1" applyFont="1" applyFill="1" applyAlignment="1">
      <alignment horizontal="center"/>
    </xf>
    <xf numFmtId="190" fontId="54" fillId="5" borderId="0" xfId="0" applyNumberFormat="1" applyFont="1" applyFill="1" applyAlignment="1">
      <alignment horizontal="center"/>
    </xf>
    <xf numFmtId="192" fontId="54" fillId="5" borderId="0" xfId="0" applyNumberFormat="1" applyFont="1" applyFill="1" applyAlignment="1">
      <alignment horizontal="center"/>
    </xf>
    <xf numFmtId="190" fontId="54" fillId="6" borderId="0" xfId="0" applyNumberFormat="1" applyFont="1" applyFill="1" applyAlignment="1">
      <alignment horizontal="center"/>
    </xf>
    <xf numFmtId="193" fontId="54" fillId="5" borderId="0" xfId="0" applyNumberFormat="1" applyFont="1" applyFill="1" applyAlignment="1">
      <alignment horizontal="center"/>
    </xf>
    <xf numFmtId="194" fontId="54" fillId="5" borderId="0" xfId="0" applyNumberFormat="1" applyFont="1" applyFill="1" applyAlignment="1">
      <alignment horizontal="center"/>
    </xf>
    <xf numFmtId="194" fontId="54" fillId="6" borderId="0" xfId="0" applyNumberFormat="1" applyFont="1" applyFill="1" applyAlignment="1">
      <alignment horizontal="center"/>
    </xf>
    <xf numFmtId="188" fontId="54" fillId="4" borderId="0" xfId="0" applyNumberFormat="1" applyFont="1" applyFill="1" applyAlignment="1" applyProtection="1">
      <alignment horizontal="center" wrapText="1"/>
      <protection locked="0"/>
    </xf>
    <xf numFmtId="0" fontId="0" fillId="0" borderId="0" xfId="7" applyFont="1" applyAlignment="1">
      <alignment vertical="center"/>
    </xf>
    <xf numFmtId="176" fontId="16" fillId="10" borderId="3" xfId="7" applyNumberFormat="1" applyFont="1" applyFill="1" applyBorder="1" applyAlignment="1">
      <alignment horizontal="center" vertical="center" wrapText="1"/>
    </xf>
    <xf numFmtId="176" fontId="15" fillId="10" borderId="3" xfId="7" applyNumberFormat="1" applyFont="1" applyFill="1" applyBorder="1" applyAlignment="1">
      <alignment horizontal="center" vertical="center" wrapText="1"/>
    </xf>
    <xf numFmtId="176" fontId="19" fillId="23" borderId="3" xfId="7" applyNumberFormat="1" applyFont="1" applyFill="1" applyBorder="1" applyAlignment="1">
      <alignment horizontal="center" vertical="center" wrapText="1"/>
    </xf>
    <xf numFmtId="0" fontId="7" fillId="0" borderId="14" xfId="1" applyBorder="1" applyAlignment="1">
      <alignment vertical="center" wrapText="1"/>
    </xf>
    <xf numFmtId="0" fontId="7" fillId="0" borderId="13" xfId="1" applyBorder="1" applyAlignment="1">
      <alignment vertical="center" wrapText="1"/>
    </xf>
    <xf numFmtId="0" fontId="7" fillId="0" borderId="12" xfId="1" applyBorder="1" applyAlignment="1">
      <alignment vertical="center" wrapText="1"/>
    </xf>
    <xf numFmtId="0" fontId="7" fillId="0" borderId="11" xfId="1" applyBorder="1" applyAlignment="1">
      <alignment vertical="center" wrapText="1"/>
    </xf>
    <xf numFmtId="0" fontId="7" fillId="0" borderId="0" xfId="1" applyBorder="1" applyAlignment="1">
      <alignment vertical="center" wrapText="1"/>
    </xf>
    <xf numFmtId="0" fontId="7" fillId="0" borderId="10" xfId="1" applyBorder="1" applyAlignment="1">
      <alignment vertical="center" wrapText="1"/>
    </xf>
    <xf numFmtId="0" fontId="7" fillId="0" borderId="9" xfId="1" applyBorder="1" applyAlignment="1">
      <alignment vertical="center" wrapText="1"/>
    </xf>
    <xf numFmtId="0" fontId="7" fillId="0" borderId="8" xfId="1" applyBorder="1" applyAlignment="1">
      <alignment vertical="center" wrapText="1"/>
    </xf>
    <xf numFmtId="0" fontId="7" fillId="0" borderId="7" xfId="1" applyBorder="1" applyAlignment="1">
      <alignment vertical="center" wrapText="1"/>
    </xf>
    <xf numFmtId="0" fontId="8" fillId="0" borderId="3" xfId="1" applyFont="1" applyBorder="1" applyAlignment="1">
      <alignment horizontal="left" vertical="center"/>
    </xf>
    <xf numFmtId="0" fontId="7" fillId="0" borderId="3" xfId="1" applyBorder="1" applyAlignment="1">
      <alignment horizontal="left" vertical="center" wrapText="1"/>
    </xf>
    <xf numFmtId="0" fontId="7" fillId="0" borderId="6" xfId="1" applyBorder="1" applyAlignment="1">
      <alignment horizontal="left" vertical="center" wrapText="1"/>
    </xf>
    <xf numFmtId="0" fontId="7" fillId="0" borderId="5" xfId="1" applyBorder="1" applyAlignment="1">
      <alignment horizontal="left" vertical="center" wrapText="1"/>
    </xf>
    <xf numFmtId="0" fontId="7" fillId="0" borderId="4" xfId="1" applyBorder="1" applyAlignment="1">
      <alignment horizontal="left" vertical="center" wrapText="1"/>
    </xf>
    <xf numFmtId="0" fontId="29" fillId="13" borderId="3" xfId="1" applyFont="1" applyFill="1" applyBorder="1" applyAlignment="1">
      <alignment horizontal="center"/>
    </xf>
    <xf numFmtId="17" fontId="29" fillId="13" borderId="3" xfId="1" applyNumberFormat="1" applyFont="1" applyFill="1" applyBorder="1" applyAlignment="1">
      <alignment horizontal="center"/>
    </xf>
    <xf numFmtId="15" fontId="29" fillId="13" borderId="3" xfId="1" applyNumberFormat="1" applyFont="1" applyFill="1" applyBorder="1" applyAlignment="1">
      <alignment horizontal="center"/>
    </xf>
    <xf numFmtId="0" fontId="24" fillId="12" borderId="3" xfId="1" applyFont="1" applyFill="1" applyBorder="1" applyAlignment="1">
      <alignment horizontal="center" vertical="center" wrapText="1"/>
    </xf>
    <xf numFmtId="0" fontId="17" fillId="0" borderId="16" xfId="7" applyFont="1" applyBorder="1" applyAlignment="1">
      <alignment vertical="center" wrapText="1"/>
    </xf>
    <xf numFmtId="0" fontId="17" fillId="0" borderId="2" xfId="7" applyFont="1" applyBorder="1" applyAlignment="1">
      <alignment vertical="center" wrapText="1"/>
    </xf>
    <xf numFmtId="0" fontId="17" fillId="0" borderId="15" xfId="7" applyFont="1" applyBorder="1" applyAlignment="1">
      <alignment vertical="center" wrapText="1"/>
    </xf>
    <xf numFmtId="0" fontId="15" fillId="0" borderId="16" xfId="7" applyFont="1" applyBorder="1" applyAlignment="1">
      <alignment horizontal="left" vertical="center" wrapText="1"/>
    </xf>
    <xf numFmtId="0" fontId="15" fillId="0" borderId="2" xfId="7" applyFont="1" applyBorder="1" applyAlignment="1">
      <alignment horizontal="left" vertical="center" wrapText="1"/>
    </xf>
    <xf numFmtId="0" fontId="15" fillId="0" borderId="15" xfId="7" applyFont="1" applyBorder="1" applyAlignment="1">
      <alignment horizontal="left" vertical="center" wrapText="1"/>
    </xf>
    <xf numFmtId="0" fontId="6" fillId="19" borderId="14" xfId="7" applyFill="1" applyBorder="1" applyAlignment="1">
      <alignment vertical="center"/>
    </xf>
    <xf numFmtId="0" fontId="6" fillId="19" borderId="9" xfId="7" applyFill="1" applyBorder="1" applyAlignment="1">
      <alignment vertical="center"/>
    </xf>
    <xf numFmtId="0" fontId="2" fillId="19" borderId="27" xfId="7" applyFont="1" applyFill="1" applyBorder="1" applyAlignment="1">
      <alignment horizontal="center" vertical="center" wrapText="1"/>
    </xf>
    <xf numFmtId="0" fontId="2" fillId="19" borderId="26" xfId="7" applyFont="1" applyFill="1" applyBorder="1" applyAlignment="1">
      <alignment horizontal="center" vertical="center" wrapText="1"/>
    </xf>
    <xf numFmtId="0" fontId="2" fillId="19" borderId="25" xfId="7" applyFont="1" applyFill="1" applyBorder="1" applyAlignment="1">
      <alignment horizontal="center" vertical="center" wrapText="1"/>
    </xf>
    <xf numFmtId="0" fontId="6" fillId="19" borderId="26" xfId="7" applyFill="1" applyBorder="1" applyAlignment="1">
      <alignment horizontal="center" vertical="center" wrapText="1"/>
    </xf>
    <xf numFmtId="0" fontId="6" fillId="19" borderId="25" xfId="7" applyFill="1" applyBorder="1" applyAlignment="1">
      <alignment horizontal="center" vertical="center" wrapText="1"/>
    </xf>
    <xf numFmtId="0" fontId="6" fillId="19" borderId="28" xfId="7" applyFill="1" applyBorder="1" applyAlignment="1">
      <alignment vertical="center"/>
    </xf>
    <xf numFmtId="0" fontId="6" fillId="19" borderId="24" xfId="7" applyFill="1" applyBorder="1" applyAlignment="1">
      <alignment vertical="center"/>
    </xf>
    <xf numFmtId="0" fontId="6" fillId="19" borderId="31" xfId="7" applyFill="1" applyBorder="1" applyAlignment="1">
      <alignment vertical="center"/>
    </xf>
    <xf numFmtId="0" fontId="6" fillId="19" borderId="30" xfId="7" applyFill="1" applyBorder="1" applyAlignment="1">
      <alignment vertical="center"/>
    </xf>
    <xf numFmtId="0" fontId="29" fillId="13" borderId="6" xfId="1" applyFont="1" applyFill="1" applyBorder="1" applyAlignment="1">
      <alignment horizontal="center"/>
    </xf>
    <xf numFmtId="0" fontId="29" fillId="13" borderId="5" xfId="1" applyFont="1" applyFill="1" applyBorder="1" applyAlignment="1">
      <alignment horizontal="center"/>
    </xf>
    <xf numFmtId="0" fontId="29" fillId="13" borderId="4" xfId="1" applyFont="1" applyFill="1" applyBorder="1" applyAlignment="1">
      <alignment horizontal="center"/>
    </xf>
    <xf numFmtId="0" fontId="29" fillId="13" borderId="9" xfId="1" applyFont="1" applyFill="1" applyBorder="1" applyAlignment="1">
      <alignment horizontal="center"/>
    </xf>
    <xf numFmtId="0" fontId="29" fillId="13" borderId="7" xfId="1" applyFont="1" applyFill="1" applyBorder="1" applyAlignment="1">
      <alignment horizontal="center"/>
    </xf>
    <xf numFmtId="0" fontId="7" fillId="0" borderId="37" xfId="1" applyBorder="1" applyAlignment="1">
      <alignment horizontal="center"/>
    </xf>
    <xf numFmtId="0" fontId="7" fillId="0" borderId="36" xfId="1" applyBorder="1" applyAlignment="1">
      <alignment horizontal="center"/>
    </xf>
    <xf numFmtId="0" fontId="7" fillId="0" borderId="42" xfId="1" applyBorder="1" applyAlignment="1">
      <alignment horizontal="center"/>
    </xf>
    <xf numFmtId="0" fontId="7" fillId="0" borderId="27" xfId="1" applyBorder="1" applyAlignment="1">
      <alignment horizontal="center"/>
    </xf>
    <xf numFmtId="0" fontId="7" fillId="0" borderId="26" xfId="1" applyBorder="1" applyAlignment="1">
      <alignment horizontal="center"/>
    </xf>
    <xf numFmtId="0" fontId="7" fillId="0" borderId="25" xfId="1" applyBorder="1" applyAlignment="1">
      <alignment horizontal="center"/>
    </xf>
    <xf numFmtId="0" fontId="41" fillId="0" borderId="31" xfId="1" applyFont="1" applyBorder="1" applyAlignment="1">
      <alignment horizontal="center"/>
    </xf>
    <xf numFmtId="0" fontId="41" fillId="0" borderId="45" xfId="1" applyFont="1" applyBorder="1" applyAlignment="1">
      <alignment horizontal="center"/>
    </xf>
    <xf numFmtId="0" fontId="41" fillId="0" borderId="44" xfId="1" applyFont="1" applyBorder="1" applyAlignment="1">
      <alignment horizontal="center"/>
    </xf>
    <xf numFmtId="0" fontId="7" fillId="12" borderId="20" xfId="1" applyFill="1" applyBorder="1" applyAlignment="1">
      <alignment horizontal="center"/>
    </xf>
    <xf numFmtId="0" fontId="7" fillId="12" borderId="47" xfId="1" applyFill="1" applyBorder="1" applyAlignment="1">
      <alignment horizontal="center"/>
    </xf>
    <xf numFmtId="0" fontId="7" fillId="12" borderId="46" xfId="1" applyFill="1" applyBorder="1" applyAlignment="1">
      <alignment horizontal="center"/>
    </xf>
    <xf numFmtId="0" fontId="7" fillId="12" borderId="37" xfId="1" applyFill="1" applyBorder="1" applyAlignment="1">
      <alignment horizontal="center"/>
    </xf>
    <xf numFmtId="0" fontId="7" fillId="12" borderId="36" xfId="1" applyFill="1" applyBorder="1" applyAlignment="1">
      <alignment horizontal="center"/>
    </xf>
    <xf numFmtId="0" fontId="7" fillId="12" borderId="42" xfId="1" applyFill="1" applyBorder="1" applyAlignment="1">
      <alignment horizontal="center"/>
    </xf>
    <xf numFmtId="0" fontId="7" fillId="12" borderId="27" xfId="1" applyFill="1" applyBorder="1" applyAlignment="1">
      <alignment horizontal="center"/>
    </xf>
    <xf numFmtId="0" fontId="7" fillId="12" borderId="26" xfId="1" applyFill="1" applyBorder="1" applyAlignment="1">
      <alignment horizontal="center"/>
    </xf>
    <xf numFmtId="0" fontId="7" fillId="12" borderId="25" xfId="1" applyFill="1" applyBorder="1" applyAlignment="1">
      <alignment horizontal="center"/>
    </xf>
    <xf numFmtId="0" fontId="24" fillId="13" borderId="16" xfId="1" applyFont="1" applyFill="1" applyBorder="1" applyAlignment="1">
      <alignment horizontal="center" vertical="center" wrapText="1"/>
    </xf>
    <xf numFmtId="0" fontId="24" fillId="13" borderId="2" xfId="1" applyFont="1" applyFill="1" applyBorder="1" applyAlignment="1">
      <alignment horizontal="center" vertical="center" wrapText="1"/>
    </xf>
    <xf numFmtId="0" fontId="24" fillId="13" borderId="15" xfId="1" applyFont="1" applyFill="1" applyBorder="1" applyAlignment="1">
      <alignment horizontal="center" vertical="center" wrapText="1"/>
    </xf>
    <xf numFmtId="0" fontId="24" fillId="12" borderId="6" xfId="1" quotePrefix="1" applyFont="1" applyFill="1" applyBorder="1" applyAlignment="1">
      <alignment horizontal="center" vertical="center" wrapText="1"/>
    </xf>
    <xf numFmtId="0" fontId="24" fillId="12" borderId="4" xfId="1" quotePrefix="1" applyFont="1" applyFill="1" applyBorder="1" applyAlignment="1">
      <alignment horizontal="center" vertical="center" wrapText="1"/>
    </xf>
    <xf numFmtId="0" fontId="24" fillId="12" borderId="5" xfId="1" quotePrefix="1" applyFont="1" applyFill="1" applyBorder="1" applyAlignment="1">
      <alignment horizontal="center" vertical="center" wrapText="1"/>
    </xf>
    <xf numFmtId="0" fontId="8" fillId="0" borderId="3" xfId="1" applyFont="1" applyBorder="1" applyAlignment="1">
      <alignment horizontal="center" vertical="center" wrapText="1"/>
    </xf>
  </cellXfs>
  <cellStyles count="288">
    <cellStyle name="=C:\WINNT\SYSTEM32\COMMAND.COM" xfId="2"/>
    <cellStyle name="Comma 2" xfId="3"/>
    <cellStyle name="Comma 3" xfId="4"/>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Hyperlink" xfId="287" builtinId="8"/>
    <cellStyle name="Hyperlink 2" xfId="5"/>
    <cellStyle name="Normal" xfId="0" builtinId="0"/>
    <cellStyle name="Normal 2" xfId="1"/>
    <cellStyle name="Normal 2 2" xfId="6"/>
    <cellStyle name="Normal 3" xfId="7"/>
    <cellStyle name="Normal 3 2" xfId="8"/>
    <cellStyle name="Normal 4" xfId="9"/>
    <cellStyle name="Normal 5" xfId="10"/>
    <cellStyle name="Normal_Generation" xfId="11"/>
    <cellStyle name="Percent 2" xfId="12"/>
    <cellStyle name="Percent 3" xfId="13"/>
    <cellStyle name="Percent 4" xfId="14"/>
  </cellStyles>
  <dxfs count="0"/>
  <tableStyles count="0" defaultTableStyle="TableStyleMedium9" defaultPivotStyle="PivotStyleLight16"/>
  <colors>
    <mruColors>
      <color rgb="FFE9E9E9"/>
      <color rgb="FF999999"/>
      <color rgb="FF0066CC"/>
      <color rgb="FFFF6633"/>
      <color rgb="FFFFFFCC"/>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142875</xdr:rowOff>
    </xdr:from>
    <xdr:to>
      <xdr:col>1</xdr:col>
      <xdr:colOff>4581525</xdr:colOff>
      <xdr:row>28</xdr:row>
      <xdr:rowOff>85725</xdr:rowOff>
    </xdr:to>
    <xdr:sp macro="" textlink="">
      <xdr:nvSpPr>
        <xdr:cNvPr id="2" name="TextBox 1"/>
        <xdr:cNvSpPr txBox="1">
          <a:spLocks noChangeArrowheads="1"/>
        </xdr:cNvSpPr>
      </xdr:nvSpPr>
      <xdr:spPr bwMode="auto">
        <a:xfrm>
          <a:off x="673100" y="1285875"/>
          <a:ext cx="669925" cy="3143250"/>
        </a:xfrm>
        <a:prstGeom prst="rect">
          <a:avLst/>
        </a:prstGeom>
        <a:solidFill>
          <a:srgbClr val="FFFFFF"/>
        </a:solidFill>
        <a:ln w="9525">
          <a:solidFill>
            <a:srgbClr val="BCBCBC"/>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262486</xdr:colOff>
      <xdr:row>8</xdr:row>
      <xdr:rowOff>0</xdr:rowOff>
    </xdr:from>
    <xdr:ext cx="4284114" cy="969818"/>
    <xdr:sp macro="[0]!RunARP" textlink="">
      <xdr:nvSpPr>
        <xdr:cNvPr id="3" name="Rectangle 25"/>
        <xdr:cNvSpPr>
          <a:spLocks noChangeArrowheads="1"/>
        </xdr:cNvSpPr>
      </xdr:nvSpPr>
      <xdr:spPr bwMode="auto">
        <a:xfrm>
          <a:off x="7552286" y="1866900"/>
          <a:ext cx="4284114" cy="969818"/>
        </a:xfrm>
        <a:prstGeom prst="rect">
          <a:avLst/>
        </a:prstGeom>
        <a:solidFill>
          <a:srgbClr val="FFFFFF"/>
        </a:soli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27432" tIns="22860" rIns="27432" bIns="0" anchor="t" upright="1">
          <a:noAutofit/>
        </a:bodyPr>
        <a:lstStyle/>
        <a:p>
          <a:pPr algn="ctr" rtl="0">
            <a:defRPr sz="1000"/>
          </a:pPr>
          <a:endParaRPr lang="en-GB" sz="1000" b="0" i="0" u="none" strike="noStrike" baseline="0">
            <a:solidFill>
              <a:srgbClr val="000000"/>
            </a:solidFill>
            <a:latin typeface="Arial"/>
            <a:cs typeface="Arial"/>
          </a:endParaRPr>
        </a:p>
        <a:p>
          <a:pPr algn="ctr" rtl="0">
            <a:defRPr sz="1000"/>
          </a:pPr>
          <a:r>
            <a:rPr lang="en-GB" sz="2000" b="0" i="0" u="none" strike="noStrike" baseline="0">
              <a:solidFill>
                <a:srgbClr val="000000"/>
              </a:solidFill>
              <a:latin typeface="Arial"/>
              <a:cs typeface="Arial"/>
            </a:rPr>
            <a:t>Press to update</a:t>
          </a:r>
        </a:p>
        <a:p>
          <a:pPr algn="ctr" rtl="0">
            <a:defRPr sz="1000"/>
          </a:pPr>
          <a:r>
            <a:rPr lang="en-GB" sz="2000" b="0" i="0" u="none" strike="noStrike" baseline="0">
              <a:solidFill>
                <a:srgbClr val="000000"/>
              </a:solidFill>
              <a:latin typeface="Arial"/>
              <a:cs typeface="Arial"/>
            </a:rPr>
            <a:t>Tariffs and "Typical Bills"</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DCM%20AR%20Pack%20v4%20r09Nov10%20with%20tariff%20update%20EP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Commentary"/>
      <sheetName val="CDCM Forecast Data"/>
      <sheetName val="Mat of App"/>
      <sheetName val="CDCM Volume Forecasts"/>
      <sheetName val="CDCM Timebands"/>
      <sheetName val="(Y)"/>
      <sheetName val="(Y+1)"/>
      <sheetName val="(Y+2)"/>
      <sheetName val="(Y+3)"/>
      <sheetName val="(Y+4)"/>
      <sheetName val="Tariffs"/>
      <sheetName val="DNO Checklist"/>
      <sheetName val="Vlookup"/>
      <sheetName val="Application Refs"/>
    </sheetNames>
    <sheetDataSet>
      <sheetData sheetId="0"/>
      <sheetData sheetId="1"/>
      <sheetData sheetId="2"/>
      <sheetData sheetId="3"/>
      <sheetData sheetId="4"/>
      <sheetData sheetId="5"/>
      <sheetData sheetId="6"/>
      <sheetData sheetId="7"/>
      <sheetData sheetId="8"/>
      <sheetData sheetId="9"/>
      <sheetData sheetId="10"/>
      <sheetData sheetId="11">
        <row r="21">
          <cell r="D21" t="str">
            <v>011, 041, 441, 511</v>
          </cell>
          <cell r="E21">
            <v>1</v>
          </cell>
          <cell r="L21">
            <v>541</v>
          </cell>
        </row>
        <row r="22">
          <cell r="D22" t="str">
            <v xml:space="preserve">031, 051, 061, 451, 531 </v>
          </cell>
          <cell r="E22">
            <v>2</v>
          </cell>
          <cell r="L22" t="str">
            <v>421, 501, 551, 561, 621, 651</v>
          </cell>
        </row>
        <row r="23">
          <cell r="D23" t="str">
            <v>081, 581</v>
          </cell>
          <cell r="E23">
            <v>2</v>
          </cell>
          <cell r="L23" t="str">
            <v>071, 101, 111, 571, 601, 611</v>
          </cell>
        </row>
        <row r="24">
          <cell r="D24" t="str">
            <v>131, 191, 631</v>
          </cell>
          <cell r="E24">
            <v>3</v>
          </cell>
          <cell r="L24">
            <v>691</v>
          </cell>
        </row>
        <row r="25">
          <cell r="D25" t="str">
            <v>161, 171, 661</v>
          </cell>
          <cell r="E25">
            <v>4</v>
          </cell>
          <cell r="L25" t="str">
            <v>181, 671, 681</v>
          </cell>
        </row>
        <row r="26">
          <cell r="D26" t="str">
            <v>091, 591</v>
          </cell>
          <cell r="E26">
            <v>4</v>
          </cell>
          <cell r="L26" t="str">
            <v>071, 101,111, 571, 601, 611</v>
          </cell>
        </row>
        <row r="27">
          <cell r="D27" t="str">
            <v>241, 431, 481, 751</v>
          </cell>
          <cell r="E27" t="str">
            <v>5-8</v>
          </cell>
          <cell r="L27" t="str">
            <v>201, 211, 221, 231, 431, 701, 711</v>
          </cell>
        </row>
        <row r="28">
          <cell r="D28" t="str">
            <v>242, 432, 482, 752</v>
          </cell>
          <cell r="E28" t="str">
            <v>5-8</v>
          </cell>
          <cell r="L28" t="str">
            <v>202, 212, 222, 432, 702, 712</v>
          </cell>
        </row>
        <row r="29">
          <cell r="D29" t="str">
            <v>483, 753</v>
          </cell>
          <cell r="E29" t="str">
            <v>5-8</v>
          </cell>
          <cell r="L29" t="str">
            <v>203, 213, 223, 703, 713</v>
          </cell>
        </row>
        <row r="30">
          <cell r="D30">
            <v>801</v>
          </cell>
          <cell r="E30">
            <v>0</v>
          </cell>
          <cell r="L30">
            <v>251271401</v>
          </cell>
        </row>
        <row r="31">
          <cell r="D31">
            <v>802</v>
          </cell>
          <cell r="E31">
            <v>0</v>
          </cell>
          <cell r="L31">
            <v>252272402</v>
          </cell>
        </row>
        <row r="32">
          <cell r="D32">
            <v>803</v>
          </cell>
          <cell r="E32">
            <v>0</v>
          </cell>
          <cell r="L32" t="str">
            <v>253, 413</v>
          </cell>
        </row>
        <row r="33">
          <cell r="D33">
            <v>804</v>
          </cell>
          <cell r="E33">
            <v>0</v>
          </cell>
          <cell r="L33" t="str">
            <v>384, 404</v>
          </cell>
        </row>
        <row r="34">
          <cell r="D34">
            <v>721</v>
          </cell>
          <cell r="E34" t="str">
            <v>1&amp;8</v>
          </cell>
          <cell r="L34">
            <v>341351371381</v>
          </cell>
        </row>
        <row r="35">
          <cell r="D35">
            <v>811</v>
          </cell>
          <cell r="E35">
            <v>0</v>
          </cell>
          <cell r="L35">
            <v>351</v>
          </cell>
        </row>
        <row r="36">
          <cell r="D36">
            <v>961</v>
          </cell>
          <cell r="E36">
            <v>8</v>
          </cell>
          <cell r="L36">
            <v>911921931941</v>
          </cell>
        </row>
        <row r="37">
          <cell r="D37">
            <v>962</v>
          </cell>
          <cell r="E37">
            <v>8</v>
          </cell>
          <cell r="L37">
            <v>0</v>
          </cell>
        </row>
        <row r="38">
          <cell r="D38">
            <v>971</v>
          </cell>
          <cell r="E38">
            <v>0</v>
          </cell>
          <cell r="L38">
            <v>0</v>
          </cell>
        </row>
        <row r="39">
          <cell r="D39">
            <v>981</v>
          </cell>
          <cell r="E39">
            <v>0</v>
          </cell>
          <cell r="L39">
            <v>0</v>
          </cell>
        </row>
        <row r="40">
          <cell r="D40">
            <v>972</v>
          </cell>
          <cell r="E40">
            <v>0</v>
          </cell>
          <cell r="L40">
            <v>0</v>
          </cell>
        </row>
        <row r="41">
          <cell r="D41">
            <v>982</v>
          </cell>
          <cell r="E41">
            <v>0</v>
          </cell>
          <cell r="L41">
            <v>0</v>
          </cell>
        </row>
        <row r="42">
          <cell r="D42">
            <v>973</v>
          </cell>
          <cell r="E42">
            <v>0</v>
          </cell>
          <cell r="L42">
            <v>0</v>
          </cell>
        </row>
        <row r="43">
          <cell r="D43">
            <v>983</v>
          </cell>
          <cell r="E43">
            <v>0</v>
          </cell>
          <cell r="L43">
            <v>0</v>
          </cell>
        </row>
        <row r="44">
          <cell r="D44">
            <v>984</v>
          </cell>
          <cell r="E44">
            <v>0</v>
          </cell>
          <cell r="L44">
            <v>0</v>
          </cell>
        </row>
        <row r="45">
          <cell r="D45">
            <v>974</v>
          </cell>
          <cell r="E45">
            <v>0</v>
          </cell>
          <cell r="L45">
            <v>0</v>
          </cell>
        </row>
        <row r="46">
          <cell r="E46">
            <v>1</v>
          </cell>
          <cell r="L46">
            <v>0</v>
          </cell>
        </row>
        <row r="47">
          <cell r="E47">
            <v>2</v>
          </cell>
          <cell r="L47">
            <v>0</v>
          </cell>
        </row>
        <row r="48">
          <cell r="E48">
            <v>2</v>
          </cell>
          <cell r="L48">
            <v>0</v>
          </cell>
        </row>
        <row r="49">
          <cell r="E49">
            <v>3</v>
          </cell>
          <cell r="L49">
            <v>0</v>
          </cell>
        </row>
        <row r="50">
          <cell r="E50">
            <v>4</v>
          </cell>
          <cell r="L50">
            <v>0</v>
          </cell>
        </row>
        <row r="51">
          <cell r="E51">
            <v>4</v>
          </cell>
          <cell r="L51">
            <v>0</v>
          </cell>
        </row>
        <row r="52">
          <cell r="E52" t="str">
            <v>5-8</v>
          </cell>
          <cell r="L52">
            <v>0</v>
          </cell>
        </row>
        <row r="53">
          <cell r="E53">
            <v>0</v>
          </cell>
          <cell r="L53">
            <v>0</v>
          </cell>
        </row>
        <row r="54">
          <cell r="E54" t="str">
            <v>1&amp;8</v>
          </cell>
          <cell r="L54">
            <v>0</v>
          </cell>
        </row>
        <row r="55">
          <cell r="E55">
            <v>0</v>
          </cell>
          <cell r="L55">
            <v>0</v>
          </cell>
        </row>
        <row r="56">
          <cell r="E56">
            <v>8</v>
          </cell>
          <cell r="L56">
            <v>0</v>
          </cell>
        </row>
        <row r="57">
          <cell r="E57">
            <v>0</v>
          </cell>
          <cell r="L57">
            <v>0</v>
          </cell>
        </row>
        <row r="58">
          <cell r="E58">
            <v>0</v>
          </cell>
          <cell r="L58">
            <v>0</v>
          </cell>
        </row>
        <row r="59">
          <cell r="E59">
            <v>1</v>
          </cell>
          <cell r="L59">
            <v>0</v>
          </cell>
        </row>
        <row r="60">
          <cell r="E60">
            <v>2</v>
          </cell>
          <cell r="L60">
            <v>0</v>
          </cell>
        </row>
        <row r="61">
          <cell r="E61">
            <v>2</v>
          </cell>
          <cell r="L61">
            <v>0</v>
          </cell>
        </row>
        <row r="62">
          <cell r="E62">
            <v>3</v>
          </cell>
          <cell r="L62">
            <v>0</v>
          </cell>
        </row>
        <row r="63">
          <cell r="E63">
            <v>4</v>
          </cell>
          <cell r="L63">
            <v>0</v>
          </cell>
        </row>
        <row r="64">
          <cell r="E64">
            <v>4</v>
          </cell>
          <cell r="L64">
            <v>0</v>
          </cell>
        </row>
        <row r="65">
          <cell r="E65" t="str">
            <v>5-8</v>
          </cell>
          <cell r="L65">
            <v>0</v>
          </cell>
        </row>
        <row r="66">
          <cell r="E66">
            <v>0</v>
          </cell>
          <cell r="L66">
            <v>0</v>
          </cell>
        </row>
        <row r="67">
          <cell r="E67">
            <v>0</v>
          </cell>
          <cell r="L67">
            <v>0</v>
          </cell>
        </row>
        <row r="68">
          <cell r="E68">
            <v>0</v>
          </cell>
          <cell r="L68">
            <v>0</v>
          </cell>
        </row>
        <row r="69">
          <cell r="E69" t="str">
            <v>1&amp;8</v>
          </cell>
          <cell r="L69">
            <v>0</v>
          </cell>
        </row>
        <row r="70">
          <cell r="E70">
            <v>0</v>
          </cell>
          <cell r="L70">
            <v>0</v>
          </cell>
        </row>
        <row r="71">
          <cell r="E71">
            <v>8</v>
          </cell>
          <cell r="L71">
            <v>0</v>
          </cell>
        </row>
        <row r="72">
          <cell r="E72">
            <v>8</v>
          </cell>
          <cell r="L72">
            <v>0</v>
          </cell>
        </row>
        <row r="73">
          <cell r="E73">
            <v>0</v>
          </cell>
          <cell r="L73">
            <v>0</v>
          </cell>
        </row>
        <row r="74">
          <cell r="E74">
            <v>0</v>
          </cell>
          <cell r="L74">
            <v>0</v>
          </cell>
        </row>
        <row r="75">
          <cell r="E75">
            <v>0</v>
          </cell>
          <cell r="L75">
            <v>0</v>
          </cell>
        </row>
        <row r="76">
          <cell r="E76">
            <v>0</v>
          </cell>
          <cell r="L76">
            <v>0</v>
          </cell>
        </row>
        <row r="77">
          <cell r="E77">
            <v>0</v>
          </cell>
          <cell r="L77">
            <v>0</v>
          </cell>
        </row>
        <row r="78">
          <cell r="E78">
            <v>0</v>
          </cell>
          <cell r="L78">
            <v>0</v>
          </cell>
        </row>
        <row r="88">
          <cell r="D88" t="str">
            <v>011, 041, 441, 511</v>
          </cell>
          <cell r="E88">
            <v>1</v>
          </cell>
          <cell r="L88">
            <v>541</v>
          </cell>
        </row>
        <row r="89">
          <cell r="D89" t="str">
            <v xml:space="preserve">031, 051, 061, 451, 531 </v>
          </cell>
          <cell r="E89">
            <v>2</v>
          </cell>
          <cell r="L89" t="str">
            <v>421, 501, 551, 561, 621, 651</v>
          </cell>
        </row>
        <row r="90">
          <cell r="D90" t="str">
            <v>081, 581</v>
          </cell>
          <cell r="E90">
            <v>2</v>
          </cell>
          <cell r="L90" t="str">
            <v>071, 101, 111, 571, 601, 611</v>
          </cell>
        </row>
        <row r="91">
          <cell r="D91" t="str">
            <v>131, 191, 631</v>
          </cell>
          <cell r="E91">
            <v>3</v>
          </cell>
          <cell r="L91">
            <v>691</v>
          </cell>
        </row>
        <row r="92">
          <cell r="D92" t="str">
            <v>161, 171, 661</v>
          </cell>
          <cell r="E92">
            <v>4</v>
          </cell>
          <cell r="L92" t="str">
            <v>181, 671, 681</v>
          </cell>
        </row>
        <row r="93">
          <cell r="D93" t="str">
            <v>091, 591</v>
          </cell>
          <cell r="E93">
            <v>4</v>
          </cell>
          <cell r="L93" t="str">
            <v>071, 101,111, 571, 601, 611</v>
          </cell>
        </row>
        <row r="94">
          <cell r="D94" t="str">
            <v>241, 431, 481, 751</v>
          </cell>
          <cell r="E94" t="str">
            <v>5-8</v>
          </cell>
          <cell r="L94" t="str">
            <v>201, 211, 221, 231, 431, 701, 711</v>
          </cell>
        </row>
        <row r="95">
          <cell r="D95" t="str">
            <v>242, 432, 482, 752</v>
          </cell>
          <cell r="E95" t="str">
            <v>5-8</v>
          </cell>
          <cell r="L95" t="str">
            <v>202, 212, 222, 432, 702, 712</v>
          </cell>
        </row>
        <row r="96">
          <cell r="D96" t="str">
            <v>483, 753</v>
          </cell>
          <cell r="E96" t="str">
            <v>5-8</v>
          </cell>
          <cell r="L96" t="str">
            <v>203, 213, 223, 703, 713</v>
          </cell>
        </row>
        <row r="97">
          <cell r="D97">
            <v>801</v>
          </cell>
          <cell r="E97">
            <v>0</v>
          </cell>
          <cell r="L97">
            <v>251271401</v>
          </cell>
        </row>
        <row r="98">
          <cell r="D98">
            <v>802</v>
          </cell>
          <cell r="E98">
            <v>0</v>
          </cell>
          <cell r="L98">
            <v>252272402</v>
          </cell>
        </row>
        <row r="99">
          <cell r="D99">
            <v>803</v>
          </cell>
          <cell r="E99">
            <v>0</v>
          </cell>
          <cell r="L99" t="str">
            <v>253, 413</v>
          </cell>
        </row>
        <row r="100">
          <cell r="D100">
            <v>804</v>
          </cell>
          <cell r="E100">
            <v>0</v>
          </cell>
          <cell r="L100" t="str">
            <v>384, 404</v>
          </cell>
        </row>
        <row r="101">
          <cell r="D101">
            <v>721</v>
          </cell>
          <cell r="E101" t="str">
            <v>1&amp;8</v>
          </cell>
          <cell r="L101">
            <v>341351371381</v>
          </cell>
        </row>
        <row r="102">
          <cell r="D102">
            <v>811</v>
          </cell>
          <cell r="E102">
            <v>0</v>
          </cell>
          <cell r="L102">
            <v>351</v>
          </cell>
        </row>
        <row r="103">
          <cell r="D103">
            <v>961</v>
          </cell>
          <cell r="E103">
            <v>8</v>
          </cell>
          <cell r="L103">
            <v>911921931941</v>
          </cell>
        </row>
        <row r="104">
          <cell r="D104">
            <v>962</v>
          </cell>
          <cell r="E104">
            <v>8</v>
          </cell>
          <cell r="L104">
            <v>0</v>
          </cell>
        </row>
        <row r="105">
          <cell r="D105">
            <v>971</v>
          </cell>
          <cell r="E105">
            <v>0</v>
          </cell>
          <cell r="L105">
            <v>0</v>
          </cell>
        </row>
        <row r="106">
          <cell r="D106">
            <v>981</v>
          </cell>
          <cell r="E106">
            <v>0</v>
          </cell>
          <cell r="L106">
            <v>0</v>
          </cell>
        </row>
        <row r="107">
          <cell r="D107">
            <v>972</v>
          </cell>
          <cell r="E107">
            <v>0</v>
          </cell>
          <cell r="L107">
            <v>0</v>
          </cell>
        </row>
        <row r="108">
          <cell r="D108">
            <v>982</v>
          </cell>
          <cell r="E108">
            <v>0</v>
          </cell>
          <cell r="L108">
            <v>0</v>
          </cell>
        </row>
        <row r="109">
          <cell r="D109">
            <v>973</v>
          </cell>
          <cell r="E109">
            <v>0</v>
          </cell>
          <cell r="L109">
            <v>0</v>
          </cell>
        </row>
        <row r="110">
          <cell r="D110">
            <v>983</v>
          </cell>
          <cell r="E110">
            <v>0</v>
          </cell>
          <cell r="L110">
            <v>0</v>
          </cell>
        </row>
        <row r="111">
          <cell r="D111">
            <v>984</v>
          </cell>
          <cell r="E111">
            <v>0</v>
          </cell>
          <cell r="L111">
            <v>0</v>
          </cell>
        </row>
        <row r="112">
          <cell r="D112">
            <v>974</v>
          </cell>
          <cell r="E112">
            <v>0</v>
          </cell>
          <cell r="L112">
            <v>0</v>
          </cell>
        </row>
        <row r="113">
          <cell r="D113">
            <v>0</v>
          </cell>
          <cell r="E113">
            <v>1</v>
          </cell>
          <cell r="L113">
            <v>0</v>
          </cell>
        </row>
        <row r="114">
          <cell r="D114">
            <v>0</v>
          </cell>
          <cell r="E114">
            <v>2</v>
          </cell>
          <cell r="L114">
            <v>0</v>
          </cell>
        </row>
        <row r="115">
          <cell r="D115">
            <v>0</v>
          </cell>
          <cell r="E115">
            <v>2</v>
          </cell>
          <cell r="L115">
            <v>0</v>
          </cell>
        </row>
        <row r="116">
          <cell r="D116">
            <v>0</v>
          </cell>
          <cell r="E116">
            <v>3</v>
          </cell>
          <cell r="L116">
            <v>0</v>
          </cell>
        </row>
        <row r="117">
          <cell r="D117">
            <v>0</v>
          </cell>
          <cell r="E117">
            <v>4</v>
          </cell>
          <cell r="L117">
            <v>0</v>
          </cell>
        </row>
        <row r="118">
          <cell r="D118">
            <v>0</v>
          </cell>
          <cell r="E118">
            <v>4</v>
          </cell>
          <cell r="L118">
            <v>0</v>
          </cell>
        </row>
        <row r="119">
          <cell r="D119">
            <v>0</v>
          </cell>
          <cell r="E119" t="str">
            <v>5-8</v>
          </cell>
          <cell r="L119">
            <v>0</v>
          </cell>
        </row>
        <row r="120">
          <cell r="D120">
            <v>0</v>
          </cell>
          <cell r="E120">
            <v>0</v>
          </cell>
          <cell r="L120">
            <v>0</v>
          </cell>
        </row>
        <row r="121">
          <cell r="D121">
            <v>0</v>
          </cell>
          <cell r="E121" t="str">
            <v>1&amp;8</v>
          </cell>
          <cell r="L121">
            <v>0</v>
          </cell>
        </row>
        <row r="122">
          <cell r="D122">
            <v>0</v>
          </cell>
          <cell r="E122">
            <v>0</v>
          </cell>
          <cell r="L122">
            <v>0</v>
          </cell>
        </row>
        <row r="123">
          <cell r="D123">
            <v>0</v>
          </cell>
          <cell r="E123">
            <v>8</v>
          </cell>
          <cell r="L123">
            <v>0</v>
          </cell>
        </row>
        <row r="124">
          <cell r="D124">
            <v>0</v>
          </cell>
          <cell r="E124">
            <v>0</v>
          </cell>
          <cell r="L124">
            <v>0</v>
          </cell>
        </row>
        <row r="125">
          <cell r="D125">
            <v>0</v>
          </cell>
          <cell r="E125">
            <v>0</v>
          </cell>
          <cell r="L125">
            <v>0</v>
          </cell>
        </row>
        <row r="126">
          <cell r="D126">
            <v>0</v>
          </cell>
          <cell r="E126">
            <v>1</v>
          </cell>
          <cell r="L126">
            <v>0</v>
          </cell>
        </row>
        <row r="127">
          <cell r="D127">
            <v>0</v>
          </cell>
          <cell r="E127">
            <v>2</v>
          </cell>
          <cell r="L127">
            <v>0</v>
          </cell>
        </row>
        <row r="128">
          <cell r="D128">
            <v>0</v>
          </cell>
          <cell r="E128">
            <v>2</v>
          </cell>
          <cell r="L128">
            <v>0</v>
          </cell>
        </row>
        <row r="129">
          <cell r="D129">
            <v>0</v>
          </cell>
          <cell r="E129">
            <v>3</v>
          </cell>
          <cell r="L129">
            <v>0</v>
          </cell>
        </row>
        <row r="130">
          <cell r="D130">
            <v>0</v>
          </cell>
          <cell r="E130">
            <v>4</v>
          </cell>
          <cell r="L130">
            <v>0</v>
          </cell>
        </row>
        <row r="131">
          <cell r="D131">
            <v>0</v>
          </cell>
          <cell r="E131">
            <v>4</v>
          </cell>
          <cell r="L131">
            <v>0</v>
          </cell>
        </row>
        <row r="132">
          <cell r="D132">
            <v>0</v>
          </cell>
          <cell r="E132" t="str">
            <v>5-8</v>
          </cell>
          <cell r="L132">
            <v>0</v>
          </cell>
        </row>
        <row r="133">
          <cell r="D133">
            <v>0</v>
          </cell>
          <cell r="E133">
            <v>0</v>
          </cell>
          <cell r="L133">
            <v>0</v>
          </cell>
        </row>
        <row r="134">
          <cell r="D134">
            <v>0</v>
          </cell>
          <cell r="E134">
            <v>0</v>
          </cell>
          <cell r="L134">
            <v>0</v>
          </cell>
        </row>
        <row r="135">
          <cell r="D135">
            <v>0</v>
          </cell>
          <cell r="E135">
            <v>0</v>
          </cell>
          <cell r="L135">
            <v>0</v>
          </cell>
        </row>
        <row r="136">
          <cell r="D136">
            <v>0</v>
          </cell>
          <cell r="E136" t="str">
            <v>1&amp;8</v>
          </cell>
          <cell r="L136">
            <v>0</v>
          </cell>
        </row>
        <row r="137">
          <cell r="D137">
            <v>0</v>
          </cell>
          <cell r="E137">
            <v>0</v>
          </cell>
          <cell r="L137">
            <v>0</v>
          </cell>
        </row>
        <row r="138">
          <cell r="D138">
            <v>0</v>
          </cell>
          <cell r="E138">
            <v>8</v>
          </cell>
          <cell r="L138">
            <v>0</v>
          </cell>
        </row>
        <row r="139">
          <cell r="D139">
            <v>0</v>
          </cell>
          <cell r="E139">
            <v>8</v>
          </cell>
          <cell r="L139">
            <v>0</v>
          </cell>
        </row>
        <row r="140">
          <cell r="D140">
            <v>0</v>
          </cell>
          <cell r="E140">
            <v>0</v>
          </cell>
          <cell r="L140">
            <v>0</v>
          </cell>
        </row>
        <row r="141">
          <cell r="D141">
            <v>0</v>
          </cell>
          <cell r="E141">
            <v>0</v>
          </cell>
          <cell r="L141">
            <v>0</v>
          </cell>
        </row>
        <row r="142">
          <cell r="D142">
            <v>0</v>
          </cell>
          <cell r="E142">
            <v>0</v>
          </cell>
          <cell r="L142">
            <v>0</v>
          </cell>
        </row>
        <row r="143">
          <cell r="D143">
            <v>0</v>
          </cell>
          <cell r="E143">
            <v>0</v>
          </cell>
          <cell r="L143">
            <v>0</v>
          </cell>
        </row>
        <row r="144">
          <cell r="D144">
            <v>0</v>
          </cell>
          <cell r="E144">
            <v>0</v>
          </cell>
          <cell r="L144">
            <v>0</v>
          </cell>
        </row>
        <row r="145">
          <cell r="D145">
            <v>0</v>
          </cell>
          <cell r="E145">
            <v>0</v>
          </cell>
          <cell r="L145">
            <v>0</v>
          </cell>
        </row>
      </sheetData>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2:D32"/>
  <sheetViews>
    <sheetView showGridLines="0" workbookViewId="0">
      <selection activeCell="B16" sqref="B16:D16"/>
    </sheetView>
  </sheetViews>
  <sheetFormatPr defaultColWidth="8.85546875" defaultRowHeight="12.75"/>
  <cols>
    <col min="1" max="1" width="33.42578125" style="16" customWidth="1"/>
    <col min="2" max="2" width="22.85546875" style="17" customWidth="1"/>
    <col min="3" max="3" width="8.85546875" style="16"/>
    <col min="4" max="4" width="68.140625" style="16" customWidth="1"/>
    <col min="5" max="16384" width="8.85546875" style="16"/>
  </cols>
  <sheetData>
    <row r="2" spans="1:4" ht="23.25">
      <c r="A2" s="25" t="s">
        <v>1845</v>
      </c>
    </row>
    <row r="4" spans="1:4">
      <c r="A4" s="16" t="s">
        <v>1309</v>
      </c>
      <c r="B4" s="24" t="str">
        <f>'CDCM Forecast Data'!E3</f>
        <v>WPD West Mids</v>
      </c>
    </row>
    <row r="5" spans="1:4">
      <c r="A5" s="16" t="s">
        <v>1308</v>
      </c>
      <c r="B5" s="23">
        <f>'CDCM Forecast Data'!E4</f>
        <v>42339</v>
      </c>
    </row>
    <row r="7" spans="1:4">
      <c r="A7" s="323" t="str">
        <f xml:space="preserve"> "Although every effort has been made to ensure the accuracy of the information provided in this annual review pack, " &amp; 'CDCM Forecast Data'!E3 &amp; " does not accept any liability for the accuracy of the information contained herein and, in particular, " &amp; 'CDCM Forecast Data'!E3 &amp; " or any of its employees, shall not be held liable for any misstatement or opinion on which the recipient of this statement relies or seeks to rely."</f>
        <v>Although every effort has been made to ensure the accuracy of the information provided in this annual review pack, WPD West Mids does not accept any liability for the accuracy of the information contained herein and, in particular, WPD West Mids or any of its employees, shall not be held liable for any misstatement or opinion on which the recipient of this statement relies or seeks to rely.</v>
      </c>
      <c r="B7" s="324"/>
      <c r="C7" s="324"/>
      <c r="D7" s="325"/>
    </row>
    <row r="8" spans="1:4">
      <c r="A8" s="326"/>
      <c r="B8" s="327"/>
      <c r="C8" s="327"/>
      <c r="D8" s="328"/>
    </row>
    <row r="9" spans="1:4">
      <c r="A9" s="326"/>
      <c r="B9" s="327"/>
      <c r="C9" s="327"/>
      <c r="D9" s="328"/>
    </row>
    <row r="10" spans="1:4">
      <c r="A10" s="329"/>
      <c r="B10" s="330"/>
      <c r="C10" s="330"/>
      <c r="D10" s="331"/>
    </row>
    <row r="12" spans="1:4">
      <c r="A12" s="22" t="s">
        <v>1307</v>
      </c>
    </row>
    <row r="13" spans="1:4">
      <c r="A13" s="22"/>
    </row>
    <row r="14" spans="1:4">
      <c r="A14" s="21" t="s">
        <v>1306</v>
      </c>
      <c r="B14" s="332" t="s">
        <v>1305</v>
      </c>
      <c r="C14" s="332"/>
      <c r="D14" s="332"/>
    </row>
    <row r="15" spans="1:4" ht="29.25" customHeight="1">
      <c r="A15" s="19" t="s">
        <v>1304</v>
      </c>
      <c r="B15" s="333" t="s">
        <v>1303</v>
      </c>
      <c r="C15" s="333"/>
      <c r="D15" s="333"/>
    </row>
    <row r="16" spans="1:4" ht="75.75" customHeight="1">
      <c r="A16" s="19" t="s">
        <v>1302</v>
      </c>
      <c r="B16" s="333" t="s">
        <v>1301</v>
      </c>
      <c r="C16" s="333"/>
      <c r="D16" s="333"/>
    </row>
    <row r="17" spans="1:4" ht="29.25" customHeight="1">
      <c r="A17" s="19" t="s">
        <v>1474</v>
      </c>
      <c r="B17" s="333" t="s">
        <v>1475</v>
      </c>
      <c r="C17" s="333"/>
      <c r="D17" s="333"/>
    </row>
    <row r="18" spans="1:4" ht="36" customHeight="1">
      <c r="A18" s="19" t="s">
        <v>1300</v>
      </c>
      <c r="B18" s="334" t="s">
        <v>1299</v>
      </c>
      <c r="C18" s="335"/>
      <c r="D18" s="336"/>
    </row>
    <row r="19" spans="1:4" ht="36" customHeight="1">
      <c r="A19" s="19" t="s">
        <v>1298</v>
      </c>
      <c r="B19" s="334" t="s">
        <v>1297</v>
      </c>
      <c r="C19" s="335"/>
      <c r="D19" s="336"/>
    </row>
    <row r="20" spans="1:4" ht="29.25" customHeight="1">
      <c r="A20" s="20" t="s">
        <v>1296</v>
      </c>
      <c r="B20" s="333" t="s">
        <v>1295</v>
      </c>
      <c r="C20" s="333"/>
      <c r="D20" s="333"/>
    </row>
    <row r="21" spans="1:4" ht="41.25" customHeight="1">
      <c r="A21" s="19" t="s">
        <v>1294</v>
      </c>
      <c r="B21" s="333" t="s">
        <v>1293</v>
      </c>
      <c r="C21" s="333"/>
      <c r="D21" s="333"/>
    </row>
    <row r="22" spans="1:4" ht="41.25" customHeight="1">
      <c r="A22" s="19" t="s">
        <v>1292</v>
      </c>
      <c r="B22" s="333" t="s">
        <v>1291</v>
      </c>
      <c r="C22" s="333"/>
      <c r="D22" s="333"/>
    </row>
    <row r="23" spans="1:4" ht="41.25" customHeight="1">
      <c r="A23" s="19" t="s">
        <v>1290</v>
      </c>
      <c r="B23" s="333" t="s">
        <v>1289</v>
      </c>
      <c r="C23" s="333"/>
      <c r="D23" s="333"/>
    </row>
    <row r="24" spans="1:4" ht="41.25" customHeight="1">
      <c r="A24" s="19" t="s">
        <v>1288</v>
      </c>
      <c r="B24" s="333" t="s">
        <v>1287</v>
      </c>
      <c r="C24" s="333"/>
      <c r="D24" s="333"/>
    </row>
    <row r="25" spans="1:4" ht="41.25" customHeight="1">
      <c r="A25" s="19" t="s">
        <v>1286</v>
      </c>
      <c r="B25" s="333" t="s">
        <v>1285</v>
      </c>
      <c r="C25" s="333"/>
      <c r="D25" s="333"/>
    </row>
    <row r="26" spans="1:4" ht="41.25" customHeight="1">
      <c r="A26" s="18" t="s">
        <v>1284</v>
      </c>
      <c r="B26" s="333" t="s">
        <v>1283</v>
      </c>
      <c r="C26" s="333"/>
      <c r="D26" s="333"/>
    </row>
    <row r="29" spans="1:4" ht="15">
      <c r="A29" s="2" t="s">
        <v>1266</v>
      </c>
    </row>
    <row r="30" spans="1:4" ht="15">
      <c r="A30" s="2" t="s">
        <v>1267</v>
      </c>
    </row>
    <row r="31" spans="1:4" ht="15">
      <c r="A31" s="2" t="s">
        <v>1268</v>
      </c>
    </row>
    <row r="32" spans="1:4" ht="15">
      <c r="A32" s="2" t="s">
        <v>1269</v>
      </c>
    </row>
  </sheetData>
  <mergeCells count="14">
    <mergeCell ref="B19:D19"/>
    <mergeCell ref="B26:D26"/>
    <mergeCell ref="B20:D20"/>
    <mergeCell ref="B21:D21"/>
    <mergeCell ref="B22:D22"/>
    <mergeCell ref="B23:D23"/>
    <mergeCell ref="B24:D24"/>
    <mergeCell ref="B25:D25"/>
    <mergeCell ref="A7:D10"/>
    <mergeCell ref="B14:D14"/>
    <mergeCell ref="B15:D15"/>
    <mergeCell ref="B16:D16"/>
    <mergeCell ref="B18:D18"/>
    <mergeCell ref="B17:D17"/>
  </mergeCells>
  <pageMargins left="0.75" right="0.75" top="1" bottom="1" header="0.5" footer="0.5"/>
  <pageSetup paperSize="9" orientation="portrait"/>
  <headerFooter alignWithMargins="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K332"/>
  <sheetViews>
    <sheetView showGridLines="0" workbookViewId="0">
      <selection activeCell="A4" sqref="A4:K332"/>
    </sheetView>
  </sheetViews>
  <sheetFormatPr defaultColWidth="8.85546875" defaultRowHeight="12.75"/>
  <cols>
    <col min="1" max="1" width="50.7109375" style="26" customWidth="1"/>
    <col min="2" max="251" width="20.7109375" style="26" customWidth="1"/>
    <col min="252" max="16384" width="8.85546875" style="26"/>
  </cols>
  <sheetData>
    <row r="1" spans="1:11" ht="19.5">
      <c r="A1" s="1" t="s">
        <v>1477</v>
      </c>
      <c r="B1"/>
      <c r="C1"/>
      <c r="D1"/>
      <c r="E1"/>
      <c r="F1"/>
      <c r="G1"/>
      <c r="H1"/>
      <c r="I1"/>
      <c r="J1"/>
      <c r="K1"/>
    </row>
    <row r="2" spans="1:11" ht="15">
      <c r="A2" s="2"/>
      <c r="B2"/>
      <c r="C2"/>
      <c r="D2"/>
      <c r="E2"/>
      <c r="F2"/>
      <c r="G2"/>
      <c r="H2"/>
      <c r="I2"/>
      <c r="J2"/>
      <c r="K2"/>
    </row>
    <row r="3" spans="1:11" ht="15">
      <c r="A3"/>
      <c r="B3"/>
      <c r="C3"/>
      <c r="D3"/>
      <c r="E3"/>
      <c r="F3"/>
      <c r="G3"/>
      <c r="H3"/>
      <c r="I3"/>
      <c r="J3"/>
      <c r="K3"/>
    </row>
    <row r="4" spans="1:11" ht="19.5">
      <c r="A4" s="1" t="s">
        <v>0</v>
      </c>
      <c r="B4"/>
      <c r="C4"/>
      <c r="D4"/>
      <c r="E4"/>
      <c r="F4"/>
      <c r="G4"/>
      <c r="H4"/>
      <c r="I4"/>
      <c r="J4"/>
      <c r="K4"/>
    </row>
    <row r="5" spans="1:11" ht="15">
      <c r="A5" t="s">
        <v>262</v>
      </c>
      <c r="B5"/>
      <c r="C5"/>
      <c r="D5"/>
      <c r="E5"/>
      <c r="F5"/>
      <c r="G5"/>
      <c r="H5"/>
      <c r="I5"/>
      <c r="J5"/>
      <c r="K5"/>
    </row>
    <row r="6" spans="1:11" ht="15">
      <c r="A6"/>
      <c r="B6" s="3" t="s">
        <v>1</v>
      </c>
      <c r="C6" s="3" t="s">
        <v>2</v>
      </c>
      <c r="D6" s="3" t="s">
        <v>3</v>
      </c>
      <c r="E6"/>
      <c r="F6"/>
      <c r="G6"/>
      <c r="H6"/>
      <c r="I6"/>
      <c r="J6"/>
      <c r="K6"/>
    </row>
    <row r="7" spans="1:11" ht="15">
      <c r="A7" s="8" t="s">
        <v>4</v>
      </c>
      <c r="B7" s="9" t="str">
        <f>VLOOKUP(Vlookup!B7,'CDCM Forecast Data'!$A$14:$I$271,6,FALSE)</f>
        <v>West Mids</v>
      </c>
      <c r="C7" s="9">
        <f>VLOOKUP(Vlookup!C7,'CDCM Forecast Data'!$A$14:$I$271,6,FALSE)</f>
        <v>0</v>
      </c>
      <c r="D7" s="9" t="str">
        <f>VLOOKUP(Vlookup!D7,'CDCM Forecast Data'!$A$14:$I$271,6,FALSE)</f>
        <v>Forecast</v>
      </c>
      <c r="E7" s="7" t="s">
        <v>262</v>
      </c>
      <c r="F7"/>
      <c r="G7"/>
      <c r="H7"/>
      <c r="I7"/>
      <c r="J7"/>
      <c r="K7"/>
    </row>
    <row r="8" spans="1:11" ht="15">
      <c r="A8"/>
      <c r="B8"/>
      <c r="C8"/>
      <c r="D8"/>
      <c r="E8"/>
      <c r="F8"/>
      <c r="G8"/>
      <c r="H8"/>
      <c r="I8"/>
      <c r="J8"/>
      <c r="K8"/>
    </row>
    <row r="9" spans="1:11" ht="19.5">
      <c r="A9" s="1" t="s">
        <v>45</v>
      </c>
      <c r="B9"/>
      <c r="C9"/>
      <c r="D9"/>
      <c r="E9"/>
      <c r="F9"/>
      <c r="G9"/>
      <c r="H9"/>
      <c r="I9"/>
      <c r="J9"/>
      <c r="K9"/>
    </row>
    <row r="10" spans="1:11" ht="15">
      <c r="A10" s="2"/>
      <c r="B10"/>
      <c r="C10"/>
      <c r="D10"/>
      <c r="E10"/>
      <c r="F10"/>
      <c r="G10"/>
      <c r="H10"/>
      <c r="I10"/>
      <c r="J10"/>
      <c r="K10"/>
    </row>
    <row r="11" spans="1:11" ht="15">
      <c r="A11" s="2" t="s">
        <v>46</v>
      </c>
      <c r="B11"/>
      <c r="C11"/>
      <c r="D11"/>
      <c r="E11"/>
      <c r="F11"/>
      <c r="G11"/>
      <c r="H11"/>
      <c r="I11"/>
      <c r="J11"/>
      <c r="K11"/>
    </row>
    <row r="12" spans="1:11" ht="15">
      <c r="A12" t="s">
        <v>47</v>
      </c>
      <c r="B12"/>
      <c r="C12"/>
      <c r="D12"/>
      <c r="E12"/>
      <c r="F12"/>
      <c r="G12"/>
      <c r="H12"/>
      <c r="I12"/>
      <c r="J12"/>
      <c r="K12"/>
    </row>
    <row r="13" spans="1:11" ht="45">
      <c r="A13"/>
      <c r="B13" s="3" t="s">
        <v>48</v>
      </c>
      <c r="C13" s="3" t="s">
        <v>49</v>
      </c>
      <c r="D13" s="3" t="s">
        <v>50</v>
      </c>
      <c r="E13" s="3" t="s">
        <v>51</v>
      </c>
      <c r="F13" s="3" t="s">
        <v>1398</v>
      </c>
      <c r="G13"/>
      <c r="H13"/>
      <c r="I13"/>
      <c r="J13"/>
      <c r="K13"/>
    </row>
    <row r="14" spans="1:11" ht="15">
      <c r="A14" s="8" t="s">
        <v>52</v>
      </c>
      <c r="B14" s="11">
        <f>VLOOKUP(Vlookup!B14,'CDCM Forecast Data'!$A$14:$I$271,6,FALSE)</f>
        <v>4.3099999999999999E-2</v>
      </c>
      <c r="C14" s="10">
        <f>VLOOKUP(Vlookup!C14,'CDCM Forecast Data'!$A$14:$I$271,6,FALSE)</f>
        <v>40</v>
      </c>
      <c r="D14" s="5"/>
      <c r="E14" s="4">
        <f>VLOOKUP(Vlookup!E14,'CDCM Forecast Data'!$A$14:$I$271,6,FALSE)</f>
        <v>0.95</v>
      </c>
      <c r="F14" s="10">
        <f>VLOOKUP(Vlookup!F14,'CDCM Forecast Data'!$A$14:$I$271,6,FALSE)</f>
        <v>365</v>
      </c>
      <c r="G14" s="7" t="s">
        <v>262</v>
      </c>
      <c r="H14"/>
      <c r="I14"/>
      <c r="J14"/>
      <c r="K14"/>
    </row>
    <row r="15" spans="1:11" ht="15">
      <c r="A15"/>
      <c r="B15"/>
      <c r="C15"/>
      <c r="D15"/>
      <c r="E15"/>
      <c r="F15"/>
      <c r="G15"/>
      <c r="H15"/>
      <c r="I15"/>
      <c r="J15"/>
      <c r="K15"/>
    </row>
    <row r="16" spans="1:11" ht="19.5">
      <c r="A16" s="1" t="s">
        <v>53</v>
      </c>
      <c r="B16"/>
      <c r="C16"/>
      <c r="D16"/>
      <c r="E16"/>
      <c r="F16"/>
      <c r="G16"/>
      <c r="H16"/>
      <c r="I16"/>
      <c r="J16"/>
      <c r="K16"/>
    </row>
    <row r="17" spans="1:11" ht="15">
      <c r="A17" s="2"/>
      <c r="B17"/>
      <c r="C17"/>
      <c r="D17"/>
      <c r="E17"/>
      <c r="F17"/>
      <c r="G17"/>
      <c r="H17"/>
      <c r="I17"/>
      <c r="J17"/>
      <c r="K17"/>
    </row>
    <row r="18" spans="1:11" ht="15">
      <c r="A18" s="2" t="s">
        <v>54</v>
      </c>
      <c r="B18"/>
      <c r="C18"/>
      <c r="D18"/>
      <c r="E18"/>
      <c r="F18"/>
      <c r="G18"/>
      <c r="H18"/>
      <c r="I18"/>
      <c r="J18"/>
      <c r="K18"/>
    </row>
    <row r="19" spans="1:11" ht="15">
      <c r="A19" s="2" t="s">
        <v>55</v>
      </c>
      <c r="B19"/>
      <c r="C19"/>
      <c r="D19"/>
      <c r="E19"/>
      <c r="F19"/>
      <c r="G19"/>
      <c r="H19"/>
      <c r="I19"/>
      <c r="J19"/>
      <c r="K19"/>
    </row>
    <row r="20" spans="1:11" ht="15">
      <c r="A20" s="2" t="s">
        <v>56</v>
      </c>
      <c r="B20"/>
      <c r="C20"/>
      <c r="D20"/>
      <c r="E20"/>
      <c r="F20"/>
      <c r="G20"/>
      <c r="H20"/>
      <c r="I20"/>
      <c r="J20"/>
      <c r="K20"/>
    </row>
    <row r="21" spans="1:11" ht="15">
      <c r="A21" s="2" t="s">
        <v>57</v>
      </c>
      <c r="B21"/>
      <c r="C21"/>
      <c r="D21"/>
      <c r="E21"/>
      <c r="F21"/>
      <c r="G21"/>
      <c r="H21"/>
      <c r="I21"/>
      <c r="J21"/>
      <c r="K21"/>
    </row>
    <row r="22" spans="1:11" ht="15">
      <c r="A22" t="s">
        <v>58</v>
      </c>
      <c r="B22"/>
      <c r="C22"/>
      <c r="D22"/>
      <c r="E22"/>
      <c r="F22"/>
      <c r="G22"/>
      <c r="H22"/>
      <c r="I22"/>
      <c r="J22"/>
      <c r="K22"/>
    </row>
    <row r="23" spans="1:11" ht="60">
      <c r="A23"/>
      <c r="B23" s="3" t="s">
        <v>59</v>
      </c>
      <c r="C23"/>
      <c r="D23"/>
      <c r="E23"/>
      <c r="F23"/>
      <c r="G23"/>
      <c r="H23"/>
      <c r="I23"/>
      <c r="J23"/>
      <c r="K23"/>
    </row>
    <row r="24" spans="1:11" ht="15">
      <c r="A24" s="8" t="s">
        <v>60</v>
      </c>
      <c r="B24" s="11">
        <f>VLOOKUP(Vlookup!B24,'CDCM Forecast Data'!$A$14:$I$271,6,FALSE)</f>
        <v>5.649040831841079E-2</v>
      </c>
      <c r="C24" s="7" t="s">
        <v>262</v>
      </c>
      <c r="D24"/>
      <c r="E24"/>
      <c r="F24"/>
      <c r="G24"/>
      <c r="H24"/>
      <c r="I24"/>
      <c r="J24"/>
      <c r="K24"/>
    </row>
    <row r="25" spans="1:11" ht="15">
      <c r="A25" s="8" t="s">
        <v>61</v>
      </c>
      <c r="B25" s="11">
        <f>VLOOKUP(Vlookup!B25,'CDCM Forecast Data'!$A$14:$I$271,6,FALSE)</f>
        <v>2.5568682496299511E-2</v>
      </c>
      <c r="C25" s="7" t="s">
        <v>262</v>
      </c>
      <c r="D25"/>
      <c r="E25"/>
      <c r="F25"/>
      <c r="G25"/>
      <c r="H25"/>
      <c r="I25"/>
      <c r="J25"/>
      <c r="K25"/>
    </row>
    <row r="26" spans="1:11" ht="15">
      <c r="A26" s="8" t="s">
        <v>62</v>
      </c>
      <c r="B26" s="6"/>
      <c r="C26" s="7" t="s">
        <v>262</v>
      </c>
      <c r="D26"/>
      <c r="E26"/>
      <c r="F26"/>
      <c r="G26"/>
      <c r="H26"/>
      <c r="I26"/>
      <c r="J26"/>
      <c r="K26"/>
    </row>
    <row r="27" spans="1:11" ht="15">
      <c r="A27" s="8" t="s">
        <v>63</v>
      </c>
      <c r="B27" s="11">
        <f>VLOOKUP(Vlookup!B27,'CDCM Forecast Data'!$A$14:$I$271,6,FALSE)</f>
        <v>2.6631596666738533E-2</v>
      </c>
      <c r="C27" s="7" t="s">
        <v>262</v>
      </c>
      <c r="D27"/>
      <c r="E27"/>
      <c r="F27"/>
      <c r="G27"/>
      <c r="H27"/>
      <c r="I27"/>
      <c r="J27"/>
      <c r="K27"/>
    </row>
    <row r="28" spans="1:11" ht="15">
      <c r="A28" s="8" t="s">
        <v>64</v>
      </c>
      <c r="B28" s="6"/>
      <c r="C28" s="7" t="s">
        <v>262</v>
      </c>
      <c r="D28"/>
      <c r="E28"/>
      <c r="F28"/>
      <c r="G28"/>
      <c r="H28"/>
      <c r="I28"/>
      <c r="J28"/>
      <c r="K28"/>
    </row>
    <row r="29" spans="1:11" ht="15">
      <c r="A29" s="8" t="s">
        <v>65</v>
      </c>
      <c r="B29" s="11">
        <f>VLOOKUP(Vlookup!B29,'CDCM Forecast Data'!$A$14:$I$271,6,FALSE)</f>
        <v>0.34000000000000008</v>
      </c>
      <c r="C29" s="7" t="s">
        <v>262</v>
      </c>
      <c r="D29"/>
      <c r="E29"/>
      <c r="F29"/>
      <c r="G29"/>
      <c r="H29"/>
      <c r="I29"/>
      <c r="J29"/>
      <c r="K29"/>
    </row>
    <row r="30" spans="1:11" ht="15">
      <c r="A30" s="8" t="s">
        <v>66</v>
      </c>
      <c r="B30" s="6"/>
      <c r="C30" s="7" t="s">
        <v>262</v>
      </c>
      <c r="D30"/>
      <c r="E30"/>
      <c r="F30"/>
      <c r="G30"/>
      <c r="H30"/>
      <c r="I30"/>
      <c r="J30"/>
      <c r="K30"/>
    </row>
    <row r="31" spans="1:11" ht="15">
      <c r="A31" s="8" t="s">
        <v>67</v>
      </c>
      <c r="B31" s="6"/>
      <c r="C31" s="7" t="s">
        <v>262</v>
      </c>
      <c r="D31"/>
      <c r="E31"/>
      <c r="F31"/>
      <c r="G31"/>
      <c r="H31"/>
      <c r="I31"/>
      <c r="J31"/>
      <c r="K31"/>
    </row>
    <row r="32" spans="1:11" ht="15">
      <c r="A32"/>
      <c r="B32"/>
      <c r="C32"/>
      <c r="D32"/>
      <c r="E32"/>
      <c r="F32"/>
      <c r="G32"/>
      <c r="H32"/>
      <c r="I32"/>
      <c r="J32"/>
      <c r="K32"/>
    </row>
    <row r="33" spans="1:11" ht="19.5">
      <c r="A33" s="1" t="s">
        <v>68</v>
      </c>
      <c r="B33"/>
      <c r="C33"/>
      <c r="D33"/>
      <c r="E33"/>
      <c r="F33"/>
      <c r="G33"/>
      <c r="H33"/>
      <c r="I33"/>
      <c r="J33"/>
      <c r="K33"/>
    </row>
    <row r="34" spans="1:11" ht="15">
      <c r="A34" t="s">
        <v>262</v>
      </c>
      <c r="B34"/>
      <c r="C34"/>
      <c r="D34"/>
      <c r="E34"/>
      <c r="F34"/>
      <c r="G34"/>
      <c r="H34"/>
      <c r="I34"/>
      <c r="J34"/>
      <c r="K34"/>
    </row>
    <row r="35" spans="1:11" ht="15">
      <c r="A35"/>
      <c r="B35" s="3" t="s">
        <v>69</v>
      </c>
      <c r="C35"/>
      <c r="D35"/>
      <c r="E35"/>
      <c r="F35"/>
      <c r="G35"/>
      <c r="H35"/>
      <c r="I35"/>
      <c r="J35"/>
      <c r="K35"/>
    </row>
    <row r="36" spans="1:11" ht="15">
      <c r="A36" s="8" t="s">
        <v>64</v>
      </c>
      <c r="B36" s="11">
        <f>VLOOKUP(Vlookup!B36,'CDCM Forecast Data'!$A$14:$I$271,6,FALSE)</f>
        <v>0.69256562916818787</v>
      </c>
      <c r="C36" s="7" t="s">
        <v>262</v>
      </c>
      <c r="D36"/>
      <c r="E36"/>
      <c r="F36"/>
      <c r="G36"/>
      <c r="H36"/>
      <c r="I36"/>
      <c r="J36"/>
      <c r="K36"/>
    </row>
    <row r="37" spans="1:11" ht="15">
      <c r="A37"/>
      <c r="B37"/>
      <c r="C37"/>
      <c r="D37"/>
      <c r="E37"/>
      <c r="F37"/>
      <c r="G37"/>
      <c r="H37"/>
      <c r="I37"/>
      <c r="J37"/>
      <c r="K37"/>
    </row>
    <row r="38" spans="1:11" ht="19.5">
      <c r="A38" s="1" t="s">
        <v>70</v>
      </c>
      <c r="B38"/>
      <c r="C38"/>
      <c r="D38"/>
      <c r="E38"/>
      <c r="F38"/>
      <c r="G38"/>
      <c r="H38"/>
      <c r="I38"/>
      <c r="J38"/>
      <c r="K38"/>
    </row>
    <row r="39" spans="1:11" ht="15">
      <c r="A39"/>
      <c r="B39"/>
      <c r="C39"/>
      <c r="D39"/>
      <c r="E39"/>
      <c r="F39"/>
      <c r="G39"/>
      <c r="H39"/>
      <c r="I39"/>
      <c r="J39"/>
      <c r="K39"/>
    </row>
    <row r="40" spans="1:11" ht="30">
      <c r="A40"/>
      <c r="B40" s="3" t="s">
        <v>71</v>
      </c>
      <c r="C40"/>
      <c r="D40"/>
      <c r="E40"/>
      <c r="F40"/>
      <c r="G40"/>
      <c r="H40"/>
      <c r="I40"/>
      <c r="J40"/>
      <c r="K40"/>
    </row>
    <row r="41" spans="1:11" ht="15">
      <c r="A41" s="8" t="s">
        <v>71</v>
      </c>
      <c r="B41" s="10">
        <f>VLOOKUP(Vlookup!B41,'CDCM Forecast Data'!$A$14:$I$271,6,FALSE)</f>
        <v>500</v>
      </c>
      <c r="C41" s="7" t="s">
        <v>262</v>
      </c>
      <c r="D41"/>
      <c r="E41"/>
      <c r="F41"/>
      <c r="G41"/>
      <c r="H41"/>
      <c r="I41"/>
      <c r="J41"/>
      <c r="K41"/>
    </row>
    <row r="42" spans="1:11" ht="15">
      <c r="A42"/>
      <c r="B42"/>
      <c r="C42"/>
      <c r="D42"/>
      <c r="E42"/>
      <c r="F42"/>
      <c r="G42"/>
      <c r="H42"/>
      <c r="I42"/>
      <c r="J42"/>
      <c r="K42"/>
    </row>
    <row r="43" spans="1:11" ht="19.5">
      <c r="A43" s="1" t="s">
        <v>72</v>
      </c>
      <c r="B43"/>
      <c r="C43"/>
      <c r="D43"/>
      <c r="E43"/>
      <c r="F43"/>
      <c r="G43"/>
      <c r="H43"/>
      <c r="I43"/>
      <c r="J43"/>
      <c r="K43"/>
    </row>
    <row r="44" spans="1:11" ht="15">
      <c r="A44"/>
      <c r="B44"/>
      <c r="C44"/>
      <c r="D44"/>
      <c r="E44"/>
      <c r="F44"/>
      <c r="G44"/>
      <c r="H44"/>
      <c r="I44"/>
      <c r="J44"/>
      <c r="K44"/>
    </row>
    <row r="45" spans="1:11" ht="15">
      <c r="A45"/>
      <c r="B45" s="3" t="s">
        <v>73</v>
      </c>
      <c r="C45"/>
      <c r="D45"/>
      <c r="E45"/>
      <c r="F45"/>
      <c r="G45"/>
      <c r="H45"/>
      <c r="I45"/>
      <c r="J45"/>
      <c r="K45"/>
    </row>
    <row r="46" spans="1:11" ht="15">
      <c r="A46" s="8" t="s">
        <v>61</v>
      </c>
      <c r="B46" s="10">
        <f>VLOOKUP(Vlookup!B46,'CDCM Forecast Data'!$A$14:$I$271,6,FALSE)</f>
        <v>50628323.581803404</v>
      </c>
      <c r="C46" s="7" t="s">
        <v>262</v>
      </c>
      <c r="D46"/>
      <c r="E46"/>
      <c r="F46"/>
      <c r="G46"/>
      <c r="H46"/>
      <c r="I46"/>
      <c r="J46"/>
      <c r="K46"/>
    </row>
    <row r="47" spans="1:11" ht="15">
      <c r="A47" s="8" t="s">
        <v>62</v>
      </c>
      <c r="B47" s="10">
        <f>VLOOKUP(Vlookup!B47,'CDCM Forecast Data'!$A$14:$I$271,6,FALSE)</f>
        <v>11589525.091649909</v>
      </c>
      <c r="C47" s="7" t="s">
        <v>262</v>
      </c>
      <c r="D47"/>
      <c r="E47"/>
      <c r="F47"/>
      <c r="G47"/>
      <c r="H47"/>
      <c r="I47"/>
      <c r="J47"/>
      <c r="K47"/>
    </row>
    <row r="48" spans="1:11" ht="15">
      <c r="A48" s="8" t="s">
        <v>63</v>
      </c>
      <c r="B48" s="10">
        <f>VLOOKUP(Vlookup!B48,'CDCM Forecast Data'!$A$14:$I$271,6,FALSE)</f>
        <v>11942146.295013901</v>
      </c>
      <c r="C48" s="7" t="s">
        <v>262</v>
      </c>
      <c r="D48"/>
      <c r="E48"/>
      <c r="F48"/>
      <c r="G48"/>
      <c r="H48"/>
      <c r="I48"/>
      <c r="J48"/>
      <c r="K48"/>
    </row>
    <row r="49" spans="1:11" ht="15">
      <c r="A49" s="8" t="s">
        <v>64</v>
      </c>
      <c r="B49" s="10">
        <f>VLOOKUP(Vlookup!B49,'CDCM Forecast Data'!$A$14:$I$271,6,FALSE)</f>
        <v>22567225.154732183</v>
      </c>
      <c r="C49" s="7" t="s">
        <v>262</v>
      </c>
      <c r="D49"/>
      <c r="E49"/>
      <c r="F49"/>
      <c r="G49"/>
      <c r="H49"/>
      <c r="I49"/>
      <c r="J49"/>
      <c r="K49"/>
    </row>
    <row r="50" spans="1:11" ht="15">
      <c r="A50" s="8" t="s">
        <v>69</v>
      </c>
      <c r="B50" s="10">
        <f>VLOOKUP(Vlookup!B50,'CDCM Forecast Data'!$A$14:$I$271,6,FALSE)</f>
        <v>24057866.832620893</v>
      </c>
      <c r="C50" s="7" t="s">
        <v>262</v>
      </c>
      <c r="D50"/>
      <c r="E50"/>
      <c r="F50"/>
      <c r="G50"/>
      <c r="H50"/>
      <c r="I50"/>
      <c r="J50"/>
      <c r="K50"/>
    </row>
    <row r="51" spans="1:11" ht="15">
      <c r="A51" s="8" t="s">
        <v>65</v>
      </c>
      <c r="B51" s="10">
        <f>VLOOKUP(Vlookup!B51,'CDCM Forecast Data'!$A$14:$I$271,6,FALSE)</f>
        <v>156221390.12185609</v>
      </c>
      <c r="C51" s="7" t="s">
        <v>262</v>
      </c>
      <c r="D51"/>
      <c r="E51"/>
      <c r="F51"/>
      <c r="G51"/>
      <c r="H51"/>
      <c r="I51"/>
      <c r="J51"/>
      <c r="K51"/>
    </row>
    <row r="52" spans="1:11" ht="15">
      <c r="A52" s="8" t="s">
        <v>66</v>
      </c>
      <c r="B52" s="10">
        <f>VLOOKUP(Vlookup!B52,'CDCM Forecast Data'!$A$14:$I$271,6,FALSE)</f>
        <v>70488502.126541913</v>
      </c>
      <c r="C52" s="7" t="s">
        <v>262</v>
      </c>
      <c r="D52"/>
      <c r="E52"/>
      <c r="F52"/>
      <c r="G52"/>
      <c r="H52"/>
      <c r="I52"/>
      <c r="J52"/>
      <c r="K52"/>
    </row>
    <row r="53" spans="1:11" ht="15">
      <c r="A53" s="8" t="s">
        <v>67</v>
      </c>
      <c r="B53" s="10">
        <f>VLOOKUP(Vlookup!B53,'CDCM Forecast Data'!$A$14:$I$271,6,FALSE)</f>
        <v>160613939.59359521</v>
      </c>
      <c r="C53" s="7" t="s">
        <v>262</v>
      </c>
      <c r="D53"/>
      <c r="E53"/>
      <c r="F53"/>
      <c r="G53"/>
      <c r="H53"/>
      <c r="I53"/>
      <c r="J53"/>
      <c r="K53"/>
    </row>
    <row r="54" spans="1:11" ht="15">
      <c r="A54"/>
      <c r="B54"/>
      <c r="C54"/>
      <c r="D54"/>
      <c r="E54"/>
      <c r="F54"/>
      <c r="G54"/>
      <c r="H54"/>
      <c r="I54"/>
      <c r="J54"/>
      <c r="K54"/>
    </row>
    <row r="55" spans="1:11" ht="19.5">
      <c r="A55" s="1" t="s">
        <v>74</v>
      </c>
      <c r="B55"/>
      <c r="C55"/>
      <c r="D55"/>
      <c r="E55"/>
      <c r="F55"/>
      <c r="G55"/>
      <c r="H55"/>
      <c r="I55"/>
      <c r="J55"/>
      <c r="K55"/>
    </row>
    <row r="56" spans="1:11" ht="15">
      <c r="A56"/>
      <c r="B56"/>
      <c r="C56"/>
      <c r="D56"/>
      <c r="E56"/>
      <c r="F56"/>
      <c r="G56"/>
      <c r="H56"/>
      <c r="I56"/>
      <c r="J56"/>
      <c r="K56"/>
    </row>
    <row r="57" spans="1:11" ht="15">
      <c r="A57"/>
      <c r="B57" s="3" t="s">
        <v>75</v>
      </c>
      <c r="C57" s="3" t="s">
        <v>76</v>
      </c>
      <c r="D57" s="3" t="s">
        <v>77</v>
      </c>
      <c r="E57" s="3" t="s">
        <v>78</v>
      </c>
      <c r="F57" s="3" t="s">
        <v>79</v>
      </c>
      <c r="G57" s="3" t="s">
        <v>80</v>
      </c>
      <c r="H57" s="3" t="s">
        <v>81</v>
      </c>
      <c r="I57" s="3" t="s">
        <v>82</v>
      </c>
      <c r="J57"/>
      <c r="K57"/>
    </row>
    <row r="58" spans="1:11" ht="15">
      <c r="A58" s="8" t="s">
        <v>83</v>
      </c>
      <c r="B58" s="10">
        <f>VLOOKUP(Vlookup!B58,'CDCM Forecast Data'!$A$14:$I$271,6,FALSE)</f>
        <v>5413.3050927571021</v>
      </c>
      <c r="C58" s="10">
        <f>VLOOKUP(Vlookup!C58,'CDCM Forecast Data'!$A$14:$I$271,6,FALSE)</f>
        <v>608.94270130131235</v>
      </c>
      <c r="D58" s="10">
        <f>VLOOKUP(Vlookup!D58,'CDCM Forecast Data'!$A$14:$I$271,6,FALSE)</f>
        <v>741.38340044052961</v>
      </c>
      <c r="E58" s="10">
        <f>VLOOKUP(Vlookup!E58,'CDCM Forecast Data'!$A$14:$I$271,6,FALSE)</f>
        <v>549.82473328742901</v>
      </c>
      <c r="F58" s="10">
        <f>VLOOKUP(Vlookup!F58,'CDCM Forecast Data'!$A$14:$I$271,6,FALSE)</f>
        <v>1249.8739783382584</v>
      </c>
      <c r="G58" s="10">
        <f>VLOOKUP(Vlookup!G58,'CDCM Forecast Data'!$A$14:$I$271,6,FALSE)</f>
        <v>962.66929829724427</v>
      </c>
      <c r="H58" s="10">
        <f>VLOOKUP(Vlookup!H58,'CDCM Forecast Data'!$A$14:$I$271,6,FALSE)</f>
        <v>0</v>
      </c>
      <c r="I58" s="10">
        <f>VLOOKUP(Vlookup!I58,'CDCM Forecast Data'!$A$14:$I$271,6,FALSE)</f>
        <v>503.48165943983713</v>
      </c>
      <c r="J58" s="7" t="s">
        <v>262</v>
      </c>
      <c r="K58"/>
    </row>
    <row r="59" spans="1:11" ht="15">
      <c r="A59"/>
      <c r="B59"/>
      <c r="C59"/>
      <c r="D59"/>
      <c r="E59"/>
      <c r="F59"/>
      <c r="G59"/>
      <c r="H59"/>
      <c r="I59"/>
      <c r="J59"/>
      <c r="K59"/>
    </row>
    <row r="60" spans="1:11" ht="19.5">
      <c r="A60" s="1" t="s">
        <v>84</v>
      </c>
      <c r="B60"/>
      <c r="C60"/>
      <c r="D60"/>
      <c r="E60"/>
      <c r="F60"/>
      <c r="G60"/>
      <c r="H60"/>
      <c r="I60"/>
      <c r="J60"/>
      <c r="K60"/>
    </row>
    <row r="61" spans="1:11" ht="15">
      <c r="A61"/>
      <c r="B61"/>
      <c r="C61"/>
      <c r="D61"/>
      <c r="E61"/>
      <c r="F61"/>
      <c r="G61"/>
      <c r="H61"/>
      <c r="I61"/>
      <c r="J61"/>
      <c r="K61"/>
    </row>
    <row r="62" spans="1:11" ht="15">
      <c r="A62"/>
      <c r="B62" s="3" t="s">
        <v>85</v>
      </c>
      <c r="C62" s="3" t="s">
        <v>86</v>
      </c>
      <c r="D62" s="3" t="s">
        <v>87</v>
      </c>
      <c r="E62" s="3" t="s">
        <v>88</v>
      </c>
      <c r="F62" s="3" t="s">
        <v>89</v>
      </c>
      <c r="G62"/>
      <c r="H62"/>
      <c r="I62"/>
      <c r="J62"/>
      <c r="K62"/>
    </row>
    <row r="63" spans="1:11" ht="15">
      <c r="A63" s="8" t="s">
        <v>90</v>
      </c>
      <c r="B63" s="10">
        <f>VLOOKUP(Vlookup!B63,'CDCM Forecast Data'!$A$14:$I$271,6,FALSE)</f>
        <v>9550.796487745818</v>
      </c>
      <c r="C63" s="10">
        <f>VLOOKUP(Vlookup!C63,'CDCM Forecast Data'!$A$14:$I$271,6,FALSE)</f>
        <v>4604.76162339238</v>
      </c>
      <c r="D63" s="10">
        <f>VLOOKUP(Vlookup!D63,'CDCM Forecast Data'!$A$14:$I$271,6,FALSE)</f>
        <v>0</v>
      </c>
      <c r="E63" s="10">
        <f>VLOOKUP(Vlookup!E63,'CDCM Forecast Data'!$A$14:$I$271,6,FALSE)</f>
        <v>0</v>
      </c>
      <c r="F63" s="10">
        <f>VLOOKUP(Vlookup!F63,'CDCM Forecast Data'!$A$14:$I$271,6,FALSE)</f>
        <v>0</v>
      </c>
      <c r="G63" s="7" t="s">
        <v>262</v>
      </c>
      <c r="H63"/>
      <c r="I63"/>
      <c r="J63"/>
      <c r="K63"/>
    </row>
    <row r="64" spans="1:11" ht="15">
      <c r="A64"/>
      <c r="B64"/>
      <c r="C64"/>
      <c r="D64"/>
      <c r="E64"/>
      <c r="F64"/>
      <c r="G64"/>
      <c r="H64"/>
      <c r="I64"/>
      <c r="J64"/>
      <c r="K64"/>
    </row>
    <row r="65" spans="1:11" ht="19.5">
      <c r="A65" s="1" t="s">
        <v>91</v>
      </c>
      <c r="B65"/>
      <c r="C65"/>
      <c r="D65"/>
      <c r="E65"/>
      <c r="F65"/>
      <c r="G65"/>
      <c r="H65"/>
      <c r="I65"/>
      <c r="J65"/>
      <c r="K65"/>
    </row>
    <row r="66" spans="1:11" ht="15">
      <c r="A66"/>
      <c r="B66">
        <v>10</v>
      </c>
      <c r="C66">
        <f t="shared" ref="C66:I66" si="0">B66+1</f>
        <v>11</v>
      </c>
      <c r="D66">
        <f t="shared" si="0"/>
        <v>12</v>
      </c>
      <c r="E66">
        <f t="shared" si="0"/>
        <v>13</v>
      </c>
      <c r="F66">
        <f t="shared" si="0"/>
        <v>14</v>
      </c>
      <c r="G66">
        <f t="shared" si="0"/>
        <v>15</v>
      </c>
      <c r="H66">
        <f t="shared" si="0"/>
        <v>16</v>
      </c>
      <c r="I66">
        <f t="shared" si="0"/>
        <v>17</v>
      </c>
      <c r="J66"/>
      <c r="K66"/>
    </row>
    <row r="67" spans="1:11" ht="15">
      <c r="A67"/>
      <c r="B67" s="3" t="s">
        <v>75</v>
      </c>
      <c r="C67" s="3" t="s">
        <v>76</v>
      </c>
      <c r="D67" s="3" t="s">
        <v>77</v>
      </c>
      <c r="E67" s="3" t="s">
        <v>78</v>
      </c>
      <c r="F67" s="3" t="s">
        <v>79</v>
      </c>
      <c r="G67" s="3" t="s">
        <v>80</v>
      </c>
      <c r="H67" s="3" t="s">
        <v>81</v>
      </c>
      <c r="I67" s="3" t="s">
        <v>82</v>
      </c>
      <c r="J67"/>
      <c r="K67"/>
    </row>
    <row r="68" spans="1:11" ht="15">
      <c r="A68" s="8" t="s">
        <v>92</v>
      </c>
      <c r="B68" s="11">
        <f>VLOOKUP($A68,'Mat of App'!$B$7:$AP$37,B$66,FALSE)</f>
        <v>0.05</v>
      </c>
      <c r="C68" s="11">
        <f>VLOOKUP($A68,'Mat of App'!$B$7:$AP$37,C$66,FALSE)</f>
        <v>0</v>
      </c>
      <c r="D68" s="11">
        <f>VLOOKUP($A68,'Mat of App'!$B$7:$AP$37,D$66,FALSE)</f>
        <v>0</v>
      </c>
      <c r="E68" s="11">
        <f>VLOOKUP($A68,'Mat of App'!$B$7:$AP$37,E$66,FALSE)</f>
        <v>0</v>
      </c>
      <c r="F68" s="11">
        <f>VLOOKUP($A68,'Mat of App'!$B$7:$AP$37,F$66,FALSE)</f>
        <v>0</v>
      </c>
      <c r="G68" s="11">
        <f>VLOOKUP($A68,'Mat of App'!$B$7:$AP$37,G$66,FALSE)</f>
        <v>0</v>
      </c>
      <c r="H68" s="11">
        <f>VLOOKUP($A68,'Mat of App'!$B$7:$AP$37,H$66,FALSE)</f>
        <v>0</v>
      </c>
      <c r="I68" s="11">
        <f>VLOOKUP($A68,'Mat of App'!$B$7:$AP$37,I$66,FALSE)</f>
        <v>0</v>
      </c>
      <c r="J68" s="7" t="s">
        <v>262</v>
      </c>
      <c r="K68"/>
    </row>
    <row r="69" spans="1:11" ht="15">
      <c r="A69" s="8" t="s">
        <v>93</v>
      </c>
      <c r="B69" s="11">
        <f>VLOOKUP($A69,'Mat of App'!$B$7:$AP$37,B$66,FALSE)</f>
        <v>0.05</v>
      </c>
      <c r="C69" s="11">
        <f>VLOOKUP($A69,'Mat of App'!$B$7:$AP$37,C$66,FALSE)</f>
        <v>0</v>
      </c>
      <c r="D69" s="11">
        <f>VLOOKUP($A69,'Mat of App'!$B$7:$AP$37,D$66,FALSE)</f>
        <v>0</v>
      </c>
      <c r="E69" s="11">
        <f>VLOOKUP($A69,'Mat of App'!$B$7:$AP$37,E$66,FALSE)</f>
        <v>0</v>
      </c>
      <c r="F69" s="11">
        <f>VLOOKUP($A69,'Mat of App'!$B$7:$AP$37,F$66,FALSE)</f>
        <v>0</v>
      </c>
      <c r="G69" s="11">
        <f>VLOOKUP($A69,'Mat of App'!$B$7:$AP$37,G$66,FALSE)</f>
        <v>0</v>
      </c>
      <c r="H69" s="11">
        <f>VLOOKUP($A69,'Mat of App'!$B$7:$AP$37,H$66,FALSE)</f>
        <v>0</v>
      </c>
      <c r="I69" s="11">
        <f>VLOOKUP($A69,'Mat of App'!$B$7:$AP$37,I$66,FALSE)</f>
        <v>0</v>
      </c>
      <c r="J69" s="7" t="s">
        <v>262</v>
      </c>
      <c r="K69"/>
    </row>
    <row r="70" spans="1:11" ht="15">
      <c r="A70" s="8" t="s">
        <v>94</v>
      </c>
      <c r="B70" s="11">
        <f>VLOOKUP($A70,'Mat of App'!$B$7:$AP$37,B$66,FALSE)</f>
        <v>0</v>
      </c>
      <c r="C70" s="11">
        <f>VLOOKUP($A70,'Mat of App'!$B$7:$AP$37,C$66,FALSE)</f>
        <v>1</v>
      </c>
      <c r="D70" s="11">
        <f>VLOOKUP($A70,'Mat of App'!$B$7:$AP$37,D$66,FALSE)</f>
        <v>0</v>
      </c>
      <c r="E70" s="11">
        <f>VLOOKUP($A70,'Mat of App'!$B$7:$AP$37,E$66,FALSE)</f>
        <v>0</v>
      </c>
      <c r="F70" s="11">
        <f>VLOOKUP($A70,'Mat of App'!$B$7:$AP$37,F$66,FALSE)</f>
        <v>0</v>
      </c>
      <c r="G70" s="11">
        <f>VLOOKUP($A70,'Mat of App'!$B$7:$AP$37,G$66,FALSE)</f>
        <v>0</v>
      </c>
      <c r="H70" s="11">
        <f>VLOOKUP($A70,'Mat of App'!$B$7:$AP$37,H$66,FALSE)</f>
        <v>0</v>
      </c>
      <c r="I70" s="11">
        <f>VLOOKUP($A70,'Mat of App'!$B$7:$AP$37,I$66,FALSE)</f>
        <v>0</v>
      </c>
      <c r="J70" s="7" t="s">
        <v>262</v>
      </c>
      <c r="K70"/>
    </row>
    <row r="71" spans="1:11" ht="15">
      <c r="A71" s="8" t="s">
        <v>95</v>
      </c>
      <c r="B71" s="11">
        <f>VLOOKUP($A71,'Mat of App'!$B$7:$AP$37,B$66,FALSE)</f>
        <v>0</v>
      </c>
      <c r="C71" s="11">
        <f>VLOOKUP($A71,'Mat of App'!$B$7:$AP$37,C$66,FALSE)</f>
        <v>1</v>
      </c>
      <c r="D71" s="11">
        <f>VLOOKUP($A71,'Mat of App'!$B$7:$AP$37,D$66,FALSE)</f>
        <v>0</v>
      </c>
      <c r="E71" s="11">
        <f>VLOOKUP($A71,'Mat of App'!$B$7:$AP$37,E$66,FALSE)</f>
        <v>0</v>
      </c>
      <c r="F71" s="11">
        <f>VLOOKUP($A71,'Mat of App'!$B$7:$AP$37,F$66,FALSE)</f>
        <v>0</v>
      </c>
      <c r="G71" s="11">
        <f>VLOOKUP($A71,'Mat of App'!$B$7:$AP$37,G$66,FALSE)</f>
        <v>0</v>
      </c>
      <c r="H71" s="11">
        <f>VLOOKUP($A71,'Mat of App'!$B$7:$AP$37,H$66,FALSE)</f>
        <v>0</v>
      </c>
      <c r="I71" s="11">
        <f>VLOOKUP($A71,'Mat of App'!$B$7:$AP$37,I$66,FALSE)</f>
        <v>0</v>
      </c>
      <c r="J71" s="7" t="s">
        <v>262</v>
      </c>
      <c r="K71"/>
    </row>
    <row r="72" spans="1:11" ht="15">
      <c r="A72" s="8" t="s">
        <v>96</v>
      </c>
      <c r="B72" s="11">
        <f>VLOOKUP($A72,'Mat of App'!$B$7:$AP$37,B$66,FALSE)</f>
        <v>0</v>
      </c>
      <c r="C72" s="11">
        <f>VLOOKUP($A72,'Mat of App'!$B$7:$AP$37,C$66,FALSE)</f>
        <v>0</v>
      </c>
      <c r="D72" s="11">
        <f>VLOOKUP($A72,'Mat of App'!$B$7:$AP$37,D$66,FALSE)</f>
        <v>1</v>
      </c>
      <c r="E72" s="11">
        <f>VLOOKUP($A72,'Mat of App'!$B$7:$AP$37,E$66,FALSE)</f>
        <v>0</v>
      </c>
      <c r="F72" s="11">
        <f>VLOOKUP($A72,'Mat of App'!$B$7:$AP$37,F$66,FALSE)</f>
        <v>0</v>
      </c>
      <c r="G72" s="11">
        <f>VLOOKUP($A72,'Mat of App'!$B$7:$AP$37,G$66,FALSE)</f>
        <v>0</v>
      </c>
      <c r="H72" s="11">
        <f>VLOOKUP($A72,'Mat of App'!$B$7:$AP$37,H$66,FALSE)</f>
        <v>0</v>
      </c>
      <c r="I72" s="11">
        <f>VLOOKUP($A72,'Mat of App'!$B$7:$AP$37,I$66,FALSE)</f>
        <v>0</v>
      </c>
      <c r="J72" s="7"/>
      <c r="K72"/>
    </row>
    <row r="73" spans="1:11" ht="15">
      <c r="A73" s="8" t="s">
        <v>97</v>
      </c>
      <c r="B73" s="11">
        <f>VLOOKUP($A73,'Mat of App'!$B$7:$AP$37,B$66,FALSE)</f>
        <v>0</v>
      </c>
      <c r="C73" s="11">
        <f>VLOOKUP($A73,'Mat of App'!$B$7:$AP$37,C$66,FALSE)</f>
        <v>0</v>
      </c>
      <c r="D73" s="11">
        <f>VLOOKUP($A73,'Mat of App'!$B$7:$AP$37,D$66,FALSE)</f>
        <v>0</v>
      </c>
      <c r="E73" s="11">
        <f>VLOOKUP($A73,'Mat of App'!$B$7:$AP$37,E$66,FALSE)</f>
        <v>1</v>
      </c>
      <c r="F73" s="11">
        <f>VLOOKUP($A73,'Mat of App'!$B$7:$AP$37,F$66,FALSE)</f>
        <v>0</v>
      </c>
      <c r="G73" s="11">
        <f>VLOOKUP($A73,'Mat of App'!$B$7:$AP$37,G$66,FALSE)</f>
        <v>0</v>
      </c>
      <c r="H73" s="11">
        <f>VLOOKUP($A73,'Mat of App'!$B$7:$AP$37,H$66,FALSE)</f>
        <v>0</v>
      </c>
      <c r="I73" s="11">
        <f>VLOOKUP($A73,'Mat of App'!$B$7:$AP$37,I$66,FALSE)</f>
        <v>0</v>
      </c>
      <c r="J73" s="7"/>
      <c r="K73"/>
    </row>
    <row r="74" spans="1:11" ht="15">
      <c r="A74" s="8" t="s">
        <v>1536</v>
      </c>
      <c r="B74" s="11">
        <f>VLOOKUP($A74,'Mat of App'!$B$7:$AP$37,B$66,FALSE)</f>
        <v>0.05</v>
      </c>
      <c r="C74" s="11">
        <f>VLOOKUP($A74,'Mat of App'!$B$7:$AP$37,C$66,FALSE)</f>
        <v>0</v>
      </c>
      <c r="D74" s="11">
        <f>VLOOKUP($A74,'Mat of App'!$B$7:$AP$37,D$66,FALSE)</f>
        <v>0</v>
      </c>
      <c r="E74" s="11">
        <f>VLOOKUP($A74,'Mat of App'!$B$7:$AP$37,E$66,FALSE)</f>
        <v>0</v>
      </c>
      <c r="F74" s="11">
        <f>VLOOKUP($A74,'Mat of App'!$B$7:$AP$37,F$66,FALSE)</f>
        <v>0</v>
      </c>
      <c r="G74" s="11">
        <f>VLOOKUP($A74,'Mat of App'!$B$7:$AP$37,G$66,FALSE)</f>
        <v>0</v>
      </c>
      <c r="H74" s="11">
        <f>VLOOKUP($A74,'Mat of App'!$B$7:$AP$37,H$66,FALSE)</f>
        <v>0</v>
      </c>
      <c r="I74" s="11">
        <f>VLOOKUP($A74,'Mat of App'!$B$7:$AP$37,I$66,FALSE)</f>
        <v>0</v>
      </c>
      <c r="J74" s="7" t="s">
        <v>262</v>
      </c>
      <c r="K74"/>
    </row>
    <row r="75" spans="1:11" ht="15">
      <c r="A75" s="8" t="s">
        <v>1535</v>
      </c>
      <c r="B75" s="11">
        <f>VLOOKUP($A75,'Mat of App'!$B$7:$AP$37,B$66,FALSE)</f>
        <v>0</v>
      </c>
      <c r="C75" s="11">
        <f>VLOOKUP($A75,'Mat of App'!$B$7:$AP$37,C$66,FALSE)</f>
        <v>1</v>
      </c>
      <c r="D75" s="11">
        <f>VLOOKUP($A75,'Mat of App'!$B$7:$AP$37,D$66,FALSE)</f>
        <v>0</v>
      </c>
      <c r="E75" s="11">
        <f>VLOOKUP($A75,'Mat of App'!$B$7:$AP$37,E$66,FALSE)</f>
        <v>0</v>
      </c>
      <c r="F75" s="11">
        <f>VLOOKUP($A75,'Mat of App'!$B$7:$AP$37,F$66,FALSE)</f>
        <v>0</v>
      </c>
      <c r="G75" s="11">
        <f>VLOOKUP($A75,'Mat of App'!$B$7:$AP$37,G$66,FALSE)</f>
        <v>0</v>
      </c>
      <c r="H75" s="11">
        <f>VLOOKUP($A75,'Mat of App'!$B$7:$AP$37,H$66,FALSE)</f>
        <v>0</v>
      </c>
      <c r="I75" s="11">
        <f>VLOOKUP($A75,'Mat of App'!$B$7:$AP$37,I$66,FALSE)</f>
        <v>0</v>
      </c>
      <c r="J75" s="7" t="s">
        <v>262</v>
      </c>
      <c r="K75"/>
    </row>
    <row r="76" spans="1:11" ht="15">
      <c r="A76" s="8" t="s">
        <v>98</v>
      </c>
      <c r="B76" s="11">
        <f>VLOOKUP($A76,'Mat of App'!$B$7:$AP$37,B$66,FALSE)</f>
        <v>0</v>
      </c>
      <c r="C76" s="11">
        <f>VLOOKUP($A76,'Mat of App'!$B$7:$AP$37,C$66,FALSE)</f>
        <v>0</v>
      </c>
      <c r="D76" s="11">
        <f>VLOOKUP($A76,'Mat of App'!$B$7:$AP$37,D$66,FALSE)</f>
        <v>0</v>
      </c>
      <c r="E76" s="11">
        <f>VLOOKUP($A76,'Mat of App'!$B$7:$AP$37,E$66,FALSE)</f>
        <v>0</v>
      </c>
      <c r="F76" s="11">
        <f>VLOOKUP($A76,'Mat of App'!$B$7:$AP$37,F$66,FALSE)</f>
        <v>1</v>
      </c>
      <c r="G76" s="11">
        <f>VLOOKUP($A76,'Mat of App'!$B$7:$AP$37,G$66,FALSE)</f>
        <v>0</v>
      </c>
      <c r="H76" s="11">
        <f>VLOOKUP($A76,'Mat of App'!$B$7:$AP$37,H$66,FALSE)</f>
        <v>0</v>
      </c>
      <c r="I76" s="11">
        <f>VLOOKUP($A76,'Mat of App'!$B$7:$AP$37,I$66,FALSE)</f>
        <v>0</v>
      </c>
      <c r="J76" s="7" t="s">
        <v>262</v>
      </c>
      <c r="K76"/>
    </row>
    <row r="77" spans="1:11" ht="15">
      <c r="A77" s="8" t="s">
        <v>99</v>
      </c>
      <c r="B77" s="11">
        <f>VLOOKUP($A77,'Mat of App'!$B$7:$AP$37,B$66,FALSE)</f>
        <v>0</v>
      </c>
      <c r="C77" s="11">
        <f>VLOOKUP($A77,'Mat of App'!$B$7:$AP$37,C$66,FALSE)</f>
        <v>0</v>
      </c>
      <c r="D77" s="11">
        <f>VLOOKUP($A77,'Mat of App'!$B$7:$AP$37,D$66,FALSE)</f>
        <v>0</v>
      </c>
      <c r="E77" s="11">
        <f>VLOOKUP($A77,'Mat of App'!$B$7:$AP$37,E$66,FALSE)</f>
        <v>0</v>
      </c>
      <c r="F77" s="11">
        <f>VLOOKUP($A77,'Mat of App'!$B$7:$AP$37,F$66,FALSE)</f>
        <v>0</v>
      </c>
      <c r="G77" s="11">
        <f>VLOOKUP($A77,'Mat of App'!$B$7:$AP$37,G$66,FALSE)</f>
        <v>1</v>
      </c>
      <c r="H77" s="11">
        <f>VLOOKUP($A77,'Mat of App'!$B$7:$AP$37,H$66,FALSE)</f>
        <v>0</v>
      </c>
      <c r="I77" s="11">
        <f>VLOOKUP($A77,'Mat of App'!$B$7:$AP$37,I$66,FALSE)</f>
        <v>0</v>
      </c>
      <c r="J77" s="7" t="s">
        <v>262</v>
      </c>
      <c r="K77"/>
    </row>
    <row r="78" spans="1:11" ht="15">
      <c r="A78" s="8" t="s">
        <v>1534</v>
      </c>
      <c r="B78" s="11">
        <f>VLOOKUP($A78,'Mat of App'!$B$7:$AP$37,B$66,FALSE)</f>
        <v>0</v>
      </c>
      <c r="C78" s="11">
        <f>VLOOKUP($A78,'Mat of App'!$B$7:$AP$37,C$66,FALSE)</f>
        <v>0</v>
      </c>
      <c r="D78" s="11">
        <f>VLOOKUP($A78,'Mat of App'!$B$7:$AP$37,D$66,FALSE)</f>
        <v>0</v>
      </c>
      <c r="E78" s="11">
        <f>VLOOKUP($A78,'Mat of App'!$B$7:$AP$37,E$66,FALSE)</f>
        <v>0</v>
      </c>
      <c r="F78" s="11">
        <f>VLOOKUP($A78,'Mat of App'!$B$7:$AP$37,F$66,FALSE)</f>
        <v>0</v>
      </c>
      <c r="G78" s="11">
        <f>VLOOKUP($A78,'Mat of App'!$B$7:$AP$37,G$66,FALSE)</f>
        <v>0</v>
      </c>
      <c r="H78" s="11">
        <f>VLOOKUP($A78,'Mat of App'!$B$7:$AP$37,H$66,FALSE)</f>
        <v>1</v>
      </c>
      <c r="I78" s="11">
        <f>VLOOKUP($A78,'Mat of App'!$B$7:$AP$37,I$66,FALSE)</f>
        <v>0</v>
      </c>
      <c r="J78" s="7" t="s">
        <v>262</v>
      </c>
      <c r="K78"/>
    </row>
    <row r="79" spans="1:11" ht="15">
      <c r="A79" s="8" t="s">
        <v>100</v>
      </c>
      <c r="B79" s="11">
        <f>VLOOKUP($A79,'Mat of App'!$B$7:$AP$37,B$66,FALSE)</f>
        <v>0</v>
      </c>
      <c r="C79" s="11">
        <f>VLOOKUP($A79,'Mat of App'!$B$7:$AP$37,C$66,FALSE)</f>
        <v>0</v>
      </c>
      <c r="D79" s="11">
        <f>VLOOKUP($A79,'Mat of App'!$B$7:$AP$37,D$66,FALSE)</f>
        <v>0</v>
      </c>
      <c r="E79" s="11">
        <f>VLOOKUP($A79,'Mat of App'!$B$7:$AP$37,E$66,FALSE)</f>
        <v>0</v>
      </c>
      <c r="F79" s="11">
        <f>VLOOKUP($A79,'Mat of App'!$B$7:$AP$37,F$66,FALSE)</f>
        <v>0</v>
      </c>
      <c r="G79" s="11">
        <f>VLOOKUP($A79,'Mat of App'!$B$7:$AP$37,G$66,FALSE)</f>
        <v>0</v>
      </c>
      <c r="H79" s="11">
        <f>VLOOKUP($A79,'Mat of App'!$B$7:$AP$37,H$66,FALSE)</f>
        <v>1</v>
      </c>
      <c r="I79" s="11">
        <f>VLOOKUP($A79,'Mat of App'!$B$7:$AP$37,I$66,FALSE)</f>
        <v>0</v>
      </c>
      <c r="J79" s="7" t="s">
        <v>262</v>
      </c>
      <c r="K79"/>
    </row>
    <row r="80" spans="1:11" ht="15">
      <c r="A80" s="8" t="s">
        <v>101</v>
      </c>
      <c r="B80" s="11">
        <f>VLOOKUP($A80,'Mat of App'!$B$7:$AP$37,B$66,FALSE)</f>
        <v>0</v>
      </c>
      <c r="C80" s="11">
        <f>VLOOKUP($A80,'Mat of App'!$B$7:$AP$37,C$66,FALSE)</f>
        <v>0</v>
      </c>
      <c r="D80" s="11">
        <f>VLOOKUP($A80,'Mat of App'!$B$7:$AP$37,D$66,FALSE)</f>
        <v>0</v>
      </c>
      <c r="E80" s="11">
        <f>VLOOKUP($A80,'Mat of App'!$B$7:$AP$37,E$66,FALSE)</f>
        <v>0</v>
      </c>
      <c r="F80" s="11">
        <f>VLOOKUP($A80,'Mat of App'!$B$7:$AP$37,F$66,FALSE)</f>
        <v>0</v>
      </c>
      <c r="G80" s="11">
        <f>VLOOKUP($A80,'Mat of App'!$B$7:$AP$37,G$66,FALSE)</f>
        <v>0</v>
      </c>
      <c r="H80" s="11">
        <f>VLOOKUP($A80,'Mat of App'!$B$7:$AP$37,H$66,FALSE)</f>
        <v>1</v>
      </c>
      <c r="I80" s="11">
        <f>VLOOKUP($A80,'Mat of App'!$B$7:$AP$37,I$66,FALSE)</f>
        <v>0</v>
      </c>
      <c r="J80" s="7" t="s">
        <v>262</v>
      </c>
      <c r="K80"/>
    </row>
    <row r="81" spans="1:11" ht="15">
      <c r="A81" s="8" t="s">
        <v>102</v>
      </c>
      <c r="B81" s="11">
        <f>VLOOKUP($A81,'Mat of App'!$B$7:$AP$37,B$66,FALSE)</f>
        <v>0</v>
      </c>
      <c r="C81" s="11">
        <f>VLOOKUP($A81,'Mat of App'!$B$7:$AP$37,C$66,FALSE)</f>
        <v>0</v>
      </c>
      <c r="D81" s="11">
        <f>VLOOKUP($A81,'Mat of App'!$B$7:$AP$37,D$66,FALSE)</f>
        <v>0</v>
      </c>
      <c r="E81" s="11">
        <f>VLOOKUP($A81,'Mat of App'!$B$7:$AP$37,E$66,FALSE)</f>
        <v>0</v>
      </c>
      <c r="F81" s="11">
        <f>VLOOKUP($A81,'Mat of App'!$B$7:$AP$37,F$66,FALSE)</f>
        <v>0</v>
      </c>
      <c r="G81" s="11">
        <f>VLOOKUP($A81,'Mat of App'!$B$7:$AP$37,G$66,FALSE)</f>
        <v>0</v>
      </c>
      <c r="H81" s="11">
        <f>VLOOKUP($A81,'Mat of App'!$B$7:$AP$37,H$66,FALSE)</f>
        <v>0</v>
      </c>
      <c r="I81" s="11">
        <f>VLOOKUP($A81,'Mat of App'!$B$7:$AP$37,I$66,FALSE)</f>
        <v>0</v>
      </c>
      <c r="J81" s="7" t="s">
        <v>262</v>
      </c>
      <c r="K81"/>
    </row>
    <row r="82" spans="1:11" ht="15">
      <c r="A82" s="8" t="s">
        <v>103</v>
      </c>
      <c r="B82" s="11">
        <f>VLOOKUP($A82,'Mat of App'!$B$7:$AP$37,B$66,FALSE)</f>
        <v>0</v>
      </c>
      <c r="C82" s="11">
        <f>VLOOKUP($A82,'Mat of App'!$B$7:$AP$37,C$66,FALSE)</f>
        <v>0</v>
      </c>
      <c r="D82" s="11">
        <f>VLOOKUP($A82,'Mat of App'!$B$7:$AP$37,D$66,FALSE)</f>
        <v>0</v>
      </c>
      <c r="E82" s="11">
        <f>VLOOKUP($A82,'Mat of App'!$B$7:$AP$37,E$66,FALSE)</f>
        <v>0</v>
      </c>
      <c r="F82" s="11">
        <f>VLOOKUP($A82,'Mat of App'!$B$7:$AP$37,F$66,FALSE)</f>
        <v>0</v>
      </c>
      <c r="G82" s="11">
        <f>VLOOKUP($A82,'Mat of App'!$B$7:$AP$37,G$66,FALSE)</f>
        <v>0</v>
      </c>
      <c r="H82" s="11">
        <f>VLOOKUP($A82,'Mat of App'!$B$7:$AP$37,H$66,FALSE)</f>
        <v>0</v>
      </c>
      <c r="I82" s="11">
        <f>VLOOKUP($A82,'Mat of App'!$B$7:$AP$37,I$66,FALSE)</f>
        <v>0</v>
      </c>
      <c r="J82" s="7" t="s">
        <v>262</v>
      </c>
      <c r="K82"/>
    </row>
    <row r="83" spans="1:11" ht="15">
      <c r="A83" s="8" t="s">
        <v>104</v>
      </c>
      <c r="B83" s="11">
        <f>VLOOKUP($A83,'Mat of App'!$B$7:$AP$37,B$66,FALSE)</f>
        <v>0</v>
      </c>
      <c r="C83" s="11">
        <f>VLOOKUP($A83,'Mat of App'!$B$7:$AP$37,C$66,FALSE)</f>
        <v>0</v>
      </c>
      <c r="D83" s="11">
        <f>VLOOKUP($A83,'Mat of App'!$B$7:$AP$37,D$66,FALSE)</f>
        <v>0</v>
      </c>
      <c r="E83" s="11">
        <f>VLOOKUP($A83,'Mat of App'!$B$7:$AP$37,E$66,FALSE)</f>
        <v>0</v>
      </c>
      <c r="F83" s="11">
        <f>VLOOKUP($A83,'Mat of App'!$B$7:$AP$37,F$66,FALSE)</f>
        <v>0</v>
      </c>
      <c r="G83" s="11">
        <f>VLOOKUP($A83,'Mat of App'!$B$7:$AP$37,G$66,FALSE)</f>
        <v>0</v>
      </c>
      <c r="H83" s="11">
        <f>VLOOKUP($A83,'Mat of App'!$B$7:$AP$37,H$66,FALSE)</f>
        <v>0</v>
      </c>
      <c r="I83" s="11">
        <f>VLOOKUP($A83,'Mat of App'!$B$7:$AP$37,I$66,FALSE)</f>
        <v>0</v>
      </c>
      <c r="J83" s="7" t="s">
        <v>262</v>
      </c>
      <c r="K83"/>
    </row>
    <row r="84" spans="1:11" ht="15">
      <c r="A84"/>
      <c r="B84"/>
      <c r="C84"/>
      <c r="D84"/>
      <c r="E84"/>
      <c r="F84"/>
      <c r="G84"/>
      <c r="H84"/>
      <c r="I84"/>
      <c r="J84"/>
      <c r="K84"/>
    </row>
    <row r="85" spans="1:11" ht="19.5">
      <c r="A85" s="1" t="s">
        <v>105</v>
      </c>
      <c r="B85"/>
      <c r="C85"/>
      <c r="D85"/>
      <c r="E85"/>
      <c r="F85"/>
      <c r="G85"/>
      <c r="H85"/>
      <c r="I85"/>
      <c r="J85"/>
      <c r="K85"/>
    </row>
    <row r="86" spans="1:11" ht="15">
      <c r="A86" s="2"/>
      <c r="B86"/>
      <c r="C86"/>
      <c r="D86"/>
      <c r="E86"/>
      <c r="F86"/>
      <c r="G86"/>
      <c r="H86"/>
      <c r="I86"/>
      <c r="J86"/>
      <c r="K86"/>
    </row>
    <row r="87" spans="1:11" ht="15">
      <c r="A87" s="2" t="s">
        <v>106</v>
      </c>
      <c r="B87"/>
      <c r="C87"/>
      <c r="D87"/>
      <c r="E87"/>
      <c r="F87"/>
      <c r="G87"/>
      <c r="H87"/>
      <c r="I87"/>
      <c r="J87"/>
      <c r="K87"/>
    </row>
    <row r="88" spans="1:11" ht="15">
      <c r="A88" t="s">
        <v>107</v>
      </c>
      <c r="B88"/>
      <c r="C88"/>
      <c r="D88"/>
      <c r="E88"/>
      <c r="F88"/>
      <c r="G88"/>
      <c r="H88"/>
      <c r="I88"/>
      <c r="J88"/>
      <c r="K88"/>
    </row>
    <row r="89" spans="1:11" ht="15">
      <c r="A89"/>
      <c r="B89" s="3" t="s">
        <v>75</v>
      </c>
      <c r="C89" s="3" t="s">
        <v>76</v>
      </c>
      <c r="D89" s="3" t="s">
        <v>77</v>
      </c>
      <c r="E89" s="3" t="s">
        <v>78</v>
      </c>
      <c r="F89" s="3" t="s">
        <v>79</v>
      </c>
      <c r="G89" s="3" t="s">
        <v>80</v>
      </c>
      <c r="H89" s="3" t="s">
        <v>81</v>
      </c>
      <c r="I89" s="3" t="s">
        <v>82</v>
      </c>
      <c r="J89"/>
      <c r="K89"/>
    </row>
    <row r="90" spans="1:11" ht="15">
      <c r="A90" s="8" t="s">
        <v>108</v>
      </c>
      <c r="B90" s="4">
        <f>VLOOKUP($A90,'Mat of App'!$B$7:$AP$37,B$66,FALSE)</f>
        <v>0</v>
      </c>
      <c r="C90" s="4">
        <f>VLOOKUP($A90,'Mat of App'!$B$7:$AP$37,C$66,FALSE)</f>
        <v>0</v>
      </c>
      <c r="D90" s="4">
        <f>VLOOKUP($A90,'Mat of App'!$B$7:$AP$37,D$66,FALSE)</f>
        <v>0</v>
      </c>
      <c r="E90" s="4">
        <f>VLOOKUP($A90,'Mat of App'!$B$7:$AP$37,E$66,FALSE)</f>
        <v>0</v>
      </c>
      <c r="F90" s="4">
        <f>VLOOKUP($A90,'Mat of App'!$B$7:$AP$37,F$66,FALSE)</f>
        <v>0</v>
      </c>
      <c r="G90" s="4">
        <f>VLOOKUP($A90,'Mat of App'!$B$7:$AP$37,G$66,FALSE)</f>
        <v>0</v>
      </c>
      <c r="H90" s="4">
        <f>VLOOKUP($A90,'Mat of App'!$B$7:$AP$37,H$66,FALSE)</f>
        <v>0</v>
      </c>
      <c r="I90" s="4">
        <f>VLOOKUP($A90,'Mat of App'!$B$7:$AP$37,I$66,FALSE)</f>
        <v>0.48799999999999999</v>
      </c>
      <c r="J90" s="7" t="s">
        <v>262</v>
      </c>
      <c r="K90"/>
    </row>
    <row r="91" spans="1:11" ht="15">
      <c r="A91"/>
      <c r="B91"/>
      <c r="C91"/>
      <c r="D91"/>
      <c r="E91"/>
      <c r="F91"/>
      <c r="G91"/>
      <c r="H91"/>
      <c r="I91"/>
      <c r="J91"/>
      <c r="K91"/>
    </row>
    <row r="92" spans="1:11" ht="19.5">
      <c r="A92" s="1" t="s">
        <v>109</v>
      </c>
      <c r="B92"/>
      <c r="C92"/>
      <c r="D92"/>
      <c r="E92"/>
      <c r="F92"/>
      <c r="G92"/>
      <c r="H92"/>
      <c r="I92"/>
      <c r="J92"/>
      <c r="K92"/>
    </row>
    <row r="93" spans="1:11" ht="15">
      <c r="A93"/>
      <c r="B93">
        <v>7</v>
      </c>
      <c r="C93">
        <f>B93+1</f>
        <v>8</v>
      </c>
      <c r="D93">
        <f>C93+1</f>
        <v>9</v>
      </c>
      <c r="E93">
        <f>D93+1</f>
        <v>10</v>
      </c>
      <c r="F93">
        <f>E93+1</f>
        <v>11</v>
      </c>
      <c r="G93"/>
      <c r="H93"/>
      <c r="I93"/>
      <c r="J93"/>
      <c r="K93"/>
    </row>
    <row r="94" spans="1:11" ht="15">
      <c r="A94"/>
      <c r="B94" s="3" t="s">
        <v>85</v>
      </c>
      <c r="C94" s="3" t="s">
        <v>86</v>
      </c>
      <c r="D94" s="3" t="s">
        <v>87</v>
      </c>
      <c r="E94" s="3" t="s">
        <v>88</v>
      </c>
      <c r="F94" s="3" t="s">
        <v>89</v>
      </c>
      <c r="G94"/>
      <c r="H94"/>
      <c r="I94"/>
      <c r="J94"/>
      <c r="K94"/>
    </row>
    <row r="95" spans="1:11" ht="15">
      <c r="A95" s="8" t="s">
        <v>110</v>
      </c>
      <c r="B95" s="11">
        <f>VLOOKUP($A95,'Mat of App'!$B$7:$AP$37,B$93,FALSE)</f>
        <v>1</v>
      </c>
      <c r="C95" s="11">
        <f>VLOOKUP($A95,'Mat of App'!$B$7:$AP$37,C$93,FALSE)</f>
        <v>0</v>
      </c>
      <c r="D95" s="11">
        <f>VLOOKUP($A95,'Mat of App'!$B$7:$AP$37,D$93,FALSE)</f>
        <v>0</v>
      </c>
      <c r="E95" s="11">
        <f>VLOOKUP($A95,'Mat of App'!$B$7:$AP$37,E$93,FALSE)</f>
        <v>0</v>
      </c>
      <c r="F95" s="11">
        <f>VLOOKUP($A95,'Mat of App'!$B$7:$AP$37,F$93,FALSE)</f>
        <v>0</v>
      </c>
      <c r="G95" s="7" t="s">
        <v>262</v>
      </c>
      <c r="H95"/>
      <c r="I95"/>
      <c r="J95"/>
      <c r="K95"/>
    </row>
    <row r="96" spans="1:11" ht="15">
      <c r="A96" s="8" t="s">
        <v>111</v>
      </c>
      <c r="B96" s="11">
        <f>VLOOKUP($A96,'Mat of App'!$B$7:$AP$37,B$93,FALSE)</f>
        <v>1</v>
      </c>
      <c r="C96" s="11">
        <f>VLOOKUP($A96,'Mat of App'!$B$7:$AP$37,C$93,FALSE)</f>
        <v>0</v>
      </c>
      <c r="D96" s="11">
        <f>VLOOKUP($A96,'Mat of App'!$B$7:$AP$37,D$93,FALSE)</f>
        <v>0</v>
      </c>
      <c r="E96" s="11">
        <f>VLOOKUP($A96,'Mat of App'!$B$7:$AP$37,E$93,FALSE)</f>
        <v>0</v>
      </c>
      <c r="F96" s="11">
        <f>VLOOKUP($A96,'Mat of App'!$B$7:$AP$37,F$93,FALSE)</f>
        <v>0</v>
      </c>
      <c r="G96" s="7" t="s">
        <v>262</v>
      </c>
      <c r="H96"/>
      <c r="I96"/>
      <c r="J96"/>
      <c r="K96"/>
    </row>
    <row r="97" spans="1:11" customFormat="1" ht="15">
      <c r="A97" s="8" t="s">
        <v>112</v>
      </c>
      <c r="B97" s="11">
        <f>VLOOKUP($A97,'Mat of App'!$B$7:$AP$37,B$93,FALSE)</f>
        <v>0</v>
      </c>
      <c r="C97" s="11">
        <f>VLOOKUP($A97,'Mat of App'!$B$7:$AP$37,C$93,FALSE)</f>
        <v>1</v>
      </c>
      <c r="D97" s="11">
        <f>VLOOKUP($A97,'Mat of App'!$B$7:$AP$37,D$93,FALSE)</f>
        <v>0</v>
      </c>
      <c r="E97" s="11">
        <f>VLOOKUP($A97,'Mat of App'!$B$7:$AP$37,E$93,FALSE)</f>
        <v>0</v>
      </c>
      <c r="F97" s="11">
        <f>VLOOKUP($A97,'Mat of App'!$B$7:$AP$37,F$93,FALSE)</f>
        <v>0</v>
      </c>
      <c r="G97" s="7"/>
    </row>
    <row r="98" spans="1:11" customFormat="1" ht="15">
      <c r="A98" s="8" t="s">
        <v>113</v>
      </c>
      <c r="B98" s="11">
        <f>VLOOKUP($A98,'Mat of App'!$B$7:$AP$37,B$93,FALSE)</f>
        <v>0</v>
      </c>
      <c r="C98" s="11">
        <f>VLOOKUP($A98,'Mat of App'!$B$7:$AP$37,C$93,FALSE)</f>
        <v>1</v>
      </c>
      <c r="D98" s="11">
        <f>VLOOKUP($A98,'Mat of App'!$B$7:$AP$37,D$93,FALSE)</f>
        <v>0</v>
      </c>
      <c r="E98" s="11">
        <f>VLOOKUP($A98,'Mat of App'!$B$7:$AP$37,E$93,FALSE)</f>
        <v>0</v>
      </c>
      <c r="F98" s="11">
        <f>VLOOKUP($A98,'Mat of App'!$B$7:$AP$37,F$93,FALSE)</f>
        <v>0</v>
      </c>
      <c r="G98" s="7"/>
    </row>
    <row r="99" spans="1:11" ht="15">
      <c r="A99"/>
      <c r="B99"/>
      <c r="C99"/>
      <c r="D99"/>
      <c r="E99"/>
      <c r="F99"/>
      <c r="G99"/>
      <c r="H99"/>
      <c r="I99"/>
      <c r="J99"/>
      <c r="K99"/>
    </row>
    <row r="100" spans="1:11" ht="19.5">
      <c r="A100" s="1" t="s">
        <v>114</v>
      </c>
      <c r="B100"/>
      <c r="C100"/>
      <c r="D100"/>
      <c r="E100"/>
      <c r="F100"/>
      <c r="G100"/>
      <c r="H100"/>
      <c r="I100"/>
      <c r="J100"/>
      <c r="K100"/>
    </row>
    <row r="101" spans="1:11" ht="15">
      <c r="A101" s="2" t="s">
        <v>262</v>
      </c>
      <c r="B101"/>
      <c r="C101"/>
      <c r="D101"/>
      <c r="E101"/>
      <c r="F101"/>
      <c r="G101"/>
      <c r="H101"/>
      <c r="I101"/>
      <c r="J101"/>
      <c r="K101"/>
    </row>
    <row r="102" spans="1:11" ht="15">
      <c r="A102" t="s">
        <v>115</v>
      </c>
      <c r="B102"/>
      <c r="C102"/>
      <c r="D102"/>
      <c r="E102"/>
      <c r="F102"/>
      <c r="G102"/>
      <c r="H102"/>
      <c r="I102"/>
      <c r="J102"/>
      <c r="K102"/>
    </row>
    <row r="103" spans="1:11" ht="15">
      <c r="A103"/>
      <c r="B103" s="3" t="s">
        <v>61</v>
      </c>
      <c r="C103" s="3" t="s">
        <v>62</v>
      </c>
      <c r="D103" s="3" t="s">
        <v>63</v>
      </c>
      <c r="E103" s="3" t="s">
        <v>64</v>
      </c>
      <c r="F103" s="3" t="s">
        <v>65</v>
      </c>
      <c r="G103" s="3" t="s">
        <v>66</v>
      </c>
      <c r="H103" s="3" t="s">
        <v>67</v>
      </c>
      <c r="I103"/>
      <c r="J103"/>
      <c r="K103"/>
    </row>
    <row r="104" spans="1:11" ht="15">
      <c r="A104" s="8" t="s">
        <v>116</v>
      </c>
      <c r="B104" s="4">
        <f>VLOOKUP(Vlookup!B69,'CDCM Forecast Data'!$A$14:$I$271,6,FALSE)</f>
        <v>1.002</v>
      </c>
      <c r="C104" s="4">
        <f>VLOOKUP(Vlookup!C69,'CDCM Forecast Data'!$A$14:$I$271,6,FALSE)</f>
        <v>1.0069999999999999</v>
      </c>
      <c r="D104" s="4">
        <f>VLOOKUP(Vlookup!D69,'CDCM Forecast Data'!$A$14:$I$271,6,FALSE)</f>
        <v>1.016</v>
      </c>
      <c r="E104" s="4">
        <f>VLOOKUP(Vlookup!E69,'CDCM Forecast Data'!$A$14:$I$271,6,FALSE)</f>
        <v>1.0229999999999999</v>
      </c>
      <c r="F104" s="4">
        <f>VLOOKUP(Vlookup!F69,'CDCM Forecast Data'!$A$14:$I$271,6,FALSE)</f>
        <v>1.0509999999999999</v>
      </c>
      <c r="G104" s="4">
        <f>VLOOKUP(Vlookup!G69,'CDCM Forecast Data'!$A$14:$I$271,6,FALSE)</f>
        <v>1.07</v>
      </c>
      <c r="H104" s="4">
        <f>VLOOKUP(Vlookup!H69,'CDCM Forecast Data'!$A$14:$I$271,6,FALSE)</f>
        <v>1.087</v>
      </c>
      <c r="I104" s="7" t="s">
        <v>262</v>
      </c>
      <c r="J104"/>
      <c r="K104"/>
    </row>
    <row r="105" spans="1:11" ht="15">
      <c r="A105"/>
      <c r="B105"/>
      <c r="C105"/>
      <c r="D105"/>
      <c r="E105"/>
      <c r="F105"/>
      <c r="G105"/>
      <c r="H105"/>
      <c r="I105"/>
      <c r="J105"/>
      <c r="K105"/>
    </row>
    <row r="106" spans="1:11" ht="19.5">
      <c r="A106" s="1" t="s">
        <v>117</v>
      </c>
      <c r="B106"/>
      <c r="C106"/>
      <c r="D106"/>
      <c r="E106"/>
      <c r="F106"/>
      <c r="G106"/>
      <c r="H106"/>
      <c r="I106"/>
      <c r="J106"/>
      <c r="K106"/>
    </row>
    <row r="107" spans="1:11" ht="15">
      <c r="A107" s="2" t="s">
        <v>262</v>
      </c>
      <c r="B107"/>
      <c r="C107"/>
      <c r="D107"/>
      <c r="E107"/>
      <c r="F107"/>
      <c r="G107"/>
      <c r="H107"/>
      <c r="I107"/>
      <c r="J107"/>
      <c r="K107"/>
    </row>
    <row r="108" spans="1:11" ht="15">
      <c r="A108" t="s">
        <v>118</v>
      </c>
      <c r="B108"/>
      <c r="C108"/>
      <c r="D108"/>
      <c r="E108"/>
      <c r="F108"/>
      <c r="G108"/>
      <c r="H108"/>
      <c r="I108"/>
      <c r="J108"/>
      <c r="K108"/>
    </row>
    <row r="109" spans="1:11" ht="15">
      <c r="A109"/>
      <c r="B109" s="3" t="s">
        <v>119</v>
      </c>
      <c r="C109" s="3" t="s">
        <v>120</v>
      </c>
      <c r="D109" s="3" t="s">
        <v>121</v>
      </c>
      <c r="E109" s="3" t="s">
        <v>122</v>
      </c>
      <c r="F109" s="3" t="s">
        <v>123</v>
      </c>
      <c r="G109"/>
      <c r="H109"/>
      <c r="I109"/>
      <c r="J109"/>
      <c r="K109"/>
    </row>
    <row r="110" spans="1:11" ht="15">
      <c r="A110" s="8" t="s">
        <v>124</v>
      </c>
      <c r="B110" s="6"/>
      <c r="C110" s="11">
        <f>VLOOKUP(Vlookup!C75,'CDCM Forecast Data'!$A$14:$I$271,6,FALSE)</f>
        <v>0.33064254054995224</v>
      </c>
      <c r="D110" s="11">
        <f>VLOOKUP(Vlookup!D75,'CDCM Forecast Data'!$A$14:$I$271,6,FALSE)</f>
        <v>0.51417010196128798</v>
      </c>
      <c r="E110" s="11">
        <f>VLOOKUP(Vlookup!E75,'CDCM Forecast Data'!$A$14:$I$271,6,FALSE)</f>
        <v>0.25833648748307197</v>
      </c>
      <c r="F110" s="11">
        <f>VLOOKUP(Vlookup!F75,'CDCM Forecast Data'!$A$14:$I$271,6,FALSE)</f>
        <v>0.15078510117655297</v>
      </c>
      <c r="G110" s="7" t="s">
        <v>262</v>
      </c>
      <c r="H110"/>
      <c r="I110"/>
      <c r="J110"/>
      <c r="K110"/>
    </row>
    <row r="111" spans="1:11" ht="15">
      <c r="A111"/>
      <c r="B111"/>
      <c r="C111"/>
      <c r="D111"/>
      <c r="E111"/>
      <c r="F111"/>
      <c r="G111"/>
      <c r="H111"/>
      <c r="I111"/>
      <c r="J111"/>
      <c r="K111"/>
    </row>
    <row r="112" spans="1:11" ht="19.5">
      <c r="A112" s="1" t="s">
        <v>125</v>
      </c>
      <c r="B112"/>
      <c r="C112"/>
      <c r="D112"/>
      <c r="E112"/>
      <c r="F112"/>
      <c r="G112"/>
      <c r="H112"/>
      <c r="I112"/>
      <c r="J112"/>
      <c r="K112"/>
    </row>
    <row r="113" spans="1:11" ht="15">
      <c r="A113" s="2"/>
      <c r="B113"/>
      <c r="C113"/>
      <c r="D113"/>
      <c r="E113"/>
      <c r="F113"/>
      <c r="G113"/>
      <c r="H113"/>
      <c r="I113"/>
      <c r="J113"/>
      <c r="K113"/>
    </row>
    <row r="114" spans="1:11" ht="15">
      <c r="A114" t="s">
        <v>126</v>
      </c>
      <c r="B114"/>
      <c r="C114"/>
      <c r="D114"/>
      <c r="E114"/>
      <c r="F114"/>
      <c r="G114"/>
      <c r="H114"/>
      <c r="I114"/>
      <c r="J114"/>
      <c r="K114"/>
    </row>
    <row r="115" spans="1:11" ht="15">
      <c r="A115"/>
      <c r="B115" s="3" t="s">
        <v>127</v>
      </c>
      <c r="C115" s="3" t="s">
        <v>128</v>
      </c>
      <c r="D115"/>
      <c r="E115"/>
      <c r="F115"/>
      <c r="G115"/>
      <c r="H115"/>
      <c r="I115"/>
      <c r="J115"/>
      <c r="K115"/>
    </row>
    <row r="116" spans="1:11" ht="15">
      <c r="A116" s="8" t="s">
        <v>92</v>
      </c>
      <c r="B116" s="4">
        <f>VLOOKUP(Vlookup!B81,'CDCM Forecast Data'!$A$14:$I$271,6,FALSE)</f>
        <v>0.89738819736502429</v>
      </c>
      <c r="C116" s="4">
        <f>VLOOKUP(Vlookup!C81,'CDCM Forecast Data'!$A$14:$I$271,6,FALSE)</f>
        <v>0.43411076877330973</v>
      </c>
      <c r="D116" s="7" t="s">
        <v>262</v>
      </c>
      <c r="E116"/>
      <c r="F116"/>
      <c r="G116"/>
      <c r="H116"/>
      <c r="I116"/>
      <c r="J116"/>
      <c r="K116"/>
    </row>
    <row r="117" spans="1:11" ht="15">
      <c r="A117" s="8" t="s">
        <v>93</v>
      </c>
      <c r="B117" s="4">
        <f>VLOOKUP(Vlookup!B82,'CDCM Forecast Data'!$A$14:$I$271,6,FALSE)</f>
        <v>0.41597516714124932</v>
      </c>
      <c r="C117" s="4">
        <f>VLOOKUP(Vlookup!C82,'CDCM Forecast Data'!$A$14:$I$271,6,FALSE)</f>
        <v>0.30069751871841721</v>
      </c>
      <c r="D117" s="7" t="s">
        <v>262</v>
      </c>
      <c r="E117"/>
      <c r="F117"/>
      <c r="G117"/>
      <c r="H117"/>
      <c r="I117"/>
      <c r="J117"/>
      <c r="K117"/>
    </row>
    <row r="118" spans="1:11" ht="15">
      <c r="A118" s="8" t="s">
        <v>129</v>
      </c>
      <c r="B118" s="6"/>
      <c r="C118" s="4">
        <f>VLOOKUP(Vlookup!C83,'CDCM Forecast Data'!$A$14:$I$271,6,FALSE)</f>
        <v>0.17961939605399557</v>
      </c>
      <c r="D118" s="7" t="s">
        <v>262</v>
      </c>
      <c r="E118"/>
      <c r="F118"/>
      <c r="G118"/>
      <c r="H118"/>
      <c r="I118"/>
      <c r="J118"/>
      <c r="K118"/>
    </row>
    <row r="119" spans="1:11" ht="15">
      <c r="A119" s="8" t="s">
        <v>94</v>
      </c>
      <c r="B119" s="4">
        <f>VLOOKUP(Vlookup!B84,'CDCM Forecast Data'!$A$14:$I$271,6,FALSE)</f>
        <v>0.69492206140680768</v>
      </c>
      <c r="C119" s="4">
        <f>VLOOKUP(Vlookup!C84,'CDCM Forecast Data'!$A$14:$I$271,6,FALSE)</f>
        <v>0.39797534499698228</v>
      </c>
      <c r="D119" s="7" t="s">
        <v>262</v>
      </c>
      <c r="E119"/>
      <c r="F119"/>
      <c r="G119"/>
      <c r="H119"/>
      <c r="I119"/>
      <c r="J119"/>
      <c r="K119"/>
    </row>
    <row r="120" spans="1:11" ht="15">
      <c r="A120" s="8" t="s">
        <v>95</v>
      </c>
      <c r="B120" s="4">
        <f>VLOOKUP(Vlookup!B85,'CDCM Forecast Data'!$A$14:$I$271,6,FALSE)</f>
        <v>0.74846447157386065</v>
      </c>
      <c r="C120" s="4">
        <f>VLOOKUP(Vlookup!C85,'CDCM Forecast Data'!$A$14:$I$271,6,FALSE)</f>
        <v>0.52024521708825189</v>
      </c>
      <c r="D120" s="7" t="s">
        <v>262</v>
      </c>
      <c r="E120"/>
      <c r="F120"/>
      <c r="G120"/>
      <c r="H120"/>
      <c r="I120"/>
      <c r="J120"/>
      <c r="K120"/>
    </row>
    <row r="121" spans="1:11" ht="15">
      <c r="A121" s="8" t="s">
        <v>130</v>
      </c>
      <c r="B121" s="6"/>
      <c r="C121" s="4">
        <f>VLOOKUP(Vlookup!C86,'CDCM Forecast Data'!$A$14:$I$271,6,FALSE)</f>
        <v>0.21120992364816046</v>
      </c>
      <c r="D121" s="7" t="s">
        <v>262</v>
      </c>
      <c r="E121"/>
      <c r="F121"/>
      <c r="G121"/>
      <c r="H121"/>
      <c r="I121"/>
      <c r="J121"/>
      <c r="K121"/>
    </row>
    <row r="122" spans="1:11" ht="15">
      <c r="A122" s="8" t="s">
        <v>96</v>
      </c>
      <c r="B122" s="4">
        <f>VLOOKUP(Vlookup!B87,'CDCM Forecast Data'!$A$14:$I$271,6,FALSE)</f>
        <v>0.83801012339332381</v>
      </c>
      <c r="C122" s="4">
        <f>VLOOKUP(Vlookup!C87,'CDCM Forecast Data'!$A$14:$I$271,6,FALSE)</f>
        <v>0.53574416845541439</v>
      </c>
      <c r="D122" s="7" t="s">
        <v>262</v>
      </c>
      <c r="E122"/>
      <c r="F122"/>
      <c r="G122"/>
      <c r="H122"/>
      <c r="I122"/>
      <c r="J122"/>
      <c r="K122"/>
    </row>
    <row r="123" spans="1:11" ht="15">
      <c r="A123" s="8" t="s">
        <v>97</v>
      </c>
      <c r="B123" s="4">
        <f>VLOOKUP(Vlookup!B88,'CDCM Forecast Data'!$A$14:$I$271,6,FALSE)</f>
        <v>0.83801012339332381</v>
      </c>
      <c r="C123" s="4">
        <f>VLOOKUP(Vlookup!C88,'CDCM Forecast Data'!$A$14:$I$271,6,FALSE)</f>
        <v>0.53574416845541439</v>
      </c>
      <c r="D123" s="7" t="s">
        <v>262</v>
      </c>
      <c r="E123"/>
      <c r="F123"/>
      <c r="G123"/>
      <c r="H123"/>
      <c r="I123"/>
      <c r="J123"/>
      <c r="K123"/>
    </row>
    <row r="124" spans="1:11" ht="15">
      <c r="A124" s="8" t="s">
        <v>110</v>
      </c>
      <c r="B124" s="4">
        <f>VLOOKUP(Vlookup!B89,'CDCM Forecast Data'!$A$14:$I$271,6,FALSE)</f>
        <v>0.64043929029771907</v>
      </c>
      <c r="C124" s="4">
        <f>VLOOKUP(Vlookup!C89,'CDCM Forecast Data'!$A$14:$I$271,6,FALSE)</f>
        <v>0.43446675238274496</v>
      </c>
      <c r="D124" s="7" t="s">
        <v>262</v>
      </c>
      <c r="E124"/>
      <c r="F124"/>
      <c r="G124"/>
      <c r="H124"/>
      <c r="I124"/>
      <c r="J124"/>
      <c r="K124"/>
    </row>
    <row r="125" spans="1:11" ht="15">
      <c r="A125" s="8" t="s">
        <v>1536</v>
      </c>
      <c r="B125" s="4">
        <f>VLOOKUP(Vlookup!B90,'CDCM Forecast Data'!$A$14:$I$271,6,FALSE)</f>
        <v>0.83273040302787538</v>
      </c>
      <c r="C125" s="4">
        <f>VLOOKUP(Vlookup!C90,'CDCM Forecast Data'!$A$14:$I$271,6,FALSE)</f>
        <v>0.41510669865444888</v>
      </c>
      <c r="D125" s="7" t="s">
        <v>262</v>
      </c>
      <c r="E125"/>
      <c r="F125"/>
      <c r="G125"/>
      <c r="H125"/>
      <c r="I125"/>
      <c r="J125"/>
      <c r="K125"/>
    </row>
    <row r="126" spans="1:11" ht="15">
      <c r="A126" s="8" t="s">
        <v>1535</v>
      </c>
      <c r="B126" s="4">
        <f>VLOOKUP(Vlookup!B91,'CDCM Forecast Data'!$A$14:$I$271,6,FALSE)</f>
        <v>0.70542255324747616</v>
      </c>
      <c r="C126" s="4">
        <f>VLOOKUP(Vlookup!C91,'CDCM Forecast Data'!$A$14:$I$271,6,FALSE)</f>
        <v>0.42086756514790613</v>
      </c>
      <c r="D126" s="7" t="s">
        <v>262</v>
      </c>
      <c r="E126"/>
      <c r="F126"/>
      <c r="G126"/>
      <c r="H126"/>
      <c r="I126"/>
      <c r="J126"/>
      <c r="K126"/>
    </row>
    <row r="127" spans="1:11" ht="15">
      <c r="A127" s="8" t="s">
        <v>98</v>
      </c>
      <c r="B127" s="4">
        <f>VLOOKUP(Vlookup!B92,'CDCM Forecast Data'!$A$14:$I$271,6,FALSE)</f>
        <v>0.79385686220007168</v>
      </c>
      <c r="C127" s="4">
        <f>VLOOKUP(Vlookup!C92,'CDCM Forecast Data'!$A$14:$I$271,6,FALSE)</f>
        <v>0.53736458823526412</v>
      </c>
      <c r="D127" s="7" t="s">
        <v>262</v>
      </c>
      <c r="E127"/>
      <c r="F127"/>
      <c r="G127"/>
      <c r="H127"/>
      <c r="I127"/>
      <c r="J127"/>
      <c r="K127"/>
    </row>
    <row r="128" spans="1:11" ht="15">
      <c r="A128" s="8" t="s">
        <v>99</v>
      </c>
      <c r="B128" s="4">
        <f>VLOOKUP(Vlookup!B93,'CDCM Forecast Data'!$A$14:$I$271,6,FALSE)</f>
        <v>0.80793779849955216</v>
      </c>
      <c r="C128" s="4">
        <f>VLOOKUP(Vlookup!C93,'CDCM Forecast Data'!$A$14:$I$271,6,FALSE)</f>
        <v>0.52702405279759323</v>
      </c>
      <c r="D128" s="7"/>
      <c r="E128"/>
      <c r="F128"/>
      <c r="G128"/>
      <c r="H128"/>
      <c r="I128"/>
      <c r="J128"/>
      <c r="K128"/>
    </row>
    <row r="129" spans="1:11" ht="15">
      <c r="A129" s="8" t="s">
        <v>111</v>
      </c>
      <c r="B129" s="4">
        <f>VLOOKUP(Vlookup!B94,'CDCM Forecast Data'!$A$14:$I$271,6,FALSE)</f>
        <v>0.78892978454231644</v>
      </c>
      <c r="C129" s="4">
        <f>VLOOKUP(Vlookup!C94,'CDCM Forecast Data'!$A$14:$I$271,6,FALSE)</f>
        <v>0.66158319064179105</v>
      </c>
      <c r="D129" s="7"/>
      <c r="E129"/>
      <c r="F129"/>
      <c r="G129"/>
      <c r="H129"/>
      <c r="I129"/>
      <c r="J129"/>
      <c r="K129"/>
    </row>
    <row r="130" spans="1:11" ht="15">
      <c r="A130" s="8" t="s">
        <v>131</v>
      </c>
      <c r="B130" s="4">
        <f>VLOOKUP(Vlookup!B95,'CDCM Forecast Data'!$A$14:$I$271,6,FALSE)</f>
        <v>1</v>
      </c>
      <c r="C130" s="4">
        <f>VLOOKUP(Vlookup!C95,'CDCM Forecast Data'!$A$14:$I$271,6,FALSE)</f>
        <v>1</v>
      </c>
      <c r="D130" s="7" t="s">
        <v>262</v>
      </c>
      <c r="E130"/>
      <c r="F130"/>
      <c r="G130"/>
      <c r="H130"/>
      <c r="I130"/>
      <c r="J130"/>
      <c r="K130"/>
    </row>
    <row r="131" spans="1:11" ht="15">
      <c r="A131" s="8" t="s">
        <v>132</v>
      </c>
      <c r="B131" s="4">
        <f>VLOOKUP(Vlookup!B96,'CDCM Forecast Data'!$A$14:$I$271,6,FALSE)</f>
        <v>0.99301420785685035</v>
      </c>
      <c r="C131" s="4">
        <f>VLOOKUP(Vlookup!C96,'CDCM Forecast Data'!$A$14:$I$271,6,FALSE)</f>
        <v>0.46960080865953691</v>
      </c>
      <c r="D131" s="7"/>
      <c r="E131"/>
      <c r="F131"/>
      <c r="G131"/>
      <c r="H131"/>
      <c r="I131"/>
      <c r="J131"/>
      <c r="K131"/>
    </row>
    <row r="132" spans="1:11" ht="15">
      <c r="A132" s="8" t="s">
        <v>133</v>
      </c>
      <c r="B132" s="4">
        <f>VLOOKUP(Vlookup!B97,'CDCM Forecast Data'!$A$14:$I$271,6,FALSE)</f>
        <v>0.95213478843576482</v>
      </c>
      <c r="C132" s="4">
        <f>VLOOKUP(Vlookup!C97,'CDCM Forecast Data'!$A$14:$I$271,6,FALSE)</f>
        <v>0.25417039627197974</v>
      </c>
      <c r="D132" s="7"/>
      <c r="E132"/>
      <c r="F132"/>
      <c r="G132"/>
      <c r="H132"/>
      <c r="I132"/>
      <c r="J132"/>
      <c r="K132"/>
    </row>
    <row r="133" spans="1:11" ht="15">
      <c r="A133" s="8" t="s">
        <v>134</v>
      </c>
      <c r="B133" s="4">
        <f>VLOOKUP(Vlookup!B98,'CDCM Forecast Data'!$A$14:$I$271,6,FALSE)</f>
        <v>0</v>
      </c>
      <c r="C133" s="4">
        <f>VLOOKUP(Vlookup!C98,'CDCM Forecast Data'!$A$14:$I$271,6,FALSE)</f>
        <v>0.51587229987729666</v>
      </c>
      <c r="D133" s="7"/>
      <c r="E133"/>
      <c r="F133"/>
      <c r="G133"/>
      <c r="H133"/>
      <c r="I133"/>
      <c r="J133"/>
      <c r="K133"/>
    </row>
    <row r="134" spans="1:11" ht="15">
      <c r="A134" s="8" t="s">
        <v>135</v>
      </c>
      <c r="B134" s="4">
        <f>VLOOKUP(Vlookup!B99,'CDCM Forecast Data'!$A$14:$I$271,6,FALSE)</f>
        <v>0.94398062288314322</v>
      </c>
      <c r="C134" s="4">
        <f>VLOOKUP(Vlookup!C99,'CDCM Forecast Data'!$A$14:$I$271,6,FALSE)</f>
        <v>0.47630128718610992</v>
      </c>
      <c r="D134" s="7" t="s">
        <v>262</v>
      </c>
      <c r="E134"/>
      <c r="F134"/>
      <c r="G134"/>
      <c r="H134"/>
      <c r="I134"/>
      <c r="J134"/>
      <c r="K134"/>
    </row>
    <row r="135" spans="1:11" ht="15">
      <c r="A135"/>
      <c r="B135"/>
      <c r="C135"/>
      <c r="D135"/>
      <c r="E135"/>
      <c r="F135"/>
      <c r="G135"/>
      <c r="H135"/>
      <c r="I135"/>
      <c r="J135"/>
      <c r="K135"/>
    </row>
    <row r="136" spans="1:11" ht="19.5">
      <c r="A136" s="1" t="s">
        <v>136</v>
      </c>
      <c r="B136"/>
      <c r="C136"/>
      <c r="D136"/>
      <c r="E136"/>
      <c r="F136"/>
      <c r="G136"/>
      <c r="H136"/>
      <c r="I136"/>
      <c r="J136"/>
      <c r="K136"/>
    </row>
    <row r="137" spans="1:11" ht="15">
      <c r="A137" s="2" t="s">
        <v>262</v>
      </c>
      <c r="B137">
        <v>10</v>
      </c>
      <c r="C137">
        <v>11</v>
      </c>
      <c r="D137">
        <v>12</v>
      </c>
      <c r="E137">
        <v>13</v>
      </c>
      <c r="F137">
        <v>14</v>
      </c>
      <c r="G137">
        <v>15</v>
      </c>
      <c r="H137"/>
      <c r="I137"/>
      <c r="J137"/>
      <c r="K137"/>
    </row>
    <row r="138" spans="1:11" ht="15">
      <c r="A138" s="2" t="s">
        <v>137</v>
      </c>
      <c r="B138"/>
      <c r="C138"/>
      <c r="D138"/>
      <c r="E138"/>
      <c r="F138"/>
      <c r="G138"/>
      <c r="H138"/>
      <c r="I138"/>
      <c r="J138"/>
      <c r="K138"/>
    </row>
    <row r="139" spans="1:11" ht="15">
      <c r="A139" s="2" t="s">
        <v>138</v>
      </c>
      <c r="B139"/>
      <c r="C139"/>
      <c r="D139"/>
      <c r="E139"/>
      <c r="F139"/>
      <c r="G139"/>
      <c r="H139"/>
      <c r="I139"/>
      <c r="J139"/>
      <c r="K139"/>
    </row>
    <row r="140" spans="1:11" ht="15">
      <c r="A140" t="s">
        <v>139</v>
      </c>
      <c r="B140"/>
      <c r="C140"/>
      <c r="D140"/>
      <c r="E140"/>
      <c r="F140"/>
      <c r="G140"/>
      <c r="H140"/>
      <c r="I140"/>
      <c r="J140"/>
      <c r="K140"/>
    </row>
    <row r="141" spans="1:11" ht="30">
      <c r="A141"/>
      <c r="B141" s="3" t="s">
        <v>140</v>
      </c>
      <c r="C141" s="3" t="s">
        <v>141</v>
      </c>
      <c r="D141" s="3" t="s">
        <v>142</v>
      </c>
      <c r="E141" s="3" t="s">
        <v>143</v>
      </c>
      <c r="F141" s="3" t="s">
        <v>144</v>
      </c>
      <c r="G141" s="3" t="s">
        <v>145</v>
      </c>
      <c r="H141"/>
      <c r="I141"/>
      <c r="J141"/>
      <c r="K141"/>
    </row>
    <row r="142" spans="1:11" ht="15">
      <c r="A142" s="12" t="s">
        <v>146</v>
      </c>
      <c r="B142" s="13">
        <f>VLOOKUP(Vlookup!$B107,'CDCM Volume Forecasts'!$A$27:$AG$123,B$137,FALSE)</f>
        <v>0</v>
      </c>
      <c r="C142" s="13">
        <f>VLOOKUP(Vlookup!$B107,'CDCM Volume Forecasts'!$A$27:$AG$123,C$137,FALSE)</f>
        <v>0</v>
      </c>
      <c r="D142" s="13">
        <f>VLOOKUP(Vlookup!$B107,'CDCM Volume Forecasts'!$A$27:$AG$123,D$137,FALSE)</f>
        <v>0</v>
      </c>
      <c r="E142" s="13">
        <f>VLOOKUP(Vlookup!$B107,'CDCM Volume Forecasts'!$A$27:$AG$123,E$137,FALSE)</f>
        <v>0</v>
      </c>
      <c r="F142" s="13">
        <f>VLOOKUP(Vlookup!$B107,'CDCM Volume Forecasts'!$A$27:$AG$123,F$137,FALSE)</f>
        <v>0</v>
      </c>
      <c r="G142" s="13">
        <f>VLOOKUP(Vlookup!$B107,'CDCM Volume Forecasts'!$A$27:$AG$123,G$137,FALSE)</f>
        <v>0</v>
      </c>
      <c r="H142" s="7"/>
      <c r="I142"/>
      <c r="J142"/>
      <c r="K142"/>
    </row>
    <row r="143" spans="1:11" ht="15">
      <c r="A143" s="8" t="s">
        <v>92</v>
      </c>
      <c r="B143" s="4">
        <f>VLOOKUP(Vlookup!$B108,'CDCM Volume Forecasts'!$A$27:$AG$123,B$137,FALSE)</f>
        <v>7006599.2032143781</v>
      </c>
      <c r="C143" s="6">
        <f>VLOOKUP(Vlookup!$B108,'CDCM Volume Forecasts'!$A$27:$AG$123,C$137,FALSE)</f>
        <v>0</v>
      </c>
      <c r="D143" s="6">
        <f>VLOOKUP(Vlookup!$B108,'CDCM Volume Forecasts'!$A$27:$AG$123,D$137,FALSE)</f>
        <v>0</v>
      </c>
      <c r="E143" s="10">
        <f>VLOOKUP(Vlookup!$B108,'CDCM Volume Forecasts'!$A$27:$AG$123,E$137,FALSE)</f>
        <v>1967400.2028794924</v>
      </c>
      <c r="F143" s="6">
        <f>VLOOKUP(Vlookup!$B108,'CDCM Volume Forecasts'!$A$27:$AG$123,F$137,FALSE)</f>
        <v>0</v>
      </c>
      <c r="G143" s="6">
        <f>VLOOKUP(Vlookup!$B108,'CDCM Volume Forecasts'!$A$27:$AG$123,G$137,FALSE)</f>
        <v>0</v>
      </c>
      <c r="H143" s="7"/>
      <c r="I143"/>
      <c r="J143"/>
      <c r="K143"/>
    </row>
    <row r="144" spans="1:11" ht="15">
      <c r="A144" s="8" t="s">
        <v>147</v>
      </c>
      <c r="B144" s="4">
        <f>VLOOKUP(Vlookup!$B109,'CDCM Volume Forecasts'!$A$27:$AG$123,B$137,FALSE)</f>
        <v>41568.678990041961</v>
      </c>
      <c r="C144" s="6">
        <f>VLOOKUP(Vlookup!$B109,'CDCM Volume Forecasts'!$A$27:$AG$123,C$137,FALSE)</f>
        <v>0</v>
      </c>
      <c r="D144" s="6">
        <f>VLOOKUP(Vlookup!$B109,'CDCM Volume Forecasts'!$A$27:$AG$123,D$137,FALSE)</f>
        <v>0</v>
      </c>
      <c r="E144" s="10">
        <f>VLOOKUP(Vlookup!$B109,'CDCM Volume Forecasts'!$A$27:$AG$123,E$137,FALSE)</f>
        <v>13963.737782751579</v>
      </c>
      <c r="F144" s="6">
        <f>VLOOKUP(Vlookup!$B109,'CDCM Volume Forecasts'!$A$27:$AG$123,F$137,FALSE)</f>
        <v>0</v>
      </c>
      <c r="G144" s="6">
        <f>VLOOKUP(Vlookup!$B109,'CDCM Volume Forecasts'!$A$27:$AG$123,G$137,FALSE)</f>
        <v>0</v>
      </c>
      <c r="H144" s="7"/>
      <c r="I144"/>
      <c r="J144"/>
      <c r="K144"/>
    </row>
    <row r="145" spans="1:11" ht="15">
      <c r="A145" s="8" t="s">
        <v>148</v>
      </c>
      <c r="B145" s="4">
        <f>VLOOKUP(Vlookup!$B110,'CDCM Volume Forecasts'!$A$27:$AG$123,B$137,FALSE)</f>
        <v>74118.188048410288</v>
      </c>
      <c r="C145" s="6">
        <f>VLOOKUP(Vlookup!$B110,'CDCM Volume Forecasts'!$A$27:$AG$123,C$137,FALSE)</f>
        <v>0</v>
      </c>
      <c r="D145" s="6">
        <f>VLOOKUP(Vlookup!$B110,'CDCM Volume Forecasts'!$A$27:$AG$123,D$137,FALSE)</f>
        <v>0</v>
      </c>
      <c r="E145" s="10">
        <f>VLOOKUP(Vlookup!$B110,'CDCM Volume Forecasts'!$A$27:$AG$123,E$137,FALSE)</f>
        <v>24598.066280902651</v>
      </c>
      <c r="F145" s="6">
        <f>VLOOKUP(Vlookup!$B110,'CDCM Volume Forecasts'!$A$27:$AG$123,F$137,FALSE)</f>
        <v>0</v>
      </c>
      <c r="G145" s="6">
        <f>VLOOKUP(Vlookup!$B110,'CDCM Volume Forecasts'!$A$27:$AG$123,G$137,FALSE)</f>
        <v>0</v>
      </c>
      <c r="H145" s="7"/>
      <c r="I145"/>
      <c r="J145"/>
      <c r="K145"/>
    </row>
    <row r="146" spans="1:11" ht="15">
      <c r="A146" s="12" t="s">
        <v>149</v>
      </c>
      <c r="B146" s="13">
        <f>VLOOKUP(Vlookup!$B111,'CDCM Volume Forecasts'!$A$27:$AG$123,B$137,FALSE)</f>
        <v>0</v>
      </c>
      <c r="C146" s="13">
        <f>VLOOKUP(Vlookup!$B111,'CDCM Volume Forecasts'!$A$27:$AG$123,C$137,FALSE)</f>
        <v>0</v>
      </c>
      <c r="D146" s="13">
        <f>VLOOKUP(Vlookup!$B111,'CDCM Volume Forecasts'!$A$27:$AG$123,D$137,FALSE)</f>
        <v>0</v>
      </c>
      <c r="E146" s="13">
        <f>VLOOKUP(Vlookup!$B111,'CDCM Volume Forecasts'!$A$27:$AG$123,E$137,FALSE)</f>
        <v>0</v>
      </c>
      <c r="F146" s="13">
        <f>VLOOKUP(Vlookup!$B111,'CDCM Volume Forecasts'!$A$27:$AG$123,F$137,FALSE)</f>
        <v>0</v>
      </c>
      <c r="G146" s="13">
        <f>VLOOKUP(Vlookup!$B111,'CDCM Volume Forecasts'!$A$27:$AG$123,G$137,FALSE)</f>
        <v>0</v>
      </c>
      <c r="H146" s="7"/>
      <c r="I146"/>
      <c r="J146"/>
      <c r="K146"/>
    </row>
    <row r="147" spans="1:11" ht="15">
      <c r="A147" s="8" t="s">
        <v>93</v>
      </c>
      <c r="B147" s="4">
        <f>VLOOKUP(Vlookup!$B112,'CDCM Volume Forecasts'!$A$27:$AG$123,B$137,FALSE)</f>
        <v>932948.80360757222</v>
      </c>
      <c r="C147" s="4">
        <f>VLOOKUP(Vlookup!$B112,'CDCM Volume Forecasts'!$A$27:$AG$123,C$137,FALSE)</f>
        <v>720595.7844260158</v>
      </c>
      <c r="D147" s="6">
        <f>VLOOKUP(Vlookup!$B112,'CDCM Volume Forecasts'!$A$27:$AG$123,D$137,FALSE)</f>
        <v>0</v>
      </c>
      <c r="E147" s="10">
        <f>VLOOKUP(Vlookup!$B112,'CDCM Volume Forecasts'!$A$27:$AG$123,E$137,FALSE)</f>
        <v>300314.63390594267</v>
      </c>
      <c r="F147" s="6">
        <f>VLOOKUP(Vlookup!$B112,'CDCM Volume Forecasts'!$A$27:$AG$123,F$137,FALSE)</f>
        <v>0</v>
      </c>
      <c r="G147" s="6">
        <f>VLOOKUP(Vlookup!$B112,'CDCM Volume Forecasts'!$A$27:$AG$123,G$137,FALSE)</f>
        <v>0</v>
      </c>
      <c r="H147" s="7"/>
      <c r="I147"/>
      <c r="J147"/>
      <c r="K147"/>
    </row>
    <row r="148" spans="1:11" ht="15">
      <c r="A148" s="8" t="s">
        <v>150</v>
      </c>
      <c r="B148" s="4">
        <f>VLOOKUP(Vlookup!$B113,'CDCM Volume Forecasts'!$A$27:$AG$123,B$137,FALSE)</f>
        <v>2626.7913722264775</v>
      </c>
      <c r="C148" s="4">
        <f>VLOOKUP(Vlookup!$B113,'CDCM Volume Forecasts'!$A$27:$AG$123,C$137,FALSE)</f>
        <v>918.3510283071206</v>
      </c>
      <c r="D148" s="6">
        <f>VLOOKUP(Vlookup!$B113,'CDCM Volume Forecasts'!$A$27:$AG$123,D$137,FALSE)</f>
        <v>0</v>
      </c>
      <c r="E148" s="10">
        <f>VLOOKUP(Vlookup!$B113,'CDCM Volume Forecasts'!$A$27:$AG$123,E$137,FALSE)</f>
        <v>1003.190066077544</v>
      </c>
      <c r="F148" s="6">
        <f>VLOOKUP(Vlookup!$B113,'CDCM Volume Forecasts'!$A$27:$AG$123,F$137,FALSE)</f>
        <v>0</v>
      </c>
      <c r="G148" s="6">
        <f>VLOOKUP(Vlookup!$B113,'CDCM Volume Forecasts'!$A$27:$AG$123,G$137,FALSE)</f>
        <v>0</v>
      </c>
      <c r="H148" s="7"/>
      <c r="I148"/>
      <c r="J148"/>
      <c r="K148"/>
    </row>
    <row r="149" spans="1:11" ht="15">
      <c r="A149" s="8" t="s">
        <v>151</v>
      </c>
      <c r="B149" s="4">
        <f>VLOOKUP(Vlookup!$B114,'CDCM Volume Forecasts'!$A$27:$AG$123,B$137,FALSE)</f>
        <v>4076.7631681946186</v>
      </c>
      <c r="C149" s="4">
        <f>VLOOKUP(Vlookup!$B114,'CDCM Volume Forecasts'!$A$27:$AG$123,C$137,FALSE)</f>
        <v>1583.897915112062</v>
      </c>
      <c r="D149" s="6">
        <f>VLOOKUP(Vlookup!$B114,'CDCM Volume Forecasts'!$A$27:$AG$123,D$137,FALSE)</f>
        <v>0</v>
      </c>
      <c r="E149" s="10">
        <f>VLOOKUP(Vlookup!$B114,'CDCM Volume Forecasts'!$A$27:$AG$123,E$137,FALSE)</f>
        <v>1260.0889306300521</v>
      </c>
      <c r="F149" s="6">
        <f>VLOOKUP(Vlookup!$B114,'CDCM Volume Forecasts'!$A$27:$AG$123,F$137,FALSE)</f>
        <v>0</v>
      </c>
      <c r="G149" s="6">
        <f>VLOOKUP(Vlookup!$B114,'CDCM Volume Forecasts'!$A$27:$AG$123,G$137,FALSE)</f>
        <v>0</v>
      </c>
      <c r="H149" s="7"/>
      <c r="I149"/>
      <c r="J149"/>
      <c r="K149"/>
    </row>
    <row r="150" spans="1:11" ht="15">
      <c r="A150" s="12" t="s">
        <v>152</v>
      </c>
      <c r="B150" s="13">
        <f>VLOOKUP(Vlookup!$B115,'CDCM Volume Forecasts'!$A$27:$AG$123,B$137,FALSE)</f>
        <v>0</v>
      </c>
      <c r="C150" s="13">
        <f>VLOOKUP(Vlookup!$B115,'CDCM Volume Forecasts'!$A$27:$AG$123,C$137,FALSE)</f>
        <v>0</v>
      </c>
      <c r="D150" s="13">
        <f>VLOOKUP(Vlookup!$B115,'CDCM Volume Forecasts'!$A$27:$AG$123,D$137,FALSE)</f>
        <v>0</v>
      </c>
      <c r="E150" s="13">
        <f>VLOOKUP(Vlookup!$B115,'CDCM Volume Forecasts'!$A$27:$AG$123,E$137,FALSE)</f>
        <v>0</v>
      </c>
      <c r="F150" s="13">
        <f>VLOOKUP(Vlookup!$B115,'CDCM Volume Forecasts'!$A$27:$AG$123,F$137,FALSE)</f>
        <v>0</v>
      </c>
      <c r="G150" s="13">
        <f>VLOOKUP(Vlookup!$B115,'CDCM Volume Forecasts'!$A$27:$AG$123,G$137,FALSE)</f>
        <v>0</v>
      </c>
      <c r="H150" s="7"/>
      <c r="I150"/>
      <c r="J150"/>
      <c r="K150"/>
    </row>
    <row r="151" spans="1:11" ht="15">
      <c r="A151" s="8" t="s">
        <v>129</v>
      </c>
      <c r="B151" s="4">
        <f>VLOOKUP(Vlookup!$B116,'CDCM Volume Forecasts'!$A$27:$AG$123,B$137,FALSE)</f>
        <v>36106.46318967735</v>
      </c>
      <c r="C151" s="6">
        <f>VLOOKUP(Vlookup!$B116,'CDCM Volume Forecasts'!$A$27:$AG$123,C$137,FALSE)</f>
        <v>0</v>
      </c>
      <c r="D151" s="6">
        <f>VLOOKUP(Vlookup!$B116,'CDCM Volume Forecasts'!$A$27:$AG$123,D$137,FALSE)</f>
        <v>0</v>
      </c>
      <c r="E151" s="10">
        <f>VLOOKUP(Vlookup!$B116,'CDCM Volume Forecasts'!$A$27:$AG$123,E$137,FALSE)</f>
        <v>0</v>
      </c>
      <c r="F151" s="6">
        <f>VLOOKUP(Vlookup!$B116,'CDCM Volume Forecasts'!$A$27:$AG$123,F$137,FALSE)</f>
        <v>0</v>
      </c>
      <c r="G151" s="6">
        <f>VLOOKUP(Vlookup!$B116,'CDCM Volume Forecasts'!$A$27:$AG$123,G$137,FALSE)</f>
        <v>0</v>
      </c>
      <c r="H151" s="7"/>
      <c r="I151"/>
      <c r="J151"/>
      <c r="K151"/>
    </row>
    <row r="152" spans="1:11" ht="15">
      <c r="A152" s="8" t="s">
        <v>153</v>
      </c>
      <c r="B152" s="4">
        <f>VLOOKUP(Vlookup!$B117,'CDCM Volume Forecasts'!$A$27:$AG$123,B$137,FALSE)</f>
        <v>0</v>
      </c>
      <c r="C152" s="6">
        <f>VLOOKUP(Vlookup!$B117,'CDCM Volume Forecasts'!$A$27:$AG$123,C$137,FALSE)</f>
        <v>0</v>
      </c>
      <c r="D152" s="6">
        <f>VLOOKUP(Vlookup!$B117,'CDCM Volume Forecasts'!$A$27:$AG$123,D$137,FALSE)</f>
        <v>0</v>
      </c>
      <c r="E152" s="10">
        <f>VLOOKUP(Vlookup!$B117,'CDCM Volume Forecasts'!$A$27:$AG$123,E$137,FALSE)</f>
        <v>0</v>
      </c>
      <c r="F152" s="6">
        <f>VLOOKUP(Vlookup!$B117,'CDCM Volume Forecasts'!$A$27:$AG$123,F$137,FALSE)</f>
        <v>0</v>
      </c>
      <c r="G152" s="6">
        <f>VLOOKUP(Vlookup!$B117,'CDCM Volume Forecasts'!$A$27:$AG$123,G$137,FALSE)</f>
        <v>0</v>
      </c>
      <c r="H152" s="7"/>
      <c r="I152"/>
      <c r="J152"/>
      <c r="K152"/>
    </row>
    <row r="153" spans="1:11" ht="15">
      <c r="A153" s="8" t="s">
        <v>154</v>
      </c>
      <c r="B153" s="4">
        <f>VLOOKUP(Vlookup!$B118,'CDCM Volume Forecasts'!$A$27:$AG$123,B$137,FALSE)</f>
        <v>0</v>
      </c>
      <c r="C153" s="6">
        <f>VLOOKUP(Vlookup!$B118,'CDCM Volume Forecasts'!$A$27:$AG$123,C$137,FALSE)</f>
        <v>0</v>
      </c>
      <c r="D153" s="6">
        <f>VLOOKUP(Vlookup!$B118,'CDCM Volume Forecasts'!$A$27:$AG$123,D$137,FALSE)</f>
        <v>0</v>
      </c>
      <c r="E153" s="10">
        <f>VLOOKUP(Vlookup!$B118,'CDCM Volume Forecasts'!$A$27:$AG$123,E$137,FALSE)</f>
        <v>0</v>
      </c>
      <c r="F153" s="6">
        <f>VLOOKUP(Vlookup!$B118,'CDCM Volume Forecasts'!$A$27:$AG$123,F$137,FALSE)</f>
        <v>0</v>
      </c>
      <c r="G153" s="6">
        <f>VLOOKUP(Vlookup!$B118,'CDCM Volume Forecasts'!$A$27:$AG$123,G$137,FALSE)</f>
        <v>0</v>
      </c>
      <c r="H153" s="7"/>
      <c r="I153"/>
      <c r="J153"/>
      <c r="K153"/>
    </row>
    <row r="154" spans="1:11" ht="15">
      <c r="A154" s="12" t="s">
        <v>155</v>
      </c>
      <c r="B154" s="13">
        <f>VLOOKUP(Vlookup!$B119,'CDCM Volume Forecasts'!$A$27:$AG$123,B$137,FALSE)</f>
        <v>0</v>
      </c>
      <c r="C154" s="13">
        <f>VLOOKUP(Vlookup!$B119,'CDCM Volume Forecasts'!$A$27:$AG$123,C$137,FALSE)</f>
        <v>0</v>
      </c>
      <c r="D154" s="13">
        <f>VLOOKUP(Vlookup!$B119,'CDCM Volume Forecasts'!$A$27:$AG$123,D$137,FALSE)</f>
        <v>0</v>
      </c>
      <c r="E154" s="13">
        <f>VLOOKUP(Vlookup!$B119,'CDCM Volume Forecasts'!$A$27:$AG$123,E$137,FALSE)</f>
        <v>0</v>
      </c>
      <c r="F154" s="13">
        <f>VLOOKUP(Vlookup!$B119,'CDCM Volume Forecasts'!$A$27:$AG$123,F$137,FALSE)</f>
        <v>0</v>
      </c>
      <c r="G154" s="13">
        <f>VLOOKUP(Vlookup!$B119,'CDCM Volume Forecasts'!$A$27:$AG$123,G$137,FALSE)</f>
        <v>0</v>
      </c>
      <c r="H154" s="7"/>
      <c r="I154"/>
      <c r="J154"/>
      <c r="K154"/>
    </row>
    <row r="155" spans="1:11" ht="15">
      <c r="A155" s="8" t="s">
        <v>94</v>
      </c>
      <c r="B155" s="4">
        <f>VLOOKUP(Vlookup!$B120,'CDCM Volume Forecasts'!$A$27:$AG$123,B$137,FALSE)</f>
        <v>1619655.6585213088</v>
      </c>
      <c r="C155" s="6">
        <f>VLOOKUP(Vlookup!$B120,'CDCM Volume Forecasts'!$A$27:$AG$123,C$137,FALSE)</f>
        <v>0</v>
      </c>
      <c r="D155" s="6">
        <f>VLOOKUP(Vlookup!$B120,'CDCM Volume Forecasts'!$A$27:$AG$123,D$137,FALSE)</f>
        <v>0</v>
      </c>
      <c r="E155" s="10">
        <f>VLOOKUP(Vlookup!$B120,'CDCM Volume Forecasts'!$A$27:$AG$123,E$137,FALSE)</f>
        <v>135679.92656869252</v>
      </c>
      <c r="F155" s="6">
        <f>VLOOKUP(Vlookup!$B120,'CDCM Volume Forecasts'!$A$27:$AG$123,F$137,FALSE)</f>
        <v>0</v>
      </c>
      <c r="G155" s="6">
        <f>VLOOKUP(Vlookup!$B120,'CDCM Volume Forecasts'!$A$27:$AG$123,G$137,FALSE)</f>
        <v>0</v>
      </c>
      <c r="H155" s="7"/>
      <c r="I155"/>
      <c r="J155"/>
      <c r="K155"/>
    </row>
    <row r="156" spans="1:11" ht="15">
      <c r="A156" s="8" t="s">
        <v>156</v>
      </c>
      <c r="B156" s="4">
        <f>VLOOKUP(Vlookup!$B121,'CDCM Volume Forecasts'!$A$27:$AG$123,B$137,FALSE)</f>
        <v>2891.2734624687741</v>
      </c>
      <c r="C156" s="6">
        <f>VLOOKUP(Vlookup!$B121,'CDCM Volume Forecasts'!$A$27:$AG$123,C$137,FALSE)</f>
        <v>0</v>
      </c>
      <c r="D156" s="6">
        <f>VLOOKUP(Vlookup!$B121,'CDCM Volume Forecasts'!$A$27:$AG$123,D$137,FALSE)</f>
        <v>0</v>
      </c>
      <c r="E156" s="10">
        <f>VLOOKUP(Vlookup!$B121,'CDCM Volume Forecasts'!$A$27:$AG$123,E$137,FALSE)</f>
        <v>8156.5389495421296</v>
      </c>
      <c r="F156" s="6">
        <f>VLOOKUP(Vlookup!$B121,'CDCM Volume Forecasts'!$A$27:$AG$123,F$137,FALSE)</f>
        <v>0</v>
      </c>
      <c r="G156" s="6">
        <f>VLOOKUP(Vlookup!$B121,'CDCM Volume Forecasts'!$A$27:$AG$123,G$137,FALSE)</f>
        <v>0</v>
      </c>
      <c r="H156" s="7"/>
      <c r="I156"/>
      <c r="J156"/>
      <c r="K156"/>
    </row>
    <row r="157" spans="1:11" ht="15">
      <c r="A157" s="8" t="s">
        <v>157</v>
      </c>
      <c r="B157" s="4">
        <f>VLOOKUP(Vlookup!$B122,'CDCM Volume Forecasts'!$A$27:$AG$123,B$137,FALSE)</f>
        <v>15215.334512820744</v>
      </c>
      <c r="C157" s="6">
        <f>VLOOKUP(Vlookup!$B122,'CDCM Volume Forecasts'!$A$27:$AG$123,C$137,FALSE)</f>
        <v>0</v>
      </c>
      <c r="D157" s="6">
        <f>VLOOKUP(Vlookup!$B122,'CDCM Volume Forecasts'!$A$27:$AG$123,D$137,FALSE)</f>
        <v>0</v>
      </c>
      <c r="E157" s="10">
        <f>VLOOKUP(Vlookup!$B122,'CDCM Volume Forecasts'!$A$27:$AG$123,E$137,FALSE)</f>
        <v>894.00804864272811</v>
      </c>
      <c r="F157" s="6">
        <f>VLOOKUP(Vlookup!$B122,'CDCM Volume Forecasts'!$A$27:$AG$123,F$137,FALSE)</f>
        <v>0</v>
      </c>
      <c r="G157" s="6">
        <f>VLOOKUP(Vlookup!$B122,'CDCM Volume Forecasts'!$A$27:$AG$123,G$137,FALSE)</f>
        <v>0</v>
      </c>
      <c r="H157" s="7"/>
      <c r="I157"/>
      <c r="J157"/>
      <c r="K157"/>
    </row>
    <row r="158" spans="1:11" ht="15">
      <c r="A158" s="12" t="s">
        <v>158</v>
      </c>
      <c r="B158" s="13">
        <f>VLOOKUP(Vlookup!$B123,'CDCM Volume Forecasts'!$A$27:$AG$123,B$137,FALSE)</f>
        <v>0</v>
      </c>
      <c r="C158" s="13">
        <f>VLOOKUP(Vlookup!$B123,'CDCM Volume Forecasts'!$A$27:$AG$123,C$137,FALSE)</f>
        <v>0</v>
      </c>
      <c r="D158" s="13">
        <f>VLOOKUP(Vlookup!$B123,'CDCM Volume Forecasts'!$A$27:$AG$123,D$137,FALSE)</f>
        <v>0</v>
      </c>
      <c r="E158" s="13">
        <f>VLOOKUP(Vlookup!$B123,'CDCM Volume Forecasts'!$A$27:$AG$123,E$137,FALSE)</f>
        <v>0</v>
      </c>
      <c r="F158" s="13">
        <f>VLOOKUP(Vlookup!$B123,'CDCM Volume Forecasts'!$A$27:$AG$123,F$137,FALSE)</f>
        <v>0</v>
      </c>
      <c r="G158" s="13">
        <f>VLOOKUP(Vlookup!$B123,'CDCM Volume Forecasts'!$A$27:$AG$123,G$137,FALSE)</f>
        <v>0</v>
      </c>
      <c r="H158" s="7"/>
      <c r="I158"/>
      <c r="J158"/>
      <c r="K158"/>
    </row>
    <row r="159" spans="1:11" ht="15">
      <c r="A159" s="8" t="s">
        <v>95</v>
      </c>
      <c r="B159" s="4">
        <f>VLOOKUP(Vlookup!$B124,'CDCM Volume Forecasts'!$A$27:$AG$123,B$137,FALSE)</f>
        <v>505281.77147158369</v>
      </c>
      <c r="C159" s="4">
        <f>VLOOKUP(Vlookup!$B124,'CDCM Volume Forecasts'!$A$27:$AG$123,C$137,FALSE)</f>
        <v>208404.41119819321</v>
      </c>
      <c r="D159" s="6">
        <f>VLOOKUP(Vlookup!$B124,'CDCM Volume Forecasts'!$A$27:$AG$123,D$137,FALSE)</f>
        <v>0</v>
      </c>
      <c r="E159" s="10">
        <f>VLOOKUP(Vlookup!$B124,'CDCM Volume Forecasts'!$A$27:$AG$123,E$137,FALSE)</f>
        <v>34491.689344628736</v>
      </c>
      <c r="F159" s="6">
        <f>VLOOKUP(Vlookup!$B124,'CDCM Volume Forecasts'!$A$27:$AG$123,F$137,FALSE)</f>
        <v>0</v>
      </c>
      <c r="G159" s="6">
        <f>VLOOKUP(Vlookup!$B124,'CDCM Volume Forecasts'!$A$27:$AG$123,G$137,FALSE)</f>
        <v>0</v>
      </c>
      <c r="H159" s="7"/>
      <c r="I159"/>
      <c r="J159"/>
      <c r="K159"/>
    </row>
    <row r="160" spans="1:11" ht="15">
      <c r="A160" s="8" t="s">
        <v>159</v>
      </c>
      <c r="B160" s="4">
        <f>VLOOKUP(Vlookup!$B125,'CDCM Volume Forecasts'!$A$27:$AG$123,B$137,FALSE)</f>
        <v>879.40978502704854</v>
      </c>
      <c r="C160" s="4">
        <f>VLOOKUP(Vlookup!$B125,'CDCM Volume Forecasts'!$A$27:$AG$123,C$137,FALSE)</f>
        <v>325.90755796918535</v>
      </c>
      <c r="D160" s="6">
        <f>VLOOKUP(Vlookup!$B125,'CDCM Volume Forecasts'!$A$27:$AG$123,D$137,FALSE)</f>
        <v>0</v>
      </c>
      <c r="E160" s="10">
        <f>VLOOKUP(Vlookup!$B125,'CDCM Volume Forecasts'!$A$27:$AG$123,E$137,FALSE)</f>
        <v>17.982920518675567</v>
      </c>
      <c r="F160" s="6">
        <f>VLOOKUP(Vlookup!$B125,'CDCM Volume Forecasts'!$A$27:$AG$123,F$137,FALSE)</f>
        <v>0</v>
      </c>
      <c r="G160" s="6">
        <f>VLOOKUP(Vlookup!$B125,'CDCM Volume Forecasts'!$A$27:$AG$123,G$137,FALSE)</f>
        <v>0</v>
      </c>
      <c r="H160" s="7"/>
      <c r="I160"/>
      <c r="J160"/>
      <c r="K160"/>
    </row>
    <row r="161" spans="1:11" ht="15">
      <c r="A161" s="8" t="s">
        <v>160</v>
      </c>
      <c r="B161" s="4">
        <f>VLOOKUP(Vlookup!$B126,'CDCM Volume Forecasts'!$A$27:$AG$123,B$137,FALSE)</f>
        <v>3693.9572983147759</v>
      </c>
      <c r="C161" s="4">
        <f>VLOOKUP(Vlookup!$B126,'CDCM Volume Forecasts'!$A$27:$AG$123,C$137,FALSE)</f>
        <v>1053.731561149656</v>
      </c>
      <c r="D161" s="6">
        <f>VLOOKUP(Vlookup!$B126,'CDCM Volume Forecasts'!$A$27:$AG$123,D$137,FALSE)</f>
        <v>0</v>
      </c>
      <c r="E161" s="10">
        <f>VLOOKUP(Vlookup!$B126,'CDCM Volume Forecasts'!$A$27:$AG$123,E$137,FALSE)</f>
        <v>77.069659365752401</v>
      </c>
      <c r="F161" s="6">
        <f>VLOOKUP(Vlookup!$B126,'CDCM Volume Forecasts'!$A$27:$AG$123,F$137,FALSE)</f>
        <v>0</v>
      </c>
      <c r="G161" s="6">
        <f>VLOOKUP(Vlookup!$B126,'CDCM Volume Forecasts'!$A$27:$AG$123,G$137,FALSE)</f>
        <v>0</v>
      </c>
      <c r="H161" s="7"/>
      <c r="I161"/>
      <c r="J161"/>
      <c r="K161"/>
    </row>
    <row r="162" spans="1:11" ht="15">
      <c r="A162" s="12" t="s">
        <v>161</v>
      </c>
      <c r="B162" s="13">
        <f>VLOOKUP(Vlookup!$B127,'CDCM Volume Forecasts'!$A$27:$AG$123,B$137,FALSE)</f>
        <v>0</v>
      </c>
      <c r="C162" s="13">
        <f>VLOOKUP(Vlookup!$B127,'CDCM Volume Forecasts'!$A$27:$AG$123,C$137,FALSE)</f>
        <v>0</v>
      </c>
      <c r="D162" s="13">
        <f>VLOOKUP(Vlookup!$B127,'CDCM Volume Forecasts'!$A$27:$AG$123,D$137,FALSE)</f>
        <v>0</v>
      </c>
      <c r="E162" s="13">
        <f>VLOOKUP(Vlookup!$B127,'CDCM Volume Forecasts'!$A$27:$AG$123,E$137,FALSE)</f>
        <v>0</v>
      </c>
      <c r="F162" s="13">
        <f>VLOOKUP(Vlookup!$B127,'CDCM Volume Forecasts'!$A$27:$AG$123,F$137,FALSE)</f>
        <v>0</v>
      </c>
      <c r="G162" s="13">
        <f>VLOOKUP(Vlookup!$B127,'CDCM Volume Forecasts'!$A$27:$AG$123,G$137,FALSE)</f>
        <v>0</v>
      </c>
      <c r="H162" s="7"/>
      <c r="I162"/>
      <c r="J162"/>
      <c r="K162"/>
    </row>
    <row r="163" spans="1:11" ht="15">
      <c r="A163" s="8" t="s">
        <v>130</v>
      </c>
      <c r="B163" s="4">
        <f>VLOOKUP(Vlookup!$B128,'CDCM Volume Forecasts'!$A$27:$AG$123,B$137,FALSE)</f>
        <v>6654.8554381718086</v>
      </c>
      <c r="C163" s="6">
        <f>VLOOKUP(Vlookup!$B128,'CDCM Volume Forecasts'!$A$27:$AG$123,C$137,FALSE)</f>
        <v>0</v>
      </c>
      <c r="D163" s="6">
        <f>VLOOKUP(Vlookup!$B128,'CDCM Volume Forecasts'!$A$27:$AG$123,D$137,FALSE)</f>
        <v>0</v>
      </c>
      <c r="E163" s="10">
        <f>VLOOKUP(Vlookup!$B128,'CDCM Volume Forecasts'!$A$27:$AG$123,E$137,FALSE)</f>
        <v>0</v>
      </c>
      <c r="F163" s="6">
        <f>VLOOKUP(Vlookup!$B128,'CDCM Volume Forecasts'!$A$27:$AG$123,F$137,FALSE)</f>
        <v>0</v>
      </c>
      <c r="G163" s="6">
        <f>VLOOKUP(Vlookup!$B128,'CDCM Volume Forecasts'!$A$27:$AG$123,G$137,FALSE)</f>
        <v>0</v>
      </c>
      <c r="H163" s="7"/>
      <c r="I163"/>
      <c r="J163"/>
      <c r="K163"/>
    </row>
    <row r="164" spans="1:11" ht="30">
      <c r="A164" s="8" t="s">
        <v>162</v>
      </c>
      <c r="B164" s="4">
        <f>VLOOKUP(Vlookup!$B129,'CDCM Volume Forecasts'!$A$27:$AG$123,B$137,FALSE)</f>
        <v>0</v>
      </c>
      <c r="C164" s="6">
        <f>VLOOKUP(Vlookup!$B129,'CDCM Volume Forecasts'!$A$27:$AG$123,C$137,FALSE)</f>
        <v>0</v>
      </c>
      <c r="D164" s="6">
        <f>VLOOKUP(Vlookup!$B129,'CDCM Volume Forecasts'!$A$27:$AG$123,D$137,FALSE)</f>
        <v>0</v>
      </c>
      <c r="E164" s="10">
        <f>VLOOKUP(Vlookup!$B129,'CDCM Volume Forecasts'!$A$27:$AG$123,E$137,FALSE)</f>
        <v>0</v>
      </c>
      <c r="F164" s="6">
        <f>VLOOKUP(Vlookup!$B129,'CDCM Volume Forecasts'!$A$27:$AG$123,F$137,FALSE)</f>
        <v>0</v>
      </c>
      <c r="G164" s="6">
        <f>VLOOKUP(Vlookup!$B129,'CDCM Volume Forecasts'!$A$27:$AG$123,G$137,FALSE)</f>
        <v>0</v>
      </c>
      <c r="H164" s="7"/>
      <c r="I164"/>
      <c r="J164"/>
      <c r="K164"/>
    </row>
    <row r="165" spans="1:11" ht="30">
      <c r="A165" s="8" t="s">
        <v>163</v>
      </c>
      <c r="B165" s="4">
        <f>VLOOKUP(Vlookup!$B130,'CDCM Volume Forecasts'!$A$27:$AG$123,B$137,FALSE)</f>
        <v>0</v>
      </c>
      <c r="C165" s="6">
        <f>VLOOKUP(Vlookup!$B130,'CDCM Volume Forecasts'!$A$27:$AG$123,C$137,FALSE)</f>
        <v>0</v>
      </c>
      <c r="D165" s="6">
        <f>VLOOKUP(Vlookup!$B130,'CDCM Volume Forecasts'!$A$27:$AG$123,D$137,FALSE)</f>
        <v>0</v>
      </c>
      <c r="E165" s="10">
        <f>VLOOKUP(Vlookup!$B130,'CDCM Volume Forecasts'!$A$27:$AG$123,E$137,FALSE)</f>
        <v>0</v>
      </c>
      <c r="F165" s="6">
        <f>VLOOKUP(Vlookup!$B130,'CDCM Volume Forecasts'!$A$27:$AG$123,F$137,FALSE)</f>
        <v>0</v>
      </c>
      <c r="G165" s="6">
        <f>VLOOKUP(Vlookup!$B130,'CDCM Volume Forecasts'!$A$27:$AG$123,G$137,FALSE)</f>
        <v>0</v>
      </c>
      <c r="H165" s="7"/>
      <c r="I165"/>
      <c r="J165"/>
      <c r="K165"/>
    </row>
    <row r="166" spans="1:11" ht="15">
      <c r="A166" s="12" t="s">
        <v>164</v>
      </c>
      <c r="B166" s="13">
        <f>VLOOKUP(Vlookup!$B131,'CDCM Volume Forecasts'!$A$27:$AG$123,B$137,FALSE)</f>
        <v>0</v>
      </c>
      <c r="C166" s="13">
        <f>VLOOKUP(Vlookup!$B131,'CDCM Volume Forecasts'!$A$27:$AG$123,C$137,FALSE)</f>
        <v>0</v>
      </c>
      <c r="D166" s="13">
        <f>VLOOKUP(Vlookup!$B131,'CDCM Volume Forecasts'!$A$27:$AG$123,D$137,FALSE)</f>
        <v>0</v>
      </c>
      <c r="E166" s="13">
        <f>VLOOKUP(Vlookup!$B131,'CDCM Volume Forecasts'!$A$27:$AG$123,E$137,FALSE)</f>
        <v>0</v>
      </c>
      <c r="F166" s="13">
        <f>VLOOKUP(Vlookup!$B131,'CDCM Volume Forecasts'!$A$27:$AG$123,F$137,FALSE)</f>
        <v>0</v>
      </c>
      <c r="G166" s="13">
        <f>VLOOKUP(Vlookup!$B131,'CDCM Volume Forecasts'!$A$27:$AG$123,G$137,FALSE)</f>
        <v>0</v>
      </c>
      <c r="H166" s="7"/>
      <c r="I166"/>
      <c r="J166"/>
      <c r="K166"/>
    </row>
    <row r="167" spans="1:11" ht="15">
      <c r="A167" s="8" t="s">
        <v>96</v>
      </c>
      <c r="B167" s="4">
        <f>VLOOKUP(Vlookup!$B132,'CDCM Volume Forecasts'!$A$27:$AG$123,B$137,FALSE)</f>
        <v>0</v>
      </c>
      <c r="C167" s="4">
        <f>VLOOKUP(Vlookup!$B132,'CDCM Volume Forecasts'!$A$27:$AG$123,C$137,FALSE)</f>
        <v>0</v>
      </c>
      <c r="D167" s="6">
        <f>VLOOKUP(Vlookup!$B132,'CDCM Volume Forecasts'!$A$27:$AG$123,D$137,FALSE)</f>
        <v>0</v>
      </c>
      <c r="E167" s="10">
        <f>VLOOKUP(Vlookup!$B132,'CDCM Volume Forecasts'!$A$27:$AG$123,E$137,FALSE)</f>
        <v>0</v>
      </c>
      <c r="F167" s="6">
        <f>VLOOKUP(Vlookup!$B132,'CDCM Volume Forecasts'!$A$27:$AG$123,F$137,FALSE)</f>
        <v>0</v>
      </c>
      <c r="G167" s="6">
        <f>VLOOKUP(Vlookup!$B132,'CDCM Volume Forecasts'!$A$27:$AG$123,G$137,FALSE)</f>
        <v>0</v>
      </c>
      <c r="H167" s="7"/>
      <c r="I167"/>
      <c r="J167"/>
      <c r="K167"/>
    </row>
    <row r="168" spans="1:11" ht="15">
      <c r="A168" s="8" t="s">
        <v>165</v>
      </c>
      <c r="B168" s="4">
        <f>VLOOKUP(Vlookup!$B133,'CDCM Volume Forecasts'!$A$27:$AG$123,B$137,FALSE)</f>
        <v>0</v>
      </c>
      <c r="C168" s="4">
        <f>VLOOKUP(Vlookup!$B133,'CDCM Volume Forecasts'!$A$27:$AG$123,C$137,FALSE)</f>
        <v>0</v>
      </c>
      <c r="D168" s="6">
        <f>VLOOKUP(Vlookup!$B133,'CDCM Volume Forecasts'!$A$27:$AG$123,D$137,FALSE)</f>
        <v>0</v>
      </c>
      <c r="E168" s="10">
        <f>VLOOKUP(Vlookup!$B133,'CDCM Volume Forecasts'!$A$27:$AG$123,E$137,FALSE)</f>
        <v>0</v>
      </c>
      <c r="F168" s="6">
        <f>VLOOKUP(Vlookup!$B133,'CDCM Volume Forecasts'!$A$27:$AG$123,F$137,FALSE)</f>
        <v>0</v>
      </c>
      <c r="G168" s="6">
        <f>VLOOKUP(Vlookup!$B133,'CDCM Volume Forecasts'!$A$27:$AG$123,G$137,FALSE)</f>
        <v>0</v>
      </c>
      <c r="H168" s="7"/>
      <c r="I168"/>
      <c r="J168"/>
      <c r="K168"/>
    </row>
    <row r="169" spans="1:11" ht="15">
      <c r="A169" s="8" t="s">
        <v>166</v>
      </c>
      <c r="B169" s="4">
        <f>VLOOKUP(Vlookup!$B134,'CDCM Volume Forecasts'!$A$27:$AG$123,B$137,FALSE)</f>
        <v>0</v>
      </c>
      <c r="C169" s="4">
        <f>VLOOKUP(Vlookup!$B134,'CDCM Volume Forecasts'!$A$27:$AG$123,C$137,FALSE)</f>
        <v>0</v>
      </c>
      <c r="D169" s="6">
        <f>VLOOKUP(Vlookup!$B134,'CDCM Volume Forecasts'!$A$27:$AG$123,D$137,FALSE)</f>
        <v>0</v>
      </c>
      <c r="E169" s="10">
        <f>VLOOKUP(Vlookup!$B134,'CDCM Volume Forecasts'!$A$27:$AG$123,E$137,FALSE)</f>
        <v>0</v>
      </c>
      <c r="F169" s="6">
        <f>VLOOKUP(Vlookup!$B134,'CDCM Volume Forecasts'!$A$27:$AG$123,F$137,FALSE)</f>
        <v>0</v>
      </c>
      <c r="G169" s="6">
        <f>VLOOKUP(Vlookup!$B134,'CDCM Volume Forecasts'!$A$27:$AG$123,G$137,FALSE)</f>
        <v>0</v>
      </c>
      <c r="H169" s="7"/>
      <c r="I169"/>
      <c r="J169"/>
      <c r="K169"/>
    </row>
    <row r="170" spans="1:11" ht="15">
      <c r="A170" s="12" t="s">
        <v>167</v>
      </c>
      <c r="B170" s="13">
        <f>VLOOKUP(Vlookup!$B135,'CDCM Volume Forecasts'!$A$27:$AG$123,B$137,FALSE)</f>
        <v>0</v>
      </c>
      <c r="C170" s="13">
        <f>VLOOKUP(Vlookup!$B135,'CDCM Volume Forecasts'!$A$27:$AG$123,C$137,FALSE)</f>
        <v>0</v>
      </c>
      <c r="D170" s="13">
        <f>VLOOKUP(Vlookup!$B135,'CDCM Volume Forecasts'!$A$27:$AG$123,D$137,FALSE)</f>
        <v>0</v>
      </c>
      <c r="E170" s="13">
        <f>VLOOKUP(Vlookup!$B135,'CDCM Volume Forecasts'!$A$27:$AG$123,E$137,FALSE)</f>
        <v>0</v>
      </c>
      <c r="F170" s="13">
        <f>VLOOKUP(Vlookup!$B135,'CDCM Volume Forecasts'!$A$27:$AG$123,F$137,FALSE)</f>
        <v>0</v>
      </c>
      <c r="G170" s="13">
        <f>VLOOKUP(Vlookup!$B135,'CDCM Volume Forecasts'!$A$27:$AG$123,G$137,FALSE)</f>
        <v>0</v>
      </c>
      <c r="H170" s="7"/>
      <c r="I170"/>
      <c r="J170"/>
      <c r="K170"/>
    </row>
    <row r="171" spans="1:11" ht="15">
      <c r="A171" s="8" t="s">
        <v>97</v>
      </c>
      <c r="B171" s="4">
        <f>VLOOKUP(Vlookup!$B136,'CDCM Volume Forecasts'!$A$27:$AG$123,B$137,FALSE)</f>
        <v>0</v>
      </c>
      <c r="C171" s="4">
        <f>VLOOKUP(Vlookup!$B136,'CDCM Volume Forecasts'!$A$27:$AG$123,C$137,FALSE)</f>
        <v>0</v>
      </c>
      <c r="D171" s="6">
        <f>VLOOKUP(Vlookup!$B136,'CDCM Volume Forecasts'!$A$27:$AG$123,D$137,FALSE)</f>
        <v>0</v>
      </c>
      <c r="E171" s="10">
        <f>VLOOKUP(Vlookup!$B136,'CDCM Volume Forecasts'!$A$27:$AG$123,E$137,FALSE)</f>
        <v>0</v>
      </c>
      <c r="F171" s="6">
        <f>VLOOKUP(Vlookup!$B136,'CDCM Volume Forecasts'!$A$27:$AG$123,F$137,FALSE)</f>
        <v>0</v>
      </c>
      <c r="G171" s="6">
        <f>VLOOKUP(Vlookup!$B136,'CDCM Volume Forecasts'!$A$27:$AG$123,G$137,FALSE)</f>
        <v>0</v>
      </c>
      <c r="H171" s="7"/>
      <c r="I171"/>
      <c r="J171"/>
      <c r="K171"/>
    </row>
    <row r="172" spans="1:11" ht="15">
      <c r="A172" s="12" t="s">
        <v>168</v>
      </c>
      <c r="B172" s="13">
        <f>VLOOKUP(Vlookup!$B137,'CDCM Volume Forecasts'!$A$27:$AG$123,B$137,FALSE)</f>
        <v>0</v>
      </c>
      <c r="C172" s="13">
        <f>VLOOKUP(Vlookup!$B137,'CDCM Volume Forecasts'!$A$27:$AG$123,C$137,FALSE)</f>
        <v>0</v>
      </c>
      <c r="D172" s="13">
        <f>VLOOKUP(Vlookup!$B137,'CDCM Volume Forecasts'!$A$27:$AG$123,D$137,FALSE)</f>
        <v>0</v>
      </c>
      <c r="E172" s="13">
        <f>VLOOKUP(Vlookup!$B137,'CDCM Volume Forecasts'!$A$27:$AG$123,E$137,FALSE)</f>
        <v>0</v>
      </c>
      <c r="F172" s="13">
        <f>VLOOKUP(Vlookup!$B137,'CDCM Volume Forecasts'!$A$27:$AG$123,F$137,FALSE)</f>
        <v>0</v>
      </c>
      <c r="G172" s="13">
        <f>VLOOKUP(Vlookup!$B137,'CDCM Volume Forecasts'!$A$27:$AG$123,G$137,FALSE)</f>
        <v>0</v>
      </c>
      <c r="H172" s="7"/>
      <c r="I172"/>
      <c r="J172"/>
      <c r="K172"/>
    </row>
    <row r="173" spans="1:11" ht="15">
      <c r="A173" s="8" t="s">
        <v>110</v>
      </c>
      <c r="B173" s="4">
        <f>VLOOKUP(Vlookup!$B138,'CDCM Volume Forecasts'!$A$27:$AG$123,B$137,FALSE)</f>
        <v>0</v>
      </c>
      <c r="C173" s="4">
        <f>VLOOKUP(Vlookup!$B138,'CDCM Volume Forecasts'!$A$27:$AG$123,C$137,FALSE)</f>
        <v>0</v>
      </c>
      <c r="D173" s="6">
        <f>VLOOKUP(Vlookup!$B138,'CDCM Volume Forecasts'!$A$27:$AG$123,D$137,FALSE)</f>
        <v>0</v>
      </c>
      <c r="E173" s="10">
        <f>VLOOKUP(Vlookup!$B138,'CDCM Volume Forecasts'!$A$27:$AG$123,E$137,FALSE)</f>
        <v>0</v>
      </c>
      <c r="F173" s="6">
        <f>VLOOKUP(Vlookup!$B138,'CDCM Volume Forecasts'!$A$27:$AG$123,F$137,FALSE)</f>
        <v>0</v>
      </c>
      <c r="G173" s="6">
        <f>VLOOKUP(Vlookup!$B138,'CDCM Volume Forecasts'!$A$27:$AG$123,G$137,FALSE)</f>
        <v>0</v>
      </c>
      <c r="H173" s="7"/>
      <c r="I173"/>
      <c r="J173"/>
      <c r="K173"/>
    </row>
    <row r="174" spans="1:11" ht="15">
      <c r="A174" s="12" t="s">
        <v>1539</v>
      </c>
      <c r="B174" s="13">
        <f>VLOOKUP(Vlookup!$B139,'CDCM Volume Forecasts'!$A$27:$AG$123,B$137,FALSE)</f>
        <v>0</v>
      </c>
      <c r="C174" s="13">
        <f>VLOOKUP(Vlookup!$B139,'CDCM Volume Forecasts'!$A$27:$AG$123,C$137,FALSE)</f>
        <v>0</v>
      </c>
      <c r="D174" s="13">
        <f>VLOOKUP(Vlookup!$B139,'CDCM Volume Forecasts'!$A$27:$AG$123,D$137,FALSE)</f>
        <v>0</v>
      </c>
      <c r="E174" s="13">
        <f>VLOOKUP(Vlookup!$B139,'CDCM Volume Forecasts'!$A$27:$AG$123,E$137,FALSE)</f>
        <v>0</v>
      </c>
      <c r="F174" s="13">
        <f>VLOOKUP(Vlookup!$B139,'CDCM Volume Forecasts'!$A$27:$AG$123,F$137,FALSE)</f>
        <v>0</v>
      </c>
      <c r="G174" s="13">
        <f>VLOOKUP(Vlookup!$B139,'CDCM Volume Forecasts'!$A$27:$AG$123,G$137,FALSE)</f>
        <v>0</v>
      </c>
      <c r="H174" s="7"/>
      <c r="I174"/>
      <c r="J174"/>
      <c r="K174"/>
    </row>
    <row r="175" spans="1:11" ht="15">
      <c r="A175" s="8" t="s">
        <v>1536</v>
      </c>
      <c r="B175" s="4">
        <f>VLOOKUP(Vlookup!$B140,'CDCM Volume Forecasts'!$A$27:$AG$123,B$137,FALSE)</f>
        <v>0</v>
      </c>
      <c r="C175" s="4">
        <f>VLOOKUP(Vlookup!$B140,'CDCM Volume Forecasts'!$A$27:$AG$123,C$137,FALSE)</f>
        <v>0</v>
      </c>
      <c r="D175" s="4">
        <f>VLOOKUP(Vlookup!$B140,'CDCM Volume Forecasts'!$A$27:$AG$123,D$137,FALSE)</f>
        <v>0</v>
      </c>
      <c r="E175" s="10">
        <f>VLOOKUP(Vlookup!$B140,'CDCM Volume Forecasts'!$A$27:$AG$123,E$137,FALSE)</f>
        <v>0</v>
      </c>
      <c r="F175" s="6">
        <f>VLOOKUP(Vlookup!$B140,'CDCM Volume Forecasts'!$A$27:$AG$123,F$137,FALSE)</f>
        <v>0</v>
      </c>
      <c r="G175" s="6">
        <f>VLOOKUP(Vlookup!$B140,'CDCM Volume Forecasts'!$A$27:$AG$123,G$137,FALSE)</f>
        <v>0</v>
      </c>
      <c r="H175" s="7"/>
      <c r="I175"/>
      <c r="J175"/>
      <c r="K175"/>
    </row>
    <row r="176" spans="1:11" ht="15">
      <c r="A176" s="8" t="s">
        <v>1533</v>
      </c>
      <c r="B176" s="4">
        <f>VLOOKUP(Vlookup!$B141,'CDCM Volume Forecasts'!$A$27:$AG$123,B$137,FALSE)</f>
        <v>0</v>
      </c>
      <c r="C176" s="4">
        <f>VLOOKUP(Vlookup!$B141,'CDCM Volume Forecasts'!$A$27:$AG$123,C$137,FALSE)</f>
        <v>0</v>
      </c>
      <c r="D176" s="4">
        <f>VLOOKUP(Vlookup!$B141,'CDCM Volume Forecasts'!$A$27:$AG$123,D$137,FALSE)</f>
        <v>0</v>
      </c>
      <c r="E176" s="10">
        <f>VLOOKUP(Vlookup!$B141,'CDCM Volume Forecasts'!$A$27:$AG$123,E$137,FALSE)</f>
        <v>0</v>
      </c>
      <c r="F176" s="6">
        <f>VLOOKUP(Vlookup!$B141,'CDCM Volume Forecasts'!$A$27:$AG$123,F$137,FALSE)</f>
        <v>0</v>
      </c>
      <c r="G176" s="6">
        <f>VLOOKUP(Vlookup!$B141,'CDCM Volume Forecasts'!$A$27:$AG$123,G$137,FALSE)</f>
        <v>0</v>
      </c>
      <c r="H176" s="7"/>
      <c r="I176"/>
      <c r="J176"/>
      <c r="K176"/>
    </row>
    <row r="177" spans="1:11" ht="15">
      <c r="A177" s="8" t="s">
        <v>1530</v>
      </c>
      <c r="B177" s="4">
        <f>VLOOKUP(Vlookup!$B142,'CDCM Volume Forecasts'!$A$27:$AG$123,B$137,FALSE)</f>
        <v>0</v>
      </c>
      <c r="C177" s="4">
        <f>VLOOKUP(Vlookup!$B142,'CDCM Volume Forecasts'!$A$27:$AG$123,C$137,FALSE)</f>
        <v>0</v>
      </c>
      <c r="D177" s="4">
        <f>VLOOKUP(Vlookup!$B142,'CDCM Volume Forecasts'!$A$27:$AG$123,D$137,FALSE)</f>
        <v>0</v>
      </c>
      <c r="E177" s="10">
        <f>VLOOKUP(Vlookup!$B142,'CDCM Volume Forecasts'!$A$27:$AG$123,E$137,FALSE)</f>
        <v>0</v>
      </c>
      <c r="F177" s="6">
        <f>VLOOKUP(Vlookup!$B142,'CDCM Volume Forecasts'!$A$27:$AG$123,F$137,FALSE)</f>
        <v>0</v>
      </c>
      <c r="G177" s="6">
        <f>VLOOKUP(Vlookup!$B142,'CDCM Volume Forecasts'!$A$27:$AG$123,G$137,FALSE)</f>
        <v>0</v>
      </c>
      <c r="H177" s="7"/>
      <c r="I177"/>
      <c r="J177"/>
      <c r="K177"/>
    </row>
    <row r="178" spans="1:11" ht="15">
      <c r="A178" s="12" t="s">
        <v>1538</v>
      </c>
      <c r="B178" s="13">
        <f>VLOOKUP(Vlookup!$B143,'CDCM Volume Forecasts'!$A$27:$AG$123,B$137,FALSE)</f>
        <v>0</v>
      </c>
      <c r="C178" s="13">
        <f>VLOOKUP(Vlookup!$B143,'CDCM Volume Forecasts'!$A$27:$AG$123,C$137,FALSE)</f>
        <v>0</v>
      </c>
      <c r="D178" s="13">
        <f>VLOOKUP(Vlookup!$B143,'CDCM Volume Forecasts'!$A$27:$AG$123,D$137,FALSE)</f>
        <v>0</v>
      </c>
      <c r="E178" s="13">
        <f>VLOOKUP(Vlookup!$B143,'CDCM Volume Forecasts'!$A$27:$AG$123,E$137,FALSE)</f>
        <v>0</v>
      </c>
      <c r="F178" s="13">
        <f>VLOOKUP(Vlookup!$B143,'CDCM Volume Forecasts'!$A$27:$AG$123,F$137,FALSE)</f>
        <v>0</v>
      </c>
      <c r="G178" s="13">
        <f>VLOOKUP(Vlookup!$B143,'CDCM Volume Forecasts'!$A$27:$AG$123,G$137,FALSE)</f>
        <v>0</v>
      </c>
      <c r="H178" s="7"/>
      <c r="I178"/>
      <c r="J178"/>
      <c r="K178"/>
    </row>
    <row r="179" spans="1:11" ht="15">
      <c r="A179" s="8" t="s">
        <v>1535</v>
      </c>
      <c r="B179" s="4">
        <f>VLOOKUP(Vlookup!$B144,'CDCM Volume Forecasts'!$A$27:$AG$123,B$137,FALSE)</f>
        <v>68262.213677721258</v>
      </c>
      <c r="C179" s="4">
        <f>VLOOKUP(Vlookup!$B144,'CDCM Volume Forecasts'!$A$27:$AG$123,C$137,FALSE)</f>
        <v>260187.85793102454</v>
      </c>
      <c r="D179" s="4">
        <f>VLOOKUP(Vlookup!$B144,'CDCM Volume Forecasts'!$A$27:$AG$123,D$137,FALSE)</f>
        <v>288797.3281930369</v>
      </c>
      <c r="E179" s="10">
        <f>VLOOKUP(Vlookup!$B144,'CDCM Volume Forecasts'!$A$27:$AG$123,E$137,FALSE)</f>
        <v>10460.824638436699</v>
      </c>
      <c r="F179" s="6">
        <f>VLOOKUP(Vlookup!$B144,'CDCM Volume Forecasts'!$A$27:$AG$123,F$137,FALSE)</f>
        <v>0</v>
      </c>
      <c r="G179" s="6">
        <f>VLOOKUP(Vlookup!$B144,'CDCM Volume Forecasts'!$A$27:$AG$123,G$137,FALSE)</f>
        <v>0</v>
      </c>
      <c r="H179" s="7"/>
      <c r="I179"/>
      <c r="J179"/>
      <c r="K179"/>
    </row>
    <row r="180" spans="1:11" ht="15">
      <c r="A180" s="8" t="s">
        <v>1532</v>
      </c>
      <c r="B180" s="4">
        <f>VLOOKUP(Vlookup!$B145,'CDCM Volume Forecasts'!$A$27:$AG$123,B$137,FALSE)</f>
        <v>75.834457148452415</v>
      </c>
      <c r="C180" s="4">
        <f>VLOOKUP(Vlookup!$B145,'CDCM Volume Forecasts'!$A$27:$AG$123,C$137,FALSE)</f>
        <v>289.05017724699985</v>
      </c>
      <c r="D180" s="4">
        <f>VLOOKUP(Vlookup!$B145,'CDCM Volume Forecasts'!$A$27:$AG$123,D$137,FALSE)</f>
        <v>368.19822955247247</v>
      </c>
      <c r="E180" s="10">
        <f>VLOOKUP(Vlookup!$B145,'CDCM Volume Forecasts'!$A$27:$AG$123,E$137,FALSE)</f>
        <v>15.9977333411589</v>
      </c>
      <c r="F180" s="6">
        <f>VLOOKUP(Vlookup!$B145,'CDCM Volume Forecasts'!$A$27:$AG$123,F$137,FALSE)</f>
        <v>0</v>
      </c>
      <c r="G180" s="6">
        <f>VLOOKUP(Vlookup!$B145,'CDCM Volume Forecasts'!$A$27:$AG$123,G$137,FALSE)</f>
        <v>0</v>
      </c>
      <c r="H180" s="7"/>
      <c r="I180"/>
      <c r="J180"/>
      <c r="K180"/>
    </row>
    <row r="181" spans="1:11" ht="15">
      <c r="A181" s="8" t="s">
        <v>1529</v>
      </c>
      <c r="B181" s="4">
        <f>VLOOKUP(Vlookup!$B146,'CDCM Volume Forecasts'!$A$27:$AG$123,B$137,FALSE)</f>
        <v>748.69722989889033</v>
      </c>
      <c r="C181" s="4">
        <f>VLOOKUP(Vlookup!$B146,'CDCM Volume Forecasts'!$A$27:$AG$123,C$137,FALSE)</f>
        <v>2853.7300212088135</v>
      </c>
      <c r="D181" s="4">
        <f>VLOOKUP(Vlookup!$B146,'CDCM Volume Forecasts'!$A$27:$AG$123,D$137,FALSE)</f>
        <v>3130.6874634209976</v>
      </c>
      <c r="E181" s="10">
        <f>VLOOKUP(Vlookup!$B146,'CDCM Volume Forecasts'!$A$27:$AG$123,E$137,FALSE)</f>
        <v>96.748196872722914</v>
      </c>
      <c r="F181" s="6">
        <f>VLOOKUP(Vlookup!$B146,'CDCM Volume Forecasts'!$A$27:$AG$123,F$137,FALSE)</f>
        <v>0</v>
      </c>
      <c r="G181" s="6">
        <f>VLOOKUP(Vlookup!$B146,'CDCM Volume Forecasts'!$A$27:$AG$123,G$137,FALSE)</f>
        <v>0</v>
      </c>
      <c r="H181" s="7"/>
      <c r="I181"/>
      <c r="J181"/>
      <c r="K181"/>
    </row>
    <row r="182" spans="1:11" ht="15">
      <c r="A182" s="12" t="s">
        <v>169</v>
      </c>
      <c r="B182" s="13">
        <f>VLOOKUP(Vlookup!$B147,'CDCM Volume Forecasts'!$A$27:$AG$123,B$137,FALSE)</f>
        <v>0</v>
      </c>
      <c r="C182" s="13">
        <f>VLOOKUP(Vlookup!$B147,'CDCM Volume Forecasts'!$A$27:$AG$123,C$137,FALSE)</f>
        <v>0</v>
      </c>
      <c r="D182" s="13">
        <f>VLOOKUP(Vlookup!$B147,'CDCM Volume Forecasts'!$A$27:$AG$123,D$137,FALSE)</f>
        <v>0</v>
      </c>
      <c r="E182" s="13">
        <f>VLOOKUP(Vlookup!$B147,'CDCM Volume Forecasts'!$A$27:$AG$123,E$137,FALSE)</f>
        <v>0</v>
      </c>
      <c r="F182" s="13">
        <f>VLOOKUP(Vlookup!$B147,'CDCM Volume Forecasts'!$A$27:$AG$123,F$137,FALSE)</f>
        <v>0</v>
      </c>
      <c r="G182" s="13">
        <f>VLOOKUP(Vlookup!$B147,'CDCM Volume Forecasts'!$A$27:$AG$123,G$137,FALSE)</f>
        <v>0</v>
      </c>
      <c r="H182" s="7"/>
      <c r="I182"/>
      <c r="J182"/>
      <c r="K182"/>
    </row>
    <row r="183" spans="1:11" ht="15">
      <c r="A183" s="8" t="s">
        <v>98</v>
      </c>
      <c r="B183" s="4">
        <f>VLOOKUP(Vlookup!$B148,'CDCM Volume Forecasts'!$A$27:$AG$123,B$137,FALSE)</f>
        <v>298957.28664096713</v>
      </c>
      <c r="C183" s="4">
        <f>VLOOKUP(Vlookup!$B148,'CDCM Volume Forecasts'!$A$27:$AG$123,C$137,FALSE)</f>
        <v>1176221.7888048878</v>
      </c>
      <c r="D183" s="4">
        <f>VLOOKUP(Vlookup!$B148,'CDCM Volume Forecasts'!$A$27:$AG$123,D$137,FALSE)</f>
        <v>1263172.6301498166</v>
      </c>
      <c r="E183" s="10">
        <f>VLOOKUP(Vlookup!$B148,'CDCM Volume Forecasts'!$A$27:$AG$123,E$137,FALSE)</f>
        <v>13816.622163023712</v>
      </c>
      <c r="F183" s="10">
        <f>VLOOKUP(Vlookup!$B148,'CDCM Volume Forecasts'!$A$27:$AG$123,F$137,FALSE)</f>
        <v>1508041.0074922552</v>
      </c>
      <c r="G183" s="4">
        <f>VLOOKUP(Vlookup!$B148,'CDCM Volume Forecasts'!$A$27:$AG$123,G$137,FALSE)</f>
        <v>196222.56397259844</v>
      </c>
      <c r="H183" s="7"/>
      <c r="I183"/>
      <c r="J183"/>
      <c r="K183"/>
    </row>
    <row r="184" spans="1:11" ht="15">
      <c r="A184" s="8" t="s">
        <v>170</v>
      </c>
      <c r="B184" s="4">
        <f>VLOOKUP(Vlookup!$B149,'CDCM Volume Forecasts'!$A$27:$AG$123,B$137,FALSE)</f>
        <v>251.49533959309412</v>
      </c>
      <c r="C184" s="4">
        <f>VLOOKUP(Vlookup!$B149,'CDCM Volume Forecasts'!$A$27:$AG$123,C$137,FALSE)</f>
        <v>979.27101968520583</v>
      </c>
      <c r="D184" s="4">
        <f>VLOOKUP(Vlookup!$B149,'CDCM Volume Forecasts'!$A$27:$AG$123,D$137,FALSE)</f>
        <v>1323.8911488702286</v>
      </c>
      <c r="E184" s="10">
        <f>VLOOKUP(Vlookup!$B149,'CDCM Volume Forecasts'!$A$27:$AG$123,E$137,FALSE)</f>
        <v>24.512815784070572</v>
      </c>
      <c r="F184" s="10">
        <f>VLOOKUP(Vlookup!$B149,'CDCM Volume Forecasts'!$A$27:$AG$123,F$137,FALSE)</f>
        <v>1849.065290221057</v>
      </c>
      <c r="G184" s="4">
        <f>VLOOKUP(Vlookup!$B149,'CDCM Volume Forecasts'!$A$27:$AG$123,G$137,FALSE)</f>
        <v>67.956077159140733</v>
      </c>
      <c r="H184" s="7"/>
      <c r="I184"/>
      <c r="J184"/>
      <c r="K184"/>
    </row>
    <row r="185" spans="1:11" ht="15">
      <c r="A185" s="8" t="s">
        <v>171</v>
      </c>
      <c r="B185" s="4">
        <f>VLOOKUP(Vlookup!$B150,'CDCM Volume Forecasts'!$A$27:$AG$123,B$137,FALSE)</f>
        <v>13537.565805386388</v>
      </c>
      <c r="C185" s="4">
        <f>VLOOKUP(Vlookup!$B150,'CDCM Volume Forecasts'!$A$27:$AG$123,C$137,FALSE)</f>
        <v>48005.548971268166</v>
      </c>
      <c r="D185" s="4">
        <f>VLOOKUP(Vlookup!$B150,'CDCM Volume Forecasts'!$A$27:$AG$123,D$137,FALSE)</f>
        <v>54720.056524480991</v>
      </c>
      <c r="E185" s="10">
        <f>VLOOKUP(Vlookup!$B150,'CDCM Volume Forecasts'!$A$27:$AG$123,E$137,FALSE)</f>
        <v>314.54566848374873</v>
      </c>
      <c r="F185" s="10">
        <f>VLOOKUP(Vlookup!$B150,'CDCM Volume Forecasts'!$A$27:$AG$123,F$137,FALSE)</f>
        <v>75425.527164949934</v>
      </c>
      <c r="G185" s="4">
        <f>VLOOKUP(Vlookup!$B150,'CDCM Volume Forecasts'!$A$27:$AG$123,G$137,FALSE)</f>
        <v>4123.9245366067507</v>
      </c>
      <c r="H185" s="7"/>
      <c r="I185"/>
      <c r="J185"/>
      <c r="K185"/>
    </row>
    <row r="186" spans="1:11" ht="15">
      <c r="A186" s="12" t="s">
        <v>172</v>
      </c>
      <c r="B186" s="13">
        <f>VLOOKUP(Vlookup!$B151,'CDCM Volume Forecasts'!$A$27:$AG$123,B$137,FALSE)</f>
        <v>0</v>
      </c>
      <c r="C186" s="13">
        <f>VLOOKUP(Vlookup!$B151,'CDCM Volume Forecasts'!$A$27:$AG$123,C$137,FALSE)</f>
        <v>0</v>
      </c>
      <c r="D186" s="13">
        <f>VLOOKUP(Vlookup!$B151,'CDCM Volume Forecasts'!$A$27:$AG$123,D$137,FALSE)</f>
        <v>0</v>
      </c>
      <c r="E186" s="13">
        <f>VLOOKUP(Vlookup!$B151,'CDCM Volume Forecasts'!$A$27:$AG$123,E$137,FALSE)</f>
        <v>0</v>
      </c>
      <c r="F186" s="13">
        <f>VLOOKUP(Vlookup!$B151,'CDCM Volume Forecasts'!$A$27:$AG$123,F$137,FALSE)</f>
        <v>0</v>
      </c>
      <c r="G186" s="13">
        <f>VLOOKUP(Vlookup!$B151,'CDCM Volume Forecasts'!$A$27:$AG$123,G$137,FALSE)</f>
        <v>0</v>
      </c>
      <c r="H186" s="7"/>
      <c r="I186"/>
      <c r="J186"/>
      <c r="K186"/>
    </row>
    <row r="187" spans="1:11" ht="15">
      <c r="A187" s="8" t="s">
        <v>99</v>
      </c>
      <c r="B187" s="4">
        <f>VLOOKUP(Vlookup!$B152,'CDCM Volume Forecasts'!$A$27:$AG$123,B$137,FALSE)</f>
        <v>7018.5351050259123</v>
      </c>
      <c r="C187" s="4">
        <f>VLOOKUP(Vlookup!$B152,'CDCM Volume Forecasts'!$A$27:$AG$123,C$137,FALSE)</f>
        <v>27672.188641821547</v>
      </c>
      <c r="D187" s="4">
        <f>VLOOKUP(Vlookup!$B152,'CDCM Volume Forecasts'!$A$27:$AG$123,D$137,FALSE)</f>
        <v>31150.176618615114</v>
      </c>
      <c r="E187" s="10">
        <f>VLOOKUP(Vlookup!$B152,'CDCM Volume Forecasts'!$A$27:$AG$123,E$137,FALSE)</f>
        <v>122.79637271053774</v>
      </c>
      <c r="F187" s="10">
        <f>VLOOKUP(Vlookup!$B152,'CDCM Volume Forecasts'!$A$27:$AG$123,F$137,FALSE)</f>
        <v>50603.075477139901</v>
      </c>
      <c r="G187" s="4">
        <f>VLOOKUP(Vlookup!$B152,'CDCM Volume Forecasts'!$A$27:$AG$123,G$137,FALSE)</f>
        <v>4784.9905027288578</v>
      </c>
      <c r="H187" s="7"/>
      <c r="I187"/>
      <c r="J187"/>
      <c r="K187"/>
    </row>
    <row r="188" spans="1:11" ht="15">
      <c r="A188" s="8" t="s">
        <v>173</v>
      </c>
      <c r="B188" s="4">
        <f>VLOOKUP(Vlookup!$B153,'CDCM Volume Forecasts'!$A$27:$AG$123,B$137,FALSE)</f>
        <v>488.20666932707184</v>
      </c>
      <c r="C188" s="4">
        <f>VLOOKUP(Vlookup!$B153,'CDCM Volume Forecasts'!$A$27:$AG$123,C$137,FALSE)</f>
        <v>2007.7503213172342</v>
      </c>
      <c r="D188" s="4">
        <f>VLOOKUP(Vlookup!$B153,'CDCM Volume Forecasts'!$A$27:$AG$123,D$137,FALSE)</f>
        <v>2764.900888767711</v>
      </c>
      <c r="E188" s="10">
        <f>VLOOKUP(Vlookup!$B153,'CDCM Volume Forecasts'!$A$27:$AG$123,E$137,FALSE)</f>
        <v>5.6400701446733876</v>
      </c>
      <c r="F188" s="10">
        <f>VLOOKUP(Vlookup!$B153,'CDCM Volume Forecasts'!$A$27:$AG$123,F$137,FALSE)</f>
        <v>3384.0420868040314</v>
      </c>
      <c r="G188" s="4">
        <f>VLOOKUP(Vlookup!$B153,'CDCM Volume Forecasts'!$A$27:$AG$123,G$137,FALSE)</f>
        <v>1576.3003402016659</v>
      </c>
      <c r="H188" s="7"/>
      <c r="I188"/>
      <c r="J188"/>
      <c r="K188"/>
    </row>
    <row r="189" spans="1:11" ht="15">
      <c r="A189" s="12" t="s">
        <v>174</v>
      </c>
      <c r="B189" s="13">
        <f>VLOOKUP(Vlookup!$B154,'CDCM Volume Forecasts'!$A$27:$AG$123,B$137,FALSE)</f>
        <v>0</v>
      </c>
      <c r="C189" s="13">
        <f>VLOOKUP(Vlookup!$B154,'CDCM Volume Forecasts'!$A$27:$AG$123,C$137,FALSE)</f>
        <v>0</v>
      </c>
      <c r="D189" s="13">
        <f>VLOOKUP(Vlookup!$B154,'CDCM Volume Forecasts'!$A$27:$AG$123,D$137,FALSE)</f>
        <v>0</v>
      </c>
      <c r="E189" s="13">
        <f>VLOOKUP(Vlookup!$B154,'CDCM Volume Forecasts'!$A$27:$AG$123,E$137,FALSE)</f>
        <v>0</v>
      </c>
      <c r="F189" s="13">
        <f>VLOOKUP(Vlookup!$B154,'CDCM Volume Forecasts'!$A$27:$AG$123,F$137,FALSE)</f>
        <v>0</v>
      </c>
      <c r="G189" s="13">
        <f>VLOOKUP(Vlookup!$B154,'CDCM Volume Forecasts'!$A$27:$AG$123,G$137,FALSE)</f>
        <v>0</v>
      </c>
      <c r="H189" s="7"/>
      <c r="I189"/>
      <c r="J189"/>
      <c r="K189"/>
    </row>
    <row r="190" spans="1:11" ht="15">
      <c r="A190" s="8" t="s">
        <v>111</v>
      </c>
      <c r="B190" s="4">
        <f>VLOOKUP(Vlookup!$B155,'CDCM Volume Forecasts'!$A$27:$AG$123,B$137,FALSE)</f>
        <v>752034.67370639404</v>
      </c>
      <c r="C190" s="4">
        <f>VLOOKUP(Vlookup!$B155,'CDCM Volume Forecasts'!$A$27:$AG$123,C$137,FALSE)</f>
        <v>3018230.4256879073</v>
      </c>
      <c r="D190" s="4">
        <f>VLOOKUP(Vlookup!$B155,'CDCM Volume Forecasts'!$A$27:$AG$123,D$137,FALSE)</f>
        <v>3913761.9505902641</v>
      </c>
      <c r="E190" s="10">
        <f>VLOOKUP(Vlookup!$B155,'CDCM Volume Forecasts'!$A$27:$AG$123,E$137,FALSE)</f>
        <v>4028.1236359637046</v>
      </c>
      <c r="F190" s="10">
        <f>VLOOKUP(Vlookup!$B155,'CDCM Volume Forecasts'!$A$27:$AG$123,F$137,FALSE)</f>
        <v>2952679.7358666793</v>
      </c>
      <c r="G190" s="4">
        <f>VLOOKUP(Vlookup!$B155,'CDCM Volume Forecasts'!$A$27:$AG$123,G$137,FALSE)</f>
        <v>1051532.8176113358</v>
      </c>
      <c r="H190" s="7"/>
      <c r="I190"/>
      <c r="J190"/>
      <c r="K190"/>
    </row>
    <row r="191" spans="1:11" ht="15">
      <c r="A191" s="8" t="s">
        <v>175</v>
      </c>
      <c r="B191" s="4">
        <f>VLOOKUP(Vlookup!$B156,'CDCM Volume Forecasts'!$A$27:$AG$123,B$137,FALSE)</f>
        <v>2780.0934522047364</v>
      </c>
      <c r="C191" s="4">
        <f>VLOOKUP(Vlookup!$B156,'CDCM Volume Forecasts'!$A$27:$AG$123,C$137,FALSE)</f>
        <v>9141.0019170260457</v>
      </c>
      <c r="D191" s="4">
        <f>VLOOKUP(Vlookup!$B156,'CDCM Volume Forecasts'!$A$27:$AG$123,D$137,FALSE)</f>
        <v>10193.081488223934</v>
      </c>
      <c r="E191" s="10">
        <f>VLOOKUP(Vlookup!$B156,'CDCM Volume Forecasts'!$A$27:$AG$123,E$137,FALSE)</f>
        <v>21.432266549758875</v>
      </c>
      <c r="F191" s="10">
        <f>VLOOKUP(Vlookup!$B156,'CDCM Volume Forecasts'!$A$27:$AG$123,F$137,FALSE)</f>
        <v>22560.280578693553</v>
      </c>
      <c r="G191" s="4">
        <f>VLOOKUP(Vlookup!$B156,'CDCM Volume Forecasts'!$A$27:$AG$123,G$137,FALSE)</f>
        <v>833.00339193336254</v>
      </c>
      <c r="H191" s="7"/>
      <c r="I191"/>
      <c r="J191"/>
      <c r="K191"/>
    </row>
    <row r="192" spans="1:11" ht="15">
      <c r="A192" s="12" t="s">
        <v>176</v>
      </c>
      <c r="B192" s="13">
        <f>VLOOKUP(Vlookup!$B157,'CDCM Volume Forecasts'!$A$27:$AG$123,B$137,FALSE)</f>
        <v>0</v>
      </c>
      <c r="C192" s="13">
        <f>VLOOKUP(Vlookup!$B157,'CDCM Volume Forecasts'!$A$27:$AG$123,C$137,FALSE)</f>
        <v>0</v>
      </c>
      <c r="D192" s="13">
        <f>VLOOKUP(Vlookup!$B157,'CDCM Volume Forecasts'!$A$27:$AG$123,D$137,FALSE)</f>
        <v>0</v>
      </c>
      <c r="E192" s="13">
        <f>VLOOKUP(Vlookup!$B157,'CDCM Volume Forecasts'!$A$27:$AG$123,E$137,FALSE)</f>
        <v>0</v>
      </c>
      <c r="F192" s="13">
        <f>VLOOKUP(Vlookup!$B157,'CDCM Volume Forecasts'!$A$27:$AG$123,F$137,FALSE)</f>
        <v>0</v>
      </c>
      <c r="G192" s="13">
        <f>VLOOKUP(Vlookup!$B157,'CDCM Volume Forecasts'!$A$27:$AG$123,G$137,FALSE)</f>
        <v>0</v>
      </c>
      <c r="H192" s="7"/>
      <c r="I192"/>
      <c r="J192"/>
      <c r="K192"/>
    </row>
    <row r="193" spans="1:11" ht="15">
      <c r="A193" s="8" t="s">
        <v>131</v>
      </c>
      <c r="B193" s="4">
        <f>VLOOKUP(Vlookup!$B158,'CDCM Volume Forecasts'!$A$27:$AG$123,B$137,FALSE)</f>
        <v>53670.276181774323</v>
      </c>
      <c r="C193" s="6">
        <f>VLOOKUP(Vlookup!$B158,'CDCM Volume Forecasts'!$A$27:$AG$123,C$137,FALSE)</f>
        <v>0</v>
      </c>
      <c r="D193" s="6">
        <f>VLOOKUP(Vlookup!$B158,'CDCM Volume Forecasts'!$A$27:$AG$123,D$137,FALSE)</f>
        <v>0</v>
      </c>
      <c r="E193" s="10">
        <f>VLOOKUP(Vlookup!$B158,'CDCM Volume Forecasts'!$A$27:$AG$123,E$137,FALSE)</f>
        <v>945.29828999676329</v>
      </c>
      <c r="F193" s="6">
        <f>VLOOKUP(Vlookup!$B158,'CDCM Volume Forecasts'!$A$27:$AG$123,F$137,FALSE)</f>
        <v>0</v>
      </c>
      <c r="G193" s="6">
        <f>VLOOKUP(Vlookup!$B158,'CDCM Volume Forecasts'!$A$27:$AG$123,G$137,FALSE)</f>
        <v>0</v>
      </c>
      <c r="H193" s="7"/>
      <c r="I193"/>
      <c r="J193"/>
      <c r="K193"/>
    </row>
    <row r="194" spans="1:11" ht="15">
      <c r="A194" s="8" t="s">
        <v>177</v>
      </c>
      <c r="B194" s="4">
        <f>VLOOKUP(Vlookup!$B159,'CDCM Volume Forecasts'!$A$27:$AG$123,B$137,FALSE)</f>
        <v>172.28035588618667</v>
      </c>
      <c r="C194" s="6">
        <f>VLOOKUP(Vlookup!$B159,'CDCM Volume Forecasts'!$A$27:$AG$123,C$137,FALSE)</f>
        <v>0</v>
      </c>
      <c r="D194" s="6">
        <f>VLOOKUP(Vlookup!$B159,'CDCM Volume Forecasts'!$A$27:$AG$123,D$137,FALSE)</f>
        <v>0</v>
      </c>
      <c r="E194" s="10">
        <f>VLOOKUP(Vlookup!$B159,'CDCM Volume Forecasts'!$A$27:$AG$123,E$137,FALSE)</f>
        <v>0</v>
      </c>
      <c r="F194" s="6">
        <f>VLOOKUP(Vlookup!$B159,'CDCM Volume Forecasts'!$A$27:$AG$123,F$137,FALSE)</f>
        <v>0</v>
      </c>
      <c r="G194" s="6">
        <f>VLOOKUP(Vlookup!$B159,'CDCM Volume Forecasts'!$A$27:$AG$123,G$137,FALSE)</f>
        <v>0</v>
      </c>
      <c r="H194" s="7"/>
      <c r="I194"/>
      <c r="J194"/>
      <c r="K194"/>
    </row>
    <row r="195" spans="1:11" ht="15">
      <c r="A195" s="8" t="s">
        <v>178</v>
      </c>
      <c r="B195" s="4">
        <f>VLOOKUP(Vlookup!$B160,'CDCM Volume Forecasts'!$A$27:$AG$123,B$137,FALSE)</f>
        <v>0</v>
      </c>
      <c r="C195" s="6">
        <f>VLOOKUP(Vlookup!$B160,'CDCM Volume Forecasts'!$A$27:$AG$123,C$137,FALSE)</f>
        <v>0</v>
      </c>
      <c r="D195" s="6">
        <f>VLOOKUP(Vlookup!$B160,'CDCM Volume Forecasts'!$A$27:$AG$123,D$137,FALSE)</f>
        <v>0</v>
      </c>
      <c r="E195" s="10">
        <f>VLOOKUP(Vlookup!$B160,'CDCM Volume Forecasts'!$A$27:$AG$123,E$137,FALSE)</f>
        <v>0</v>
      </c>
      <c r="F195" s="6">
        <f>VLOOKUP(Vlookup!$B160,'CDCM Volume Forecasts'!$A$27:$AG$123,F$137,FALSE)</f>
        <v>0</v>
      </c>
      <c r="G195" s="6">
        <f>VLOOKUP(Vlookup!$B160,'CDCM Volume Forecasts'!$A$27:$AG$123,G$137,FALSE)</f>
        <v>0</v>
      </c>
      <c r="H195" s="7"/>
      <c r="I195"/>
      <c r="J195"/>
      <c r="K195"/>
    </row>
    <row r="196" spans="1:11" ht="15">
      <c r="A196" s="12" t="s">
        <v>179</v>
      </c>
      <c r="B196" s="13">
        <f>VLOOKUP(Vlookup!$B161,'CDCM Volume Forecasts'!$A$27:$AG$123,B$137,FALSE)</f>
        <v>0</v>
      </c>
      <c r="C196" s="13">
        <f>VLOOKUP(Vlookup!$B161,'CDCM Volume Forecasts'!$A$27:$AG$123,C$137,FALSE)</f>
        <v>0</v>
      </c>
      <c r="D196" s="13">
        <f>VLOOKUP(Vlookup!$B161,'CDCM Volume Forecasts'!$A$27:$AG$123,D$137,FALSE)</f>
        <v>0</v>
      </c>
      <c r="E196" s="13">
        <f>VLOOKUP(Vlookup!$B161,'CDCM Volume Forecasts'!$A$27:$AG$123,E$137,FALSE)</f>
        <v>0</v>
      </c>
      <c r="F196" s="13">
        <f>VLOOKUP(Vlookup!$B161,'CDCM Volume Forecasts'!$A$27:$AG$123,F$137,FALSE)</f>
        <v>0</v>
      </c>
      <c r="G196" s="13">
        <f>VLOOKUP(Vlookup!$B161,'CDCM Volume Forecasts'!$A$27:$AG$123,G$137,FALSE)</f>
        <v>0</v>
      </c>
      <c r="H196" s="7"/>
      <c r="I196"/>
      <c r="J196"/>
      <c r="K196"/>
    </row>
    <row r="197" spans="1:11" ht="15">
      <c r="A197" s="8" t="s">
        <v>132</v>
      </c>
      <c r="B197" s="4">
        <f>VLOOKUP(Vlookup!$B162,'CDCM Volume Forecasts'!$A$27:$AG$123,B$137,FALSE)</f>
        <v>16146.815302762892</v>
      </c>
      <c r="C197" s="6">
        <f>VLOOKUP(Vlookup!$B162,'CDCM Volume Forecasts'!$A$27:$AG$123,C$137,FALSE)</f>
        <v>0</v>
      </c>
      <c r="D197" s="6">
        <f>VLOOKUP(Vlookup!$B162,'CDCM Volume Forecasts'!$A$27:$AG$123,D$137,FALSE)</f>
        <v>0</v>
      </c>
      <c r="E197" s="10">
        <f>VLOOKUP(Vlookup!$B162,'CDCM Volume Forecasts'!$A$27:$AG$123,E$137,FALSE)</f>
        <v>683.89747668576126</v>
      </c>
      <c r="F197" s="6">
        <f>VLOOKUP(Vlookup!$B162,'CDCM Volume Forecasts'!$A$27:$AG$123,F$137,FALSE)</f>
        <v>0</v>
      </c>
      <c r="G197" s="6">
        <f>VLOOKUP(Vlookup!$B162,'CDCM Volume Forecasts'!$A$27:$AG$123,G$137,FALSE)</f>
        <v>0</v>
      </c>
      <c r="H197" s="7"/>
      <c r="I197"/>
      <c r="J197"/>
      <c r="K197"/>
    </row>
    <row r="198" spans="1:11" ht="15">
      <c r="A198" s="8" t="s">
        <v>180</v>
      </c>
      <c r="B198" s="4">
        <f>VLOOKUP(Vlookup!$B163,'CDCM Volume Forecasts'!$A$27:$AG$123,B$137,FALSE)</f>
        <v>177.96348496274157</v>
      </c>
      <c r="C198" s="6">
        <f>VLOOKUP(Vlookup!$B163,'CDCM Volume Forecasts'!$A$27:$AG$123,C$137,FALSE)</f>
        <v>0</v>
      </c>
      <c r="D198" s="6">
        <f>VLOOKUP(Vlookup!$B163,'CDCM Volume Forecasts'!$A$27:$AG$123,D$137,FALSE)</f>
        <v>0</v>
      </c>
      <c r="E198" s="10">
        <f>VLOOKUP(Vlookup!$B163,'CDCM Volume Forecasts'!$A$27:$AG$123,E$137,FALSE)</f>
        <v>0</v>
      </c>
      <c r="F198" s="6">
        <f>VLOOKUP(Vlookup!$B163,'CDCM Volume Forecasts'!$A$27:$AG$123,F$137,FALSE)</f>
        <v>0</v>
      </c>
      <c r="G198" s="6">
        <f>VLOOKUP(Vlookup!$B163,'CDCM Volume Forecasts'!$A$27:$AG$123,G$137,FALSE)</f>
        <v>0</v>
      </c>
      <c r="H198" s="7"/>
      <c r="I198"/>
      <c r="J198"/>
      <c r="K198"/>
    </row>
    <row r="199" spans="1:11" ht="15">
      <c r="A199" s="8" t="s">
        <v>181</v>
      </c>
      <c r="B199" s="4">
        <f>VLOOKUP(Vlookup!$B164,'CDCM Volume Forecasts'!$A$27:$AG$123,B$137,FALSE)</f>
        <v>573.70856302427069</v>
      </c>
      <c r="C199" s="6">
        <f>VLOOKUP(Vlookup!$B164,'CDCM Volume Forecasts'!$A$27:$AG$123,C$137,FALSE)</f>
        <v>0</v>
      </c>
      <c r="D199" s="6">
        <f>VLOOKUP(Vlookup!$B164,'CDCM Volume Forecasts'!$A$27:$AG$123,D$137,FALSE)</f>
        <v>0</v>
      </c>
      <c r="E199" s="10">
        <f>VLOOKUP(Vlookup!$B164,'CDCM Volume Forecasts'!$A$27:$AG$123,E$137,FALSE)</f>
        <v>0</v>
      </c>
      <c r="F199" s="6">
        <f>VLOOKUP(Vlookup!$B164,'CDCM Volume Forecasts'!$A$27:$AG$123,F$137,FALSE)</f>
        <v>0</v>
      </c>
      <c r="G199" s="6">
        <f>VLOOKUP(Vlookup!$B164,'CDCM Volume Forecasts'!$A$27:$AG$123,G$137,FALSE)</f>
        <v>0</v>
      </c>
      <c r="H199" s="7"/>
      <c r="I199"/>
      <c r="J199"/>
      <c r="K199"/>
    </row>
    <row r="200" spans="1:11" ht="15">
      <c r="A200" s="12" t="s">
        <v>182</v>
      </c>
      <c r="B200" s="13">
        <f>VLOOKUP(Vlookup!$B165,'CDCM Volume Forecasts'!$A$27:$AG$123,B$137,FALSE)</f>
        <v>0</v>
      </c>
      <c r="C200" s="13">
        <f>VLOOKUP(Vlookup!$B165,'CDCM Volume Forecasts'!$A$27:$AG$123,C$137,FALSE)</f>
        <v>0</v>
      </c>
      <c r="D200" s="13">
        <f>VLOOKUP(Vlookup!$B165,'CDCM Volume Forecasts'!$A$27:$AG$123,D$137,FALSE)</f>
        <v>0</v>
      </c>
      <c r="E200" s="13">
        <f>VLOOKUP(Vlookup!$B165,'CDCM Volume Forecasts'!$A$27:$AG$123,E$137,FALSE)</f>
        <v>0</v>
      </c>
      <c r="F200" s="13">
        <f>VLOOKUP(Vlookup!$B165,'CDCM Volume Forecasts'!$A$27:$AG$123,F$137,FALSE)</f>
        <v>0</v>
      </c>
      <c r="G200" s="13">
        <f>VLOOKUP(Vlookup!$B165,'CDCM Volume Forecasts'!$A$27:$AG$123,G$137,FALSE)</f>
        <v>0</v>
      </c>
      <c r="H200" s="7"/>
      <c r="I200"/>
      <c r="J200"/>
      <c r="K200"/>
    </row>
    <row r="201" spans="1:11" ht="15">
      <c r="A201" s="8" t="s">
        <v>133</v>
      </c>
      <c r="B201" s="4">
        <f>VLOOKUP(Vlookup!$B166,'CDCM Volume Forecasts'!$A$27:$AG$123,B$137,FALSE)</f>
        <v>770.36280056434089</v>
      </c>
      <c r="C201" s="6">
        <f>VLOOKUP(Vlookup!$B166,'CDCM Volume Forecasts'!$A$27:$AG$123,C$137,FALSE)</f>
        <v>0</v>
      </c>
      <c r="D201" s="6">
        <f>VLOOKUP(Vlookup!$B166,'CDCM Volume Forecasts'!$A$27:$AG$123,D$137,FALSE)</f>
        <v>0</v>
      </c>
      <c r="E201" s="10">
        <f>VLOOKUP(Vlookup!$B166,'CDCM Volume Forecasts'!$A$27:$AG$123,E$137,FALSE)</f>
        <v>140.83222112491973</v>
      </c>
      <c r="F201" s="6">
        <f>VLOOKUP(Vlookup!$B166,'CDCM Volume Forecasts'!$A$27:$AG$123,F$137,FALSE)</f>
        <v>0</v>
      </c>
      <c r="G201" s="6">
        <f>VLOOKUP(Vlookup!$B166,'CDCM Volume Forecasts'!$A$27:$AG$123,G$137,FALSE)</f>
        <v>0</v>
      </c>
      <c r="H201" s="7"/>
      <c r="I201"/>
      <c r="J201"/>
      <c r="K201"/>
    </row>
    <row r="202" spans="1:11" ht="15">
      <c r="A202" s="8" t="s">
        <v>183</v>
      </c>
      <c r="B202" s="4">
        <f>VLOOKUP(Vlookup!$B167,'CDCM Volume Forecasts'!$A$27:$AG$123,B$137,FALSE)</f>
        <v>0</v>
      </c>
      <c r="C202" s="6">
        <f>VLOOKUP(Vlookup!$B167,'CDCM Volume Forecasts'!$A$27:$AG$123,C$137,FALSE)</f>
        <v>0</v>
      </c>
      <c r="D202" s="6">
        <f>VLOOKUP(Vlookup!$B167,'CDCM Volume Forecasts'!$A$27:$AG$123,D$137,FALSE)</f>
        <v>0</v>
      </c>
      <c r="E202" s="10">
        <f>VLOOKUP(Vlookup!$B167,'CDCM Volume Forecasts'!$A$27:$AG$123,E$137,FALSE)</f>
        <v>0</v>
      </c>
      <c r="F202" s="6">
        <f>VLOOKUP(Vlookup!$B167,'CDCM Volume Forecasts'!$A$27:$AG$123,F$137,FALSE)</f>
        <v>0</v>
      </c>
      <c r="G202" s="6">
        <f>VLOOKUP(Vlookup!$B167,'CDCM Volume Forecasts'!$A$27:$AG$123,G$137,FALSE)</f>
        <v>0</v>
      </c>
      <c r="H202" s="7"/>
      <c r="I202"/>
      <c r="J202"/>
      <c r="K202"/>
    </row>
    <row r="203" spans="1:11" ht="15">
      <c r="A203" s="8" t="s">
        <v>184</v>
      </c>
      <c r="B203" s="4">
        <f>VLOOKUP(Vlookup!$B168,'CDCM Volume Forecasts'!$A$27:$AG$123,B$137,FALSE)</f>
        <v>28.81289678085793</v>
      </c>
      <c r="C203" s="6">
        <f>VLOOKUP(Vlookup!$B168,'CDCM Volume Forecasts'!$A$27:$AG$123,C$137,FALSE)</f>
        <v>0</v>
      </c>
      <c r="D203" s="6">
        <f>VLOOKUP(Vlookup!$B168,'CDCM Volume Forecasts'!$A$27:$AG$123,D$137,FALSE)</f>
        <v>0</v>
      </c>
      <c r="E203" s="10">
        <f>VLOOKUP(Vlookup!$B168,'CDCM Volume Forecasts'!$A$27:$AG$123,E$137,FALSE)</f>
        <v>0</v>
      </c>
      <c r="F203" s="6">
        <f>VLOOKUP(Vlookup!$B168,'CDCM Volume Forecasts'!$A$27:$AG$123,F$137,FALSE)</f>
        <v>0</v>
      </c>
      <c r="G203" s="6">
        <f>VLOOKUP(Vlookup!$B168,'CDCM Volume Forecasts'!$A$27:$AG$123,G$137,FALSE)</f>
        <v>0</v>
      </c>
      <c r="H203" s="7"/>
      <c r="I203"/>
      <c r="J203"/>
      <c r="K203"/>
    </row>
    <row r="204" spans="1:11" ht="15">
      <c r="A204" s="12" t="s">
        <v>185</v>
      </c>
      <c r="B204" s="13">
        <f>VLOOKUP(Vlookup!$B169,'CDCM Volume Forecasts'!$A$27:$AG$123,B$137,FALSE)</f>
        <v>0</v>
      </c>
      <c r="C204" s="13">
        <f>VLOOKUP(Vlookup!$B169,'CDCM Volume Forecasts'!$A$27:$AG$123,C$137,FALSE)</f>
        <v>0</v>
      </c>
      <c r="D204" s="13">
        <f>VLOOKUP(Vlookup!$B169,'CDCM Volume Forecasts'!$A$27:$AG$123,D$137,FALSE)</f>
        <v>0</v>
      </c>
      <c r="E204" s="13">
        <f>VLOOKUP(Vlookup!$B169,'CDCM Volume Forecasts'!$A$27:$AG$123,E$137,FALSE)</f>
        <v>0</v>
      </c>
      <c r="F204" s="13">
        <f>VLOOKUP(Vlookup!$B169,'CDCM Volume Forecasts'!$A$27:$AG$123,F$137,FALSE)</f>
        <v>0</v>
      </c>
      <c r="G204" s="13">
        <f>VLOOKUP(Vlookup!$B169,'CDCM Volume Forecasts'!$A$27:$AG$123,G$137,FALSE)</f>
        <v>0</v>
      </c>
      <c r="H204" s="7"/>
      <c r="I204"/>
      <c r="J204"/>
      <c r="K204"/>
    </row>
    <row r="205" spans="1:11" ht="15">
      <c r="A205" s="8" t="s">
        <v>134</v>
      </c>
      <c r="B205" s="4">
        <f>VLOOKUP(Vlookup!$B170,'CDCM Volume Forecasts'!$A$27:$AG$123,B$137,FALSE)</f>
        <v>4817.2532716792102</v>
      </c>
      <c r="C205" s="6">
        <f>VLOOKUP(Vlookup!$B170,'CDCM Volume Forecasts'!$A$27:$AG$123,C$137,FALSE)</f>
        <v>0</v>
      </c>
      <c r="D205" s="6">
        <f>VLOOKUP(Vlookup!$B170,'CDCM Volume Forecasts'!$A$27:$AG$123,D$137,FALSE)</f>
        <v>0</v>
      </c>
      <c r="E205" s="10">
        <f>VLOOKUP(Vlookup!$B170,'CDCM Volume Forecasts'!$A$27:$AG$123,E$137,FALSE)</f>
        <v>40.527257877674742</v>
      </c>
      <c r="F205" s="6">
        <f>VLOOKUP(Vlookup!$B170,'CDCM Volume Forecasts'!$A$27:$AG$123,F$137,FALSE)</f>
        <v>0</v>
      </c>
      <c r="G205" s="6">
        <f>VLOOKUP(Vlookup!$B170,'CDCM Volume Forecasts'!$A$27:$AG$123,G$137,FALSE)</f>
        <v>0</v>
      </c>
      <c r="H205" s="7"/>
      <c r="I205"/>
      <c r="J205"/>
      <c r="K205"/>
    </row>
    <row r="206" spans="1:11" ht="15">
      <c r="A206" s="8" t="s">
        <v>186</v>
      </c>
      <c r="B206" s="4">
        <f>VLOOKUP(Vlookup!$B171,'CDCM Volume Forecasts'!$A$27:$AG$123,B$137,FALSE)</f>
        <v>0</v>
      </c>
      <c r="C206" s="6">
        <f>VLOOKUP(Vlookup!$B171,'CDCM Volume Forecasts'!$A$27:$AG$123,C$137,FALSE)</f>
        <v>0</v>
      </c>
      <c r="D206" s="6">
        <f>VLOOKUP(Vlookup!$B171,'CDCM Volume Forecasts'!$A$27:$AG$123,D$137,FALSE)</f>
        <v>0</v>
      </c>
      <c r="E206" s="10">
        <f>VLOOKUP(Vlookup!$B171,'CDCM Volume Forecasts'!$A$27:$AG$123,E$137,FALSE)</f>
        <v>0</v>
      </c>
      <c r="F206" s="6">
        <f>VLOOKUP(Vlookup!$B171,'CDCM Volume Forecasts'!$A$27:$AG$123,F$137,FALSE)</f>
        <v>0</v>
      </c>
      <c r="G206" s="6">
        <f>VLOOKUP(Vlookup!$B171,'CDCM Volume Forecasts'!$A$27:$AG$123,G$137,FALSE)</f>
        <v>0</v>
      </c>
      <c r="H206" s="7"/>
      <c r="I206"/>
      <c r="J206"/>
      <c r="K206"/>
    </row>
    <row r="207" spans="1:11" ht="15">
      <c r="A207" s="8" t="s">
        <v>187</v>
      </c>
      <c r="B207" s="4">
        <f>VLOOKUP(Vlookup!$B172,'CDCM Volume Forecasts'!$A$27:$AG$123,B$137,FALSE)</f>
        <v>0</v>
      </c>
      <c r="C207" s="6">
        <f>VLOOKUP(Vlookup!$B172,'CDCM Volume Forecasts'!$A$27:$AG$123,C$137,FALSE)</f>
        <v>0</v>
      </c>
      <c r="D207" s="6">
        <f>VLOOKUP(Vlookup!$B172,'CDCM Volume Forecasts'!$A$27:$AG$123,D$137,FALSE)</f>
        <v>0</v>
      </c>
      <c r="E207" s="10">
        <f>VLOOKUP(Vlookup!$B172,'CDCM Volume Forecasts'!$A$27:$AG$123,E$137,FALSE)</f>
        <v>0</v>
      </c>
      <c r="F207" s="6">
        <f>VLOOKUP(Vlookup!$B172,'CDCM Volume Forecasts'!$A$27:$AG$123,F$137,FALSE)</f>
        <v>0</v>
      </c>
      <c r="G207" s="6">
        <f>VLOOKUP(Vlookup!$B172,'CDCM Volume Forecasts'!$A$27:$AG$123,G$137,FALSE)</f>
        <v>0</v>
      </c>
      <c r="H207" s="7"/>
      <c r="I207"/>
      <c r="J207"/>
      <c r="K207"/>
    </row>
    <row r="208" spans="1:11" ht="15">
      <c r="A208" s="12" t="s">
        <v>188</v>
      </c>
      <c r="B208" s="13">
        <f>VLOOKUP(Vlookup!$B173,'CDCM Volume Forecasts'!$A$27:$AG$123,B$137,FALSE)</f>
        <v>0</v>
      </c>
      <c r="C208" s="13">
        <f>VLOOKUP(Vlookup!$B173,'CDCM Volume Forecasts'!$A$27:$AG$123,C$137,FALSE)</f>
        <v>0</v>
      </c>
      <c r="D208" s="13">
        <f>VLOOKUP(Vlookup!$B173,'CDCM Volume Forecasts'!$A$27:$AG$123,D$137,FALSE)</f>
        <v>0</v>
      </c>
      <c r="E208" s="13">
        <f>VLOOKUP(Vlookup!$B173,'CDCM Volume Forecasts'!$A$27:$AG$123,E$137,FALSE)</f>
        <v>0</v>
      </c>
      <c r="F208" s="13">
        <f>VLOOKUP(Vlookup!$B173,'CDCM Volume Forecasts'!$A$27:$AG$123,F$137,FALSE)</f>
        <v>0</v>
      </c>
      <c r="G208" s="13">
        <f>VLOOKUP(Vlookup!$B173,'CDCM Volume Forecasts'!$A$27:$AG$123,G$137,FALSE)</f>
        <v>0</v>
      </c>
      <c r="H208" s="7"/>
      <c r="I208"/>
      <c r="J208"/>
      <c r="K208"/>
    </row>
    <row r="209" spans="1:11" ht="15">
      <c r="A209" s="8" t="s">
        <v>135</v>
      </c>
      <c r="B209" s="4">
        <f>VLOOKUP(Vlookup!$B174,'CDCM Volume Forecasts'!$A$27:$AG$123,B$137,FALSE)</f>
        <v>12679.091510220966</v>
      </c>
      <c r="C209" s="4">
        <f>VLOOKUP(Vlookup!$B174,'CDCM Volume Forecasts'!$A$27:$AG$123,C$137,FALSE)</f>
        <v>30029.713146509384</v>
      </c>
      <c r="D209" s="4">
        <f>VLOOKUP(Vlookup!$B174,'CDCM Volume Forecasts'!$A$27:$AG$123,D$137,FALSE)</f>
        <v>206123.67095361077</v>
      </c>
      <c r="E209" s="10">
        <f>VLOOKUP(Vlookup!$B174,'CDCM Volume Forecasts'!$A$27:$AG$123,E$137,FALSE)</f>
        <v>20.263628938837371</v>
      </c>
      <c r="F209" s="6">
        <f>VLOOKUP(Vlookup!$B174,'CDCM Volume Forecasts'!$A$27:$AG$123,F$137,FALSE)</f>
        <v>0</v>
      </c>
      <c r="G209" s="6">
        <f>VLOOKUP(Vlookup!$B174,'CDCM Volume Forecasts'!$A$27:$AG$123,G$137,FALSE)</f>
        <v>0</v>
      </c>
      <c r="H209" s="7"/>
      <c r="I209"/>
      <c r="J209"/>
      <c r="K209"/>
    </row>
    <row r="210" spans="1:11" ht="15">
      <c r="A210" s="8" t="s">
        <v>189</v>
      </c>
      <c r="B210" s="4">
        <f>VLOOKUP(Vlookup!$B175,'CDCM Volume Forecasts'!$A$27:$AG$123,B$137,FALSE)</f>
        <v>0</v>
      </c>
      <c r="C210" s="4">
        <f>VLOOKUP(Vlookup!$B175,'CDCM Volume Forecasts'!$A$27:$AG$123,C$137,FALSE)</f>
        <v>0</v>
      </c>
      <c r="D210" s="4">
        <f>VLOOKUP(Vlookup!$B175,'CDCM Volume Forecasts'!$A$27:$AG$123,D$137,FALSE)</f>
        <v>0</v>
      </c>
      <c r="E210" s="10">
        <f>VLOOKUP(Vlookup!$B175,'CDCM Volume Forecasts'!$A$27:$AG$123,E$137,FALSE)</f>
        <v>0</v>
      </c>
      <c r="F210" s="6">
        <f>VLOOKUP(Vlookup!$B175,'CDCM Volume Forecasts'!$A$27:$AG$123,F$137,FALSE)</f>
        <v>0</v>
      </c>
      <c r="G210" s="6">
        <f>VLOOKUP(Vlookup!$B175,'CDCM Volume Forecasts'!$A$27:$AG$123,G$137,FALSE)</f>
        <v>0</v>
      </c>
      <c r="H210" s="7"/>
      <c r="I210"/>
      <c r="J210"/>
      <c r="K210"/>
    </row>
    <row r="211" spans="1:11" ht="15">
      <c r="A211" s="8" t="s">
        <v>190</v>
      </c>
      <c r="B211" s="4">
        <f>VLOOKUP(Vlookup!$B176,'CDCM Volume Forecasts'!$A$27:$AG$123,B$137,FALSE)</f>
        <v>0</v>
      </c>
      <c r="C211" s="4">
        <f>VLOOKUP(Vlookup!$B176,'CDCM Volume Forecasts'!$A$27:$AG$123,C$137,FALSE)</f>
        <v>0</v>
      </c>
      <c r="D211" s="4">
        <f>VLOOKUP(Vlookup!$B176,'CDCM Volume Forecasts'!$A$27:$AG$123,D$137,FALSE)</f>
        <v>0</v>
      </c>
      <c r="E211" s="10">
        <f>VLOOKUP(Vlookup!$B176,'CDCM Volume Forecasts'!$A$27:$AG$123,E$137,FALSE)</f>
        <v>0</v>
      </c>
      <c r="F211" s="6">
        <f>VLOOKUP(Vlookup!$B176,'CDCM Volume Forecasts'!$A$27:$AG$123,F$137,FALSE)</f>
        <v>0</v>
      </c>
      <c r="G211" s="6">
        <f>VLOOKUP(Vlookup!$B176,'CDCM Volume Forecasts'!$A$27:$AG$123,G$137,FALSE)</f>
        <v>0</v>
      </c>
      <c r="H211" s="7"/>
      <c r="I211"/>
      <c r="J211"/>
      <c r="K211"/>
    </row>
    <row r="212" spans="1:11" ht="15">
      <c r="A212" s="12" t="s">
        <v>1537</v>
      </c>
      <c r="B212" s="13">
        <f>VLOOKUP(Vlookup!$B177,'CDCM Volume Forecasts'!$A$27:$AG$123,B$137,FALSE)</f>
        <v>0</v>
      </c>
      <c r="C212" s="13">
        <f>VLOOKUP(Vlookup!$B177,'CDCM Volume Forecasts'!$A$27:$AG$123,C$137,FALSE)</f>
        <v>0</v>
      </c>
      <c r="D212" s="13">
        <f>VLOOKUP(Vlookup!$B177,'CDCM Volume Forecasts'!$A$27:$AG$123,D$137,FALSE)</f>
        <v>0</v>
      </c>
      <c r="E212" s="13">
        <f>VLOOKUP(Vlookup!$B177,'CDCM Volume Forecasts'!$A$27:$AG$123,E$137,FALSE)</f>
        <v>0</v>
      </c>
      <c r="F212" s="13">
        <f>VLOOKUP(Vlookup!$B177,'CDCM Volume Forecasts'!$A$27:$AG$123,F$137,FALSE)</f>
        <v>0</v>
      </c>
      <c r="G212" s="13">
        <f>VLOOKUP(Vlookup!$B177,'CDCM Volume Forecasts'!$A$27:$AG$123,G$137,FALSE)</f>
        <v>0</v>
      </c>
      <c r="H212" s="7"/>
      <c r="I212"/>
      <c r="J212"/>
      <c r="K212"/>
    </row>
    <row r="213" spans="1:11" ht="15">
      <c r="A213" s="8" t="s">
        <v>1534</v>
      </c>
      <c r="B213" s="4">
        <f>VLOOKUP(Vlookup!$B178,'CDCM Volume Forecasts'!$A$27:$AG$123,B$137,FALSE)</f>
        <v>1660.7170232592748</v>
      </c>
      <c r="C213" s="6">
        <f>VLOOKUP(Vlookup!$B178,'CDCM Volume Forecasts'!$A$27:$AG$123,C$137,FALSE)</f>
        <v>0</v>
      </c>
      <c r="D213" s="6">
        <f>VLOOKUP(Vlookup!$B178,'CDCM Volume Forecasts'!$A$27:$AG$123,D$137,FALSE)</f>
        <v>0</v>
      </c>
      <c r="E213" s="10">
        <f>VLOOKUP(Vlookup!$B178,'CDCM Volume Forecasts'!$A$27:$AG$123,E$137,FALSE)</f>
        <v>119.55541073914044</v>
      </c>
      <c r="F213" s="6">
        <f>VLOOKUP(Vlookup!$B178,'CDCM Volume Forecasts'!$A$27:$AG$123,F$137,FALSE)</f>
        <v>0</v>
      </c>
      <c r="G213" s="6">
        <f>VLOOKUP(Vlookup!$B178,'CDCM Volume Forecasts'!$A$27:$AG$123,G$137,FALSE)</f>
        <v>0</v>
      </c>
      <c r="H213" s="7"/>
      <c r="I213"/>
      <c r="J213"/>
      <c r="K213"/>
    </row>
    <row r="214" spans="1:11" ht="15">
      <c r="A214" s="8" t="s">
        <v>1531</v>
      </c>
      <c r="B214" s="4">
        <f>VLOOKUP(Vlookup!$B179,'CDCM Volume Forecasts'!$A$27:$AG$123,B$137,FALSE)</f>
        <v>0</v>
      </c>
      <c r="C214" s="6">
        <f>VLOOKUP(Vlookup!$B179,'CDCM Volume Forecasts'!$A$27:$AG$123,C$137,FALSE)</f>
        <v>0</v>
      </c>
      <c r="D214" s="6">
        <f>VLOOKUP(Vlookup!$B179,'CDCM Volume Forecasts'!$A$27:$AG$123,D$137,FALSE)</f>
        <v>0</v>
      </c>
      <c r="E214" s="10">
        <f>VLOOKUP(Vlookup!$B179,'CDCM Volume Forecasts'!$A$27:$AG$123,E$137,FALSE)</f>
        <v>0</v>
      </c>
      <c r="F214" s="6">
        <f>VLOOKUP(Vlookup!$B179,'CDCM Volume Forecasts'!$A$27:$AG$123,F$137,FALSE)</f>
        <v>0</v>
      </c>
      <c r="G214" s="6">
        <f>VLOOKUP(Vlookup!$B179,'CDCM Volume Forecasts'!$A$27:$AG$123,G$137,FALSE)</f>
        <v>0</v>
      </c>
      <c r="H214" s="7"/>
      <c r="I214"/>
      <c r="J214"/>
      <c r="K214"/>
    </row>
    <row r="215" spans="1:11" ht="15">
      <c r="A215" s="8" t="s">
        <v>1528</v>
      </c>
      <c r="B215" s="4">
        <f>VLOOKUP(Vlookup!$B180,'CDCM Volume Forecasts'!$A$27:$AG$123,B$137,FALSE)</f>
        <v>0</v>
      </c>
      <c r="C215" s="6">
        <f>VLOOKUP(Vlookup!$B180,'CDCM Volume Forecasts'!$A$27:$AG$123,C$137,FALSE)</f>
        <v>0</v>
      </c>
      <c r="D215" s="6">
        <f>VLOOKUP(Vlookup!$B180,'CDCM Volume Forecasts'!$A$27:$AG$123,D$137,FALSE)</f>
        <v>0</v>
      </c>
      <c r="E215" s="10">
        <f>VLOOKUP(Vlookup!$B180,'CDCM Volume Forecasts'!$A$27:$AG$123,E$137,FALSE)</f>
        <v>0</v>
      </c>
      <c r="F215" s="6">
        <f>VLOOKUP(Vlookup!$B180,'CDCM Volume Forecasts'!$A$27:$AG$123,F$137,FALSE)</f>
        <v>0</v>
      </c>
      <c r="G215" s="6">
        <f>VLOOKUP(Vlookup!$B180,'CDCM Volume Forecasts'!$A$27:$AG$123,G$137,FALSE)</f>
        <v>0</v>
      </c>
      <c r="H215" s="7"/>
      <c r="I215"/>
      <c r="J215"/>
      <c r="K215"/>
    </row>
    <row r="216" spans="1:11" ht="15">
      <c r="A216" s="12" t="s">
        <v>191</v>
      </c>
      <c r="B216" s="13">
        <f>VLOOKUP(Vlookup!$B181,'CDCM Volume Forecasts'!$A$27:$AG$123,B$137,FALSE)</f>
        <v>0</v>
      </c>
      <c r="C216" s="13">
        <f>VLOOKUP(Vlookup!$B181,'CDCM Volume Forecasts'!$A$27:$AG$123,C$137,FALSE)</f>
        <v>0</v>
      </c>
      <c r="D216" s="13">
        <f>VLOOKUP(Vlookup!$B181,'CDCM Volume Forecasts'!$A$27:$AG$123,D$137,FALSE)</f>
        <v>0</v>
      </c>
      <c r="E216" s="13">
        <f>VLOOKUP(Vlookup!$B181,'CDCM Volume Forecasts'!$A$27:$AG$123,E$137,FALSE)</f>
        <v>0</v>
      </c>
      <c r="F216" s="13">
        <f>VLOOKUP(Vlookup!$B181,'CDCM Volume Forecasts'!$A$27:$AG$123,F$137,FALSE)</f>
        <v>0</v>
      </c>
      <c r="G216" s="13">
        <f>VLOOKUP(Vlookup!$B181,'CDCM Volume Forecasts'!$A$27:$AG$123,G$137,FALSE)</f>
        <v>0</v>
      </c>
      <c r="H216" s="7"/>
      <c r="I216"/>
      <c r="J216"/>
      <c r="K216"/>
    </row>
    <row r="217" spans="1:11" ht="15">
      <c r="A217" s="8" t="s">
        <v>100</v>
      </c>
      <c r="B217" s="4">
        <f>VLOOKUP(Vlookup!$B182,'CDCM Volume Forecasts'!$A$27:$AG$123,B$137,FALSE)</f>
        <v>0</v>
      </c>
      <c r="C217" s="6">
        <f>VLOOKUP(Vlookup!$B182,'CDCM Volume Forecasts'!$A$27:$AG$123,C$137,FALSE)</f>
        <v>0</v>
      </c>
      <c r="D217" s="6">
        <f>VLOOKUP(Vlookup!$B182,'CDCM Volume Forecasts'!$A$27:$AG$123,D$137,FALSE)</f>
        <v>0</v>
      </c>
      <c r="E217" s="10">
        <f>VLOOKUP(Vlookup!$B182,'CDCM Volume Forecasts'!$A$27:$AG$123,E$137,FALSE)</f>
        <v>0</v>
      </c>
      <c r="F217" s="6">
        <f>VLOOKUP(Vlookup!$B182,'CDCM Volume Forecasts'!$A$27:$AG$123,F$137,FALSE)</f>
        <v>0</v>
      </c>
      <c r="G217" s="6">
        <f>VLOOKUP(Vlookup!$B182,'CDCM Volume Forecasts'!$A$27:$AG$123,G$137,FALSE)</f>
        <v>0</v>
      </c>
      <c r="H217" s="7"/>
      <c r="I217"/>
      <c r="J217"/>
      <c r="K217"/>
    </row>
    <row r="218" spans="1:11" ht="15">
      <c r="A218" s="8" t="s">
        <v>192</v>
      </c>
      <c r="B218" s="4">
        <f>VLOOKUP(Vlookup!$B183,'CDCM Volume Forecasts'!$A$27:$AG$123,B$137,FALSE)</f>
        <v>0</v>
      </c>
      <c r="C218" s="6">
        <f>VLOOKUP(Vlookup!$B183,'CDCM Volume Forecasts'!$A$27:$AG$123,C$137,FALSE)</f>
        <v>0</v>
      </c>
      <c r="D218" s="6">
        <f>VLOOKUP(Vlookup!$B183,'CDCM Volume Forecasts'!$A$27:$AG$123,D$137,FALSE)</f>
        <v>0</v>
      </c>
      <c r="E218" s="10">
        <f>VLOOKUP(Vlookup!$B183,'CDCM Volume Forecasts'!$A$27:$AG$123,E$137,FALSE)</f>
        <v>0</v>
      </c>
      <c r="F218" s="6">
        <f>VLOOKUP(Vlookup!$B183,'CDCM Volume Forecasts'!$A$27:$AG$123,F$137,FALSE)</f>
        <v>0</v>
      </c>
      <c r="G218" s="6">
        <f>VLOOKUP(Vlookup!$B183,'CDCM Volume Forecasts'!$A$27:$AG$123,G$137,FALSE)</f>
        <v>0</v>
      </c>
      <c r="H218" s="7"/>
      <c r="I218"/>
      <c r="J218"/>
      <c r="K218"/>
    </row>
    <row r="219" spans="1:11" ht="15">
      <c r="A219" s="12" t="s">
        <v>193</v>
      </c>
      <c r="B219" s="13">
        <f>VLOOKUP(Vlookup!$B184,'CDCM Volume Forecasts'!$A$27:$AG$123,B$137,FALSE)</f>
        <v>0</v>
      </c>
      <c r="C219" s="13">
        <f>VLOOKUP(Vlookup!$B184,'CDCM Volume Forecasts'!$A$27:$AG$123,C$137,FALSE)</f>
        <v>0</v>
      </c>
      <c r="D219" s="13">
        <f>VLOOKUP(Vlookup!$B184,'CDCM Volume Forecasts'!$A$27:$AG$123,D$137,FALSE)</f>
        <v>0</v>
      </c>
      <c r="E219" s="13">
        <f>VLOOKUP(Vlookup!$B184,'CDCM Volume Forecasts'!$A$27:$AG$123,E$137,FALSE)</f>
        <v>0</v>
      </c>
      <c r="F219" s="13">
        <f>VLOOKUP(Vlookup!$B184,'CDCM Volume Forecasts'!$A$27:$AG$123,F$137,FALSE)</f>
        <v>0</v>
      </c>
      <c r="G219" s="13">
        <f>VLOOKUP(Vlookup!$B184,'CDCM Volume Forecasts'!$A$27:$AG$123,G$137,FALSE)</f>
        <v>0</v>
      </c>
      <c r="H219" s="7"/>
      <c r="I219"/>
      <c r="J219"/>
      <c r="K219"/>
    </row>
    <row r="220" spans="1:11" ht="15">
      <c r="A220" s="8" t="s">
        <v>101</v>
      </c>
      <c r="B220" s="4">
        <f>VLOOKUP(Vlookup!$B185,'CDCM Volume Forecasts'!$A$27:$AG$123,B$137,FALSE)</f>
        <v>24996.858841456458</v>
      </c>
      <c r="C220" s="6">
        <f>VLOOKUP(Vlookup!$B185,'CDCM Volume Forecasts'!$A$27:$AG$123,C$137,FALSE)</f>
        <v>0</v>
      </c>
      <c r="D220" s="6">
        <f>VLOOKUP(Vlookup!$B185,'CDCM Volume Forecasts'!$A$27:$AG$123,D$137,FALSE)</f>
        <v>0</v>
      </c>
      <c r="E220" s="10">
        <f>VLOOKUP(Vlookup!$B185,'CDCM Volume Forecasts'!$A$27:$AG$123,E$137,FALSE)</f>
        <v>167.17493874540833</v>
      </c>
      <c r="F220" s="6">
        <f>VLOOKUP(Vlookup!$B185,'CDCM Volume Forecasts'!$A$27:$AG$123,F$137,FALSE)</f>
        <v>0</v>
      </c>
      <c r="G220" s="4">
        <f>VLOOKUP(Vlookup!$B185,'CDCM Volume Forecasts'!$A$27:$AG$123,G$137,FALSE)</f>
        <v>1833.7618341721654</v>
      </c>
      <c r="H220" s="7"/>
      <c r="I220"/>
      <c r="J220"/>
      <c r="K220"/>
    </row>
    <row r="221" spans="1:11" ht="15">
      <c r="A221" s="8" t="s">
        <v>194</v>
      </c>
      <c r="B221" s="4">
        <f>VLOOKUP(Vlookup!$B186,'CDCM Volume Forecasts'!$A$27:$AG$123,B$137,FALSE)</f>
        <v>0</v>
      </c>
      <c r="C221" s="6">
        <f>VLOOKUP(Vlookup!$B186,'CDCM Volume Forecasts'!$A$27:$AG$123,C$137,FALSE)</f>
        <v>0</v>
      </c>
      <c r="D221" s="6">
        <f>VLOOKUP(Vlookup!$B186,'CDCM Volume Forecasts'!$A$27:$AG$123,D$137,FALSE)</f>
        <v>0</v>
      </c>
      <c r="E221" s="10">
        <f>VLOOKUP(Vlookup!$B186,'CDCM Volume Forecasts'!$A$27:$AG$123,E$137,FALSE)</f>
        <v>0</v>
      </c>
      <c r="F221" s="6">
        <f>VLOOKUP(Vlookup!$B186,'CDCM Volume Forecasts'!$A$27:$AG$123,F$137,FALSE)</f>
        <v>0</v>
      </c>
      <c r="G221" s="4">
        <f>VLOOKUP(Vlookup!$B186,'CDCM Volume Forecasts'!$A$27:$AG$123,G$137,FALSE)</f>
        <v>0</v>
      </c>
      <c r="H221" s="7"/>
      <c r="I221"/>
      <c r="J221"/>
      <c r="K221"/>
    </row>
    <row r="222" spans="1:11" ht="15">
      <c r="A222" s="8" t="s">
        <v>195</v>
      </c>
      <c r="B222" s="4">
        <f>VLOOKUP(Vlookup!$B187,'CDCM Volume Forecasts'!$A$27:$AG$123,B$137,FALSE)</f>
        <v>67.449079939668152</v>
      </c>
      <c r="C222" s="6">
        <f>VLOOKUP(Vlookup!$B187,'CDCM Volume Forecasts'!$A$27:$AG$123,C$137,FALSE)</f>
        <v>0</v>
      </c>
      <c r="D222" s="6">
        <f>VLOOKUP(Vlookup!$B187,'CDCM Volume Forecasts'!$A$27:$AG$123,D$137,FALSE)</f>
        <v>0</v>
      </c>
      <c r="E222" s="10">
        <f>VLOOKUP(Vlookup!$B187,'CDCM Volume Forecasts'!$A$27:$AG$123,E$137,FALSE)</f>
        <v>0</v>
      </c>
      <c r="F222" s="6">
        <f>VLOOKUP(Vlookup!$B187,'CDCM Volume Forecasts'!$A$27:$AG$123,F$137,FALSE)</f>
        <v>0</v>
      </c>
      <c r="G222" s="4">
        <f>VLOOKUP(Vlookup!$B187,'CDCM Volume Forecasts'!$A$27:$AG$123,G$137,FALSE)</f>
        <v>40.276868917141599</v>
      </c>
      <c r="H222" s="7"/>
      <c r="I222"/>
      <c r="J222"/>
      <c r="K222"/>
    </row>
    <row r="223" spans="1:11" ht="15">
      <c r="A223" s="12" t="s">
        <v>196</v>
      </c>
      <c r="B223" s="13">
        <f>VLOOKUP(Vlookup!$B188,'CDCM Volume Forecasts'!$A$27:$AG$123,B$137,FALSE)</f>
        <v>0</v>
      </c>
      <c r="C223" s="13">
        <f>VLOOKUP(Vlookup!$B188,'CDCM Volume Forecasts'!$A$27:$AG$123,C$137,FALSE)</f>
        <v>0</v>
      </c>
      <c r="D223" s="13">
        <f>VLOOKUP(Vlookup!$B188,'CDCM Volume Forecasts'!$A$27:$AG$123,D$137,FALSE)</f>
        <v>0</v>
      </c>
      <c r="E223" s="13">
        <f>VLOOKUP(Vlookup!$B188,'CDCM Volume Forecasts'!$A$27:$AG$123,E$137,FALSE)</f>
        <v>0</v>
      </c>
      <c r="F223" s="13">
        <f>VLOOKUP(Vlookup!$B188,'CDCM Volume Forecasts'!$A$27:$AG$123,F$137,FALSE)</f>
        <v>0</v>
      </c>
      <c r="G223" s="13">
        <f>VLOOKUP(Vlookup!$B188,'CDCM Volume Forecasts'!$A$27:$AG$123,G$137,FALSE)</f>
        <v>0</v>
      </c>
      <c r="H223" s="7"/>
      <c r="I223"/>
      <c r="J223"/>
      <c r="K223"/>
    </row>
    <row r="224" spans="1:11" ht="15">
      <c r="A224" s="8" t="s">
        <v>102</v>
      </c>
      <c r="B224" s="4">
        <f>VLOOKUP(Vlookup!$B189,'CDCM Volume Forecasts'!$A$27:$AG$123,B$137,FALSE)</f>
        <v>826.92226302739937</v>
      </c>
      <c r="C224" s="4">
        <f>VLOOKUP(Vlookup!$B189,'CDCM Volume Forecasts'!$A$27:$AG$123,C$137,FALSE)</f>
        <v>3731.6613783210264</v>
      </c>
      <c r="D224" s="4">
        <f>VLOOKUP(Vlookup!$B189,'CDCM Volume Forecasts'!$A$27:$AG$123,D$137,FALSE)</f>
        <v>5008.4114190363289</v>
      </c>
      <c r="E224" s="10">
        <f>VLOOKUP(Vlookup!$B189,'CDCM Volume Forecasts'!$A$27:$AG$123,E$137,FALSE)</f>
        <v>86.120422990058827</v>
      </c>
      <c r="F224" s="6">
        <f>VLOOKUP(Vlookup!$B189,'CDCM Volume Forecasts'!$A$27:$AG$123,F$137,FALSE)</f>
        <v>0</v>
      </c>
      <c r="G224" s="4">
        <f>VLOOKUP(Vlookup!$B189,'CDCM Volume Forecasts'!$A$27:$AG$123,G$137,FALSE)</f>
        <v>497.09178617320293</v>
      </c>
      <c r="H224" s="7"/>
      <c r="I224"/>
      <c r="J224"/>
      <c r="K224"/>
    </row>
    <row r="225" spans="1:11" ht="15">
      <c r="A225" s="8" t="s">
        <v>197</v>
      </c>
      <c r="B225" s="4">
        <f>VLOOKUP(Vlookup!$B190,'CDCM Volume Forecasts'!$A$27:$AG$123,B$137,FALSE)</f>
        <v>0</v>
      </c>
      <c r="C225" s="4">
        <f>VLOOKUP(Vlookup!$B190,'CDCM Volume Forecasts'!$A$27:$AG$123,C$137,FALSE)</f>
        <v>0</v>
      </c>
      <c r="D225" s="4">
        <f>VLOOKUP(Vlookup!$B190,'CDCM Volume Forecasts'!$A$27:$AG$123,D$137,FALSE)</f>
        <v>0</v>
      </c>
      <c r="E225" s="10">
        <f>VLOOKUP(Vlookup!$B190,'CDCM Volume Forecasts'!$A$27:$AG$123,E$137,FALSE)</f>
        <v>0</v>
      </c>
      <c r="F225" s="6">
        <f>VLOOKUP(Vlookup!$B190,'CDCM Volume Forecasts'!$A$27:$AG$123,F$137,FALSE)</f>
        <v>0</v>
      </c>
      <c r="G225" s="4">
        <f>VLOOKUP(Vlookup!$B190,'CDCM Volume Forecasts'!$A$27:$AG$123,G$137,FALSE)</f>
        <v>0</v>
      </c>
      <c r="H225" s="7"/>
      <c r="I225"/>
      <c r="J225"/>
      <c r="K225"/>
    </row>
    <row r="226" spans="1:11" ht="15">
      <c r="A226" s="8" t="s">
        <v>198</v>
      </c>
      <c r="B226" s="4">
        <f>VLOOKUP(Vlookup!$B191,'CDCM Volume Forecasts'!$A$27:$AG$123,B$137,FALSE)</f>
        <v>0.3293543489190548</v>
      </c>
      <c r="C226" s="4">
        <f>VLOOKUP(Vlookup!$B191,'CDCM Volume Forecasts'!$A$27:$AG$123,C$137,FALSE)</f>
        <v>0</v>
      </c>
      <c r="D226" s="4">
        <f>VLOOKUP(Vlookup!$B191,'CDCM Volume Forecasts'!$A$27:$AG$123,D$137,FALSE)</f>
        <v>0</v>
      </c>
      <c r="E226" s="10">
        <f>VLOOKUP(Vlookup!$B191,'CDCM Volume Forecasts'!$A$27:$AG$123,E$137,FALSE)</f>
        <v>0</v>
      </c>
      <c r="F226" s="6">
        <f>VLOOKUP(Vlookup!$B191,'CDCM Volume Forecasts'!$A$27:$AG$123,F$137,FALSE)</f>
        <v>0</v>
      </c>
      <c r="G226" s="4">
        <f>VLOOKUP(Vlookup!$B191,'CDCM Volume Forecasts'!$A$27:$AG$123,G$137,FALSE)</f>
        <v>0.38239675580885579</v>
      </c>
      <c r="H226" s="7"/>
      <c r="I226"/>
      <c r="J226"/>
      <c r="K226"/>
    </row>
    <row r="227" spans="1:11" ht="15">
      <c r="A227" s="12" t="s">
        <v>199</v>
      </c>
      <c r="B227" s="13">
        <f>VLOOKUP(Vlookup!$B192,'CDCM Volume Forecasts'!$A$27:$AG$123,B$137,FALSE)</f>
        <v>0</v>
      </c>
      <c r="C227" s="13">
        <f>VLOOKUP(Vlookup!$B192,'CDCM Volume Forecasts'!$A$27:$AG$123,C$137,FALSE)</f>
        <v>0</v>
      </c>
      <c r="D227" s="13">
        <f>VLOOKUP(Vlookup!$B192,'CDCM Volume Forecasts'!$A$27:$AG$123,D$137,FALSE)</f>
        <v>0</v>
      </c>
      <c r="E227" s="13">
        <f>VLOOKUP(Vlookup!$B192,'CDCM Volume Forecasts'!$A$27:$AG$123,E$137,FALSE)</f>
        <v>0</v>
      </c>
      <c r="F227" s="13">
        <f>VLOOKUP(Vlookup!$B192,'CDCM Volume Forecasts'!$A$27:$AG$123,F$137,FALSE)</f>
        <v>0</v>
      </c>
      <c r="G227" s="13">
        <f>VLOOKUP(Vlookup!$B192,'CDCM Volume Forecasts'!$A$27:$AG$123,G$137,FALSE)</f>
        <v>0</v>
      </c>
      <c r="H227" s="7"/>
      <c r="I227"/>
      <c r="J227"/>
      <c r="K227"/>
    </row>
    <row r="228" spans="1:11" ht="15">
      <c r="A228" s="8" t="s">
        <v>103</v>
      </c>
      <c r="B228" s="4">
        <f>VLOOKUP(Vlookup!$B193,'CDCM Volume Forecasts'!$A$27:$AG$123,B$137,FALSE)</f>
        <v>1213.6794216291853</v>
      </c>
      <c r="C228" s="6">
        <f>VLOOKUP(Vlookup!$B193,'CDCM Volume Forecasts'!$A$27:$AG$123,C$137,FALSE)</f>
        <v>0</v>
      </c>
      <c r="D228" s="6">
        <f>VLOOKUP(Vlookup!$B193,'CDCM Volume Forecasts'!$A$27:$AG$123,D$137,FALSE)</f>
        <v>0</v>
      </c>
      <c r="E228" s="10">
        <f>VLOOKUP(Vlookup!$B193,'CDCM Volume Forecasts'!$A$27:$AG$123,E$137,FALSE)</f>
        <v>5.0659072347093428</v>
      </c>
      <c r="F228" s="6">
        <f>VLOOKUP(Vlookup!$B193,'CDCM Volume Forecasts'!$A$27:$AG$123,F$137,FALSE)</f>
        <v>0</v>
      </c>
      <c r="G228" s="4">
        <f>VLOOKUP(Vlookup!$B193,'CDCM Volume Forecasts'!$A$27:$AG$123,G$137,FALSE)</f>
        <v>124.64962312250731</v>
      </c>
      <c r="H228" s="7"/>
      <c r="I228"/>
      <c r="J228"/>
      <c r="K228"/>
    </row>
    <row r="229" spans="1:11" ht="15">
      <c r="A229" s="8" t="s">
        <v>200</v>
      </c>
      <c r="B229" s="4">
        <f>VLOOKUP(Vlookup!$B194,'CDCM Volume Forecasts'!$A$27:$AG$123,B$137,FALSE)</f>
        <v>0</v>
      </c>
      <c r="C229" s="6">
        <f>VLOOKUP(Vlookup!$B194,'CDCM Volume Forecasts'!$A$27:$AG$123,C$137,FALSE)</f>
        <v>0</v>
      </c>
      <c r="D229" s="6">
        <f>VLOOKUP(Vlookup!$B194,'CDCM Volume Forecasts'!$A$27:$AG$123,D$137,FALSE)</f>
        <v>0</v>
      </c>
      <c r="E229" s="10">
        <f>VLOOKUP(Vlookup!$B194,'CDCM Volume Forecasts'!$A$27:$AG$123,E$137,FALSE)</f>
        <v>0</v>
      </c>
      <c r="F229" s="6">
        <f>VLOOKUP(Vlookup!$B194,'CDCM Volume Forecasts'!$A$27:$AG$123,F$137,FALSE)</f>
        <v>0</v>
      </c>
      <c r="G229" s="4">
        <f>VLOOKUP(Vlookup!$B194,'CDCM Volume Forecasts'!$A$27:$AG$123,G$137,FALSE)</f>
        <v>0</v>
      </c>
      <c r="H229" s="7"/>
      <c r="I229"/>
      <c r="J229"/>
      <c r="K229"/>
    </row>
    <row r="230" spans="1:11" ht="15">
      <c r="A230" s="12" t="s">
        <v>201</v>
      </c>
      <c r="B230" s="13">
        <f>VLOOKUP(Vlookup!$B195,'CDCM Volume Forecasts'!$A$27:$AG$123,B$137,FALSE)</f>
        <v>0</v>
      </c>
      <c r="C230" s="13">
        <f>VLOOKUP(Vlookup!$B195,'CDCM Volume Forecasts'!$A$27:$AG$123,C$137,FALSE)</f>
        <v>0</v>
      </c>
      <c r="D230" s="13">
        <f>VLOOKUP(Vlookup!$B195,'CDCM Volume Forecasts'!$A$27:$AG$123,D$137,FALSE)</f>
        <v>0</v>
      </c>
      <c r="E230" s="13">
        <f>VLOOKUP(Vlookup!$B195,'CDCM Volume Forecasts'!$A$27:$AG$123,E$137,FALSE)</f>
        <v>0</v>
      </c>
      <c r="F230" s="13">
        <f>VLOOKUP(Vlookup!$B195,'CDCM Volume Forecasts'!$A$27:$AG$123,F$137,FALSE)</f>
        <v>0</v>
      </c>
      <c r="G230" s="13">
        <f>VLOOKUP(Vlookup!$B195,'CDCM Volume Forecasts'!$A$27:$AG$123,G$137,FALSE)</f>
        <v>0</v>
      </c>
      <c r="H230" s="7"/>
      <c r="I230"/>
      <c r="J230"/>
      <c r="K230"/>
    </row>
    <row r="231" spans="1:11" ht="15">
      <c r="A231" s="8" t="s">
        <v>104</v>
      </c>
      <c r="B231" s="4">
        <f>VLOOKUP(Vlookup!$B196,'CDCM Volume Forecasts'!$A$27:$AG$123,B$137,FALSE)</f>
        <v>1398.4642496253416</v>
      </c>
      <c r="C231" s="4">
        <f>VLOOKUP(Vlookup!$B196,'CDCM Volume Forecasts'!$A$27:$AG$123,C$137,FALSE)</f>
        <v>3179.9868408000002</v>
      </c>
      <c r="D231" s="4">
        <f>VLOOKUP(Vlookup!$B196,'CDCM Volume Forecasts'!$A$27:$AG$123,D$137,FALSE)</f>
        <v>6128.1571032000011</v>
      </c>
      <c r="E231" s="10">
        <f>VLOOKUP(Vlookup!$B196,'CDCM Volume Forecasts'!$A$27:$AG$123,E$137,FALSE)</f>
        <v>4.0527257877674732</v>
      </c>
      <c r="F231" s="6">
        <f>VLOOKUP(Vlookup!$B196,'CDCM Volume Forecasts'!$A$27:$AG$123,F$137,FALSE)</f>
        <v>0</v>
      </c>
      <c r="G231" s="4">
        <f>VLOOKUP(Vlookup!$B196,'CDCM Volume Forecasts'!$A$27:$AG$123,G$137,FALSE)</f>
        <v>8.8798433495988469</v>
      </c>
      <c r="H231" s="7"/>
      <c r="I231"/>
      <c r="J231"/>
      <c r="K231"/>
    </row>
    <row r="232" spans="1:11" ht="15">
      <c r="A232" s="8" t="s">
        <v>202</v>
      </c>
      <c r="B232" s="4">
        <f>VLOOKUP(Vlookup!$B197,'CDCM Volume Forecasts'!$A$27:$AG$123,B$137,FALSE)</f>
        <v>0</v>
      </c>
      <c r="C232" s="4">
        <f>VLOOKUP(Vlookup!$B197,'CDCM Volume Forecasts'!$A$27:$AG$123,C$137,FALSE)</f>
        <v>0</v>
      </c>
      <c r="D232" s="4">
        <f>VLOOKUP(Vlookup!$B197,'CDCM Volume Forecasts'!$A$27:$AG$123,D$137,FALSE)</f>
        <v>0</v>
      </c>
      <c r="E232" s="10">
        <f>VLOOKUP(Vlookup!$B197,'CDCM Volume Forecasts'!$A$27:$AG$123,E$137,FALSE)</f>
        <v>0</v>
      </c>
      <c r="F232" s="6">
        <f>VLOOKUP(Vlookup!$B197,'CDCM Volume Forecasts'!$A$27:$AG$123,F$137,FALSE)</f>
        <v>0</v>
      </c>
      <c r="G232" s="4">
        <f>VLOOKUP(Vlookup!$B197,'CDCM Volume Forecasts'!$A$27:$AG$123,G$137,FALSE)</f>
        <v>0</v>
      </c>
      <c r="H232" s="7"/>
      <c r="I232"/>
      <c r="J232"/>
      <c r="K232"/>
    </row>
    <row r="233" spans="1:11" ht="15">
      <c r="A233" s="12" t="s">
        <v>203</v>
      </c>
      <c r="B233" s="13">
        <f>VLOOKUP(Vlookup!$B198,'CDCM Volume Forecasts'!$A$27:$AG$123,B$137,FALSE)</f>
        <v>0</v>
      </c>
      <c r="C233" s="13">
        <f>VLOOKUP(Vlookup!$B198,'CDCM Volume Forecasts'!$A$27:$AG$123,C$137,FALSE)</f>
        <v>0</v>
      </c>
      <c r="D233" s="13">
        <f>VLOOKUP(Vlookup!$B198,'CDCM Volume Forecasts'!$A$27:$AG$123,D$137,FALSE)</f>
        <v>0</v>
      </c>
      <c r="E233" s="13">
        <f>VLOOKUP(Vlookup!$B198,'CDCM Volume Forecasts'!$A$27:$AG$123,E$137,FALSE)</f>
        <v>0</v>
      </c>
      <c r="F233" s="13">
        <f>VLOOKUP(Vlookup!$B198,'CDCM Volume Forecasts'!$A$27:$AG$123,F$137,FALSE)</f>
        <v>0</v>
      </c>
      <c r="G233" s="13">
        <f>VLOOKUP(Vlookup!$B198,'CDCM Volume Forecasts'!$A$27:$AG$123,G$137,FALSE)</f>
        <v>0</v>
      </c>
      <c r="H233" s="7"/>
      <c r="I233"/>
      <c r="J233"/>
      <c r="K233"/>
    </row>
    <row r="234" spans="1:11" ht="15">
      <c r="A234" s="8" t="s">
        <v>112</v>
      </c>
      <c r="B234" s="4">
        <f>VLOOKUP(Vlookup!$B199,'CDCM Volume Forecasts'!$A$27:$AG$123,B$137,FALSE)</f>
        <v>95543.871083999999</v>
      </c>
      <c r="C234" s="6">
        <f>VLOOKUP(Vlookup!$B199,'CDCM Volume Forecasts'!$A$27:$AG$123,C$137,FALSE)</f>
        <v>0</v>
      </c>
      <c r="D234" s="6">
        <f>VLOOKUP(Vlookup!$B199,'CDCM Volume Forecasts'!$A$27:$AG$123,D$137,FALSE)</f>
        <v>0</v>
      </c>
      <c r="E234" s="10">
        <f>VLOOKUP(Vlookup!$B199,'CDCM Volume Forecasts'!$A$27:$AG$123,E$137,FALSE)</f>
        <v>55.359020484258814</v>
      </c>
      <c r="F234" s="6">
        <f>VLOOKUP(Vlookup!$B199,'CDCM Volume Forecasts'!$A$27:$AG$123,F$137,FALSE)</f>
        <v>0</v>
      </c>
      <c r="G234" s="4">
        <f>VLOOKUP(Vlookup!$B199,'CDCM Volume Forecasts'!$A$27:$AG$123,G$137,FALSE)</f>
        <v>3144.8579734229206</v>
      </c>
      <c r="H234" s="7"/>
      <c r="I234"/>
      <c r="J234"/>
      <c r="K234"/>
    </row>
    <row r="235" spans="1:11" ht="15">
      <c r="A235" s="8" t="s">
        <v>204</v>
      </c>
      <c r="B235" s="4">
        <f>VLOOKUP(Vlookup!$B200,'CDCM Volume Forecasts'!$A$27:$AG$123,B$137,FALSE)</f>
        <v>0</v>
      </c>
      <c r="C235" s="6">
        <f>VLOOKUP(Vlookup!$B200,'CDCM Volume Forecasts'!$A$27:$AG$123,C$137,FALSE)</f>
        <v>0</v>
      </c>
      <c r="D235" s="6">
        <f>VLOOKUP(Vlookup!$B200,'CDCM Volume Forecasts'!$A$27:$AG$123,D$137,FALSE)</f>
        <v>0</v>
      </c>
      <c r="E235" s="10">
        <f>VLOOKUP(Vlookup!$B200,'CDCM Volume Forecasts'!$A$27:$AG$123,E$137,FALSE)</f>
        <v>0</v>
      </c>
      <c r="F235" s="6">
        <f>VLOOKUP(Vlookup!$B200,'CDCM Volume Forecasts'!$A$27:$AG$123,F$137,FALSE)</f>
        <v>0</v>
      </c>
      <c r="G235" s="4">
        <f>VLOOKUP(Vlookup!$B200,'CDCM Volume Forecasts'!$A$27:$AG$123,G$137,FALSE)</f>
        <v>0</v>
      </c>
      <c r="H235" s="7"/>
      <c r="I235"/>
      <c r="J235"/>
      <c r="K235"/>
    </row>
    <row r="236" spans="1:11" ht="15">
      <c r="A236" s="12" t="s">
        <v>205</v>
      </c>
      <c r="B236" s="13">
        <f>VLOOKUP(Vlookup!$B201,'CDCM Volume Forecasts'!$A$27:$AG$123,B$137,FALSE)</f>
        <v>0</v>
      </c>
      <c r="C236" s="13">
        <f>VLOOKUP(Vlookup!$B201,'CDCM Volume Forecasts'!$A$27:$AG$123,C$137,FALSE)</f>
        <v>0</v>
      </c>
      <c r="D236" s="13">
        <f>VLOOKUP(Vlookup!$B201,'CDCM Volume Forecasts'!$A$27:$AG$123,D$137,FALSE)</f>
        <v>0</v>
      </c>
      <c r="E236" s="13">
        <f>VLOOKUP(Vlookup!$B201,'CDCM Volume Forecasts'!$A$27:$AG$123,E$137,FALSE)</f>
        <v>0</v>
      </c>
      <c r="F236" s="13">
        <f>VLOOKUP(Vlookup!$B201,'CDCM Volume Forecasts'!$A$27:$AG$123,F$137,FALSE)</f>
        <v>0</v>
      </c>
      <c r="G236" s="13">
        <f>VLOOKUP(Vlookup!$B201,'CDCM Volume Forecasts'!$A$27:$AG$123,G$137,FALSE)</f>
        <v>0</v>
      </c>
      <c r="H236" s="7"/>
      <c r="I236"/>
      <c r="J236"/>
      <c r="K236"/>
    </row>
    <row r="237" spans="1:11" ht="15">
      <c r="A237" s="8" t="s">
        <v>113</v>
      </c>
      <c r="B237" s="4">
        <f>VLOOKUP(Vlookup!$B202,'CDCM Volume Forecasts'!$A$27:$AG$123,B$137,FALSE)</f>
        <v>65104.786809687452</v>
      </c>
      <c r="C237" s="4">
        <f>VLOOKUP(Vlookup!$B202,'CDCM Volume Forecasts'!$A$27:$AG$123,C$137,FALSE)</f>
        <v>202236.73285292476</v>
      </c>
      <c r="D237" s="4">
        <f>VLOOKUP(Vlookup!$B202,'CDCM Volume Forecasts'!$A$27:$AG$123,D$137,FALSE)</f>
        <v>389530.18598588731</v>
      </c>
      <c r="E237" s="10">
        <f>VLOOKUP(Vlookup!$B202,'CDCM Volume Forecasts'!$A$27:$AG$123,E$137,FALSE)</f>
        <v>115.75067919435931</v>
      </c>
      <c r="F237" s="6">
        <f>VLOOKUP(Vlookup!$B202,'CDCM Volume Forecasts'!$A$27:$AG$123,F$137,FALSE)</f>
        <v>0</v>
      </c>
      <c r="G237" s="4">
        <f>VLOOKUP(Vlookup!$B202,'CDCM Volume Forecasts'!$A$27:$AG$123,G$137,FALSE)</f>
        <v>7784.0578486942413</v>
      </c>
      <c r="H237" s="7"/>
      <c r="I237"/>
      <c r="J237"/>
      <c r="K237"/>
    </row>
    <row r="238" spans="1:11" ht="15">
      <c r="A238" s="8" t="s">
        <v>206</v>
      </c>
      <c r="B238" s="4">
        <f>VLOOKUP(Vlookup!$B203,'CDCM Volume Forecasts'!$A$27:$AG$123,B$137,FALSE)</f>
        <v>0</v>
      </c>
      <c r="C238" s="4">
        <f>VLOOKUP(Vlookup!$B203,'CDCM Volume Forecasts'!$A$27:$AG$123,C$137,FALSE)</f>
        <v>0</v>
      </c>
      <c r="D238" s="4">
        <f>VLOOKUP(Vlookup!$B203,'CDCM Volume Forecasts'!$A$27:$AG$123,D$137,FALSE)</f>
        <v>0</v>
      </c>
      <c r="E238" s="10">
        <f>VLOOKUP(Vlookup!$B203,'CDCM Volume Forecasts'!$A$27:$AG$123,E$137,FALSE)</f>
        <v>0</v>
      </c>
      <c r="F238" s="6">
        <f>VLOOKUP(Vlookup!$B203,'CDCM Volume Forecasts'!$A$27:$AG$123,F$137,FALSE)</f>
        <v>0</v>
      </c>
      <c r="G238" s="4">
        <f>VLOOKUP(Vlookup!$B203,'CDCM Volume Forecasts'!$A$27:$AG$123,G$137,FALSE)</f>
        <v>0</v>
      </c>
      <c r="H238" s="7"/>
      <c r="I238"/>
      <c r="J238"/>
      <c r="K238"/>
    </row>
    <row r="239" spans="1:11" ht="15">
      <c r="A239"/>
      <c r="B239"/>
      <c r="C239"/>
      <c r="D239"/>
      <c r="E239"/>
      <c r="F239"/>
      <c r="G239"/>
      <c r="H239"/>
      <c r="I239"/>
      <c r="J239"/>
      <c r="K239"/>
    </row>
    <row r="240" spans="1:11" ht="19.5">
      <c r="A240" s="1" t="s">
        <v>207</v>
      </c>
      <c r="B240"/>
      <c r="C240"/>
      <c r="D240"/>
      <c r="E240"/>
      <c r="F240"/>
      <c r="G240"/>
      <c r="H240"/>
      <c r="I240"/>
      <c r="J240"/>
      <c r="K240"/>
    </row>
    <row r="241" spans="1:11" ht="15">
      <c r="A241" s="2" t="s">
        <v>262</v>
      </c>
      <c r="B241"/>
      <c r="C241"/>
      <c r="D241"/>
      <c r="E241"/>
      <c r="F241"/>
      <c r="G241"/>
      <c r="H241"/>
      <c r="I241"/>
      <c r="J241"/>
      <c r="K241"/>
    </row>
    <row r="242" spans="1:11" ht="15">
      <c r="A242" t="s">
        <v>137</v>
      </c>
      <c r="B242"/>
      <c r="C242"/>
      <c r="D242"/>
      <c r="E242"/>
      <c r="F242"/>
      <c r="G242"/>
      <c r="H242"/>
      <c r="I242"/>
      <c r="J242"/>
      <c r="K242"/>
    </row>
    <row r="243" spans="1:11" ht="30">
      <c r="A243"/>
      <c r="B243" s="3" t="s">
        <v>208</v>
      </c>
      <c r="C243"/>
      <c r="D243"/>
      <c r="E243"/>
      <c r="F243"/>
      <c r="G243"/>
      <c r="H243"/>
      <c r="I243"/>
      <c r="J243"/>
      <c r="K243"/>
    </row>
    <row r="244" spans="1:11" ht="15">
      <c r="A244" s="8" t="s">
        <v>209</v>
      </c>
      <c r="B244" s="10">
        <f>VLOOKUP(Vlookup!B209,'CDCM Forecast Data'!$A$14:$I$271,6,FALSE)</f>
        <v>12335561.317650001</v>
      </c>
      <c r="C244" s="7" t="s">
        <v>262</v>
      </c>
      <c r="D244"/>
      <c r="E244"/>
      <c r="F244"/>
      <c r="G244"/>
      <c r="H244"/>
      <c r="I244"/>
      <c r="J244"/>
      <c r="K244"/>
    </row>
    <row r="245" spans="1:11" ht="15">
      <c r="A245"/>
      <c r="B245"/>
      <c r="C245"/>
      <c r="D245"/>
      <c r="E245"/>
      <c r="F245"/>
      <c r="G245"/>
      <c r="H245"/>
      <c r="I245"/>
      <c r="J245"/>
      <c r="K245"/>
    </row>
    <row r="246" spans="1:11" ht="19.5">
      <c r="A246" s="1" t="s">
        <v>210</v>
      </c>
      <c r="B246"/>
      <c r="C246"/>
      <c r="D246"/>
      <c r="E246"/>
      <c r="F246"/>
      <c r="G246"/>
      <c r="H246"/>
      <c r="I246"/>
      <c r="J246"/>
      <c r="K246"/>
    </row>
    <row r="247" spans="1:11" ht="15">
      <c r="A247" t="s">
        <v>262</v>
      </c>
      <c r="B247"/>
      <c r="C247"/>
      <c r="D247"/>
      <c r="E247"/>
      <c r="F247"/>
      <c r="G247"/>
      <c r="H247"/>
      <c r="I247"/>
      <c r="J247"/>
      <c r="K247"/>
    </row>
    <row r="248" spans="1:11" ht="30">
      <c r="A248"/>
      <c r="B248" s="3" t="s">
        <v>211</v>
      </c>
      <c r="C248" s="3" t="s">
        <v>212</v>
      </c>
      <c r="D248" s="3" t="s">
        <v>213</v>
      </c>
      <c r="E248" s="3" t="s">
        <v>214</v>
      </c>
      <c r="F248"/>
      <c r="G248"/>
      <c r="H248"/>
      <c r="I248"/>
      <c r="J248"/>
      <c r="K248"/>
    </row>
    <row r="249" spans="1:11" ht="15">
      <c r="A249" s="8" t="s">
        <v>215</v>
      </c>
      <c r="B249" s="10">
        <f>VLOOKUP(Vlookup!B214,'CDCM Forecast Data'!$A$14:$I$271,6,FALSE)</f>
        <v>26843386.825336207</v>
      </c>
      <c r="C249" s="10">
        <f>VLOOKUP(Vlookup!C214,'CDCM Forecast Data'!$A$14:$I$271,6,FALSE)</f>
        <v>111927417.40508544</v>
      </c>
      <c r="D249" s="11">
        <f>VLOOKUP(Vlookup!D214,'CDCM Forecast Data'!$A$14:$I$271,6,FALSE)</f>
        <v>0.6</v>
      </c>
      <c r="E249" s="10">
        <f>VLOOKUP(Vlookup!E214,'CDCM Forecast Data'!$A$14:$I$271,6,FALSE)</f>
        <v>39307166.729475625</v>
      </c>
      <c r="F249" s="7" t="s">
        <v>262</v>
      </c>
      <c r="G249"/>
      <c r="H249"/>
      <c r="I249"/>
      <c r="J249"/>
      <c r="K249"/>
    </row>
    <row r="250" spans="1:11" ht="15">
      <c r="A250"/>
      <c r="B250"/>
      <c r="C250"/>
      <c r="D250"/>
      <c r="E250"/>
      <c r="F250"/>
      <c r="G250"/>
      <c r="H250"/>
      <c r="I250"/>
      <c r="J250"/>
      <c r="K250"/>
    </row>
    <row r="251" spans="1:11" ht="19.5">
      <c r="A251" s="1" t="s">
        <v>216</v>
      </c>
      <c r="B251"/>
      <c r="C251"/>
      <c r="D251"/>
      <c r="E251"/>
      <c r="F251"/>
      <c r="G251"/>
      <c r="H251"/>
      <c r="I251"/>
      <c r="J251"/>
      <c r="K251"/>
    </row>
    <row r="252" spans="1:11" ht="15">
      <c r="A252" s="2"/>
      <c r="B252"/>
      <c r="C252"/>
      <c r="D252"/>
      <c r="E252"/>
      <c r="F252"/>
      <c r="G252"/>
      <c r="H252"/>
      <c r="I252"/>
      <c r="J252"/>
      <c r="K252"/>
    </row>
    <row r="253" spans="1:11" ht="15">
      <c r="A253" s="2" t="s">
        <v>217</v>
      </c>
      <c r="B253"/>
      <c r="C253"/>
      <c r="D253"/>
      <c r="E253"/>
      <c r="F253"/>
      <c r="G253"/>
      <c r="H253"/>
      <c r="I253"/>
      <c r="J253"/>
      <c r="K253"/>
    </row>
    <row r="254" spans="1:11" ht="15">
      <c r="A254" s="2" t="s">
        <v>218</v>
      </c>
      <c r="B254"/>
      <c r="C254"/>
      <c r="D254"/>
      <c r="E254"/>
      <c r="F254"/>
      <c r="G254"/>
      <c r="H254"/>
      <c r="I254"/>
      <c r="J254"/>
      <c r="K254"/>
    </row>
    <row r="255" spans="1:11" ht="15">
      <c r="A255" t="s">
        <v>219</v>
      </c>
      <c r="B255"/>
      <c r="C255"/>
      <c r="D255"/>
      <c r="E255"/>
      <c r="F255"/>
      <c r="G255"/>
      <c r="H255"/>
      <c r="I255"/>
      <c r="J255"/>
      <c r="K255"/>
    </row>
    <row r="256" spans="1:11" ht="30">
      <c r="A256"/>
      <c r="B256" s="3" t="s">
        <v>220</v>
      </c>
      <c r="C256" s="3" t="s">
        <v>221</v>
      </c>
      <c r="D256" s="3" t="s">
        <v>222</v>
      </c>
      <c r="E256" s="3" t="s">
        <v>223</v>
      </c>
      <c r="F256" s="3" t="s">
        <v>224</v>
      </c>
      <c r="G256" s="3" t="s">
        <v>225</v>
      </c>
      <c r="H256" s="3" t="s">
        <v>226</v>
      </c>
      <c r="I256" s="3" t="s">
        <v>227</v>
      </c>
      <c r="J256"/>
      <c r="K256"/>
    </row>
    <row r="257" spans="1:11" ht="15">
      <c r="A257" s="8" t="s">
        <v>228</v>
      </c>
      <c r="B257" s="11">
        <f>VLOOKUP(Vlookup!B222,'CDCM Forecast Data'!$A$14:$I$271,6,FALSE)</f>
        <v>0</v>
      </c>
      <c r="C257" s="11">
        <f>VLOOKUP(Vlookup!C222,'CDCM Forecast Data'!$A$14:$I$271,6,FALSE)</f>
        <v>0</v>
      </c>
      <c r="D257" s="11">
        <f>VLOOKUP(Vlookup!D222,'CDCM Forecast Data'!$A$14:$I$271,6,FALSE)</f>
        <v>0</v>
      </c>
      <c r="E257" s="11">
        <f>VLOOKUP(Vlookup!E222,'CDCM Forecast Data'!$A$14:$I$271,6,FALSE)</f>
        <v>0</v>
      </c>
      <c r="F257" s="11">
        <f>VLOOKUP(Vlookup!F222,'CDCM Forecast Data'!$A$14:$I$271,6,FALSE)</f>
        <v>0</v>
      </c>
      <c r="G257" s="11">
        <f>VLOOKUP(Vlookup!G222,'CDCM Forecast Data'!$A$14:$I$271,6,FALSE)</f>
        <v>0.38684969697494365</v>
      </c>
      <c r="H257" s="11">
        <f>VLOOKUP(Vlookup!H222,'CDCM Forecast Data'!$A$14:$I$271,6,FALSE)</f>
        <v>0.64124825573068889</v>
      </c>
      <c r="I257" s="11">
        <f>VLOOKUP(Vlookup!I222,'CDCM Forecast Data'!$A$14:$I$271,6,FALSE)</f>
        <v>0.89564681448643413</v>
      </c>
      <c r="J257" s="7" t="s">
        <v>262</v>
      </c>
      <c r="K257"/>
    </row>
    <row r="258" spans="1:11" ht="15">
      <c r="A258" s="8" t="s">
        <v>229</v>
      </c>
      <c r="B258" s="11">
        <f>VLOOKUP(Vlookup!B223,'CDCM Forecast Data'!$A$14:$I$271,6,FALSE)</f>
        <v>0</v>
      </c>
      <c r="C258" s="11">
        <f>VLOOKUP(Vlookup!C223,'CDCM Forecast Data'!$A$14:$I$271,6,FALSE)</f>
        <v>0</v>
      </c>
      <c r="D258" s="11">
        <f>VLOOKUP(Vlookup!D223,'CDCM Forecast Data'!$A$14:$I$271,6,FALSE)</f>
        <v>0</v>
      </c>
      <c r="E258" s="11">
        <f>VLOOKUP(Vlookup!E223,'CDCM Forecast Data'!$A$14:$I$271,6,FALSE)</f>
        <v>0</v>
      </c>
      <c r="F258" s="11">
        <f>VLOOKUP(Vlookup!F223,'CDCM Forecast Data'!$A$14:$I$271,6,FALSE)</f>
        <v>0</v>
      </c>
      <c r="G258" s="11">
        <f>VLOOKUP(Vlookup!G223,'CDCM Forecast Data'!$A$14:$I$271,6,FALSE)</f>
        <v>0.38684969697494365</v>
      </c>
      <c r="H258" s="11">
        <f>VLOOKUP(Vlookup!H223,'CDCM Forecast Data'!$A$14:$I$271,6,FALSE)</f>
        <v>0.64124825573068889</v>
      </c>
      <c r="I258" s="6"/>
      <c r="J258" s="7" t="s">
        <v>262</v>
      </c>
      <c r="K258"/>
    </row>
    <row r="259" spans="1:11" ht="15">
      <c r="A259" s="8" t="s">
        <v>230</v>
      </c>
      <c r="B259" s="11">
        <f>VLOOKUP(Vlookup!B224,'CDCM Forecast Data'!$A$14:$I$271,6,FALSE)</f>
        <v>0</v>
      </c>
      <c r="C259" s="11">
        <f>VLOOKUP(Vlookup!C224,'CDCM Forecast Data'!$A$14:$I$271,6,FALSE)</f>
        <v>0</v>
      </c>
      <c r="D259" s="11">
        <f>VLOOKUP(Vlookup!D224,'CDCM Forecast Data'!$A$14:$I$271,6,FALSE)</f>
        <v>0</v>
      </c>
      <c r="E259" s="11">
        <f>VLOOKUP(Vlookup!E224,'CDCM Forecast Data'!$A$14:$I$271,6,FALSE)</f>
        <v>0.25764106948138837</v>
      </c>
      <c r="F259" s="11">
        <f>VLOOKUP(Vlookup!F224,'CDCM Forecast Data'!$A$14:$I$271,6,FALSE)</f>
        <v>0.25764106948138837</v>
      </c>
      <c r="G259" s="11">
        <f>VLOOKUP(Vlookup!G224,'CDCM Forecast Data'!$A$14:$I$271,6,FALSE)</f>
        <v>0.51528213896277675</v>
      </c>
      <c r="H259" s="6"/>
      <c r="I259" s="6"/>
      <c r="J259" s="7" t="s">
        <v>262</v>
      </c>
      <c r="K259"/>
    </row>
    <row r="260" spans="1:11" ht="15">
      <c r="A260" s="8" t="s">
        <v>231</v>
      </c>
      <c r="B260" s="11">
        <f>VLOOKUP(Vlookup!B225,'CDCM Forecast Data'!$A$14:$I$271,6,FALSE)</f>
        <v>0</v>
      </c>
      <c r="C260" s="11">
        <f>VLOOKUP(Vlookup!C225,'CDCM Forecast Data'!$A$14:$I$271,6,FALSE)</f>
        <v>0</v>
      </c>
      <c r="D260" s="11">
        <f>VLOOKUP(Vlookup!D225,'CDCM Forecast Data'!$A$14:$I$271,6,FALSE)</f>
        <v>0</v>
      </c>
      <c r="E260" s="11">
        <f>VLOOKUP(Vlookup!E225,'CDCM Forecast Data'!$A$14:$I$271,6,FALSE)</f>
        <v>0.25764106948138837</v>
      </c>
      <c r="F260" s="6"/>
      <c r="G260" s="6"/>
      <c r="H260" s="6"/>
      <c r="I260" s="6"/>
      <c r="J260" s="7" t="s">
        <v>262</v>
      </c>
      <c r="K260"/>
    </row>
    <row r="261" spans="1:11" ht="15">
      <c r="A261"/>
      <c r="B261"/>
      <c r="C261"/>
      <c r="D261"/>
      <c r="E261"/>
      <c r="F261"/>
      <c r="G261"/>
      <c r="H261"/>
      <c r="I261"/>
      <c r="J261"/>
      <c r="K261"/>
    </row>
    <row r="262" spans="1:11" ht="19.5">
      <c r="A262" s="1" t="s">
        <v>232</v>
      </c>
      <c r="B262"/>
      <c r="C262"/>
      <c r="D262"/>
      <c r="E262"/>
      <c r="F262"/>
      <c r="G262"/>
      <c r="H262"/>
      <c r="I262"/>
      <c r="J262"/>
      <c r="K262"/>
    </row>
    <row r="263" spans="1:11" ht="15">
      <c r="A263"/>
      <c r="B263"/>
      <c r="C263"/>
      <c r="D263"/>
      <c r="E263"/>
      <c r="F263"/>
      <c r="G263"/>
      <c r="H263"/>
      <c r="I263"/>
      <c r="J263"/>
      <c r="K263"/>
    </row>
    <row r="264" spans="1:11" ht="15">
      <c r="A264"/>
      <c r="B264" s="3" t="s">
        <v>233</v>
      </c>
      <c r="C264" s="3" t="s">
        <v>234</v>
      </c>
      <c r="D264" s="3" t="s">
        <v>235</v>
      </c>
      <c r="E264"/>
      <c r="F264"/>
      <c r="G264"/>
      <c r="H264"/>
      <c r="I264"/>
      <c r="J264"/>
      <c r="K264"/>
    </row>
    <row r="265" spans="1:11" ht="15">
      <c r="A265" s="8" t="s">
        <v>92</v>
      </c>
      <c r="B265" s="11">
        <f>VLOOKUP(Vlookup!B235,'CDCM Forecast Data'!$A$14:$I$271,5,FALSE)</f>
        <v>0.15163735853906232</v>
      </c>
      <c r="C265" s="11">
        <f>VLOOKUP(Vlookup!C235,'CDCM Forecast Data'!$A$14:$I$271,5,FALSE)</f>
        <v>0.41909005511697384</v>
      </c>
      <c r="D265" s="11">
        <f>VLOOKUP(Vlookup!D235,'CDCM Forecast Data'!$A$14:$I$271,5,FALSE)</f>
        <v>0.42927258634396387</v>
      </c>
      <c r="E265" s="7" t="s">
        <v>262</v>
      </c>
      <c r="F265"/>
      <c r="G265"/>
      <c r="H265"/>
      <c r="I265"/>
      <c r="J265"/>
      <c r="K265"/>
    </row>
    <row r="266" spans="1:11" ht="15">
      <c r="A266" s="8" t="s">
        <v>93</v>
      </c>
      <c r="B266" s="11">
        <f>VLOOKUP(Vlookup!B236,'CDCM Forecast Data'!$A$14:$I$271,5,FALSE)</f>
        <v>0.14794456993942195</v>
      </c>
      <c r="C266" s="11">
        <f>VLOOKUP(Vlookup!C236,'CDCM Forecast Data'!$A$14:$I$271,5,FALSE)</f>
        <v>0.41591847408405047</v>
      </c>
      <c r="D266" s="11">
        <f>VLOOKUP(Vlookup!D236,'CDCM Forecast Data'!$A$14:$I$271,5,FALSE)</f>
        <v>0.43613695597652757</v>
      </c>
      <c r="E266" s="7" t="s">
        <v>262</v>
      </c>
      <c r="F266"/>
      <c r="G266"/>
      <c r="H266"/>
      <c r="I266"/>
      <c r="J266"/>
      <c r="K266"/>
    </row>
    <row r="267" spans="1:11" ht="15">
      <c r="A267" s="8" t="s">
        <v>129</v>
      </c>
      <c r="B267" s="11">
        <f>VLOOKUP(Vlookup!B237,'CDCM Forecast Data'!$A$14:$I$271,5,FALSE)</f>
        <v>2.8213273611215495E-3</v>
      </c>
      <c r="C267" s="11">
        <f>VLOOKUP(Vlookup!C237,'CDCM Forecast Data'!$A$14:$I$271,5,FALSE)</f>
        <v>0.20906851428116469</v>
      </c>
      <c r="D267" s="11">
        <f>VLOOKUP(Vlookup!D237,'CDCM Forecast Data'!$A$14:$I$271,5,FALSE)</f>
        <v>0.78811015835771381</v>
      </c>
      <c r="E267" s="7"/>
      <c r="F267"/>
      <c r="G267"/>
      <c r="H267"/>
      <c r="I267"/>
      <c r="J267"/>
      <c r="K267"/>
    </row>
    <row r="268" spans="1:11" ht="15">
      <c r="A268" s="8" t="s">
        <v>94</v>
      </c>
      <c r="B268" s="11">
        <f>VLOOKUP(Vlookup!B238,'CDCM Forecast Data'!$A$14:$I$271,5,FALSE)</f>
        <v>0.13166491281892173</v>
      </c>
      <c r="C268" s="11">
        <f>VLOOKUP(Vlookup!C238,'CDCM Forecast Data'!$A$14:$I$271,5,FALSE)</f>
        <v>0.58418150754710119</v>
      </c>
      <c r="D268" s="11">
        <f>VLOOKUP(Vlookup!D238,'CDCM Forecast Data'!$A$14:$I$271,5,FALSE)</f>
        <v>0.28415357963397708</v>
      </c>
      <c r="E268" s="7"/>
      <c r="F268"/>
      <c r="G268"/>
      <c r="H268"/>
      <c r="I268"/>
      <c r="J268"/>
      <c r="K268"/>
    </row>
    <row r="269" spans="1:11" ht="15">
      <c r="A269" s="8" t="s">
        <v>95</v>
      </c>
      <c r="B269" s="11">
        <f>VLOOKUP(Vlookup!B239,'CDCM Forecast Data'!$A$14:$I$271,5,FALSE)</f>
        <v>0.13097267676429289</v>
      </c>
      <c r="C269" s="11">
        <f>VLOOKUP(Vlookup!C239,'CDCM Forecast Data'!$A$14:$I$271,5,FALSE)</f>
        <v>0.53624987448173789</v>
      </c>
      <c r="D269" s="11">
        <f>VLOOKUP(Vlookup!D239,'CDCM Forecast Data'!$A$14:$I$271,5,FALSE)</f>
        <v>0.33277744875396925</v>
      </c>
      <c r="E269" s="7" t="s">
        <v>262</v>
      </c>
      <c r="F269"/>
      <c r="G269"/>
      <c r="H269"/>
      <c r="I269"/>
      <c r="J269"/>
      <c r="K269"/>
    </row>
    <row r="270" spans="1:11" ht="15">
      <c r="A270" s="8" t="s">
        <v>130</v>
      </c>
      <c r="B270" s="11">
        <f>VLOOKUP(Vlookup!B240,'CDCM Forecast Data'!$A$14:$I$271,5,FALSE)</f>
        <v>2.1180943708626887E-2</v>
      </c>
      <c r="C270" s="11">
        <f>VLOOKUP(Vlookup!C240,'CDCM Forecast Data'!$A$14:$I$271,5,FALSE)</f>
        <v>0.17461755756654385</v>
      </c>
      <c r="D270" s="11">
        <f>VLOOKUP(Vlookup!D240,'CDCM Forecast Data'!$A$14:$I$271,5,FALSE)</f>
        <v>0.80420149872482938</v>
      </c>
      <c r="E270" s="7" t="s">
        <v>262</v>
      </c>
      <c r="F270"/>
      <c r="G270"/>
      <c r="H270"/>
      <c r="I270"/>
      <c r="J270"/>
      <c r="K270"/>
    </row>
    <row r="271" spans="1:11" ht="15">
      <c r="A271" s="8" t="s">
        <v>96</v>
      </c>
      <c r="B271" s="11">
        <f>VLOOKUP(Vlookup!B241,'CDCM Forecast Data'!$A$14:$I$271,5,FALSE)</f>
        <v>0.13675751648464302</v>
      </c>
      <c r="C271" s="11">
        <f>VLOOKUP(Vlookup!C241,'CDCM Forecast Data'!$A$14:$I$271,5,FALSE)</f>
        <v>0.52643299691979983</v>
      </c>
      <c r="D271" s="11">
        <f>VLOOKUP(Vlookup!D241,'CDCM Forecast Data'!$A$14:$I$271,5,FALSE)</f>
        <v>0.33680948659555715</v>
      </c>
      <c r="E271" s="7" t="s">
        <v>262</v>
      </c>
      <c r="F271"/>
      <c r="G271"/>
      <c r="H271"/>
      <c r="I271"/>
      <c r="J271"/>
      <c r="K271"/>
    </row>
    <row r="272" spans="1:11" ht="15">
      <c r="A272" s="8" t="s">
        <v>97</v>
      </c>
      <c r="B272" s="11">
        <f>VLOOKUP(Vlookup!B242,'CDCM Forecast Data'!$A$14:$I$271,5,FALSE)</f>
        <v>0.13246682554357336</v>
      </c>
      <c r="C272" s="11">
        <f>VLOOKUP(Vlookup!C242,'CDCM Forecast Data'!$A$14:$I$271,5,FALSE)</f>
        <v>0.5419021330055962</v>
      </c>
      <c r="D272" s="11">
        <f>VLOOKUP(Vlookup!D242,'CDCM Forecast Data'!$A$14:$I$271,5,FALSE)</f>
        <v>0.32563104145083038</v>
      </c>
      <c r="E272" s="7" t="s">
        <v>262</v>
      </c>
      <c r="F272"/>
      <c r="G272"/>
      <c r="H272"/>
      <c r="I272"/>
      <c r="J272"/>
      <c r="K272"/>
    </row>
    <row r="273" spans="1:11" ht="15">
      <c r="A273" s="8" t="s">
        <v>110</v>
      </c>
      <c r="B273" s="11">
        <f>VLOOKUP(Vlookup!B243,'CDCM Forecast Data'!$A$14:$I$271,5,FALSE)</f>
        <v>0.13067404581003325</v>
      </c>
      <c r="C273" s="11">
        <f>VLOOKUP(Vlookup!C243,'CDCM Forecast Data'!$A$14:$I$271,5,FALSE)</f>
        <v>0.55375454532068635</v>
      </c>
      <c r="D273" s="11">
        <f>VLOOKUP(Vlookup!D243,'CDCM Forecast Data'!$A$14:$I$271,5,FALSE)</f>
        <v>0.31557140886928042</v>
      </c>
      <c r="E273" s="7" t="s">
        <v>262</v>
      </c>
      <c r="F273"/>
      <c r="G273"/>
      <c r="H273"/>
      <c r="I273"/>
      <c r="J273"/>
      <c r="K273"/>
    </row>
    <row r="274" spans="1:11" ht="15">
      <c r="A274"/>
      <c r="B274"/>
      <c r="C274"/>
      <c r="D274"/>
      <c r="E274"/>
      <c r="F274"/>
      <c r="G274"/>
      <c r="H274"/>
      <c r="I274"/>
      <c r="J274"/>
      <c r="K274"/>
    </row>
    <row r="275" spans="1:11" ht="19.5">
      <c r="A275" s="1" t="s">
        <v>236</v>
      </c>
      <c r="B275"/>
      <c r="C275"/>
      <c r="D275"/>
      <c r="E275"/>
      <c r="F275"/>
      <c r="G275"/>
      <c r="H275"/>
      <c r="I275"/>
      <c r="J275"/>
      <c r="K275"/>
    </row>
    <row r="276" spans="1:11" ht="15">
      <c r="A276"/>
      <c r="B276"/>
      <c r="C276"/>
      <c r="D276"/>
      <c r="E276"/>
      <c r="F276"/>
      <c r="G276"/>
      <c r="H276"/>
      <c r="I276"/>
      <c r="J276"/>
      <c r="K276"/>
    </row>
    <row r="277" spans="1:11" ht="15">
      <c r="A277"/>
      <c r="B277" s="3" t="s">
        <v>233</v>
      </c>
      <c r="C277" s="3" t="s">
        <v>234</v>
      </c>
      <c r="D277" s="3" t="s">
        <v>235</v>
      </c>
      <c r="E277"/>
      <c r="F277"/>
      <c r="G277"/>
      <c r="H277"/>
      <c r="I277"/>
      <c r="J277"/>
      <c r="K277"/>
    </row>
    <row r="278" spans="1:11" ht="15">
      <c r="A278" s="8" t="s">
        <v>93</v>
      </c>
      <c r="B278" s="11">
        <f>VLOOKUP(Vlookup!B251,'CDCM Forecast Data'!$A$14:$I$271,6,FALSE)</f>
        <v>0</v>
      </c>
      <c r="C278" s="11">
        <f>VLOOKUP(Vlookup!C251,'CDCM Forecast Data'!$A$14:$I$271,6,FALSE)</f>
        <v>0</v>
      </c>
      <c r="D278" s="11">
        <f>VLOOKUP(Vlookup!D251,'CDCM Forecast Data'!$A$14:$I$271,6,FALSE)</f>
        <v>1</v>
      </c>
      <c r="E278" s="7" t="s">
        <v>262</v>
      </c>
      <c r="F278"/>
      <c r="G278"/>
      <c r="H278"/>
      <c r="I278"/>
      <c r="J278"/>
      <c r="K278"/>
    </row>
    <row r="279" spans="1:11" ht="15">
      <c r="A279" s="8" t="s">
        <v>95</v>
      </c>
      <c r="B279" s="11">
        <f>VLOOKUP(Vlookup!B252,'CDCM Forecast Data'!$A$14:$I$271,6,FALSE)</f>
        <v>0</v>
      </c>
      <c r="C279" s="11">
        <f>VLOOKUP(Vlookup!C252,'CDCM Forecast Data'!$A$14:$I$271,6,FALSE)</f>
        <v>0</v>
      </c>
      <c r="D279" s="11">
        <f>VLOOKUP(Vlookup!D252,'CDCM Forecast Data'!$A$14:$I$271,6,FALSE)</f>
        <v>1</v>
      </c>
      <c r="E279" s="7" t="s">
        <v>262</v>
      </c>
      <c r="F279"/>
      <c r="G279"/>
      <c r="H279"/>
      <c r="I279"/>
      <c r="J279"/>
      <c r="K279"/>
    </row>
    <row r="280" spans="1:11" ht="15">
      <c r="A280" s="8" t="s">
        <v>96</v>
      </c>
      <c r="B280" s="11">
        <f>VLOOKUP(Vlookup!B253,'CDCM Forecast Data'!$A$14:$I$271,6,FALSE)</f>
        <v>0</v>
      </c>
      <c r="C280" s="11">
        <f>VLOOKUP(Vlookup!C253,'CDCM Forecast Data'!$A$14:$I$271,6,FALSE)</f>
        <v>0</v>
      </c>
      <c r="D280" s="11">
        <f>VLOOKUP(Vlookup!D253,'CDCM Forecast Data'!$A$14:$I$271,6,FALSE)</f>
        <v>1</v>
      </c>
      <c r="E280" s="7" t="s">
        <v>262</v>
      </c>
      <c r="F280"/>
      <c r="G280"/>
      <c r="H280"/>
      <c r="I280"/>
      <c r="J280"/>
      <c r="K280"/>
    </row>
    <row r="281" spans="1:11" ht="15">
      <c r="A281" s="8" t="s">
        <v>97</v>
      </c>
      <c r="B281" s="11">
        <f>VLOOKUP(Vlookup!B254,'CDCM Forecast Data'!$A$14:$I$271,6,FALSE)</f>
        <v>0</v>
      </c>
      <c r="C281" s="11">
        <f>VLOOKUP(Vlookup!C254,'CDCM Forecast Data'!$A$14:$I$271,6,FALSE)</f>
        <v>0</v>
      </c>
      <c r="D281" s="11">
        <f>VLOOKUP(Vlookup!D254,'CDCM Forecast Data'!$A$14:$I$271,6,FALSE)</f>
        <v>1</v>
      </c>
      <c r="E281" s="7" t="s">
        <v>262</v>
      </c>
      <c r="F281"/>
      <c r="G281"/>
      <c r="H281"/>
      <c r="I281"/>
      <c r="J281"/>
      <c r="K281"/>
    </row>
    <row r="282" spans="1:11" ht="15">
      <c r="A282" s="8" t="s">
        <v>110</v>
      </c>
      <c r="B282" s="11">
        <f>VLOOKUP(Vlookup!B255,'CDCM Forecast Data'!$A$14:$I$271,6,FALSE)</f>
        <v>0</v>
      </c>
      <c r="C282" s="11">
        <f>VLOOKUP(Vlookup!C255,'CDCM Forecast Data'!$A$14:$I$271,6,FALSE)</f>
        <v>0</v>
      </c>
      <c r="D282" s="11">
        <f>VLOOKUP(Vlookup!D255,'CDCM Forecast Data'!$A$14:$I$271,6,FALSE)</f>
        <v>1</v>
      </c>
      <c r="E282" s="7" t="s">
        <v>262</v>
      </c>
      <c r="F282"/>
      <c r="G282"/>
      <c r="H282"/>
      <c r="I282"/>
      <c r="J282"/>
      <c r="K282"/>
    </row>
    <row r="283" spans="1:11" ht="15">
      <c r="A283"/>
      <c r="B283"/>
      <c r="C283"/>
      <c r="D283"/>
      <c r="E283"/>
      <c r="F283"/>
      <c r="G283"/>
      <c r="H283"/>
      <c r="I283"/>
      <c r="J283"/>
      <c r="K283"/>
    </row>
    <row r="284" spans="1:11" ht="19.5">
      <c r="A284" s="1" t="s">
        <v>237</v>
      </c>
      <c r="B284"/>
      <c r="C284"/>
      <c r="D284"/>
      <c r="E284"/>
      <c r="F284"/>
      <c r="G284"/>
      <c r="H284"/>
      <c r="I284"/>
      <c r="J284"/>
      <c r="K284"/>
    </row>
    <row r="285" spans="1:11" ht="15">
      <c r="A285"/>
      <c r="B285"/>
      <c r="C285"/>
      <c r="D285"/>
      <c r="E285"/>
      <c r="F285"/>
      <c r="G285"/>
      <c r="H285"/>
      <c r="I285"/>
      <c r="J285"/>
      <c r="K285"/>
    </row>
    <row r="286" spans="1:11" ht="15">
      <c r="A286"/>
      <c r="B286" s="3" t="s">
        <v>233</v>
      </c>
      <c r="C286" s="3" t="s">
        <v>234</v>
      </c>
      <c r="D286" s="3" t="s">
        <v>235</v>
      </c>
      <c r="E286" t="s">
        <v>262</v>
      </c>
      <c r="F286"/>
      <c r="G286"/>
      <c r="H286"/>
      <c r="I286"/>
      <c r="J286"/>
      <c r="K286"/>
    </row>
    <row r="287" spans="1:11" ht="15">
      <c r="A287" s="8" t="s">
        <v>131</v>
      </c>
      <c r="B287" s="11">
        <f>VLOOKUP(Vlookup!B260,'CDCM Forecast Data'!$A$14:$I$271,6,FALSE)</f>
        <v>2.9337899543378995E-2</v>
      </c>
      <c r="C287" s="11">
        <f>VLOOKUP(Vlookup!C260,'CDCM Forecast Data'!$A$14:$I$271,6,FALSE)</f>
        <v>0.37237442922374431</v>
      </c>
      <c r="D287" s="11">
        <f>VLOOKUP(Vlookup!D260,'CDCM Forecast Data'!$A$14:$I$271,6,FALSE)</f>
        <v>0.59828767123287674</v>
      </c>
      <c r="E287" s="7" t="s">
        <v>262</v>
      </c>
      <c r="F287"/>
      <c r="G287"/>
      <c r="H287"/>
      <c r="I287"/>
      <c r="J287"/>
      <c r="K287"/>
    </row>
    <row r="288" spans="1:11" ht="15">
      <c r="A288" s="8" t="s">
        <v>132</v>
      </c>
      <c r="B288" s="11">
        <f>VLOOKUP(Vlookup!B261,'CDCM Forecast Data'!$A$14:$I$271,6,FALSE)</f>
        <v>4.891355254087474E-2</v>
      </c>
      <c r="C288" s="11">
        <f>VLOOKUP(Vlookup!C261,'CDCM Forecast Data'!$A$14:$I$271,6,FALSE)</f>
        <v>8.8639017251141775E-2</v>
      </c>
      <c r="D288" s="11">
        <f>VLOOKUP(Vlookup!D261,'CDCM Forecast Data'!$A$14:$I$271,6,FALSE)</f>
        <v>0.86244743020798342</v>
      </c>
      <c r="E288" s="7" t="s">
        <v>262</v>
      </c>
      <c r="F288"/>
      <c r="G288"/>
      <c r="H288"/>
      <c r="I288"/>
      <c r="J288"/>
      <c r="K288"/>
    </row>
    <row r="289" spans="1:11" ht="15">
      <c r="A289" s="8" t="s">
        <v>133</v>
      </c>
      <c r="B289" s="11">
        <f>VLOOKUP(Vlookup!B262,'CDCM Forecast Data'!$A$14:$I$271,6,FALSE)</f>
        <v>8.9373751938750981E-2</v>
      </c>
      <c r="C289" s="11">
        <f>VLOOKUP(Vlookup!C262,'CDCM Forecast Data'!$A$14:$I$271,6,FALSE)</f>
        <v>0.1511733177646977</v>
      </c>
      <c r="D289" s="11">
        <f>VLOOKUP(Vlookup!D262,'CDCM Forecast Data'!$A$14:$I$271,6,FALSE)</f>
        <v>0.75945293029655137</v>
      </c>
      <c r="E289" s="7" t="s">
        <v>262</v>
      </c>
      <c r="F289"/>
      <c r="G289"/>
      <c r="H289"/>
      <c r="I289"/>
      <c r="J289"/>
      <c r="K289"/>
    </row>
    <row r="290" spans="1:11" ht="15">
      <c r="A290" s="8" t="s">
        <v>134</v>
      </c>
      <c r="B290" s="11">
        <f>VLOOKUP(Vlookup!B263,'CDCM Forecast Data'!$A$14:$I$271,6,FALSE)</f>
        <v>9.8662176030754195E-3</v>
      </c>
      <c r="C290" s="11">
        <f>VLOOKUP(Vlookup!C263,'CDCM Forecast Data'!$A$14:$I$271,6,FALSE)</f>
        <v>0.63526803788016351</v>
      </c>
      <c r="D290" s="11">
        <f>VLOOKUP(Vlookup!D263,'CDCM Forecast Data'!$A$14:$I$271,6,FALSE)</f>
        <v>0.35486574451676106</v>
      </c>
      <c r="E290" s="7" t="s">
        <v>262</v>
      </c>
      <c r="F290"/>
      <c r="G290"/>
      <c r="H290"/>
      <c r="I290"/>
      <c r="J290"/>
      <c r="K290"/>
    </row>
    <row r="291" spans="1:11" ht="15">
      <c r="A291"/>
      <c r="B291"/>
      <c r="C291"/>
      <c r="D291"/>
      <c r="E291"/>
      <c r="F291"/>
      <c r="G291"/>
      <c r="H291"/>
      <c r="I291"/>
      <c r="J291"/>
      <c r="K291"/>
    </row>
    <row r="292" spans="1:11" ht="19.5">
      <c r="A292" s="1" t="s">
        <v>240</v>
      </c>
      <c r="B292"/>
      <c r="C292"/>
      <c r="D292"/>
      <c r="E292"/>
      <c r="F292"/>
      <c r="G292"/>
      <c r="H292"/>
      <c r="I292"/>
      <c r="J292"/>
      <c r="K292"/>
    </row>
    <row r="293" spans="1:11" ht="15">
      <c r="A293" s="2" t="s">
        <v>241</v>
      </c>
      <c r="B293"/>
      <c r="C293"/>
      <c r="D293"/>
      <c r="E293"/>
      <c r="F293"/>
      <c r="G293"/>
      <c r="H293"/>
      <c r="I293"/>
      <c r="J293"/>
      <c r="K293"/>
    </row>
    <row r="294" spans="1:11" ht="15">
      <c r="A294" s="2" t="s">
        <v>242</v>
      </c>
      <c r="B294"/>
      <c r="C294"/>
      <c r="D294"/>
      <c r="E294"/>
      <c r="F294"/>
      <c r="G294"/>
      <c r="H294"/>
      <c r="I294"/>
      <c r="J294"/>
      <c r="K294"/>
    </row>
    <row r="295" spans="1:11" ht="15">
      <c r="A295"/>
      <c r="B295"/>
      <c r="C295"/>
      <c r="D295"/>
      <c r="E295"/>
      <c r="F295"/>
      <c r="G295"/>
      <c r="H295"/>
      <c r="I295"/>
      <c r="J295"/>
      <c r="K295"/>
    </row>
    <row r="296" spans="1:11" ht="15">
      <c r="A296"/>
      <c r="B296" s="3" t="s">
        <v>233</v>
      </c>
      <c r="C296" s="3" t="s">
        <v>234</v>
      </c>
      <c r="D296" s="3" t="s">
        <v>235</v>
      </c>
      <c r="E296"/>
      <c r="F296"/>
      <c r="G296"/>
      <c r="H296"/>
      <c r="I296"/>
      <c r="J296"/>
      <c r="K296"/>
    </row>
    <row r="297" spans="1:11" ht="15">
      <c r="A297" s="8" t="s">
        <v>243</v>
      </c>
      <c r="B297" s="14">
        <f>VLOOKUP(Vlookup!B270,'CDCM Forecast Data'!$A$14:$I$271,6,FALSE)</f>
        <v>258</v>
      </c>
      <c r="C297" s="14">
        <f>VLOOKUP(Vlookup!C270,'CDCM Forecast Data'!$A$14:$I$271,6,FALSE)</f>
        <v>3252</v>
      </c>
      <c r="D297" s="14">
        <f>VLOOKUP(Vlookup!D270,'CDCM Forecast Data'!$A$14:$I$271,6,FALSE)</f>
        <v>5250</v>
      </c>
      <c r="E297" s="7" t="s">
        <v>262</v>
      </c>
      <c r="F297"/>
      <c r="G297"/>
      <c r="H297"/>
      <c r="I297"/>
      <c r="J297"/>
      <c r="K297"/>
    </row>
    <row r="298" spans="1:11" ht="15">
      <c r="A298"/>
      <c r="B298"/>
      <c r="C298"/>
      <c r="D298"/>
      <c r="E298"/>
      <c r="F298"/>
      <c r="G298"/>
      <c r="H298"/>
      <c r="I298"/>
      <c r="J298"/>
      <c r="K298"/>
    </row>
    <row r="299" spans="1:11" ht="19.5">
      <c r="A299" s="1" t="s">
        <v>244</v>
      </c>
      <c r="B299"/>
      <c r="C299"/>
      <c r="D299"/>
      <c r="E299"/>
      <c r="F299"/>
      <c r="G299"/>
      <c r="H299"/>
      <c r="I299"/>
      <c r="J299"/>
      <c r="K299"/>
    </row>
    <row r="300" spans="1:11" ht="15">
      <c r="A300" s="2"/>
      <c r="B300"/>
      <c r="C300"/>
      <c r="D300"/>
      <c r="E300"/>
      <c r="F300"/>
      <c r="G300"/>
      <c r="H300"/>
      <c r="I300"/>
      <c r="J300"/>
      <c r="K300"/>
    </row>
    <row r="301" spans="1:11" ht="15">
      <c r="A301" s="2" t="s">
        <v>241</v>
      </c>
      <c r="B301"/>
      <c r="C301"/>
      <c r="D301"/>
      <c r="E301"/>
      <c r="F301"/>
      <c r="G301"/>
      <c r="H301"/>
      <c r="I301"/>
      <c r="J301"/>
      <c r="K301"/>
    </row>
    <row r="302" spans="1:11" ht="15">
      <c r="A302" t="s">
        <v>242</v>
      </c>
      <c r="B302"/>
      <c r="C302"/>
      <c r="D302"/>
      <c r="E302"/>
      <c r="F302"/>
      <c r="G302"/>
      <c r="H302"/>
      <c r="I302"/>
      <c r="J302"/>
      <c r="K302"/>
    </row>
    <row r="303" spans="1:11" ht="15">
      <c r="A303"/>
      <c r="B303" s="3" t="s">
        <v>233</v>
      </c>
      <c r="C303" s="3" t="s">
        <v>234</v>
      </c>
      <c r="D303" s="3" t="s">
        <v>235</v>
      </c>
      <c r="E303"/>
      <c r="F303"/>
      <c r="G303"/>
      <c r="H303"/>
      <c r="I303"/>
      <c r="J303"/>
      <c r="K303"/>
    </row>
    <row r="304" spans="1:11" ht="15">
      <c r="A304" s="8" t="s">
        <v>243</v>
      </c>
      <c r="B304" s="14">
        <f>VLOOKUP(Vlookup!B277,'CDCM Forecast Data'!$A$14:$I$271,6,FALSE)</f>
        <v>780</v>
      </c>
      <c r="C304" s="14">
        <f>VLOOKUP(Vlookup!C277,'CDCM Forecast Data'!$A$14:$I$271,6,FALSE)</f>
        <v>2730</v>
      </c>
      <c r="D304" s="14">
        <f>VLOOKUP(Vlookup!D277,'CDCM Forecast Data'!$A$14:$I$271,6,FALSE)</f>
        <v>5250</v>
      </c>
      <c r="E304" s="7" t="s">
        <v>262</v>
      </c>
      <c r="F304"/>
      <c r="G304"/>
      <c r="H304"/>
      <c r="I304"/>
      <c r="J304"/>
      <c r="K304"/>
    </row>
    <row r="305" spans="1:11" ht="15">
      <c r="A305"/>
      <c r="B305"/>
      <c r="C305"/>
      <c r="D305"/>
      <c r="E305"/>
      <c r="F305"/>
      <c r="G305"/>
      <c r="H305"/>
      <c r="I305"/>
      <c r="J305"/>
      <c r="K305"/>
    </row>
    <row r="306" spans="1:11" ht="19.5">
      <c r="A306" s="1" t="s">
        <v>245</v>
      </c>
      <c r="B306"/>
      <c r="C306"/>
      <c r="D306"/>
      <c r="E306"/>
      <c r="F306"/>
      <c r="G306"/>
      <c r="H306"/>
      <c r="I306"/>
      <c r="J306"/>
      <c r="K306"/>
    </row>
    <row r="307" spans="1:11" ht="15">
      <c r="A307" s="2"/>
      <c r="B307"/>
      <c r="C307"/>
      <c r="D307"/>
      <c r="E307"/>
      <c r="F307"/>
      <c r="G307"/>
      <c r="H307"/>
      <c r="I307"/>
      <c r="J307"/>
      <c r="K307"/>
    </row>
    <row r="308" spans="1:11" ht="15">
      <c r="A308"/>
      <c r="B308"/>
      <c r="C308"/>
      <c r="D308"/>
      <c r="E308"/>
      <c r="F308"/>
      <c r="G308"/>
      <c r="H308"/>
      <c r="I308"/>
      <c r="J308"/>
      <c r="K308"/>
    </row>
    <row r="309" spans="1:11" ht="15">
      <c r="A309" t="s">
        <v>246</v>
      </c>
      <c r="B309" s="15"/>
      <c r="C309" s="15"/>
      <c r="D309" s="15"/>
      <c r="E309"/>
      <c r="F309"/>
      <c r="G309"/>
      <c r="H309"/>
      <c r="I309"/>
      <c r="J309"/>
      <c r="K309"/>
    </row>
    <row r="310" spans="1:11" ht="15">
      <c r="A310"/>
      <c r="B310" s="3" t="s">
        <v>233</v>
      </c>
      <c r="C310" s="3" t="s">
        <v>234</v>
      </c>
      <c r="D310" s="3" t="s">
        <v>235</v>
      </c>
      <c r="E310" s="3" t="s">
        <v>238</v>
      </c>
      <c r="F310"/>
      <c r="G310"/>
      <c r="H310"/>
      <c r="I310"/>
      <c r="J310"/>
      <c r="K310"/>
    </row>
    <row r="311" spans="1:11" ht="15">
      <c r="A311" s="8" t="s">
        <v>60</v>
      </c>
      <c r="B311" s="11">
        <f>VLOOKUP(Vlookup!B283,'CDCM Forecast Data'!$A$14:$I$271,6,FALSE)</f>
        <v>0.85470794540392048</v>
      </c>
      <c r="C311" s="11">
        <f>VLOOKUP(Vlookup!C283,'CDCM Forecast Data'!$A$14:$I$271,6,FALSE)</f>
        <v>0.14529205459607944</v>
      </c>
      <c r="D311" s="11">
        <f>VLOOKUP(Vlookup!D283,'CDCM Forecast Data'!$A$14:$I$271,6,FALSE)</f>
        <v>0</v>
      </c>
      <c r="E311" s="11">
        <f>VLOOKUP(Vlookup!E283,'CDCM Forecast Data'!$A$14:$I$271,6,FALSE)</f>
        <v>0.84810150959791342</v>
      </c>
      <c r="F311" s="7" t="s">
        <v>262</v>
      </c>
      <c r="G311"/>
      <c r="H311"/>
      <c r="I311"/>
      <c r="J311"/>
      <c r="K311"/>
    </row>
    <row r="312" spans="1:11" ht="15">
      <c r="A312" s="8" t="s">
        <v>61</v>
      </c>
      <c r="B312" s="11">
        <f>VLOOKUP(Vlookup!B284,'CDCM Forecast Data'!$A$14:$I$271,6,FALSE)</f>
        <v>0.73347807576361312</v>
      </c>
      <c r="C312" s="11">
        <f>VLOOKUP(Vlookup!C284,'CDCM Forecast Data'!$A$14:$I$271,6,FALSE)</f>
        <v>0.23785008473510372</v>
      </c>
      <c r="D312" s="11">
        <f>VLOOKUP(Vlookup!D284,'CDCM Forecast Data'!$A$14:$I$271,6,FALSE)</f>
        <v>2.8671839501283092E-2</v>
      </c>
      <c r="E312" s="11">
        <f>VLOOKUP(Vlookup!E284,'CDCM Forecast Data'!$A$14:$I$271,6,FALSE)</f>
        <v>0.72115228218186689</v>
      </c>
      <c r="F312" s="7" t="s">
        <v>262</v>
      </c>
      <c r="G312"/>
      <c r="H312"/>
      <c r="I312"/>
      <c r="J312"/>
      <c r="K312"/>
    </row>
    <row r="313" spans="1:11" ht="15">
      <c r="A313" s="8" t="s">
        <v>62</v>
      </c>
      <c r="B313" s="11">
        <f>VLOOKUP(Vlookup!B285,'CDCM Forecast Data'!$A$14:$I$271,6,FALSE)</f>
        <v>0.73347807576361312</v>
      </c>
      <c r="C313" s="11">
        <f>VLOOKUP(Vlookup!C285,'CDCM Forecast Data'!$A$14:$I$271,6,FALSE)</f>
        <v>0.23785008473510372</v>
      </c>
      <c r="D313" s="11">
        <f>VLOOKUP(Vlookup!D285,'CDCM Forecast Data'!$A$14:$I$271,6,FALSE)</f>
        <v>2.8671839501283092E-2</v>
      </c>
      <c r="E313" s="11">
        <f>VLOOKUP(Vlookup!E285,'CDCM Forecast Data'!$A$14:$I$271,6,FALSE)</f>
        <v>0.72115228218186689</v>
      </c>
      <c r="F313" s="7" t="s">
        <v>262</v>
      </c>
      <c r="G313"/>
      <c r="H313"/>
      <c r="I313"/>
      <c r="J313"/>
      <c r="K313"/>
    </row>
    <row r="314" spans="1:11" ht="15">
      <c r="A314" s="8" t="s">
        <v>63</v>
      </c>
      <c r="B314" s="11">
        <f>VLOOKUP(Vlookup!B286,'CDCM Forecast Data'!$A$14:$I$271,6,FALSE)</f>
        <v>0.74849318073591797</v>
      </c>
      <c r="C314" s="11">
        <f>VLOOKUP(Vlookup!C286,'CDCM Forecast Data'!$A$14:$I$271,6,FALSE)</f>
        <v>0.18814792948012682</v>
      </c>
      <c r="D314" s="11">
        <f>VLOOKUP(Vlookup!D286,'CDCM Forecast Data'!$A$14:$I$271,6,FALSE)</f>
        <v>6.3358889783955152E-2</v>
      </c>
      <c r="E314" s="11">
        <f>VLOOKUP(Vlookup!E286,'CDCM Forecast Data'!$A$14:$I$271,6,FALSE)</f>
        <v>0.7448691829953189</v>
      </c>
      <c r="F314" s="7" t="s">
        <v>262</v>
      </c>
      <c r="G314"/>
      <c r="H314"/>
      <c r="I314"/>
      <c r="J314"/>
      <c r="K314"/>
    </row>
    <row r="315" spans="1:11" ht="15">
      <c r="A315" s="8" t="s">
        <v>64</v>
      </c>
      <c r="B315" s="11">
        <f>VLOOKUP(Vlookup!B287,'CDCM Forecast Data'!$A$14:$I$271,6,FALSE)</f>
        <v>0.74849318073591797</v>
      </c>
      <c r="C315" s="11">
        <f>VLOOKUP(Vlookup!C287,'CDCM Forecast Data'!$A$14:$I$271,6,FALSE)</f>
        <v>0.18814792948012682</v>
      </c>
      <c r="D315" s="11">
        <f>VLOOKUP(Vlookup!D287,'CDCM Forecast Data'!$A$14:$I$271,6,FALSE)</f>
        <v>6.3358889783955152E-2</v>
      </c>
      <c r="E315" s="11">
        <f>VLOOKUP(Vlookup!E287,'CDCM Forecast Data'!$A$14:$I$271,6,FALSE)</f>
        <v>0.7448691829953189</v>
      </c>
      <c r="F315" s="7" t="s">
        <v>262</v>
      </c>
      <c r="G315"/>
      <c r="H315"/>
      <c r="I315"/>
      <c r="J315"/>
      <c r="K315"/>
    </row>
    <row r="316" spans="1:11" ht="15">
      <c r="A316" s="8" t="s">
        <v>69</v>
      </c>
      <c r="B316" s="11">
        <f>VLOOKUP(Vlookup!B288,'CDCM Forecast Data'!$A$14:$I$271,6,FALSE)</f>
        <v>0.73347807576361312</v>
      </c>
      <c r="C316" s="11">
        <f>VLOOKUP(Vlookup!C288,'CDCM Forecast Data'!$A$14:$I$271,6,FALSE)</f>
        <v>0.23785008473510372</v>
      </c>
      <c r="D316" s="11">
        <f>VLOOKUP(Vlookup!D288,'CDCM Forecast Data'!$A$14:$I$271,6,FALSE)</f>
        <v>2.8671839501283092E-2</v>
      </c>
      <c r="E316" s="11">
        <f>VLOOKUP(Vlookup!E288,'CDCM Forecast Data'!$A$14:$I$271,6,FALSE)</f>
        <v>0.72115228218186689</v>
      </c>
      <c r="F316" s="7" t="s">
        <v>262</v>
      </c>
      <c r="G316"/>
      <c r="H316"/>
      <c r="I316"/>
      <c r="J316"/>
      <c r="K316"/>
    </row>
    <row r="317" spans="1:11" ht="15">
      <c r="A317" s="8" t="s">
        <v>65</v>
      </c>
      <c r="B317" s="11">
        <f>VLOOKUP(Vlookup!B289,'CDCM Forecast Data'!$A$14:$I$271,6,FALSE)</f>
        <v>0.74849318073591797</v>
      </c>
      <c r="C317" s="11">
        <f>VLOOKUP(Vlookup!C289,'CDCM Forecast Data'!$A$14:$I$271,6,FALSE)</f>
        <v>0.18814792948012682</v>
      </c>
      <c r="D317" s="11">
        <f>VLOOKUP(Vlookup!D289,'CDCM Forecast Data'!$A$14:$I$271,6,FALSE)</f>
        <v>6.3358889783955152E-2</v>
      </c>
      <c r="E317" s="11">
        <f>VLOOKUP(Vlookup!E289,'CDCM Forecast Data'!$A$14:$I$271,6,FALSE)</f>
        <v>0.7448691829953189</v>
      </c>
      <c r="F317" s="7" t="s">
        <v>262</v>
      </c>
      <c r="G317"/>
      <c r="H317"/>
      <c r="I317"/>
      <c r="J317"/>
      <c r="K317"/>
    </row>
    <row r="318" spans="1:11" ht="15">
      <c r="A318" s="8" t="s">
        <v>66</v>
      </c>
      <c r="B318" s="11">
        <f>VLOOKUP(Vlookup!B290,'CDCM Forecast Data'!$A$14:$I$271,6,FALSE)</f>
        <v>0.74849318073591797</v>
      </c>
      <c r="C318" s="11">
        <f>VLOOKUP(Vlookup!C290,'CDCM Forecast Data'!$A$14:$I$271,6,FALSE)</f>
        <v>0.18814792948012682</v>
      </c>
      <c r="D318" s="11">
        <f>VLOOKUP(Vlookup!D290,'CDCM Forecast Data'!$A$14:$I$271,6,FALSE)</f>
        <v>6.3358889783955152E-2</v>
      </c>
      <c r="E318" s="11">
        <f>VLOOKUP(Vlookup!E290,'CDCM Forecast Data'!$A$14:$I$271,6,FALSE)</f>
        <v>0.7448691829953189</v>
      </c>
      <c r="F318" s="7" t="s">
        <v>262</v>
      </c>
      <c r="G318"/>
      <c r="H318"/>
      <c r="I318"/>
      <c r="J318"/>
      <c r="K318"/>
    </row>
    <row r="319" spans="1:11" ht="15">
      <c r="A319" s="8" t="s">
        <v>67</v>
      </c>
      <c r="B319" s="11">
        <f>VLOOKUP(Vlookup!B291,'CDCM Forecast Data'!$A$14:$I$271,6,FALSE)</f>
        <v>0.74849318073591797</v>
      </c>
      <c r="C319" s="11">
        <f>VLOOKUP(Vlookup!C291,'CDCM Forecast Data'!$A$14:$I$271,6,FALSE)</f>
        <v>0.18814792948012682</v>
      </c>
      <c r="D319" s="11">
        <f>VLOOKUP(Vlookup!D291,'CDCM Forecast Data'!$A$14:$I$271,6,FALSE)</f>
        <v>6.3358889783955152E-2</v>
      </c>
      <c r="E319" s="11">
        <f>VLOOKUP(Vlookup!E291,'CDCM Forecast Data'!$A$14:$I$271,6,FALSE)</f>
        <v>0.7448691829953189</v>
      </c>
      <c r="F319" s="7" t="s">
        <v>262</v>
      </c>
      <c r="G319"/>
      <c r="H319"/>
      <c r="I319"/>
      <c r="J319"/>
      <c r="K319"/>
    </row>
    <row r="320" spans="1:11" ht="15">
      <c r="A320"/>
      <c r="B320"/>
      <c r="C320"/>
      <c r="D320"/>
      <c r="E320"/>
      <c r="F320"/>
      <c r="G320"/>
      <c r="H320"/>
      <c r="I320"/>
      <c r="J320"/>
      <c r="K320"/>
    </row>
    <row r="321" spans="1:11" ht="19.5">
      <c r="A321" s="1" t="s">
        <v>1524</v>
      </c>
      <c r="B321"/>
      <c r="C321"/>
      <c r="D321"/>
      <c r="E321"/>
      <c r="F321"/>
      <c r="G321"/>
      <c r="H321"/>
      <c r="I321"/>
      <c r="J321"/>
      <c r="K321"/>
    </row>
    <row r="322" spans="1:11" ht="15">
      <c r="A322" s="2" t="s">
        <v>1523</v>
      </c>
      <c r="B322"/>
      <c r="C322"/>
      <c r="D322"/>
      <c r="E322"/>
      <c r="F322"/>
      <c r="G322"/>
      <c r="H322"/>
      <c r="I322"/>
      <c r="J322"/>
      <c r="K322"/>
    </row>
    <row r="323" spans="1:11" ht="15">
      <c r="A323"/>
      <c r="B323"/>
      <c r="C323"/>
      <c r="D323"/>
      <c r="E323"/>
      <c r="F323"/>
      <c r="G323"/>
      <c r="H323"/>
      <c r="I323"/>
      <c r="J323"/>
      <c r="K323"/>
    </row>
    <row r="324" spans="1:11" ht="30">
      <c r="A324"/>
      <c r="B324" s="3" t="s">
        <v>1522</v>
      </c>
      <c r="C324"/>
      <c r="D324"/>
      <c r="E324"/>
      <c r="F324"/>
      <c r="G324"/>
      <c r="H324"/>
      <c r="I324"/>
      <c r="J324"/>
      <c r="K324"/>
    </row>
    <row r="325" spans="1:11" ht="15">
      <c r="A325" s="8" t="s">
        <v>1522</v>
      </c>
      <c r="B325" s="10">
        <f>1000000*'Table 1'!G47</f>
        <v>488197814.62064528</v>
      </c>
      <c r="C325" s="7"/>
      <c r="D325"/>
      <c r="E325"/>
      <c r="F325"/>
      <c r="G325"/>
      <c r="H325"/>
      <c r="I325"/>
      <c r="J325"/>
      <c r="K325"/>
    </row>
    <row r="326" spans="1:11" ht="15">
      <c r="A326"/>
      <c r="B326"/>
      <c r="C326"/>
      <c r="D326"/>
      <c r="E326"/>
      <c r="F326"/>
      <c r="G326"/>
      <c r="H326"/>
      <c r="I326"/>
      <c r="J326"/>
      <c r="K326"/>
    </row>
    <row r="327" spans="1:11" ht="19.5">
      <c r="A327" s="1" t="s">
        <v>248</v>
      </c>
      <c r="B327"/>
      <c r="C327"/>
      <c r="D327"/>
      <c r="E327"/>
      <c r="F327"/>
      <c r="G327"/>
      <c r="H327"/>
      <c r="I327"/>
      <c r="J327"/>
      <c r="K327"/>
    </row>
    <row r="328" spans="1:11" ht="15">
      <c r="A328" s="2" t="s">
        <v>262</v>
      </c>
      <c r="B328"/>
      <c r="C328"/>
      <c r="D328"/>
      <c r="E328"/>
      <c r="F328"/>
      <c r="G328"/>
      <c r="H328"/>
      <c r="I328"/>
      <c r="J328"/>
      <c r="K328"/>
    </row>
    <row r="329" spans="1:11" ht="15">
      <c r="A329" s="2" t="s">
        <v>249</v>
      </c>
      <c r="B329"/>
      <c r="C329"/>
      <c r="D329"/>
      <c r="E329"/>
      <c r="F329"/>
      <c r="G329"/>
      <c r="H329"/>
      <c r="I329"/>
      <c r="J329"/>
      <c r="K329"/>
    </row>
    <row r="330" spans="1:11" ht="15">
      <c r="A330" t="s">
        <v>250</v>
      </c>
      <c r="B330"/>
      <c r="C330"/>
      <c r="D330"/>
      <c r="E330"/>
      <c r="F330"/>
      <c r="G330"/>
      <c r="H330"/>
      <c r="I330"/>
      <c r="J330"/>
      <c r="K330"/>
    </row>
    <row r="331" spans="1:11" ht="15">
      <c r="A331"/>
      <c r="B331" s="3" t="s">
        <v>60</v>
      </c>
      <c r="C331" s="3" t="s">
        <v>61</v>
      </c>
      <c r="D331" s="3" t="s">
        <v>62</v>
      </c>
      <c r="E331" s="3" t="s">
        <v>63</v>
      </c>
      <c r="F331" s="3" t="s">
        <v>64</v>
      </c>
      <c r="G331" s="3" t="s">
        <v>69</v>
      </c>
      <c r="H331" s="3" t="s">
        <v>65</v>
      </c>
      <c r="I331" s="3" t="s">
        <v>66</v>
      </c>
      <c r="J331" s="3" t="s">
        <v>67</v>
      </c>
      <c r="K331"/>
    </row>
    <row r="332" spans="1:11" ht="15">
      <c r="A332" s="8" t="s">
        <v>251</v>
      </c>
      <c r="B332" s="4">
        <f>VLOOKUP(Vlookup!B298,'CDCM Forecast Data'!$A$14:$I$271,6,FALSE)</f>
        <v>0.2810621222726124</v>
      </c>
      <c r="C332" s="4">
        <f>VLOOKUP(Vlookup!C298,'CDCM Forecast Data'!$A$14:$I$271,6,FALSE)</f>
        <v>0.2810621222726124</v>
      </c>
      <c r="D332" s="4">
        <f>VLOOKUP(Vlookup!D298,'CDCM Forecast Data'!$A$14:$I$271,6,FALSE)</f>
        <v>0.2810621222726124</v>
      </c>
      <c r="E332" s="4">
        <f>VLOOKUP(Vlookup!E298,'CDCM Forecast Data'!$A$14:$I$271,6,FALSE)</f>
        <v>0.2810621222726124</v>
      </c>
      <c r="F332" s="4">
        <f>VLOOKUP(Vlookup!F298,'CDCM Forecast Data'!$A$14:$I$271,6,FALSE)</f>
        <v>0.2810621222726124</v>
      </c>
      <c r="G332" s="4">
        <f>VLOOKUP(Vlookup!G298,'CDCM Forecast Data'!$A$14:$I$271,6,FALSE)</f>
        <v>0.2810621222726124</v>
      </c>
      <c r="H332" s="4">
        <f>VLOOKUP(Vlookup!H298,'CDCM Forecast Data'!$A$14:$I$271,6,FALSE)</f>
        <v>0.2810621222726124</v>
      </c>
      <c r="I332" s="4">
        <f>VLOOKUP(Vlookup!I298,'CDCM Forecast Data'!$A$14:$I$271,6,FALSE)</f>
        <v>0.2810621222726124</v>
      </c>
      <c r="J332" s="4">
        <f>VLOOKUP(Vlookup!J298,'CDCM Forecast Data'!$A$14:$I$271,6,FALSE)</f>
        <v>0.2810621222726124</v>
      </c>
      <c r="K332" s="7" t="s">
        <v>262</v>
      </c>
    </row>
  </sheetData>
  <dataValidations count="7">
    <dataValidation type="decimal" allowBlank="1" showInputMessage="1" showErrorMessage="1" error="The number in this cell must be between 0% and 100%." sqref="B90:I90 B95:F98 B68:I83">
      <formula1>0</formula1>
      <formula2>1</formula2>
    </dataValidation>
    <dataValidation type="decimal" allowBlank="1" showInputMessage="1" showErrorMessage="1" error="The LDNO discount must be between 0% and 100%." sqref="B110">
      <formula1>0</formula1>
      <formula2>1</formula2>
    </dataValidation>
    <dataValidation type="decimal" allowBlank="1" showInputMessage="1" showErrorMessage="1" error="The coincidence factor must be between 0% and 100%." sqref="B118 B121">
      <formula1>0</formula1>
      <formula2>1</formula2>
    </dataValidation>
    <dataValidation type="textLength" operator="equal" allowBlank="1" showInputMessage="1" showErrorMessage="1" error="This cell should remain blank." sqref="B172:G172 B174:G174 B178:G178 B181:G181 B142:G142 B146:G146 B150:G150 B154:G154 B158:G158 B162:G162 B166:G166 B170:G170 B200:G200 B196:G196 B192:G192 B184:G184 B188:G188 B204:G204 B208:G208 B211:G211 B215:G215 B219:G219 B222:G222 B225:G225 B234:G234 B231:G231 B228:G228 B237:G237">
      <formula1>0</formula1>
    </dataValidation>
    <dataValidation type="decimal" allowBlank="1" showInputMessage="1" showErrorMessage="1" errorTitle="Invalid customer contribution" error="The customer contribution must be a non-negative percentage value." sqref="I258:I260 F260:G260 H259:H260">
      <formula1>0</formula1>
      <formula2>4</formula2>
    </dataValidation>
    <dataValidation type="decimal" operator="greaterThanOrEqual" allowBlank="1" showInputMessage="1" showErrorMessage="1" errorTitle="Volume data error" error="The volume must be a non-negative number." sqref="B171:G171 B167:G169 B179:G180 B182:G183 B175:G177 B143:G145 B173:G173 B147:G149 B151:G153 B155:G157 B159:G161 B163:G165 B223:G224 B189:G191 B212:G214 B197:G199 B185:G187 B201:G203 B193:G195 B205:G207 B209:G210 B216:G218 B235:G236 B220:G221 B226:G227 B232:G233 B229:G230 B238:G238">
      <formula1>0</formula1>
    </dataValidation>
    <dataValidation type="decimal" operator="greaterThanOrEqual" allowBlank="1" showInputMessage="1" showErrorMessage="1" sqref="B325">
      <formula1>0</formula1>
    </dataValidation>
  </dataValidations>
  <pageMargins left="0.75" right="0.75" top="1" bottom="1" header="0.5" footer="0.5"/>
  <pageSetup paperSize="9" orientation="portrait"/>
  <headerFooter alignWithMargins="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K332"/>
  <sheetViews>
    <sheetView showGridLines="0" workbookViewId="0">
      <selection activeCell="A4" sqref="A4:K332"/>
    </sheetView>
  </sheetViews>
  <sheetFormatPr defaultColWidth="8.85546875" defaultRowHeight="12.75"/>
  <cols>
    <col min="1" max="1" width="50.7109375" style="26" customWidth="1"/>
    <col min="2" max="251" width="20.7109375" style="26" customWidth="1"/>
    <col min="252" max="16384" width="8.85546875" style="26"/>
  </cols>
  <sheetData>
    <row r="1" spans="1:11" ht="19.5">
      <c r="A1" s="1" t="s">
        <v>1478</v>
      </c>
      <c r="B1"/>
      <c r="C1"/>
      <c r="D1"/>
      <c r="E1"/>
      <c r="F1"/>
      <c r="G1"/>
      <c r="H1"/>
      <c r="I1"/>
      <c r="J1"/>
      <c r="K1"/>
    </row>
    <row r="2" spans="1:11" ht="15">
      <c r="A2" s="2"/>
      <c r="B2"/>
      <c r="C2"/>
      <c r="D2"/>
      <c r="E2"/>
      <c r="F2"/>
      <c r="G2"/>
      <c r="H2"/>
      <c r="I2"/>
      <c r="J2"/>
      <c r="K2"/>
    </row>
    <row r="3" spans="1:11" ht="15">
      <c r="A3"/>
      <c r="B3"/>
      <c r="C3"/>
      <c r="D3"/>
      <c r="E3"/>
      <c r="F3"/>
      <c r="G3"/>
      <c r="H3"/>
      <c r="I3"/>
      <c r="J3"/>
      <c r="K3"/>
    </row>
    <row r="4" spans="1:11" ht="19.5">
      <c r="A4" s="1" t="s">
        <v>0</v>
      </c>
      <c r="B4"/>
      <c r="C4"/>
      <c r="D4"/>
      <c r="E4"/>
      <c r="F4"/>
      <c r="G4"/>
      <c r="H4"/>
      <c r="I4"/>
      <c r="J4"/>
      <c r="K4"/>
    </row>
    <row r="5" spans="1:11" ht="15">
      <c r="A5" t="s">
        <v>262</v>
      </c>
      <c r="B5"/>
      <c r="C5"/>
      <c r="D5"/>
      <c r="E5"/>
      <c r="F5"/>
      <c r="G5"/>
      <c r="H5"/>
      <c r="I5"/>
      <c r="J5"/>
      <c r="K5"/>
    </row>
    <row r="6" spans="1:11" ht="15">
      <c r="A6"/>
      <c r="B6" s="3" t="s">
        <v>1</v>
      </c>
      <c r="C6" s="3" t="s">
        <v>2</v>
      </c>
      <c r="D6" s="3" t="s">
        <v>3</v>
      </c>
      <c r="E6"/>
      <c r="F6"/>
      <c r="G6"/>
      <c r="H6"/>
      <c r="I6"/>
      <c r="J6"/>
      <c r="K6"/>
    </row>
    <row r="7" spans="1:11" ht="15">
      <c r="A7" s="8" t="s">
        <v>4</v>
      </c>
      <c r="B7" s="9" t="str">
        <f>VLOOKUP(Vlookup!B7,'CDCM Forecast Data'!$A$14:$I$271,7,FALSE)</f>
        <v>West Mids</v>
      </c>
      <c r="C7" s="9">
        <f>VLOOKUP(Vlookup!C7,'CDCM Forecast Data'!$A$14:$I$271,7,FALSE)</f>
        <v>0</v>
      </c>
      <c r="D7" s="9" t="str">
        <f>VLOOKUP(Vlookup!D7,'CDCM Forecast Data'!$A$14:$I$271,7,FALSE)</f>
        <v>Forecast</v>
      </c>
      <c r="E7" s="7" t="s">
        <v>262</v>
      </c>
      <c r="F7"/>
      <c r="G7"/>
      <c r="H7"/>
      <c r="I7"/>
      <c r="J7"/>
      <c r="K7"/>
    </row>
    <row r="8" spans="1:11" ht="15">
      <c r="A8"/>
      <c r="B8"/>
      <c r="C8"/>
      <c r="D8"/>
      <c r="E8"/>
      <c r="F8"/>
      <c r="G8"/>
      <c r="H8"/>
      <c r="I8"/>
      <c r="J8"/>
      <c r="K8"/>
    </row>
    <row r="9" spans="1:11" ht="19.5">
      <c r="A9" s="1" t="s">
        <v>45</v>
      </c>
      <c r="B9"/>
      <c r="C9"/>
      <c r="D9"/>
      <c r="E9"/>
      <c r="F9"/>
      <c r="G9"/>
      <c r="H9"/>
      <c r="I9"/>
      <c r="J9"/>
      <c r="K9"/>
    </row>
    <row r="10" spans="1:11" ht="15">
      <c r="A10" s="2"/>
      <c r="B10"/>
      <c r="C10"/>
      <c r="D10"/>
      <c r="E10"/>
      <c r="F10"/>
      <c r="G10"/>
      <c r="H10"/>
      <c r="I10"/>
      <c r="J10"/>
      <c r="K10"/>
    </row>
    <row r="11" spans="1:11" ht="15">
      <c r="A11" s="2" t="s">
        <v>46</v>
      </c>
      <c r="B11"/>
      <c r="C11"/>
      <c r="D11"/>
      <c r="E11"/>
      <c r="F11"/>
      <c r="G11"/>
      <c r="H11"/>
      <c r="I11"/>
      <c r="J11"/>
      <c r="K11"/>
    </row>
    <row r="12" spans="1:11" ht="15">
      <c r="A12" t="s">
        <v>47</v>
      </c>
      <c r="B12"/>
      <c r="C12"/>
      <c r="D12"/>
      <c r="E12"/>
      <c r="F12"/>
      <c r="G12"/>
      <c r="H12"/>
      <c r="I12"/>
      <c r="J12"/>
      <c r="K12"/>
    </row>
    <row r="13" spans="1:11" ht="45">
      <c r="A13"/>
      <c r="B13" s="3" t="s">
        <v>48</v>
      </c>
      <c r="C13" s="3" t="s">
        <v>49</v>
      </c>
      <c r="D13" s="3" t="s">
        <v>50</v>
      </c>
      <c r="E13" s="3" t="s">
        <v>51</v>
      </c>
      <c r="F13" s="3" t="s">
        <v>1398</v>
      </c>
      <c r="G13"/>
      <c r="H13"/>
      <c r="I13"/>
      <c r="J13"/>
      <c r="K13"/>
    </row>
    <row r="14" spans="1:11" ht="15">
      <c r="A14" s="8" t="s">
        <v>52</v>
      </c>
      <c r="B14" s="11">
        <f>VLOOKUP(Vlookup!B14,'CDCM Forecast Data'!$A$14:$I$271,7,FALSE)</f>
        <v>4.3099999999999999E-2</v>
      </c>
      <c r="C14" s="10">
        <f>VLOOKUP(Vlookup!C14,'CDCM Forecast Data'!$A$14:$I$271,7,FALSE)</f>
        <v>40</v>
      </c>
      <c r="D14" s="5"/>
      <c r="E14" s="4">
        <f>VLOOKUP(Vlookup!E14,'CDCM Forecast Data'!$A$14:$I$271,7,FALSE)</f>
        <v>0.95</v>
      </c>
      <c r="F14" s="10">
        <f>VLOOKUP(Vlookup!F14,'CDCM Forecast Data'!$A$14:$I$271,7,FALSE)</f>
        <v>366</v>
      </c>
      <c r="G14" s="7" t="s">
        <v>262</v>
      </c>
      <c r="H14"/>
      <c r="I14"/>
      <c r="J14"/>
      <c r="K14"/>
    </row>
    <row r="15" spans="1:11" ht="15">
      <c r="A15"/>
      <c r="B15"/>
      <c r="C15"/>
      <c r="D15"/>
      <c r="E15"/>
      <c r="F15"/>
      <c r="G15"/>
      <c r="H15"/>
      <c r="I15"/>
      <c r="J15"/>
      <c r="K15"/>
    </row>
    <row r="16" spans="1:11" ht="19.5">
      <c r="A16" s="1" t="s">
        <v>53</v>
      </c>
      <c r="B16"/>
      <c r="C16"/>
      <c r="D16"/>
      <c r="E16"/>
      <c r="F16"/>
      <c r="G16"/>
      <c r="H16"/>
      <c r="I16"/>
      <c r="J16"/>
      <c r="K16"/>
    </row>
    <row r="17" spans="1:11" ht="15">
      <c r="A17" s="2"/>
      <c r="B17"/>
      <c r="C17"/>
      <c r="D17"/>
      <c r="E17"/>
      <c r="F17"/>
      <c r="G17"/>
      <c r="H17"/>
      <c r="I17"/>
      <c r="J17"/>
      <c r="K17"/>
    </row>
    <row r="18" spans="1:11" ht="15">
      <c r="A18" s="2" t="s">
        <v>54</v>
      </c>
      <c r="B18"/>
      <c r="C18"/>
      <c r="D18"/>
      <c r="E18"/>
      <c r="F18"/>
      <c r="G18"/>
      <c r="H18"/>
      <c r="I18"/>
      <c r="J18"/>
      <c r="K18"/>
    </row>
    <row r="19" spans="1:11" ht="15">
      <c r="A19" s="2" t="s">
        <v>55</v>
      </c>
      <c r="B19"/>
      <c r="C19"/>
      <c r="D19"/>
      <c r="E19"/>
      <c r="F19"/>
      <c r="G19"/>
      <c r="H19"/>
      <c r="I19"/>
      <c r="J19"/>
      <c r="K19"/>
    </row>
    <row r="20" spans="1:11" ht="15">
      <c r="A20" s="2" t="s">
        <v>56</v>
      </c>
      <c r="B20"/>
      <c r="C20"/>
      <c r="D20"/>
      <c r="E20"/>
      <c r="F20"/>
      <c r="G20"/>
      <c r="H20"/>
      <c r="I20"/>
      <c r="J20"/>
      <c r="K20"/>
    </row>
    <row r="21" spans="1:11" ht="15">
      <c r="A21" s="2" t="s">
        <v>57</v>
      </c>
      <c r="B21"/>
      <c r="C21"/>
      <c r="D21"/>
      <c r="E21"/>
      <c r="F21"/>
      <c r="G21"/>
      <c r="H21"/>
      <c r="I21"/>
      <c r="J21"/>
      <c r="K21"/>
    </row>
    <row r="22" spans="1:11" ht="15">
      <c r="A22" t="s">
        <v>58</v>
      </c>
      <c r="B22"/>
      <c r="C22"/>
      <c r="D22"/>
      <c r="E22"/>
      <c r="F22"/>
      <c r="G22"/>
      <c r="H22"/>
      <c r="I22"/>
      <c r="J22"/>
      <c r="K22"/>
    </row>
    <row r="23" spans="1:11" ht="60">
      <c r="A23"/>
      <c r="B23" s="3" t="s">
        <v>59</v>
      </c>
      <c r="C23"/>
      <c r="D23"/>
      <c r="E23"/>
      <c r="F23"/>
      <c r="G23"/>
      <c r="H23"/>
      <c r="I23"/>
      <c r="J23"/>
      <c r="K23"/>
    </row>
    <row r="24" spans="1:11" ht="15">
      <c r="A24" s="8" t="s">
        <v>60</v>
      </c>
      <c r="B24" s="11">
        <f>VLOOKUP(Vlookup!B24,'CDCM Forecast Data'!$A$14:$I$271,7,FALSE)</f>
        <v>5.649040831841079E-2</v>
      </c>
      <c r="C24" s="7" t="s">
        <v>262</v>
      </c>
      <c r="D24"/>
      <c r="E24"/>
      <c r="F24"/>
      <c r="G24"/>
      <c r="H24"/>
      <c r="I24"/>
      <c r="J24"/>
      <c r="K24"/>
    </row>
    <row r="25" spans="1:11" ht="15">
      <c r="A25" s="8" t="s">
        <v>61</v>
      </c>
      <c r="B25" s="11">
        <f>VLOOKUP(Vlookup!B25,'CDCM Forecast Data'!$A$14:$I$271,7,FALSE)</f>
        <v>2.5568682496299511E-2</v>
      </c>
      <c r="C25" s="7" t="s">
        <v>262</v>
      </c>
      <c r="D25"/>
      <c r="E25"/>
      <c r="F25"/>
      <c r="G25"/>
      <c r="H25"/>
      <c r="I25"/>
      <c r="J25"/>
      <c r="K25"/>
    </row>
    <row r="26" spans="1:11" ht="15">
      <c r="A26" s="8" t="s">
        <v>62</v>
      </c>
      <c r="B26" s="6"/>
      <c r="C26" s="7" t="s">
        <v>262</v>
      </c>
      <c r="D26"/>
      <c r="E26"/>
      <c r="F26"/>
      <c r="G26"/>
      <c r="H26"/>
      <c r="I26"/>
      <c r="J26"/>
      <c r="K26"/>
    </row>
    <row r="27" spans="1:11" ht="15">
      <c r="A27" s="8" t="s">
        <v>63</v>
      </c>
      <c r="B27" s="11">
        <f>VLOOKUP(Vlookup!B27,'CDCM Forecast Data'!$A$14:$I$271,7,FALSE)</f>
        <v>2.6631596666738533E-2</v>
      </c>
      <c r="C27" s="7" t="s">
        <v>262</v>
      </c>
      <c r="D27"/>
      <c r="E27"/>
      <c r="F27"/>
      <c r="G27"/>
      <c r="H27"/>
      <c r="I27"/>
      <c r="J27"/>
      <c r="K27"/>
    </row>
    <row r="28" spans="1:11" ht="15">
      <c r="A28" s="8" t="s">
        <v>64</v>
      </c>
      <c r="B28" s="6"/>
      <c r="C28" s="7" t="s">
        <v>262</v>
      </c>
      <c r="D28"/>
      <c r="E28"/>
      <c r="F28"/>
      <c r="G28"/>
      <c r="H28"/>
      <c r="I28"/>
      <c r="J28"/>
      <c r="K28"/>
    </row>
    <row r="29" spans="1:11" ht="15">
      <c r="A29" s="8" t="s">
        <v>65</v>
      </c>
      <c r="B29" s="11">
        <f>VLOOKUP(Vlookup!B29,'CDCM Forecast Data'!$A$14:$I$271,7,FALSE)</f>
        <v>0.34000000000000008</v>
      </c>
      <c r="C29" s="7" t="s">
        <v>262</v>
      </c>
      <c r="D29"/>
      <c r="E29"/>
      <c r="F29"/>
      <c r="G29"/>
      <c r="H29"/>
      <c r="I29"/>
      <c r="J29"/>
      <c r="K29"/>
    </row>
    <row r="30" spans="1:11" ht="15">
      <c r="A30" s="8" t="s">
        <v>66</v>
      </c>
      <c r="B30" s="6"/>
      <c r="C30" s="7" t="s">
        <v>262</v>
      </c>
      <c r="D30"/>
      <c r="E30"/>
      <c r="F30"/>
      <c r="G30"/>
      <c r="H30"/>
      <c r="I30"/>
      <c r="J30"/>
      <c r="K30"/>
    </row>
    <row r="31" spans="1:11" ht="15">
      <c r="A31" s="8" t="s">
        <v>67</v>
      </c>
      <c r="B31" s="6"/>
      <c r="C31" s="7" t="s">
        <v>262</v>
      </c>
      <c r="D31"/>
      <c r="E31"/>
      <c r="F31"/>
      <c r="G31"/>
      <c r="H31"/>
      <c r="I31"/>
      <c r="J31"/>
      <c r="K31"/>
    </row>
    <row r="32" spans="1:11" ht="15">
      <c r="A32"/>
      <c r="B32"/>
      <c r="C32"/>
      <c r="D32"/>
      <c r="E32"/>
      <c r="F32"/>
      <c r="G32"/>
      <c r="H32"/>
      <c r="I32"/>
      <c r="J32"/>
      <c r="K32"/>
    </row>
    <row r="33" spans="1:11" ht="19.5">
      <c r="A33" s="1" t="s">
        <v>68</v>
      </c>
      <c r="B33"/>
      <c r="C33"/>
      <c r="D33"/>
      <c r="E33"/>
      <c r="F33"/>
      <c r="G33"/>
      <c r="H33"/>
      <c r="I33"/>
      <c r="J33"/>
      <c r="K33"/>
    </row>
    <row r="34" spans="1:11" ht="15">
      <c r="A34" t="s">
        <v>262</v>
      </c>
      <c r="B34"/>
      <c r="C34"/>
      <c r="D34"/>
      <c r="E34"/>
      <c r="F34"/>
      <c r="G34"/>
      <c r="H34"/>
      <c r="I34"/>
      <c r="J34"/>
      <c r="K34"/>
    </row>
    <row r="35" spans="1:11" ht="15">
      <c r="A35"/>
      <c r="B35" s="3" t="s">
        <v>69</v>
      </c>
      <c r="C35"/>
      <c r="D35"/>
      <c r="E35"/>
      <c r="F35"/>
      <c r="G35"/>
      <c r="H35"/>
      <c r="I35"/>
      <c r="J35"/>
      <c r="K35"/>
    </row>
    <row r="36" spans="1:11" ht="15">
      <c r="A36" s="8" t="s">
        <v>64</v>
      </c>
      <c r="B36" s="11">
        <f>VLOOKUP(Vlookup!B36,'CDCM Forecast Data'!$A$14:$I$271,7,FALSE)</f>
        <v>0.69256562916818787</v>
      </c>
      <c r="C36" s="7" t="s">
        <v>262</v>
      </c>
      <c r="D36"/>
      <c r="E36"/>
      <c r="F36"/>
      <c r="G36"/>
      <c r="H36"/>
      <c r="I36"/>
      <c r="J36"/>
      <c r="K36"/>
    </row>
    <row r="37" spans="1:11" ht="15">
      <c r="A37"/>
      <c r="B37"/>
      <c r="C37"/>
      <c r="D37"/>
      <c r="E37"/>
      <c r="F37"/>
      <c r="G37"/>
      <c r="H37"/>
      <c r="I37"/>
      <c r="J37"/>
      <c r="K37"/>
    </row>
    <row r="38" spans="1:11" ht="19.5">
      <c r="A38" s="1" t="s">
        <v>70</v>
      </c>
      <c r="B38"/>
      <c r="C38"/>
      <c r="D38"/>
      <c r="E38"/>
      <c r="F38"/>
      <c r="G38"/>
      <c r="H38"/>
      <c r="I38"/>
      <c r="J38"/>
      <c r="K38"/>
    </row>
    <row r="39" spans="1:11" ht="15">
      <c r="A39"/>
      <c r="B39"/>
      <c r="C39"/>
      <c r="D39"/>
      <c r="E39"/>
      <c r="F39"/>
      <c r="G39"/>
      <c r="H39"/>
      <c r="I39"/>
      <c r="J39"/>
      <c r="K39"/>
    </row>
    <row r="40" spans="1:11" ht="30">
      <c r="A40"/>
      <c r="B40" s="3" t="s">
        <v>71</v>
      </c>
      <c r="C40"/>
      <c r="D40"/>
      <c r="E40"/>
      <c r="F40"/>
      <c r="G40"/>
      <c r="H40"/>
      <c r="I40"/>
      <c r="J40"/>
      <c r="K40"/>
    </row>
    <row r="41" spans="1:11" ht="15">
      <c r="A41" s="8" t="s">
        <v>71</v>
      </c>
      <c r="B41" s="10">
        <f>VLOOKUP(Vlookup!B41,'CDCM Forecast Data'!$A$14:$I$271,7,FALSE)</f>
        <v>500</v>
      </c>
      <c r="C41" s="7" t="s">
        <v>262</v>
      </c>
      <c r="D41"/>
      <c r="E41"/>
      <c r="F41"/>
      <c r="G41"/>
      <c r="H41"/>
      <c r="I41"/>
      <c r="J41"/>
      <c r="K41"/>
    </row>
    <row r="42" spans="1:11" ht="15">
      <c r="A42"/>
      <c r="B42"/>
      <c r="C42"/>
      <c r="D42"/>
      <c r="E42"/>
      <c r="F42"/>
      <c r="G42"/>
      <c r="H42"/>
      <c r="I42"/>
      <c r="J42"/>
      <c r="K42"/>
    </row>
    <row r="43" spans="1:11" ht="19.5">
      <c r="A43" s="1" t="s">
        <v>72</v>
      </c>
      <c r="B43"/>
      <c r="C43"/>
      <c r="D43"/>
      <c r="E43"/>
      <c r="F43"/>
      <c r="G43"/>
      <c r="H43"/>
      <c r="I43"/>
      <c r="J43"/>
      <c r="K43"/>
    </row>
    <row r="44" spans="1:11" ht="15">
      <c r="A44"/>
      <c r="B44"/>
      <c r="C44"/>
      <c r="D44"/>
      <c r="E44"/>
      <c r="F44"/>
      <c r="G44"/>
      <c r="H44"/>
      <c r="I44"/>
      <c r="J44"/>
      <c r="K44"/>
    </row>
    <row r="45" spans="1:11" ht="15">
      <c r="A45"/>
      <c r="B45" s="3" t="s">
        <v>73</v>
      </c>
      <c r="C45"/>
      <c r="D45"/>
      <c r="E45"/>
      <c r="F45"/>
      <c r="G45"/>
      <c r="H45"/>
      <c r="I45"/>
      <c r="J45"/>
      <c r="K45"/>
    </row>
    <row r="46" spans="1:11" ht="15">
      <c r="A46" s="8" t="s">
        <v>61</v>
      </c>
      <c r="B46" s="10">
        <f>VLOOKUP(Vlookup!B46,'CDCM Forecast Data'!$A$14:$I$271,7,FALSE)</f>
        <v>52211914.199817486</v>
      </c>
      <c r="C46" s="7" t="s">
        <v>262</v>
      </c>
      <c r="D46"/>
      <c r="E46"/>
      <c r="F46"/>
      <c r="G46"/>
      <c r="H46"/>
      <c r="I46"/>
      <c r="J46"/>
      <c r="K46"/>
    </row>
    <row r="47" spans="1:11" ht="15">
      <c r="A47" s="8" t="s">
        <v>62</v>
      </c>
      <c r="B47" s="10">
        <f>VLOOKUP(Vlookup!B47,'CDCM Forecast Data'!$A$14:$I$271,7,FALSE)</f>
        <v>11952030.936282931</v>
      </c>
      <c r="C47" s="7" t="s">
        <v>262</v>
      </c>
      <c r="D47"/>
      <c r="E47"/>
      <c r="F47"/>
      <c r="G47"/>
      <c r="H47"/>
      <c r="I47"/>
      <c r="J47"/>
      <c r="K47"/>
    </row>
    <row r="48" spans="1:11" ht="15">
      <c r="A48" s="8" t="s">
        <v>63</v>
      </c>
      <c r="B48" s="10">
        <f>VLOOKUP(Vlookup!B48,'CDCM Forecast Data'!$A$14:$I$271,7,FALSE)</f>
        <v>12315681.689706147</v>
      </c>
      <c r="C48" s="7" t="s">
        <v>262</v>
      </c>
      <c r="D48"/>
      <c r="E48"/>
      <c r="F48"/>
      <c r="G48"/>
      <c r="H48"/>
      <c r="I48"/>
      <c r="J48"/>
      <c r="K48"/>
    </row>
    <row r="49" spans="1:11" ht="15">
      <c r="A49" s="8" t="s">
        <v>64</v>
      </c>
      <c r="B49" s="10">
        <f>VLOOKUP(Vlookup!B49,'CDCM Forecast Data'!$A$14:$I$271,7,FALSE)</f>
        <v>23273099.722589489</v>
      </c>
      <c r="C49" s="7" t="s">
        <v>262</v>
      </c>
      <c r="D49"/>
      <c r="E49"/>
      <c r="F49"/>
      <c r="G49"/>
      <c r="H49"/>
      <c r="I49"/>
      <c r="J49"/>
      <c r="K49"/>
    </row>
    <row r="50" spans="1:11" ht="15">
      <c r="A50" s="8" t="s">
        <v>69</v>
      </c>
      <c r="B50" s="10">
        <f>VLOOKUP(Vlookup!B50,'CDCM Forecast Data'!$A$14:$I$271,7,FALSE)</f>
        <v>24810366.807146292</v>
      </c>
      <c r="C50" s="7" t="s">
        <v>262</v>
      </c>
      <c r="D50"/>
      <c r="E50"/>
      <c r="F50"/>
      <c r="G50"/>
      <c r="H50"/>
      <c r="I50"/>
      <c r="J50"/>
      <c r="K50"/>
    </row>
    <row r="51" spans="1:11" ht="15">
      <c r="A51" s="8" t="s">
        <v>65</v>
      </c>
      <c r="B51" s="10">
        <f>VLOOKUP(Vlookup!B51,'CDCM Forecast Data'!$A$14:$I$271,7,FALSE)</f>
        <v>161107799.74848267</v>
      </c>
      <c r="C51" s="7" t="s">
        <v>262</v>
      </c>
      <c r="D51"/>
      <c r="E51"/>
      <c r="F51"/>
      <c r="G51"/>
      <c r="H51"/>
      <c r="I51"/>
      <c r="J51"/>
      <c r="K51"/>
    </row>
    <row r="52" spans="1:11" ht="15">
      <c r="A52" s="8" t="s">
        <v>66</v>
      </c>
      <c r="B52" s="10">
        <f>VLOOKUP(Vlookup!B52,'CDCM Forecast Data'!$A$14:$I$271,7,FALSE)</f>
        <v>72693294.281373948</v>
      </c>
      <c r="C52" s="7" t="s">
        <v>262</v>
      </c>
      <c r="D52"/>
      <c r="E52"/>
      <c r="F52"/>
      <c r="G52"/>
      <c r="H52"/>
      <c r="I52"/>
      <c r="J52"/>
      <c r="K52"/>
    </row>
    <row r="53" spans="1:11" ht="15">
      <c r="A53" s="8" t="s">
        <v>67</v>
      </c>
      <c r="B53" s="10">
        <f>VLOOKUP(Vlookup!B53,'CDCM Forecast Data'!$A$14:$I$271,7,FALSE)</f>
        <v>165637742.6719597</v>
      </c>
      <c r="C53" s="7" t="s">
        <v>262</v>
      </c>
      <c r="D53"/>
      <c r="E53"/>
      <c r="F53"/>
      <c r="G53"/>
      <c r="H53"/>
      <c r="I53"/>
      <c r="J53"/>
      <c r="K53"/>
    </row>
    <row r="54" spans="1:11" ht="15">
      <c r="A54"/>
      <c r="B54"/>
      <c r="C54"/>
      <c r="D54"/>
      <c r="E54"/>
      <c r="F54"/>
      <c r="G54"/>
      <c r="H54"/>
      <c r="I54"/>
      <c r="J54"/>
      <c r="K54"/>
    </row>
    <row r="55" spans="1:11" ht="19.5">
      <c r="A55" s="1" t="s">
        <v>74</v>
      </c>
      <c r="B55"/>
      <c r="C55"/>
      <c r="D55"/>
      <c r="E55"/>
      <c r="F55"/>
      <c r="G55"/>
      <c r="H55"/>
      <c r="I55"/>
      <c r="J55"/>
      <c r="K55"/>
    </row>
    <row r="56" spans="1:11" ht="15">
      <c r="A56"/>
      <c r="B56"/>
      <c r="C56"/>
      <c r="D56"/>
      <c r="E56"/>
      <c r="F56"/>
      <c r="G56"/>
      <c r="H56"/>
      <c r="I56"/>
      <c r="J56"/>
      <c r="K56"/>
    </row>
    <row r="57" spans="1:11" ht="15">
      <c r="A57"/>
      <c r="B57" s="3" t="s">
        <v>75</v>
      </c>
      <c r="C57" s="3" t="s">
        <v>76</v>
      </c>
      <c r="D57" s="3" t="s">
        <v>77</v>
      </c>
      <c r="E57" s="3" t="s">
        <v>78</v>
      </c>
      <c r="F57" s="3" t="s">
        <v>79</v>
      </c>
      <c r="G57" s="3" t="s">
        <v>80</v>
      </c>
      <c r="H57" s="3" t="s">
        <v>81</v>
      </c>
      <c r="I57" s="3" t="s">
        <v>82</v>
      </c>
      <c r="J57"/>
      <c r="K57"/>
    </row>
    <row r="58" spans="1:11" ht="15">
      <c r="A58" s="8" t="s">
        <v>83</v>
      </c>
      <c r="B58" s="10">
        <f>VLOOKUP(Vlookup!B58,'CDCM Forecast Data'!$A$14:$I$271,7,FALSE)</f>
        <v>5582.6265032021256</v>
      </c>
      <c r="C58" s="10">
        <f>VLOOKUP(Vlookup!C58,'CDCM Forecast Data'!$A$14:$I$271,7,FALSE)</f>
        <v>627.98966711938465</v>
      </c>
      <c r="D58" s="10">
        <f>VLOOKUP(Vlookup!D58,'CDCM Forecast Data'!$A$14:$I$271,7,FALSE)</f>
        <v>764.57294562450193</v>
      </c>
      <c r="E58" s="10">
        <f>VLOOKUP(Vlookup!E58,'CDCM Forecast Data'!$A$14:$I$271,7,FALSE)</f>
        <v>567.02256303146999</v>
      </c>
      <c r="F58" s="10">
        <f>VLOOKUP(Vlookup!F58,'CDCM Forecast Data'!$A$14:$I$271,7,FALSE)</f>
        <v>1288.9684726009086</v>
      </c>
      <c r="G58" s="10">
        <f>VLOOKUP(Vlookup!G58,'CDCM Forecast Data'!$A$14:$I$271,7,FALSE)</f>
        <v>992.7803895043337</v>
      </c>
      <c r="H58" s="10">
        <f>VLOOKUP(Vlookup!H58,'CDCM Forecast Data'!$A$14:$I$271,7,FALSE)</f>
        <v>0</v>
      </c>
      <c r="I58" s="10">
        <f>VLOOKUP(Vlookup!I58,'CDCM Forecast Data'!$A$14:$I$271,7,FALSE)</f>
        <v>519.22993581606011</v>
      </c>
      <c r="J58" s="7" t="s">
        <v>262</v>
      </c>
      <c r="K58"/>
    </row>
    <row r="59" spans="1:11" ht="15">
      <c r="A59"/>
      <c r="B59"/>
      <c r="C59"/>
      <c r="D59"/>
      <c r="E59"/>
      <c r="F59"/>
      <c r="G59"/>
      <c r="H59"/>
      <c r="I59"/>
      <c r="J59"/>
      <c r="K59"/>
    </row>
    <row r="60" spans="1:11" ht="19.5">
      <c r="A60" s="1" t="s">
        <v>84</v>
      </c>
      <c r="B60"/>
      <c r="C60"/>
      <c r="D60"/>
      <c r="E60"/>
      <c r="F60"/>
      <c r="G60"/>
      <c r="H60"/>
      <c r="I60"/>
      <c r="J60"/>
      <c r="K60"/>
    </row>
    <row r="61" spans="1:11" ht="15">
      <c r="A61"/>
      <c r="B61"/>
      <c r="C61"/>
      <c r="D61"/>
      <c r="E61"/>
      <c r="F61"/>
      <c r="G61"/>
      <c r="H61"/>
      <c r="I61"/>
      <c r="J61"/>
      <c r="K61"/>
    </row>
    <row r="62" spans="1:11" ht="15">
      <c r="A62"/>
      <c r="B62" s="3" t="s">
        <v>85</v>
      </c>
      <c r="C62" s="3" t="s">
        <v>86</v>
      </c>
      <c r="D62" s="3" t="s">
        <v>87</v>
      </c>
      <c r="E62" s="3" t="s">
        <v>88</v>
      </c>
      <c r="F62" s="3" t="s">
        <v>89</v>
      </c>
      <c r="G62"/>
      <c r="H62"/>
      <c r="I62"/>
      <c r="J62"/>
      <c r="K62"/>
    </row>
    <row r="63" spans="1:11" ht="15">
      <c r="A63" s="8" t="s">
        <v>90</v>
      </c>
      <c r="B63" s="10">
        <f>VLOOKUP(Vlookup!B63,'CDCM Forecast Data'!$A$14:$I$271,7,FALSE)</f>
        <v>9849.533452403919</v>
      </c>
      <c r="C63" s="10">
        <f>VLOOKUP(Vlookup!C63,'CDCM Forecast Data'!$A$14:$I$271,7,FALSE)</f>
        <v>4748.7928057248</v>
      </c>
      <c r="D63" s="10">
        <f>VLOOKUP(Vlookup!D63,'CDCM Forecast Data'!$A$14:$I$271,7,FALSE)</f>
        <v>0</v>
      </c>
      <c r="E63" s="10">
        <f>VLOOKUP(Vlookup!E63,'CDCM Forecast Data'!$A$14:$I$271,7,FALSE)</f>
        <v>0</v>
      </c>
      <c r="F63" s="10">
        <f>VLOOKUP(Vlookup!F63,'CDCM Forecast Data'!$A$14:$I$271,7,FALSE)</f>
        <v>0</v>
      </c>
      <c r="G63" s="7" t="s">
        <v>262</v>
      </c>
      <c r="H63"/>
      <c r="I63"/>
      <c r="J63"/>
      <c r="K63"/>
    </row>
    <row r="64" spans="1:11" ht="15">
      <c r="A64"/>
      <c r="B64"/>
      <c r="C64"/>
      <c r="D64"/>
      <c r="E64"/>
      <c r="F64"/>
      <c r="G64"/>
      <c r="H64"/>
      <c r="I64"/>
      <c r="J64"/>
      <c r="K64"/>
    </row>
    <row r="65" spans="1:11" ht="19.5">
      <c r="A65" s="1" t="s">
        <v>91</v>
      </c>
      <c r="B65"/>
      <c r="C65"/>
      <c r="D65"/>
      <c r="E65"/>
      <c r="F65"/>
      <c r="G65"/>
      <c r="H65"/>
      <c r="I65"/>
      <c r="J65"/>
      <c r="K65"/>
    </row>
    <row r="66" spans="1:11" ht="15">
      <c r="A66"/>
      <c r="B66">
        <v>18</v>
      </c>
      <c r="C66">
        <f t="shared" ref="C66:I66" si="0">B66+1</f>
        <v>19</v>
      </c>
      <c r="D66">
        <f t="shared" si="0"/>
        <v>20</v>
      </c>
      <c r="E66">
        <f t="shared" si="0"/>
        <v>21</v>
      </c>
      <c r="F66">
        <f t="shared" si="0"/>
        <v>22</v>
      </c>
      <c r="G66">
        <f t="shared" si="0"/>
        <v>23</v>
      </c>
      <c r="H66">
        <f t="shared" si="0"/>
        <v>24</v>
      </c>
      <c r="I66">
        <f t="shared" si="0"/>
        <v>25</v>
      </c>
      <c r="J66"/>
      <c r="K66"/>
    </row>
    <row r="67" spans="1:11" ht="15">
      <c r="A67"/>
      <c r="B67" s="3" t="s">
        <v>75</v>
      </c>
      <c r="C67" s="3" t="s">
        <v>76</v>
      </c>
      <c r="D67" s="3" t="s">
        <v>77</v>
      </c>
      <c r="E67" s="3" t="s">
        <v>78</v>
      </c>
      <c r="F67" s="3" t="s">
        <v>79</v>
      </c>
      <c r="G67" s="3" t="s">
        <v>80</v>
      </c>
      <c r="H67" s="3" t="s">
        <v>81</v>
      </c>
      <c r="I67" s="3" t="s">
        <v>82</v>
      </c>
      <c r="J67"/>
      <c r="K67"/>
    </row>
    <row r="68" spans="1:11" ht="15">
      <c r="A68" s="8" t="s">
        <v>92</v>
      </c>
      <c r="B68" s="11">
        <f>VLOOKUP($A68,'Mat of App'!$B$7:$AP$37,B$66,FALSE)</f>
        <v>0.05</v>
      </c>
      <c r="C68" s="11">
        <f>VLOOKUP($A68,'Mat of App'!$B$7:$AP$37,C$66,FALSE)</f>
        <v>0</v>
      </c>
      <c r="D68" s="11">
        <f>VLOOKUP($A68,'Mat of App'!$B$7:$AP$37,D$66,FALSE)</f>
        <v>0</v>
      </c>
      <c r="E68" s="11">
        <f>VLOOKUP($A68,'Mat of App'!$B$7:$AP$37,E$66,FALSE)</f>
        <v>0</v>
      </c>
      <c r="F68" s="11">
        <f>VLOOKUP($A68,'Mat of App'!$B$7:$AP$37,F$66,FALSE)</f>
        <v>0</v>
      </c>
      <c r="G68" s="11">
        <f>VLOOKUP($A68,'Mat of App'!$B$7:$AP$37,G$66,FALSE)</f>
        <v>0</v>
      </c>
      <c r="H68" s="11">
        <f>VLOOKUP($A68,'Mat of App'!$B$7:$AP$37,H$66,FALSE)</f>
        <v>0</v>
      </c>
      <c r="I68" s="11">
        <f>VLOOKUP($A68,'Mat of App'!$B$7:$AP$37,I$66,FALSE)</f>
        <v>0</v>
      </c>
      <c r="J68" s="7" t="s">
        <v>262</v>
      </c>
      <c r="K68"/>
    </row>
    <row r="69" spans="1:11" ht="15">
      <c r="A69" s="8" t="s">
        <v>93</v>
      </c>
      <c r="B69" s="11">
        <f>VLOOKUP($A69,'Mat of App'!$B$7:$AP$37,B$66,FALSE)</f>
        <v>0.05</v>
      </c>
      <c r="C69" s="11">
        <f>VLOOKUP($A69,'Mat of App'!$B$7:$AP$37,C$66,FALSE)</f>
        <v>0</v>
      </c>
      <c r="D69" s="11">
        <f>VLOOKUP($A69,'Mat of App'!$B$7:$AP$37,D$66,FALSE)</f>
        <v>0</v>
      </c>
      <c r="E69" s="11">
        <f>VLOOKUP($A69,'Mat of App'!$B$7:$AP$37,E$66,FALSE)</f>
        <v>0</v>
      </c>
      <c r="F69" s="11">
        <f>VLOOKUP($A69,'Mat of App'!$B$7:$AP$37,F$66,FALSE)</f>
        <v>0</v>
      </c>
      <c r="G69" s="11">
        <f>VLOOKUP($A69,'Mat of App'!$B$7:$AP$37,G$66,FALSE)</f>
        <v>0</v>
      </c>
      <c r="H69" s="11">
        <f>VLOOKUP($A69,'Mat of App'!$B$7:$AP$37,H$66,FALSE)</f>
        <v>0</v>
      </c>
      <c r="I69" s="11">
        <f>VLOOKUP($A69,'Mat of App'!$B$7:$AP$37,I$66,FALSE)</f>
        <v>0</v>
      </c>
      <c r="J69" s="7" t="s">
        <v>262</v>
      </c>
      <c r="K69"/>
    </row>
    <row r="70" spans="1:11" ht="15">
      <c r="A70" s="8" t="s">
        <v>94</v>
      </c>
      <c r="B70" s="11">
        <f>VLOOKUP($A70,'Mat of App'!$B$7:$AP$37,B$66,FALSE)</f>
        <v>0</v>
      </c>
      <c r="C70" s="11">
        <f>VLOOKUP($A70,'Mat of App'!$B$7:$AP$37,C$66,FALSE)</f>
        <v>1</v>
      </c>
      <c r="D70" s="11">
        <f>VLOOKUP($A70,'Mat of App'!$B$7:$AP$37,D$66,FALSE)</f>
        <v>0</v>
      </c>
      <c r="E70" s="11">
        <f>VLOOKUP($A70,'Mat of App'!$B$7:$AP$37,E$66,FALSE)</f>
        <v>0</v>
      </c>
      <c r="F70" s="11">
        <f>VLOOKUP($A70,'Mat of App'!$B$7:$AP$37,F$66,FALSE)</f>
        <v>0</v>
      </c>
      <c r="G70" s="11">
        <f>VLOOKUP($A70,'Mat of App'!$B$7:$AP$37,G$66,FALSE)</f>
        <v>0</v>
      </c>
      <c r="H70" s="11">
        <f>VLOOKUP($A70,'Mat of App'!$B$7:$AP$37,H$66,FALSE)</f>
        <v>0</v>
      </c>
      <c r="I70" s="11">
        <f>VLOOKUP($A70,'Mat of App'!$B$7:$AP$37,I$66,FALSE)</f>
        <v>0</v>
      </c>
      <c r="J70" s="7" t="s">
        <v>262</v>
      </c>
      <c r="K70"/>
    </row>
    <row r="71" spans="1:11" ht="15">
      <c r="A71" s="8" t="s">
        <v>95</v>
      </c>
      <c r="B71" s="11">
        <f>VLOOKUP($A71,'Mat of App'!$B$7:$AP$37,B$66,FALSE)</f>
        <v>0</v>
      </c>
      <c r="C71" s="11">
        <f>VLOOKUP($A71,'Mat of App'!$B$7:$AP$37,C$66,FALSE)</f>
        <v>1</v>
      </c>
      <c r="D71" s="11">
        <f>VLOOKUP($A71,'Mat of App'!$B$7:$AP$37,D$66,FALSE)</f>
        <v>0</v>
      </c>
      <c r="E71" s="11">
        <f>VLOOKUP($A71,'Mat of App'!$B$7:$AP$37,E$66,FALSE)</f>
        <v>0</v>
      </c>
      <c r="F71" s="11">
        <f>VLOOKUP($A71,'Mat of App'!$B$7:$AP$37,F$66,FALSE)</f>
        <v>0</v>
      </c>
      <c r="G71" s="11">
        <f>VLOOKUP($A71,'Mat of App'!$B$7:$AP$37,G$66,FALSE)</f>
        <v>0</v>
      </c>
      <c r="H71" s="11">
        <f>VLOOKUP($A71,'Mat of App'!$B$7:$AP$37,H$66,FALSE)</f>
        <v>0</v>
      </c>
      <c r="I71" s="11">
        <f>VLOOKUP($A71,'Mat of App'!$B$7:$AP$37,I$66,FALSE)</f>
        <v>0</v>
      </c>
      <c r="J71" s="7" t="s">
        <v>262</v>
      </c>
      <c r="K71"/>
    </row>
    <row r="72" spans="1:11" ht="15">
      <c r="A72" s="8" t="s">
        <v>96</v>
      </c>
      <c r="B72" s="11">
        <f>VLOOKUP($A72,'Mat of App'!$B$7:$AP$37,B$66,FALSE)</f>
        <v>0</v>
      </c>
      <c r="C72" s="11">
        <f>VLOOKUP($A72,'Mat of App'!$B$7:$AP$37,C$66,FALSE)</f>
        <v>0</v>
      </c>
      <c r="D72" s="11">
        <f>VLOOKUP($A72,'Mat of App'!$B$7:$AP$37,D$66,FALSE)</f>
        <v>1</v>
      </c>
      <c r="E72" s="11">
        <f>VLOOKUP($A72,'Mat of App'!$B$7:$AP$37,E$66,FALSE)</f>
        <v>0</v>
      </c>
      <c r="F72" s="11">
        <f>VLOOKUP($A72,'Mat of App'!$B$7:$AP$37,F$66,FALSE)</f>
        <v>0</v>
      </c>
      <c r="G72" s="11">
        <f>VLOOKUP($A72,'Mat of App'!$B$7:$AP$37,G$66,FALSE)</f>
        <v>0</v>
      </c>
      <c r="H72" s="11">
        <f>VLOOKUP($A72,'Mat of App'!$B$7:$AP$37,H$66,FALSE)</f>
        <v>0</v>
      </c>
      <c r="I72" s="11">
        <f>VLOOKUP($A72,'Mat of App'!$B$7:$AP$37,I$66,FALSE)</f>
        <v>0</v>
      </c>
      <c r="J72" s="7"/>
      <c r="K72"/>
    </row>
    <row r="73" spans="1:11" ht="15">
      <c r="A73" s="8" t="s">
        <v>97</v>
      </c>
      <c r="B73" s="11">
        <f>VLOOKUP($A73,'Mat of App'!$B$7:$AP$37,B$66,FALSE)</f>
        <v>0</v>
      </c>
      <c r="C73" s="11">
        <f>VLOOKUP($A73,'Mat of App'!$B$7:$AP$37,C$66,FALSE)</f>
        <v>0</v>
      </c>
      <c r="D73" s="11">
        <f>VLOOKUP($A73,'Mat of App'!$B$7:$AP$37,D$66,FALSE)</f>
        <v>0</v>
      </c>
      <c r="E73" s="11">
        <f>VLOOKUP($A73,'Mat of App'!$B$7:$AP$37,E$66,FALSE)</f>
        <v>1</v>
      </c>
      <c r="F73" s="11">
        <f>VLOOKUP($A73,'Mat of App'!$B$7:$AP$37,F$66,FALSE)</f>
        <v>0</v>
      </c>
      <c r="G73" s="11">
        <f>VLOOKUP($A73,'Mat of App'!$B$7:$AP$37,G$66,FALSE)</f>
        <v>0</v>
      </c>
      <c r="H73" s="11">
        <f>VLOOKUP($A73,'Mat of App'!$B$7:$AP$37,H$66,FALSE)</f>
        <v>0</v>
      </c>
      <c r="I73" s="11">
        <f>VLOOKUP($A73,'Mat of App'!$B$7:$AP$37,I$66,FALSE)</f>
        <v>0</v>
      </c>
      <c r="J73" s="7"/>
      <c r="K73"/>
    </row>
    <row r="74" spans="1:11" ht="15">
      <c r="A74" s="8" t="s">
        <v>1536</v>
      </c>
      <c r="B74" s="11">
        <f>VLOOKUP($A74,'Mat of App'!$B$7:$AP$37,B$66,FALSE)</f>
        <v>0.05</v>
      </c>
      <c r="C74" s="11">
        <f>VLOOKUP($A74,'Mat of App'!$B$7:$AP$37,C$66,FALSE)</f>
        <v>0</v>
      </c>
      <c r="D74" s="11">
        <f>VLOOKUP($A74,'Mat of App'!$B$7:$AP$37,D$66,FALSE)</f>
        <v>0</v>
      </c>
      <c r="E74" s="11">
        <f>VLOOKUP($A74,'Mat of App'!$B$7:$AP$37,E$66,FALSE)</f>
        <v>0</v>
      </c>
      <c r="F74" s="11">
        <f>VLOOKUP($A74,'Mat of App'!$B$7:$AP$37,F$66,FALSE)</f>
        <v>0</v>
      </c>
      <c r="G74" s="11">
        <f>VLOOKUP($A74,'Mat of App'!$B$7:$AP$37,G$66,FALSE)</f>
        <v>0</v>
      </c>
      <c r="H74" s="11">
        <f>VLOOKUP($A74,'Mat of App'!$B$7:$AP$37,H$66,FALSE)</f>
        <v>0</v>
      </c>
      <c r="I74" s="11">
        <f>VLOOKUP($A74,'Mat of App'!$B$7:$AP$37,I$66,FALSE)</f>
        <v>0</v>
      </c>
      <c r="J74" s="7" t="s">
        <v>262</v>
      </c>
      <c r="K74"/>
    </row>
    <row r="75" spans="1:11" ht="15">
      <c r="A75" s="8" t="s">
        <v>1535</v>
      </c>
      <c r="B75" s="11">
        <f>VLOOKUP($A75,'Mat of App'!$B$7:$AP$37,B$66,FALSE)</f>
        <v>0</v>
      </c>
      <c r="C75" s="11">
        <f>VLOOKUP($A75,'Mat of App'!$B$7:$AP$37,C$66,FALSE)</f>
        <v>1</v>
      </c>
      <c r="D75" s="11">
        <f>VLOOKUP($A75,'Mat of App'!$B$7:$AP$37,D$66,FALSE)</f>
        <v>0</v>
      </c>
      <c r="E75" s="11">
        <f>VLOOKUP($A75,'Mat of App'!$B$7:$AP$37,E$66,FALSE)</f>
        <v>0</v>
      </c>
      <c r="F75" s="11">
        <f>VLOOKUP($A75,'Mat of App'!$B$7:$AP$37,F$66,FALSE)</f>
        <v>0</v>
      </c>
      <c r="G75" s="11">
        <f>VLOOKUP($A75,'Mat of App'!$B$7:$AP$37,G$66,FALSE)</f>
        <v>0</v>
      </c>
      <c r="H75" s="11">
        <f>VLOOKUP($A75,'Mat of App'!$B$7:$AP$37,H$66,FALSE)</f>
        <v>0</v>
      </c>
      <c r="I75" s="11">
        <f>VLOOKUP($A75,'Mat of App'!$B$7:$AP$37,I$66,FALSE)</f>
        <v>0</v>
      </c>
      <c r="J75" s="7" t="s">
        <v>262</v>
      </c>
      <c r="K75"/>
    </row>
    <row r="76" spans="1:11" ht="15">
      <c r="A76" s="8" t="s">
        <v>98</v>
      </c>
      <c r="B76" s="11">
        <f>VLOOKUP($A76,'Mat of App'!$B$7:$AP$37,B$66,FALSE)</f>
        <v>0</v>
      </c>
      <c r="C76" s="11">
        <f>VLOOKUP($A76,'Mat of App'!$B$7:$AP$37,C$66,FALSE)</f>
        <v>0</v>
      </c>
      <c r="D76" s="11">
        <f>VLOOKUP($A76,'Mat of App'!$B$7:$AP$37,D$66,FALSE)</f>
        <v>0</v>
      </c>
      <c r="E76" s="11">
        <f>VLOOKUP($A76,'Mat of App'!$B$7:$AP$37,E$66,FALSE)</f>
        <v>0</v>
      </c>
      <c r="F76" s="11">
        <f>VLOOKUP($A76,'Mat of App'!$B$7:$AP$37,F$66,FALSE)</f>
        <v>1</v>
      </c>
      <c r="G76" s="11">
        <f>VLOOKUP($A76,'Mat of App'!$B$7:$AP$37,G$66,FALSE)</f>
        <v>0</v>
      </c>
      <c r="H76" s="11">
        <f>VLOOKUP($A76,'Mat of App'!$B$7:$AP$37,H$66,FALSE)</f>
        <v>0</v>
      </c>
      <c r="I76" s="11">
        <f>VLOOKUP($A76,'Mat of App'!$B$7:$AP$37,I$66,FALSE)</f>
        <v>0</v>
      </c>
      <c r="J76" s="7" t="s">
        <v>262</v>
      </c>
      <c r="K76"/>
    </row>
    <row r="77" spans="1:11" ht="15">
      <c r="A77" s="8" t="s">
        <v>99</v>
      </c>
      <c r="B77" s="11">
        <f>VLOOKUP($A77,'Mat of App'!$B$7:$AP$37,B$66,FALSE)</f>
        <v>0</v>
      </c>
      <c r="C77" s="11">
        <f>VLOOKUP($A77,'Mat of App'!$B$7:$AP$37,C$66,FALSE)</f>
        <v>0</v>
      </c>
      <c r="D77" s="11">
        <f>VLOOKUP($A77,'Mat of App'!$B$7:$AP$37,D$66,FALSE)</f>
        <v>0</v>
      </c>
      <c r="E77" s="11">
        <f>VLOOKUP($A77,'Mat of App'!$B$7:$AP$37,E$66,FALSE)</f>
        <v>0</v>
      </c>
      <c r="F77" s="11">
        <f>VLOOKUP($A77,'Mat of App'!$B$7:$AP$37,F$66,FALSE)</f>
        <v>0</v>
      </c>
      <c r="G77" s="11">
        <f>VLOOKUP($A77,'Mat of App'!$B$7:$AP$37,G$66,FALSE)</f>
        <v>1</v>
      </c>
      <c r="H77" s="11">
        <f>VLOOKUP($A77,'Mat of App'!$B$7:$AP$37,H$66,FALSE)</f>
        <v>0</v>
      </c>
      <c r="I77" s="11">
        <f>VLOOKUP($A77,'Mat of App'!$B$7:$AP$37,I$66,FALSE)</f>
        <v>0</v>
      </c>
      <c r="J77" s="7" t="s">
        <v>262</v>
      </c>
      <c r="K77"/>
    </row>
    <row r="78" spans="1:11" ht="15">
      <c r="A78" s="8" t="s">
        <v>1534</v>
      </c>
      <c r="B78" s="11">
        <f>VLOOKUP($A78,'Mat of App'!$B$7:$AP$37,B$66,FALSE)</f>
        <v>0</v>
      </c>
      <c r="C78" s="11">
        <f>VLOOKUP($A78,'Mat of App'!$B$7:$AP$37,C$66,FALSE)</f>
        <v>0</v>
      </c>
      <c r="D78" s="11">
        <f>VLOOKUP($A78,'Mat of App'!$B$7:$AP$37,D$66,FALSE)</f>
        <v>0</v>
      </c>
      <c r="E78" s="11">
        <f>VLOOKUP($A78,'Mat of App'!$B$7:$AP$37,E$66,FALSE)</f>
        <v>0</v>
      </c>
      <c r="F78" s="11">
        <f>VLOOKUP($A78,'Mat of App'!$B$7:$AP$37,F$66,FALSE)</f>
        <v>0</v>
      </c>
      <c r="G78" s="11">
        <f>VLOOKUP($A78,'Mat of App'!$B$7:$AP$37,G$66,FALSE)</f>
        <v>0</v>
      </c>
      <c r="H78" s="11">
        <f>VLOOKUP($A78,'Mat of App'!$B$7:$AP$37,H$66,FALSE)</f>
        <v>1</v>
      </c>
      <c r="I78" s="11">
        <f>VLOOKUP($A78,'Mat of App'!$B$7:$AP$37,I$66,FALSE)</f>
        <v>0</v>
      </c>
      <c r="J78" s="7" t="s">
        <v>262</v>
      </c>
      <c r="K78"/>
    </row>
    <row r="79" spans="1:11" ht="15">
      <c r="A79" s="8" t="s">
        <v>100</v>
      </c>
      <c r="B79" s="11">
        <f>VLOOKUP($A79,'Mat of App'!$B$7:$AP$37,B$66,FALSE)</f>
        <v>0</v>
      </c>
      <c r="C79" s="11">
        <f>VLOOKUP($A79,'Mat of App'!$B$7:$AP$37,C$66,FALSE)</f>
        <v>0</v>
      </c>
      <c r="D79" s="11">
        <f>VLOOKUP($A79,'Mat of App'!$B$7:$AP$37,D$66,FALSE)</f>
        <v>0</v>
      </c>
      <c r="E79" s="11">
        <f>VLOOKUP($A79,'Mat of App'!$B$7:$AP$37,E$66,FALSE)</f>
        <v>0</v>
      </c>
      <c r="F79" s="11">
        <f>VLOOKUP($A79,'Mat of App'!$B$7:$AP$37,F$66,FALSE)</f>
        <v>0</v>
      </c>
      <c r="G79" s="11">
        <f>VLOOKUP($A79,'Mat of App'!$B$7:$AP$37,G$66,FALSE)</f>
        <v>0</v>
      </c>
      <c r="H79" s="11">
        <f>VLOOKUP($A79,'Mat of App'!$B$7:$AP$37,H$66,FALSE)</f>
        <v>1</v>
      </c>
      <c r="I79" s="11">
        <f>VLOOKUP($A79,'Mat of App'!$B$7:$AP$37,I$66,FALSE)</f>
        <v>0</v>
      </c>
      <c r="J79" s="7" t="s">
        <v>262</v>
      </c>
      <c r="K79"/>
    </row>
    <row r="80" spans="1:11" ht="15">
      <c r="A80" s="8" t="s">
        <v>101</v>
      </c>
      <c r="B80" s="11">
        <f>VLOOKUP($A80,'Mat of App'!$B$7:$AP$37,B$66,FALSE)</f>
        <v>0</v>
      </c>
      <c r="C80" s="11">
        <f>VLOOKUP($A80,'Mat of App'!$B$7:$AP$37,C$66,FALSE)</f>
        <v>0</v>
      </c>
      <c r="D80" s="11">
        <f>VLOOKUP($A80,'Mat of App'!$B$7:$AP$37,D$66,FALSE)</f>
        <v>0</v>
      </c>
      <c r="E80" s="11">
        <f>VLOOKUP($A80,'Mat of App'!$B$7:$AP$37,E$66,FALSE)</f>
        <v>0</v>
      </c>
      <c r="F80" s="11">
        <f>VLOOKUP($A80,'Mat of App'!$B$7:$AP$37,F$66,FALSE)</f>
        <v>0</v>
      </c>
      <c r="G80" s="11">
        <f>VLOOKUP($A80,'Mat of App'!$B$7:$AP$37,G$66,FALSE)</f>
        <v>0</v>
      </c>
      <c r="H80" s="11">
        <f>VLOOKUP($A80,'Mat of App'!$B$7:$AP$37,H$66,FALSE)</f>
        <v>1</v>
      </c>
      <c r="I80" s="11">
        <f>VLOOKUP($A80,'Mat of App'!$B$7:$AP$37,I$66,FALSE)</f>
        <v>0</v>
      </c>
      <c r="J80" s="7" t="s">
        <v>262</v>
      </c>
      <c r="K80"/>
    </row>
    <row r="81" spans="1:11" ht="15">
      <c r="A81" s="8" t="s">
        <v>102</v>
      </c>
      <c r="B81" s="11">
        <f>VLOOKUP($A81,'Mat of App'!$B$7:$AP$37,B$66,FALSE)</f>
        <v>0</v>
      </c>
      <c r="C81" s="11">
        <f>VLOOKUP($A81,'Mat of App'!$B$7:$AP$37,C$66,FALSE)</f>
        <v>0</v>
      </c>
      <c r="D81" s="11">
        <f>VLOOKUP($A81,'Mat of App'!$B$7:$AP$37,D$66,FALSE)</f>
        <v>0</v>
      </c>
      <c r="E81" s="11">
        <f>VLOOKUP($A81,'Mat of App'!$B$7:$AP$37,E$66,FALSE)</f>
        <v>0</v>
      </c>
      <c r="F81" s="11">
        <f>VLOOKUP($A81,'Mat of App'!$B$7:$AP$37,F$66,FALSE)</f>
        <v>0</v>
      </c>
      <c r="G81" s="11">
        <f>VLOOKUP($A81,'Mat of App'!$B$7:$AP$37,G$66,FALSE)</f>
        <v>0</v>
      </c>
      <c r="H81" s="11">
        <f>VLOOKUP($A81,'Mat of App'!$B$7:$AP$37,H$66,FALSE)</f>
        <v>0</v>
      </c>
      <c r="I81" s="11">
        <f>VLOOKUP($A81,'Mat of App'!$B$7:$AP$37,I$66,FALSE)</f>
        <v>0</v>
      </c>
      <c r="J81" s="7" t="s">
        <v>262</v>
      </c>
      <c r="K81"/>
    </row>
    <row r="82" spans="1:11" ht="15">
      <c r="A82" s="8" t="s">
        <v>103</v>
      </c>
      <c r="B82" s="11">
        <f>VLOOKUP($A82,'Mat of App'!$B$7:$AP$37,B$66,FALSE)</f>
        <v>0</v>
      </c>
      <c r="C82" s="11">
        <f>VLOOKUP($A82,'Mat of App'!$B$7:$AP$37,C$66,FALSE)</f>
        <v>0</v>
      </c>
      <c r="D82" s="11">
        <f>VLOOKUP($A82,'Mat of App'!$B$7:$AP$37,D$66,FALSE)</f>
        <v>0</v>
      </c>
      <c r="E82" s="11">
        <f>VLOOKUP($A82,'Mat of App'!$B$7:$AP$37,E$66,FALSE)</f>
        <v>0</v>
      </c>
      <c r="F82" s="11">
        <f>VLOOKUP($A82,'Mat of App'!$B$7:$AP$37,F$66,FALSE)</f>
        <v>0</v>
      </c>
      <c r="G82" s="11">
        <f>VLOOKUP($A82,'Mat of App'!$B$7:$AP$37,G$66,FALSE)</f>
        <v>0</v>
      </c>
      <c r="H82" s="11">
        <f>VLOOKUP($A82,'Mat of App'!$B$7:$AP$37,H$66,FALSE)</f>
        <v>0</v>
      </c>
      <c r="I82" s="11">
        <f>VLOOKUP($A82,'Mat of App'!$B$7:$AP$37,I$66,FALSE)</f>
        <v>0</v>
      </c>
      <c r="J82" s="7" t="s">
        <v>262</v>
      </c>
      <c r="K82"/>
    </row>
    <row r="83" spans="1:11" ht="15">
      <c r="A83" s="8" t="s">
        <v>104</v>
      </c>
      <c r="B83" s="11">
        <f>VLOOKUP($A83,'Mat of App'!$B$7:$AP$37,B$66,FALSE)</f>
        <v>0</v>
      </c>
      <c r="C83" s="11">
        <f>VLOOKUP($A83,'Mat of App'!$B$7:$AP$37,C$66,FALSE)</f>
        <v>0</v>
      </c>
      <c r="D83" s="11">
        <f>VLOOKUP($A83,'Mat of App'!$B$7:$AP$37,D$66,FALSE)</f>
        <v>0</v>
      </c>
      <c r="E83" s="11">
        <f>VLOOKUP($A83,'Mat of App'!$B$7:$AP$37,E$66,FALSE)</f>
        <v>0</v>
      </c>
      <c r="F83" s="11">
        <f>VLOOKUP($A83,'Mat of App'!$B$7:$AP$37,F$66,FALSE)</f>
        <v>0</v>
      </c>
      <c r="G83" s="11">
        <f>VLOOKUP($A83,'Mat of App'!$B$7:$AP$37,G$66,FALSE)</f>
        <v>0</v>
      </c>
      <c r="H83" s="11">
        <f>VLOOKUP($A83,'Mat of App'!$B$7:$AP$37,H$66,FALSE)</f>
        <v>0</v>
      </c>
      <c r="I83" s="11">
        <f>VLOOKUP($A83,'Mat of App'!$B$7:$AP$37,I$66,FALSE)</f>
        <v>0</v>
      </c>
      <c r="J83" s="7" t="s">
        <v>262</v>
      </c>
      <c r="K83"/>
    </row>
    <row r="84" spans="1:11" ht="15">
      <c r="A84"/>
      <c r="B84"/>
      <c r="C84"/>
      <c r="D84"/>
      <c r="E84"/>
      <c r="F84"/>
      <c r="G84"/>
      <c r="H84"/>
      <c r="I84"/>
      <c r="J84"/>
      <c r="K84"/>
    </row>
    <row r="85" spans="1:11" ht="19.5">
      <c r="A85" s="1" t="s">
        <v>105</v>
      </c>
      <c r="B85"/>
      <c r="C85"/>
      <c r="D85"/>
      <c r="E85"/>
      <c r="F85"/>
      <c r="G85"/>
      <c r="H85"/>
      <c r="I85"/>
      <c r="J85"/>
      <c r="K85"/>
    </row>
    <row r="86" spans="1:11" ht="15">
      <c r="A86" s="2"/>
      <c r="B86"/>
      <c r="C86"/>
      <c r="D86"/>
      <c r="E86"/>
      <c r="F86"/>
      <c r="G86"/>
      <c r="H86"/>
      <c r="I86"/>
      <c r="J86"/>
      <c r="K86"/>
    </row>
    <row r="87" spans="1:11" ht="15">
      <c r="A87" s="2" t="s">
        <v>106</v>
      </c>
      <c r="B87"/>
      <c r="C87"/>
      <c r="D87"/>
      <c r="E87"/>
      <c r="F87"/>
      <c r="G87"/>
      <c r="H87"/>
      <c r="I87"/>
      <c r="J87"/>
      <c r="K87"/>
    </row>
    <row r="88" spans="1:11" ht="15">
      <c r="A88" t="s">
        <v>107</v>
      </c>
      <c r="B88"/>
      <c r="C88"/>
      <c r="D88"/>
      <c r="E88"/>
      <c r="F88"/>
      <c r="G88"/>
      <c r="H88"/>
      <c r="I88"/>
      <c r="J88"/>
      <c r="K88"/>
    </row>
    <row r="89" spans="1:11" ht="15">
      <c r="A89"/>
      <c r="B89" s="3" t="s">
        <v>75</v>
      </c>
      <c r="C89" s="3" t="s">
        <v>76</v>
      </c>
      <c r="D89" s="3" t="s">
        <v>77</v>
      </c>
      <c r="E89" s="3" t="s">
        <v>78</v>
      </c>
      <c r="F89" s="3" t="s">
        <v>79</v>
      </c>
      <c r="G89" s="3" t="s">
        <v>80</v>
      </c>
      <c r="H89" s="3" t="s">
        <v>81</v>
      </c>
      <c r="I89" s="3" t="s">
        <v>82</v>
      </c>
      <c r="J89"/>
      <c r="K89"/>
    </row>
    <row r="90" spans="1:11" ht="15">
      <c r="A90" s="8" t="s">
        <v>108</v>
      </c>
      <c r="B90" s="4">
        <f>VLOOKUP($A90,'Mat of App'!$B$7:$AP$37,B$66,FALSE)</f>
        <v>0</v>
      </c>
      <c r="C90" s="4">
        <f>VLOOKUP($A90,'Mat of App'!$B$7:$AP$37,C$66,FALSE)</f>
        <v>0</v>
      </c>
      <c r="D90" s="4">
        <f>VLOOKUP($A90,'Mat of App'!$B$7:$AP$37,D$66,FALSE)</f>
        <v>0</v>
      </c>
      <c r="E90" s="4">
        <f>VLOOKUP($A90,'Mat of App'!$B$7:$AP$37,E$66,FALSE)</f>
        <v>0</v>
      </c>
      <c r="F90" s="4">
        <f>VLOOKUP($A90,'Mat of App'!$B$7:$AP$37,F$66,FALSE)</f>
        <v>0</v>
      </c>
      <c r="G90" s="4">
        <f>VLOOKUP($A90,'Mat of App'!$B$7:$AP$37,G$66,FALSE)</f>
        <v>0</v>
      </c>
      <c r="H90" s="4">
        <f>VLOOKUP($A90,'Mat of App'!$B$7:$AP$37,H$66,FALSE)</f>
        <v>0</v>
      </c>
      <c r="I90" s="4">
        <f>VLOOKUP($A90,'Mat of App'!$B$7:$AP$37,I$66,FALSE)</f>
        <v>0.48799999999999999</v>
      </c>
      <c r="J90" s="7" t="s">
        <v>262</v>
      </c>
      <c r="K90"/>
    </row>
    <row r="91" spans="1:11" ht="15">
      <c r="A91"/>
      <c r="B91"/>
      <c r="C91"/>
      <c r="D91"/>
      <c r="E91"/>
      <c r="F91"/>
      <c r="G91"/>
      <c r="H91"/>
      <c r="I91"/>
      <c r="J91"/>
      <c r="K91"/>
    </row>
    <row r="92" spans="1:11" ht="19.5">
      <c r="A92" s="1" t="s">
        <v>109</v>
      </c>
      <c r="B92"/>
      <c r="C92"/>
      <c r="D92"/>
      <c r="E92"/>
      <c r="F92"/>
      <c r="G92"/>
      <c r="H92"/>
      <c r="I92"/>
      <c r="J92"/>
      <c r="K92"/>
    </row>
    <row r="93" spans="1:11" ht="15">
      <c r="A93"/>
      <c r="B93">
        <v>12</v>
      </c>
      <c r="C93">
        <f>B93+1</f>
        <v>13</v>
      </c>
      <c r="D93">
        <f>C93+1</f>
        <v>14</v>
      </c>
      <c r="E93">
        <f>D93+1</f>
        <v>15</v>
      </c>
      <c r="F93">
        <f>E93+1</f>
        <v>16</v>
      </c>
      <c r="G93"/>
      <c r="H93"/>
      <c r="I93"/>
      <c r="J93"/>
      <c r="K93"/>
    </row>
    <row r="94" spans="1:11" ht="15">
      <c r="A94"/>
      <c r="B94" s="3" t="s">
        <v>85</v>
      </c>
      <c r="C94" s="3" t="s">
        <v>86</v>
      </c>
      <c r="D94" s="3" t="s">
        <v>87</v>
      </c>
      <c r="E94" s="3" t="s">
        <v>88</v>
      </c>
      <c r="F94" s="3" t="s">
        <v>89</v>
      </c>
      <c r="G94"/>
      <c r="H94"/>
      <c r="I94"/>
      <c r="J94"/>
      <c r="K94"/>
    </row>
    <row r="95" spans="1:11" ht="15">
      <c r="A95" s="8" t="s">
        <v>110</v>
      </c>
      <c r="B95" s="11">
        <f>VLOOKUP($A95,'Mat of App'!$B$7:$AP$37,B$93,FALSE)</f>
        <v>1</v>
      </c>
      <c r="C95" s="11">
        <f>VLOOKUP($A95,'Mat of App'!$B$7:$AP$37,C$93,FALSE)</f>
        <v>0</v>
      </c>
      <c r="D95" s="11">
        <f>VLOOKUP($A95,'Mat of App'!$B$7:$AP$37,D$93,FALSE)</f>
        <v>0</v>
      </c>
      <c r="E95" s="11">
        <f>VLOOKUP($A95,'Mat of App'!$B$7:$AP$37,E$93,FALSE)</f>
        <v>0</v>
      </c>
      <c r="F95" s="11">
        <f>VLOOKUP($A95,'Mat of App'!$B$7:$AP$37,F$93,FALSE)</f>
        <v>0</v>
      </c>
      <c r="G95" s="7" t="s">
        <v>262</v>
      </c>
      <c r="H95"/>
      <c r="I95"/>
      <c r="J95"/>
      <c r="K95"/>
    </row>
    <row r="96" spans="1:11" ht="15">
      <c r="A96" s="8" t="s">
        <v>111</v>
      </c>
      <c r="B96" s="11">
        <f>VLOOKUP($A96,'Mat of App'!$B$7:$AP$37,B$93,FALSE)</f>
        <v>1</v>
      </c>
      <c r="C96" s="11">
        <f>VLOOKUP($A96,'Mat of App'!$B$7:$AP$37,C$93,FALSE)</f>
        <v>0</v>
      </c>
      <c r="D96" s="11">
        <f>VLOOKUP($A96,'Mat of App'!$B$7:$AP$37,D$93,FALSE)</f>
        <v>0</v>
      </c>
      <c r="E96" s="11">
        <f>VLOOKUP($A96,'Mat of App'!$B$7:$AP$37,E$93,FALSE)</f>
        <v>0</v>
      </c>
      <c r="F96" s="11">
        <f>VLOOKUP($A96,'Mat of App'!$B$7:$AP$37,F$93,FALSE)</f>
        <v>0</v>
      </c>
      <c r="G96" s="7" t="s">
        <v>262</v>
      </c>
      <c r="H96"/>
      <c r="I96"/>
      <c r="J96"/>
      <c r="K96"/>
    </row>
    <row r="97" spans="1:11" customFormat="1" ht="15">
      <c r="A97" s="8" t="s">
        <v>112</v>
      </c>
      <c r="B97" s="11">
        <f>VLOOKUP($A97,'Mat of App'!$B$7:$AP$37,B$93,FALSE)</f>
        <v>0</v>
      </c>
      <c r="C97" s="11">
        <f>VLOOKUP($A97,'Mat of App'!$B$7:$AP$37,C$93,FALSE)</f>
        <v>1</v>
      </c>
      <c r="D97" s="11">
        <f>VLOOKUP($A97,'Mat of App'!$B$7:$AP$37,D$93,FALSE)</f>
        <v>0</v>
      </c>
      <c r="E97" s="11">
        <f>VLOOKUP($A97,'Mat of App'!$B$7:$AP$37,E$93,FALSE)</f>
        <v>0</v>
      </c>
      <c r="F97" s="11">
        <f>VLOOKUP($A97,'Mat of App'!$B$7:$AP$37,F$93,FALSE)</f>
        <v>0</v>
      </c>
      <c r="G97" s="7"/>
    </row>
    <row r="98" spans="1:11" customFormat="1" ht="15">
      <c r="A98" s="8" t="s">
        <v>113</v>
      </c>
      <c r="B98" s="11">
        <f>VLOOKUP($A98,'Mat of App'!$B$7:$AP$37,B$93,FALSE)</f>
        <v>0</v>
      </c>
      <c r="C98" s="11">
        <f>VLOOKUP($A98,'Mat of App'!$B$7:$AP$37,C$93,FALSE)</f>
        <v>1</v>
      </c>
      <c r="D98" s="11">
        <f>VLOOKUP($A98,'Mat of App'!$B$7:$AP$37,D$93,FALSE)</f>
        <v>0</v>
      </c>
      <c r="E98" s="11">
        <f>VLOOKUP($A98,'Mat of App'!$B$7:$AP$37,E$93,FALSE)</f>
        <v>0</v>
      </c>
      <c r="F98" s="11">
        <f>VLOOKUP($A98,'Mat of App'!$B$7:$AP$37,F$93,FALSE)</f>
        <v>0</v>
      </c>
      <c r="G98" s="7"/>
    </row>
    <row r="99" spans="1:11" ht="15">
      <c r="A99"/>
      <c r="B99"/>
      <c r="C99"/>
      <c r="D99"/>
      <c r="E99"/>
      <c r="F99"/>
      <c r="G99"/>
      <c r="H99"/>
      <c r="I99"/>
      <c r="J99"/>
      <c r="K99"/>
    </row>
    <row r="100" spans="1:11" ht="19.5">
      <c r="A100" s="1" t="s">
        <v>114</v>
      </c>
      <c r="B100"/>
      <c r="C100"/>
      <c r="D100"/>
      <c r="E100"/>
      <c r="F100"/>
      <c r="G100"/>
      <c r="H100"/>
      <c r="I100"/>
      <c r="J100"/>
      <c r="K100"/>
    </row>
    <row r="101" spans="1:11" ht="15">
      <c r="A101" s="2" t="s">
        <v>262</v>
      </c>
      <c r="B101"/>
      <c r="C101"/>
      <c r="D101"/>
      <c r="E101"/>
      <c r="F101"/>
      <c r="G101"/>
      <c r="H101"/>
      <c r="I101"/>
      <c r="J101"/>
      <c r="K101"/>
    </row>
    <row r="102" spans="1:11" ht="15">
      <c r="A102" t="s">
        <v>115</v>
      </c>
      <c r="B102"/>
      <c r="C102"/>
      <c r="D102"/>
      <c r="E102"/>
      <c r="F102"/>
      <c r="G102"/>
      <c r="H102"/>
      <c r="I102"/>
      <c r="J102"/>
      <c r="K102"/>
    </row>
    <row r="103" spans="1:11" ht="15">
      <c r="A103"/>
      <c r="B103" s="3" t="s">
        <v>61</v>
      </c>
      <c r="C103" s="3" t="s">
        <v>62</v>
      </c>
      <c r="D103" s="3" t="s">
        <v>63</v>
      </c>
      <c r="E103" s="3" t="s">
        <v>64</v>
      </c>
      <c r="F103" s="3" t="s">
        <v>65</v>
      </c>
      <c r="G103" s="3" t="s">
        <v>66</v>
      </c>
      <c r="H103" s="3" t="s">
        <v>67</v>
      </c>
      <c r="I103"/>
      <c r="J103"/>
      <c r="K103"/>
    </row>
    <row r="104" spans="1:11" ht="15">
      <c r="A104" s="8" t="s">
        <v>116</v>
      </c>
      <c r="B104" s="4">
        <f>VLOOKUP(Vlookup!B69,'CDCM Forecast Data'!$A$14:$I$271,7,FALSE)</f>
        <v>1.002</v>
      </c>
      <c r="C104" s="4">
        <f>VLOOKUP(Vlookup!C69,'CDCM Forecast Data'!$A$14:$I$271,7,FALSE)</f>
        <v>1.0069999999999999</v>
      </c>
      <c r="D104" s="4">
        <f>VLOOKUP(Vlookup!D69,'CDCM Forecast Data'!$A$14:$I$271,7,FALSE)</f>
        <v>1.016</v>
      </c>
      <c r="E104" s="4">
        <f>VLOOKUP(Vlookup!E69,'CDCM Forecast Data'!$A$14:$I$271,7,FALSE)</f>
        <v>1.0229999999999999</v>
      </c>
      <c r="F104" s="4">
        <f>VLOOKUP(Vlookup!F69,'CDCM Forecast Data'!$A$14:$I$271,7,FALSE)</f>
        <v>1.0509999999999999</v>
      </c>
      <c r="G104" s="4">
        <f>VLOOKUP(Vlookup!G69,'CDCM Forecast Data'!$A$14:$I$271,7,FALSE)</f>
        <v>1.07</v>
      </c>
      <c r="H104" s="4">
        <f>VLOOKUP(Vlookup!H69,'CDCM Forecast Data'!$A$14:$I$271,7,FALSE)</f>
        <v>1.087</v>
      </c>
      <c r="I104" s="7" t="s">
        <v>262</v>
      </c>
      <c r="J104"/>
      <c r="K104"/>
    </row>
    <row r="105" spans="1:11" ht="15">
      <c r="A105"/>
      <c r="B105"/>
      <c r="C105"/>
      <c r="D105"/>
      <c r="E105"/>
      <c r="F105"/>
      <c r="G105"/>
      <c r="H105"/>
      <c r="I105"/>
      <c r="J105"/>
      <c r="K105"/>
    </row>
    <row r="106" spans="1:11" ht="19.5">
      <c r="A106" s="1" t="s">
        <v>117</v>
      </c>
      <c r="B106"/>
      <c r="C106"/>
      <c r="D106"/>
      <c r="E106"/>
      <c r="F106"/>
      <c r="G106"/>
      <c r="H106"/>
      <c r="I106"/>
      <c r="J106"/>
      <c r="K106"/>
    </row>
    <row r="107" spans="1:11" ht="15">
      <c r="A107" s="2" t="s">
        <v>262</v>
      </c>
      <c r="B107"/>
      <c r="C107"/>
      <c r="D107"/>
      <c r="E107"/>
      <c r="F107"/>
      <c r="G107"/>
      <c r="H107"/>
      <c r="I107"/>
      <c r="J107"/>
      <c r="K107"/>
    </row>
    <row r="108" spans="1:11" ht="15">
      <c r="A108" t="s">
        <v>118</v>
      </c>
      <c r="B108"/>
      <c r="C108"/>
      <c r="D108"/>
      <c r="E108"/>
      <c r="F108"/>
      <c r="G108"/>
      <c r="H108"/>
      <c r="I108"/>
      <c r="J108"/>
      <c r="K108"/>
    </row>
    <row r="109" spans="1:11" ht="15">
      <c r="A109"/>
      <c r="B109" s="3" t="s">
        <v>119</v>
      </c>
      <c r="C109" s="3" t="s">
        <v>120</v>
      </c>
      <c r="D109" s="3" t="s">
        <v>121</v>
      </c>
      <c r="E109" s="3" t="s">
        <v>122</v>
      </c>
      <c r="F109" s="3" t="s">
        <v>123</v>
      </c>
      <c r="G109"/>
      <c r="H109"/>
      <c r="I109"/>
      <c r="J109"/>
      <c r="K109"/>
    </row>
    <row r="110" spans="1:11" ht="15">
      <c r="A110" s="8" t="s">
        <v>124</v>
      </c>
      <c r="B110" s="6"/>
      <c r="C110" s="11">
        <f>VLOOKUP(Vlookup!C75,'CDCM Forecast Data'!$A$14:$I$271,7,FALSE)</f>
        <v>0.33064254054995224</v>
      </c>
      <c r="D110" s="11">
        <f>VLOOKUP(Vlookup!D75,'CDCM Forecast Data'!$A$14:$I$271,7,FALSE)</f>
        <v>0.51417010196128798</v>
      </c>
      <c r="E110" s="11">
        <f>VLOOKUP(Vlookup!E75,'CDCM Forecast Data'!$A$14:$I$271,7,FALSE)</f>
        <v>0.25833648748307197</v>
      </c>
      <c r="F110" s="11">
        <f>VLOOKUP(Vlookup!F75,'CDCM Forecast Data'!$A$14:$I$271,7,FALSE)</f>
        <v>0.15078510117655297</v>
      </c>
      <c r="G110" s="7" t="s">
        <v>262</v>
      </c>
      <c r="H110"/>
      <c r="I110"/>
      <c r="J110"/>
      <c r="K110"/>
    </row>
    <row r="111" spans="1:11" ht="15">
      <c r="A111"/>
      <c r="B111"/>
      <c r="C111"/>
      <c r="D111"/>
      <c r="E111"/>
      <c r="F111"/>
      <c r="G111"/>
      <c r="H111"/>
      <c r="I111"/>
      <c r="J111"/>
      <c r="K111"/>
    </row>
    <row r="112" spans="1:11" ht="19.5">
      <c r="A112" s="1" t="s">
        <v>125</v>
      </c>
      <c r="B112"/>
      <c r="C112"/>
      <c r="D112"/>
      <c r="E112"/>
      <c r="F112"/>
      <c r="G112"/>
      <c r="H112"/>
      <c r="I112"/>
      <c r="J112"/>
      <c r="K112"/>
    </row>
    <row r="113" spans="1:11" ht="15">
      <c r="A113" s="2"/>
      <c r="B113"/>
      <c r="C113"/>
      <c r="D113"/>
      <c r="E113"/>
      <c r="F113"/>
      <c r="G113"/>
      <c r="H113"/>
      <c r="I113"/>
      <c r="J113"/>
      <c r="K113"/>
    </row>
    <row r="114" spans="1:11" ht="15">
      <c r="A114" t="s">
        <v>126</v>
      </c>
      <c r="B114"/>
      <c r="C114"/>
      <c r="D114"/>
      <c r="E114"/>
      <c r="F114"/>
      <c r="G114"/>
      <c r="H114"/>
      <c r="I114"/>
      <c r="J114"/>
      <c r="K114"/>
    </row>
    <row r="115" spans="1:11" ht="15">
      <c r="A115"/>
      <c r="B115" s="3" t="s">
        <v>127</v>
      </c>
      <c r="C115" s="3" t="s">
        <v>128</v>
      </c>
      <c r="D115"/>
      <c r="E115"/>
      <c r="F115"/>
      <c r="G115"/>
      <c r="H115"/>
      <c r="I115"/>
      <c r="J115"/>
      <c r="K115"/>
    </row>
    <row r="116" spans="1:11" ht="15">
      <c r="A116" s="8" t="s">
        <v>92</v>
      </c>
      <c r="B116" s="4">
        <f>VLOOKUP(Vlookup!B81,'CDCM Forecast Data'!$A$14:$I$271,6,FALSE)</f>
        <v>0.89738819736502429</v>
      </c>
      <c r="C116" s="4">
        <f>VLOOKUP(Vlookup!C81,'CDCM Forecast Data'!$A$14:$I$271,6,FALSE)</f>
        <v>0.43411076877330973</v>
      </c>
      <c r="D116" s="7" t="s">
        <v>262</v>
      </c>
      <c r="E116"/>
      <c r="F116"/>
      <c r="G116"/>
      <c r="H116"/>
      <c r="I116"/>
      <c r="J116"/>
      <c r="K116"/>
    </row>
    <row r="117" spans="1:11" ht="15">
      <c r="A117" s="8" t="s">
        <v>93</v>
      </c>
      <c r="B117" s="4">
        <f>VLOOKUP(Vlookup!B82,'CDCM Forecast Data'!$A$14:$I$271,6,FALSE)</f>
        <v>0.41597516714124932</v>
      </c>
      <c r="C117" s="4">
        <f>VLOOKUP(Vlookup!C82,'CDCM Forecast Data'!$A$14:$I$271,6,FALSE)</f>
        <v>0.30069751871841721</v>
      </c>
      <c r="D117" s="7" t="s">
        <v>262</v>
      </c>
      <c r="E117"/>
      <c r="F117"/>
      <c r="G117"/>
      <c r="H117"/>
      <c r="I117"/>
      <c r="J117"/>
      <c r="K117"/>
    </row>
    <row r="118" spans="1:11" ht="15">
      <c r="A118" s="8" t="s">
        <v>129</v>
      </c>
      <c r="B118" s="6"/>
      <c r="C118" s="4">
        <f>VLOOKUP(Vlookup!C83,'CDCM Forecast Data'!$A$14:$I$271,6,FALSE)</f>
        <v>0.17961939605399557</v>
      </c>
      <c r="D118" s="7" t="s">
        <v>262</v>
      </c>
      <c r="E118"/>
      <c r="F118"/>
      <c r="G118"/>
      <c r="H118"/>
      <c r="I118"/>
      <c r="J118"/>
      <c r="K118"/>
    </row>
    <row r="119" spans="1:11" ht="15">
      <c r="A119" s="8" t="s">
        <v>94</v>
      </c>
      <c r="B119" s="4">
        <f>VLOOKUP(Vlookup!B84,'CDCM Forecast Data'!$A$14:$I$271,6,FALSE)</f>
        <v>0.69492206140680768</v>
      </c>
      <c r="C119" s="4">
        <f>VLOOKUP(Vlookup!C84,'CDCM Forecast Data'!$A$14:$I$271,6,FALSE)</f>
        <v>0.39797534499698228</v>
      </c>
      <c r="D119" s="7" t="s">
        <v>262</v>
      </c>
      <c r="E119"/>
      <c r="F119"/>
      <c r="G119"/>
      <c r="H119"/>
      <c r="I119"/>
      <c r="J119"/>
      <c r="K119"/>
    </row>
    <row r="120" spans="1:11" ht="15">
      <c r="A120" s="8" t="s">
        <v>95</v>
      </c>
      <c r="B120" s="4">
        <f>VLOOKUP(Vlookup!B85,'CDCM Forecast Data'!$A$14:$I$271,6,FALSE)</f>
        <v>0.74846447157386065</v>
      </c>
      <c r="C120" s="4">
        <f>VLOOKUP(Vlookup!C85,'CDCM Forecast Data'!$A$14:$I$271,6,FALSE)</f>
        <v>0.52024521708825189</v>
      </c>
      <c r="D120" s="7" t="s">
        <v>262</v>
      </c>
      <c r="E120"/>
      <c r="F120"/>
      <c r="G120"/>
      <c r="H120"/>
      <c r="I120"/>
      <c r="J120"/>
      <c r="K120"/>
    </row>
    <row r="121" spans="1:11" ht="15">
      <c r="A121" s="8" t="s">
        <v>130</v>
      </c>
      <c r="B121" s="6"/>
      <c r="C121" s="4">
        <f>VLOOKUP(Vlookup!C86,'CDCM Forecast Data'!$A$14:$I$271,6,FALSE)</f>
        <v>0.21120992364816046</v>
      </c>
      <c r="D121" s="7" t="s">
        <v>262</v>
      </c>
      <c r="E121"/>
      <c r="F121"/>
      <c r="G121"/>
      <c r="H121"/>
      <c r="I121"/>
      <c r="J121"/>
      <c r="K121"/>
    </row>
    <row r="122" spans="1:11" ht="15">
      <c r="A122" s="8" t="s">
        <v>96</v>
      </c>
      <c r="B122" s="4">
        <f>VLOOKUP(Vlookup!B87,'CDCM Forecast Data'!$A$14:$I$271,6,FALSE)</f>
        <v>0.83801012339332381</v>
      </c>
      <c r="C122" s="4">
        <f>VLOOKUP(Vlookup!C87,'CDCM Forecast Data'!$A$14:$I$271,6,FALSE)</f>
        <v>0.53574416845541439</v>
      </c>
      <c r="D122" s="7" t="s">
        <v>262</v>
      </c>
      <c r="E122"/>
      <c r="F122"/>
      <c r="G122"/>
      <c r="H122"/>
      <c r="I122"/>
      <c r="J122"/>
      <c r="K122"/>
    </row>
    <row r="123" spans="1:11" ht="15">
      <c r="A123" s="8" t="s">
        <v>97</v>
      </c>
      <c r="B123" s="4">
        <f>VLOOKUP(Vlookup!B88,'CDCM Forecast Data'!$A$14:$I$271,6,FALSE)</f>
        <v>0.83801012339332381</v>
      </c>
      <c r="C123" s="4">
        <f>VLOOKUP(Vlookup!C88,'CDCM Forecast Data'!$A$14:$I$271,6,FALSE)</f>
        <v>0.53574416845541439</v>
      </c>
      <c r="D123" s="7" t="s">
        <v>262</v>
      </c>
      <c r="E123"/>
      <c r="F123"/>
      <c r="G123"/>
      <c r="H123"/>
      <c r="I123"/>
      <c r="J123"/>
      <c r="K123"/>
    </row>
    <row r="124" spans="1:11" ht="15">
      <c r="A124" s="8" t="s">
        <v>110</v>
      </c>
      <c r="B124" s="4">
        <f>VLOOKUP(Vlookup!B89,'CDCM Forecast Data'!$A$14:$I$271,6,FALSE)</f>
        <v>0.64043929029771907</v>
      </c>
      <c r="C124" s="4">
        <f>VLOOKUP(Vlookup!C89,'CDCM Forecast Data'!$A$14:$I$271,6,FALSE)</f>
        <v>0.43446675238274496</v>
      </c>
      <c r="D124" s="7" t="s">
        <v>262</v>
      </c>
      <c r="E124"/>
      <c r="F124"/>
      <c r="G124"/>
      <c r="H124"/>
      <c r="I124"/>
      <c r="J124"/>
      <c r="K124"/>
    </row>
    <row r="125" spans="1:11" ht="15">
      <c r="A125" s="8" t="s">
        <v>1536</v>
      </c>
      <c r="B125" s="4">
        <f>VLOOKUP(Vlookup!B90,'CDCM Forecast Data'!$A$14:$I$271,6,FALSE)</f>
        <v>0.83273040302787538</v>
      </c>
      <c r="C125" s="4">
        <f>VLOOKUP(Vlookup!C90,'CDCM Forecast Data'!$A$14:$I$271,6,FALSE)</f>
        <v>0.41510669865444888</v>
      </c>
      <c r="D125" s="7" t="s">
        <v>262</v>
      </c>
      <c r="E125"/>
      <c r="F125"/>
      <c r="G125"/>
      <c r="H125"/>
      <c r="I125"/>
      <c r="J125"/>
      <c r="K125"/>
    </row>
    <row r="126" spans="1:11" ht="15">
      <c r="A126" s="8" t="s">
        <v>1535</v>
      </c>
      <c r="B126" s="4">
        <f>VLOOKUP(Vlookup!B91,'CDCM Forecast Data'!$A$14:$I$271,6,FALSE)</f>
        <v>0.70542255324747616</v>
      </c>
      <c r="C126" s="4">
        <f>VLOOKUP(Vlookup!C91,'CDCM Forecast Data'!$A$14:$I$271,6,FALSE)</f>
        <v>0.42086756514790613</v>
      </c>
      <c r="D126" s="7" t="s">
        <v>262</v>
      </c>
      <c r="E126"/>
      <c r="F126"/>
      <c r="G126"/>
      <c r="H126"/>
      <c r="I126"/>
      <c r="J126"/>
      <c r="K126"/>
    </row>
    <row r="127" spans="1:11" ht="15">
      <c r="A127" s="8" t="s">
        <v>98</v>
      </c>
      <c r="B127" s="4">
        <f>VLOOKUP(Vlookup!B92,'CDCM Forecast Data'!$A$14:$I$271,6,FALSE)</f>
        <v>0.79385686220007168</v>
      </c>
      <c r="C127" s="4">
        <f>VLOOKUP(Vlookup!C92,'CDCM Forecast Data'!$A$14:$I$271,6,FALSE)</f>
        <v>0.53736458823526412</v>
      </c>
      <c r="D127" s="7" t="s">
        <v>262</v>
      </c>
      <c r="E127"/>
      <c r="F127"/>
      <c r="G127"/>
      <c r="H127"/>
      <c r="I127"/>
      <c r="J127"/>
      <c r="K127"/>
    </row>
    <row r="128" spans="1:11" ht="15">
      <c r="A128" s="8" t="s">
        <v>99</v>
      </c>
      <c r="B128" s="4">
        <f>VLOOKUP(Vlookup!B93,'CDCM Forecast Data'!$A$14:$I$271,6,FALSE)</f>
        <v>0.80793779849955216</v>
      </c>
      <c r="C128" s="4">
        <f>VLOOKUP(Vlookup!C93,'CDCM Forecast Data'!$A$14:$I$271,6,FALSE)</f>
        <v>0.52702405279759323</v>
      </c>
      <c r="D128" s="7"/>
      <c r="E128"/>
      <c r="F128"/>
      <c r="G128"/>
      <c r="H128"/>
      <c r="I128"/>
      <c r="J128"/>
      <c r="K128"/>
    </row>
    <row r="129" spans="1:11" ht="15">
      <c r="A129" s="8" t="s">
        <v>111</v>
      </c>
      <c r="B129" s="4">
        <f>VLOOKUP(Vlookup!B94,'CDCM Forecast Data'!$A$14:$I$271,6,FALSE)</f>
        <v>0.78892978454231644</v>
      </c>
      <c r="C129" s="4">
        <f>VLOOKUP(Vlookup!C94,'CDCM Forecast Data'!$A$14:$I$271,6,FALSE)</f>
        <v>0.66158319064179105</v>
      </c>
      <c r="D129" s="7"/>
      <c r="E129"/>
      <c r="F129"/>
      <c r="G129"/>
      <c r="H129"/>
      <c r="I129"/>
      <c r="J129"/>
      <c r="K129"/>
    </row>
    <row r="130" spans="1:11" ht="15">
      <c r="A130" s="8" t="s">
        <v>131</v>
      </c>
      <c r="B130" s="4">
        <f>VLOOKUP(Vlookup!B95,'CDCM Forecast Data'!$A$14:$I$271,6,FALSE)</f>
        <v>1</v>
      </c>
      <c r="C130" s="4">
        <f>VLOOKUP(Vlookup!C95,'CDCM Forecast Data'!$A$14:$I$271,6,FALSE)</f>
        <v>1</v>
      </c>
      <c r="D130" s="7" t="s">
        <v>262</v>
      </c>
      <c r="E130"/>
      <c r="F130"/>
      <c r="G130"/>
      <c r="H130"/>
      <c r="I130"/>
      <c r="J130"/>
      <c r="K130"/>
    </row>
    <row r="131" spans="1:11" ht="15">
      <c r="A131" s="8" t="s">
        <v>132</v>
      </c>
      <c r="B131" s="4">
        <f>VLOOKUP(Vlookup!B96,'CDCM Forecast Data'!$A$14:$I$271,6,FALSE)</f>
        <v>0.99301420785685035</v>
      </c>
      <c r="C131" s="4">
        <f>VLOOKUP(Vlookup!C96,'CDCM Forecast Data'!$A$14:$I$271,6,FALSE)</f>
        <v>0.46960080865953691</v>
      </c>
      <c r="D131" s="7"/>
      <c r="E131"/>
      <c r="F131"/>
      <c r="G131"/>
      <c r="H131"/>
      <c r="I131"/>
      <c r="J131"/>
      <c r="K131"/>
    </row>
    <row r="132" spans="1:11" ht="15">
      <c r="A132" s="8" t="s">
        <v>133</v>
      </c>
      <c r="B132" s="4">
        <f>VLOOKUP(Vlookup!B97,'CDCM Forecast Data'!$A$14:$I$271,6,FALSE)</f>
        <v>0.95213478843576482</v>
      </c>
      <c r="C132" s="4">
        <f>VLOOKUP(Vlookup!C97,'CDCM Forecast Data'!$A$14:$I$271,6,FALSE)</f>
        <v>0.25417039627197974</v>
      </c>
      <c r="D132" s="7"/>
      <c r="E132"/>
      <c r="F132"/>
      <c r="G132"/>
      <c r="H132"/>
      <c r="I132"/>
      <c r="J132"/>
      <c r="K132"/>
    </row>
    <row r="133" spans="1:11" ht="15">
      <c r="A133" s="8" t="s">
        <v>134</v>
      </c>
      <c r="B133" s="4">
        <f>VLOOKUP(Vlookup!B98,'CDCM Forecast Data'!$A$14:$I$271,6,FALSE)</f>
        <v>0</v>
      </c>
      <c r="C133" s="4">
        <f>VLOOKUP(Vlookup!C98,'CDCM Forecast Data'!$A$14:$I$271,6,FALSE)</f>
        <v>0.51587229987729666</v>
      </c>
      <c r="D133" s="7"/>
      <c r="E133"/>
      <c r="F133"/>
      <c r="G133"/>
      <c r="H133"/>
      <c r="I133"/>
      <c r="J133"/>
      <c r="K133"/>
    </row>
    <row r="134" spans="1:11" ht="15">
      <c r="A134" s="8" t="s">
        <v>135</v>
      </c>
      <c r="B134" s="4">
        <f>VLOOKUP(Vlookup!B99,'CDCM Forecast Data'!$A$14:$I$271,6,FALSE)</f>
        <v>0.94398062288314322</v>
      </c>
      <c r="C134" s="4">
        <f>VLOOKUP(Vlookup!C99,'CDCM Forecast Data'!$A$14:$I$271,6,FALSE)</f>
        <v>0.47630128718610992</v>
      </c>
      <c r="D134" s="7" t="s">
        <v>262</v>
      </c>
      <c r="E134"/>
      <c r="F134"/>
      <c r="G134"/>
      <c r="H134"/>
      <c r="I134"/>
      <c r="J134"/>
      <c r="K134"/>
    </row>
    <row r="135" spans="1:11" ht="15">
      <c r="A135"/>
      <c r="B135"/>
      <c r="C135"/>
      <c r="D135"/>
      <c r="E135"/>
      <c r="F135"/>
      <c r="G135"/>
      <c r="H135"/>
      <c r="I135"/>
      <c r="J135"/>
      <c r="K135"/>
    </row>
    <row r="136" spans="1:11" ht="19.5">
      <c r="A136" s="1" t="s">
        <v>136</v>
      </c>
      <c r="B136"/>
      <c r="C136"/>
      <c r="D136"/>
      <c r="E136"/>
      <c r="F136"/>
      <c r="G136"/>
      <c r="H136"/>
      <c r="I136"/>
      <c r="J136"/>
      <c r="K136"/>
    </row>
    <row r="137" spans="1:11" ht="15">
      <c r="A137" s="2" t="s">
        <v>262</v>
      </c>
      <c r="B137">
        <v>16</v>
      </c>
      <c r="C137">
        <v>17</v>
      </c>
      <c r="D137">
        <v>18</v>
      </c>
      <c r="E137">
        <v>19</v>
      </c>
      <c r="F137">
        <v>20</v>
      </c>
      <c r="G137">
        <v>21</v>
      </c>
      <c r="H137"/>
      <c r="I137"/>
      <c r="J137"/>
      <c r="K137"/>
    </row>
    <row r="138" spans="1:11" ht="15">
      <c r="A138" s="2" t="s">
        <v>137</v>
      </c>
      <c r="B138"/>
      <c r="C138"/>
      <c r="D138"/>
      <c r="E138"/>
      <c r="F138"/>
      <c r="G138"/>
      <c r="H138"/>
      <c r="I138"/>
      <c r="J138"/>
      <c r="K138"/>
    </row>
    <row r="139" spans="1:11" ht="15">
      <c r="A139" s="2" t="s">
        <v>138</v>
      </c>
      <c r="B139"/>
      <c r="C139"/>
      <c r="D139"/>
      <c r="E139"/>
      <c r="F139"/>
      <c r="G139"/>
      <c r="H139"/>
      <c r="I139"/>
      <c r="J139"/>
      <c r="K139"/>
    </row>
    <row r="140" spans="1:11" ht="15">
      <c r="A140" t="s">
        <v>139</v>
      </c>
      <c r="B140"/>
      <c r="C140"/>
      <c r="D140"/>
      <c r="E140"/>
      <c r="F140"/>
      <c r="G140"/>
      <c r="H140"/>
      <c r="I140"/>
      <c r="J140"/>
      <c r="K140"/>
    </row>
    <row r="141" spans="1:11" ht="30">
      <c r="A141"/>
      <c r="B141" s="3" t="s">
        <v>140</v>
      </c>
      <c r="C141" s="3" t="s">
        <v>141</v>
      </c>
      <c r="D141" s="3" t="s">
        <v>142</v>
      </c>
      <c r="E141" s="3" t="s">
        <v>143</v>
      </c>
      <c r="F141" s="3" t="s">
        <v>144</v>
      </c>
      <c r="G141" s="3" t="s">
        <v>145</v>
      </c>
      <c r="H141"/>
      <c r="I141"/>
      <c r="J141"/>
      <c r="K141"/>
    </row>
    <row r="142" spans="1:11" ht="15">
      <c r="A142" s="12" t="s">
        <v>146</v>
      </c>
      <c r="B142" s="13">
        <f>VLOOKUP(Vlookup!$B107,'CDCM Volume Forecasts'!$A$27:$AG$123,B$137,FALSE)</f>
        <v>0</v>
      </c>
      <c r="C142" s="13">
        <f>VLOOKUP(Vlookup!$B107,'CDCM Volume Forecasts'!$A$27:$AG$123,C$137,FALSE)</f>
        <v>0</v>
      </c>
      <c r="D142" s="13">
        <f>VLOOKUP(Vlookup!$B107,'CDCM Volume Forecasts'!$A$27:$AG$123,D$137,FALSE)</f>
        <v>0</v>
      </c>
      <c r="E142" s="13">
        <f>VLOOKUP(Vlookup!$B107,'CDCM Volume Forecasts'!$A$27:$AG$123,E$137,FALSE)</f>
        <v>0</v>
      </c>
      <c r="F142" s="13">
        <f>VLOOKUP(Vlookup!$B107,'CDCM Volume Forecasts'!$A$27:$AG$123,F$137,FALSE)</f>
        <v>0</v>
      </c>
      <c r="G142" s="13">
        <f>VLOOKUP(Vlookup!$B107,'CDCM Volume Forecasts'!$A$27:$AG$123,G$137,FALSE)</f>
        <v>0</v>
      </c>
      <c r="H142" s="7"/>
      <c r="I142"/>
      <c r="J142"/>
      <c r="K142"/>
    </row>
    <row r="143" spans="1:11" ht="15">
      <c r="A143" s="8" t="s">
        <v>92</v>
      </c>
      <c r="B143" s="4">
        <f>VLOOKUP(Vlookup!$B108,'CDCM Volume Forecasts'!$A$27:$AG$123,B$137,FALSE)</f>
        <v>7006599.2032143781</v>
      </c>
      <c r="C143" s="6">
        <f>VLOOKUP(Vlookup!$B108,'CDCM Volume Forecasts'!$A$27:$AG$123,C$137,FALSE)</f>
        <v>0</v>
      </c>
      <c r="D143" s="6">
        <f>VLOOKUP(Vlookup!$B108,'CDCM Volume Forecasts'!$A$27:$AG$123,D$137,FALSE)</f>
        <v>0</v>
      </c>
      <c r="E143" s="10">
        <f>VLOOKUP(Vlookup!$B108,'CDCM Volume Forecasts'!$A$27:$AG$123,E$137,FALSE)</f>
        <v>1967400.2028794924</v>
      </c>
      <c r="F143" s="6">
        <f>VLOOKUP(Vlookup!$B108,'CDCM Volume Forecasts'!$A$27:$AG$123,F$137,FALSE)</f>
        <v>0</v>
      </c>
      <c r="G143" s="6">
        <f>VLOOKUP(Vlookup!$B108,'CDCM Volume Forecasts'!$A$27:$AG$123,G$137,FALSE)</f>
        <v>0</v>
      </c>
      <c r="H143" s="7"/>
      <c r="I143"/>
      <c r="J143"/>
      <c r="K143"/>
    </row>
    <row r="144" spans="1:11" ht="15">
      <c r="A144" s="8" t="s">
        <v>147</v>
      </c>
      <c r="B144" s="4">
        <f>VLOOKUP(Vlookup!$B109,'CDCM Volume Forecasts'!$A$27:$AG$123,B$137,FALSE)</f>
        <v>41568.678990041961</v>
      </c>
      <c r="C144" s="6">
        <f>VLOOKUP(Vlookup!$B109,'CDCM Volume Forecasts'!$A$27:$AG$123,C$137,FALSE)</f>
        <v>0</v>
      </c>
      <c r="D144" s="6">
        <f>VLOOKUP(Vlookup!$B109,'CDCM Volume Forecasts'!$A$27:$AG$123,D$137,FALSE)</f>
        <v>0</v>
      </c>
      <c r="E144" s="10">
        <f>VLOOKUP(Vlookup!$B109,'CDCM Volume Forecasts'!$A$27:$AG$123,E$137,FALSE)</f>
        <v>13963.737782751579</v>
      </c>
      <c r="F144" s="6">
        <f>VLOOKUP(Vlookup!$B109,'CDCM Volume Forecasts'!$A$27:$AG$123,F$137,FALSE)</f>
        <v>0</v>
      </c>
      <c r="G144" s="6">
        <f>VLOOKUP(Vlookup!$B109,'CDCM Volume Forecasts'!$A$27:$AG$123,G$137,FALSE)</f>
        <v>0</v>
      </c>
      <c r="H144" s="7"/>
      <c r="I144"/>
      <c r="J144"/>
      <c r="K144"/>
    </row>
    <row r="145" spans="1:11" ht="15">
      <c r="A145" s="8" t="s">
        <v>148</v>
      </c>
      <c r="B145" s="4">
        <f>VLOOKUP(Vlookup!$B110,'CDCM Volume Forecasts'!$A$27:$AG$123,B$137,FALSE)</f>
        <v>74118.188048410288</v>
      </c>
      <c r="C145" s="6">
        <f>VLOOKUP(Vlookup!$B110,'CDCM Volume Forecasts'!$A$27:$AG$123,C$137,FALSE)</f>
        <v>0</v>
      </c>
      <c r="D145" s="6">
        <f>VLOOKUP(Vlookup!$B110,'CDCM Volume Forecasts'!$A$27:$AG$123,D$137,FALSE)</f>
        <v>0</v>
      </c>
      <c r="E145" s="10">
        <f>VLOOKUP(Vlookup!$B110,'CDCM Volume Forecasts'!$A$27:$AG$123,E$137,FALSE)</f>
        <v>24598.066280902651</v>
      </c>
      <c r="F145" s="6">
        <f>VLOOKUP(Vlookup!$B110,'CDCM Volume Forecasts'!$A$27:$AG$123,F$137,FALSE)</f>
        <v>0</v>
      </c>
      <c r="G145" s="6">
        <f>VLOOKUP(Vlookup!$B110,'CDCM Volume Forecasts'!$A$27:$AG$123,G$137,FALSE)</f>
        <v>0</v>
      </c>
      <c r="H145" s="7"/>
      <c r="I145"/>
      <c r="J145"/>
      <c r="K145"/>
    </row>
    <row r="146" spans="1:11" ht="15">
      <c r="A146" s="12" t="s">
        <v>149</v>
      </c>
      <c r="B146" s="13">
        <f>VLOOKUP(Vlookup!$B111,'CDCM Volume Forecasts'!$A$27:$AG$123,B$137,FALSE)</f>
        <v>0</v>
      </c>
      <c r="C146" s="13">
        <f>VLOOKUP(Vlookup!$B111,'CDCM Volume Forecasts'!$A$27:$AG$123,C$137,FALSE)</f>
        <v>0</v>
      </c>
      <c r="D146" s="13">
        <f>VLOOKUP(Vlookup!$B111,'CDCM Volume Forecasts'!$A$27:$AG$123,D$137,FALSE)</f>
        <v>0</v>
      </c>
      <c r="E146" s="13">
        <f>VLOOKUP(Vlookup!$B111,'CDCM Volume Forecasts'!$A$27:$AG$123,E$137,FALSE)</f>
        <v>0</v>
      </c>
      <c r="F146" s="13">
        <f>VLOOKUP(Vlookup!$B111,'CDCM Volume Forecasts'!$A$27:$AG$123,F$137,FALSE)</f>
        <v>0</v>
      </c>
      <c r="G146" s="13">
        <f>VLOOKUP(Vlookup!$B111,'CDCM Volume Forecasts'!$A$27:$AG$123,G$137,FALSE)</f>
        <v>0</v>
      </c>
      <c r="H146" s="7"/>
      <c r="I146"/>
      <c r="J146"/>
      <c r="K146"/>
    </row>
    <row r="147" spans="1:11" ht="15">
      <c r="A147" s="8" t="s">
        <v>93</v>
      </c>
      <c r="B147" s="4">
        <f>VLOOKUP(Vlookup!$B112,'CDCM Volume Forecasts'!$A$27:$AG$123,B$137,FALSE)</f>
        <v>932948.80360757222</v>
      </c>
      <c r="C147" s="4">
        <f>VLOOKUP(Vlookup!$B112,'CDCM Volume Forecasts'!$A$27:$AG$123,C$137,FALSE)</f>
        <v>720595.7844260158</v>
      </c>
      <c r="D147" s="6">
        <f>VLOOKUP(Vlookup!$B112,'CDCM Volume Forecasts'!$A$27:$AG$123,D$137,FALSE)</f>
        <v>0</v>
      </c>
      <c r="E147" s="10">
        <f>VLOOKUP(Vlookup!$B112,'CDCM Volume Forecasts'!$A$27:$AG$123,E$137,FALSE)</f>
        <v>300314.63390594267</v>
      </c>
      <c r="F147" s="6">
        <f>VLOOKUP(Vlookup!$B112,'CDCM Volume Forecasts'!$A$27:$AG$123,F$137,FALSE)</f>
        <v>0</v>
      </c>
      <c r="G147" s="6">
        <f>VLOOKUP(Vlookup!$B112,'CDCM Volume Forecasts'!$A$27:$AG$123,G$137,FALSE)</f>
        <v>0</v>
      </c>
      <c r="H147" s="7"/>
      <c r="I147"/>
      <c r="J147"/>
      <c r="K147"/>
    </row>
    <row r="148" spans="1:11" ht="15">
      <c r="A148" s="8" t="s">
        <v>150</v>
      </c>
      <c r="B148" s="4">
        <f>VLOOKUP(Vlookup!$B113,'CDCM Volume Forecasts'!$A$27:$AG$123,B$137,FALSE)</f>
        <v>2626.7913722264775</v>
      </c>
      <c r="C148" s="4">
        <f>VLOOKUP(Vlookup!$B113,'CDCM Volume Forecasts'!$A$27:$AG$123,C$137,FALSE)</f>
        <v>918.3510283071206</v>
      </c>
      <c r="D148" s="6">
        <f>VLOOKUP(Vlookup!$B113,'CDCM Volume Forecasts'!$A$27:$AG$123,D$137,FALSE)</f>
        <v>0</v>
      </c>
      <c r="E148" s="10">
        <f>VLOOKUP(Vlookup!$B113,'CDCM Volume Forecasts'!$A$27:$AG$123,E$137,FALSE)</f>
        <v>1003.190066077544</v>
      </c>
      <c r="F148" s="6">
        <f>VLOOKUP(Vlookup!$B113,'CDCM Volume Forecasts'!$A$27:$AG$123,F$137,FALSE)</f>
        <v>0</v>
      </c>
      <c r="G148" s="6">
        <f>VLOOKUP(Vlookup!$B113,'CDCM Volume Forecasts'!$A$27:$AG$123,G$137,FALSE)</f>
        <v>0</v>
      </c>
      <c r="H148" s="7"/>
      <c r="I148"/>
      <c r="J148"/>
      <c r="K148"/>
    </row>
    <row r="149" spans="1:11" ht="15">
      <c r="A149" s="8" t="s">
        <v>151</v>
      </c>
      <c r="B149" s="4">
        <f>VLOOKUP(Vlookup!$B114,'CDCM Volume Forecasts'!$A$27:$AG$123,B$137,FALSE)</f>
        <v>4076.7631681946186</v>
      </c>
      <c r="C149" s="4">
        <f>VLOOKUP(Vlookup!$B114,'CDCM Volume Forecasts'!$A$27:$AG$123,C$137,FALSE)</f>
        <v>1583.897915112062</v>
      </c>
      <c r="D149" s="6">
        <f>VLOOKUP(Vlookup!$B114,'CDCM Volume Forecasts'!$A$27:$AG$123,D$137,FALSE)</f>
        <v>0</v>
      </c>
      <c r="E149" s="10">
        <f>VLOOKUP(Vlookup!$B114,'CDCM Volume Forecasts'!$A$27:$AG$123,E$137,FALSE)</f>
        <v>1260.0889306300521</v>
      </c>
      <c r="F149" s="6">
        <f>VLOOKUP(Vlookup!$B114,'CDCM Volume Forecasts'!$A$27:$AG$123,F$137,FALSE)</f>
        <v>0</v>
      </c>
      <c r="G149" s="6">
        <f>VLOOKUP(Vlookup!$B114,'CDCM Volume Forecasts'!$A$27:$AG$123,G$137,FALSE)</f>
        <v>0</v>
      </c>
      <c r="H149" s="7"/>
      <c r="I149"/>
      <c r="J149"/>
      <c r="K149"/>
    </row>
    <row r="150" spans="1:11" ht="15">
      <c r="A150" s="12" t="s">
        <v>152</v>
      </c>
      <c r="B150" s="13">
        <f>VLOOKUP(Vlookup!$B115,'CDCM Volume Forecasts'!$A$27:$AG$123,B$137,FALSE)</f>
        <v>0</v>
      </c>
      <c r="C150" s="13">
        <f>VLOOKUP(Vlookup!$B115,'CDCM Volume Forecasts'!$A$27:$AG$123,C$137,FALSE)</f>
        <v>0</v>
      </c>
      <c r="D150" s="13">
        <f>VLOOKUP(Vlookup!$B115,'CDCM Volume Forecasts'!$A$27:$AG$123,D$137,FALSE)</f>
        <v>0</v>
      </c>
      <c r="E150" s="13">
        <f>VLOOKUP(Vlookup!$B115,'CDCM Volume Forecasts'!$A$27:$AG$123,E$137,FALSE)</f>
        <v>0</v>
      </c>
      <c r="F150" s="13">
        <f>VLOOKUP(Vlookup!$B115,'CDCM Volume Forecasts'!$A$27:$AG$123,F$137,FALSE)</f>
        <v>0</v>
      </c>
      <c r="G150" s="13">
        <f>VLOOKUP(Vlookup!$B115,'CDCM Volume Forecasts'!$A$27:$AG$123,G$137,FALSE)</f>
        <v>0</v>
      </c>
      <c r="H150" s="7"/>
      <c r="I150"/>
      <c r="J150"/>
      <c r="K150"/>
    </row>
    <row r="151" spans="1:11" ht="15">
      <c r="A151" s="8" t="s">
        <v>129</v>
      </c>
      <c r="B151" s="4">
        <f>VLOOKUP(Vlookup!$B116,'CDCM Volume Forecasts'!$A$27:$AG$123,B$137,FALSE)</f>
        <v>36106.46318967735</v>
      </c>
      <c r="C151" s="6">
        <f>VLOOKUP(Vlookup!$B116,'CDCM Volume Forecasts'!$A$27:$AG$123,C$137,FALSE)</f>
        <v>0</v>
      </c>
      <c r="D151" s="6">
        <f>VLOOKUP(Vlookup!$B116,'CDCM Volume Forecasts'!$A$27:$AG$123,D$137,FALSE)</f>
        <v>0</v>
      </c>
      <c r="E151" s="10">
        <f>VLOOKUP(Vlookup!$B116,'CDCM Volume Forecasts'!$A$27:$AG$123,E$137,FALSE)</f>
        <v>0</v>
      </c>
      <c r="F151" s="6">
        <f>VLOOKUP(Vlookup!$B116,'CDCM Volume Forecasts'!$A$27:$AG$123,F$137,FALSE)</f>
        <v>0</v>
      </c>
      <c r="G151" s="6">
        <f>VLOOKUP(Vlookup!$B116,'CDCM Volume Forecasts'!$A$27:$AG$123,G$137,FALSE)</f>
        <v>0</v>
      </c>
      <c r="H151" s="7"/>
      <c r="I151"/>
      <c r="J151"/>
      <c r="K151"/>
    </row>
    <row r="152" spans="1:11" ht="15">
      <c r="A152" s="8" t="s">
        <v>153</v>
      </c>
      <c r="B152" s="4">
        <f>VLOOKUP(Vlookup!$B117,'CDCM Volume Forecasts'!$A$27:$AG$123,B$137,FALSE)</f>
        <v>0</v>
      </c>
      <c r="C152" s="6">
        <f>VLOOKUP(Vlookup!$B117,'CDCM Volume Forecasts'!$A$27:$AG$123,C$137,FALSE)</f>
        <v>0</v>
      </c>
      <c r="D152" s="6">
        <f>VLOOKUP(Vlookup!$B117,'CDCM Volume Forecasts'!$A$27:$AG$123,D$137,FALSE)</f>
        <v>0</v>
      </c>
      <c r="E152" s="10">
        <f>VLOOKUP(Vlookup!$B117,'CDCM Volume Forecasts'!$A$27:$AG$123,E$137,FALSE)</f>
        <v>0</v>
      </c>
      <c r="F152" s="6">
        <f>VLOOKUP(Vlookup!$B117,'CDCM Volume Forecasts'!$A$27:$AG$123,F$137,FALSE)</f>
        <v>0</v>
      </c>
      <c r="G152" s="6">
        <f>VLOOKUP(Vlookup!$B117,'CDCM Volume Forecasts'!$A$27:$AG$123,G$137,FALSE)</f>
        <v>0</v>
      </c>
      <c r="H152" s="7"/>
      <c r="I152"/>
      <c r="J152"/>
      <c r="K152"/>
    </row>
    <row r="153" spans="1:11" ht="15">
      <c r="A153" s="8" t="s">
        <v>154</v>
      </c>
      <c r="B153" s="4">
        <f>VLOOKUP(Vlookup!$B118,'CDCM Volume Forecasts'!$A$27:$AG$123,B$137,FALSE)</f>
        <v>0</v>
      </c>
      <c r="C153" s="6">
        <f>VLOOKUP(Vlookup!$B118,'CDCM Volume Forecasts'!$A$27:$AG$123,C$137,FALSE)</f>
        <v>0</v>
      </c>
      <c r="D153" s="6">
        <f>VLOOKUP(Vlookup!$B118,'CDCM Volume Forecasts'!$A$27:$AG$123,D$137,FALSE)</f>
        <v>0</v>
      </c>
      <c r="E153" s="10">
        <f>VLOOKUP(Vlookup!$B118,'CDCM Volume Forecasts'!$A$27:$AG$123,E$137,FALSE)</f>
        <v>0</v>
      </c>
      <c r="F153" s="6">
        <f>VLOOKUP(Vlookup!$B118,'CDCM Volume Forecasts'!$A$27:$AG$123,F$137,FALSE)</f>
        <v>0</v>
      </c>
      <c r="G153" s="6">
        <f>VLOOKUP(Vlookup!$B118,'CDCM Volume Forecasts'!$A$27:$AG$123,G$137,FALSE)</f>
        <v>0</v>
      </c>
      <c r="H153" s="7"/>
      <c r="I153"/>
      <c r="J153"/>
      <c r="K153"/>
    </row>
    <row r="154" spans="1:11" ht="15">
      <c r="A154" s="12" t="s">
        <v>155</v>
      </c>
      <c r="B154" s="13">
        <f>VLOOKUP(Vlookup!$B119,'CDCM Volume Forecasts'!$A$27:$AG$123,B$137,FALSE)</f>
        <v>0</v>
      </c>
      <c r="C154" s="13">
        <f>VLOOKUP(Vlookup!$B119,'CDCM Volume Forecasts'!$A$27:$AG$123,C$137,FALSE)</f>
        <v>0</v>
      </c>
      <c r="D154" s="13">
        <f>VLOOKUP(Vlookup!$B119,'CDCM Volume Forecasts'!$A$27:$AG$123,D$137,FALSE)</f>
        <v>0</v>
      </c>
      <c r="E154" s="13">
        <f>VLOOKUP(Vlookup!$B119,'CDCM Volume Forecasts'!$A$27:$AG$123,E$137,FALSE)</f>
        <v>0</v>
      </c>
      <c r="F154" s="13">
        <f>VLOOKUP(Vlookup!$B119,'CDCM Volume Forecasts'!$A$27:$AG$123,F$137,FALSE)</f>
        <v>0</v>
      </c>
      <c r="G154" s="13">
        <f>VLOOKUP(Vlookup!$B119,'CDCM Volume Forecasts'!$A$27:$AG$123,G$137,FALSE)</f>
        <v>0</v>
      </c>
      <c r="H154" s="7"/>
      <c r="I154"/>
      <c r="J154"/>
      <c r="K154"/>
    </row>
    <row r="155" spans="1:11" ht="15">
      <c r="A155" s="8" t="s">
        <v>94</v>
      </c>
      <c r="B155" s="4">
        <f>VLOOKUP(Vlookup!$B120,'CDCM Volume Forecasts'!$A$27:$AG$123,B$137,FALSE)</f>
        <v>1619655.6585213088</v>
      </c>
      <c r="C155" s="6">
        <f>VLOOKUP(Vlookup!$B120,'CDCM Volume Forecasts'!$A$27:$AG$123,C$137,FALSE)</f>
        <v>0</v>
      </c>
      <c r="D155" s="6">
        <f>VLOOKUP(Vlookup!$B120,'CDCM Volume Forecasts'!$A$27:$AG$123,D$137,FALSE)</f>
        <v>0</v>
      </c>
      <c r="E155" s="10">
        <f>VLOOKUP(Vlookup!$B120,'CDCM Volume Forecasts'!$A$27:$AG$123,E$137,FALSE)</f>
        <v>135679.92656869252</v>
      </c>
      <c r="F155" s="6">
        <f>VLOOKUP(Vlookup!$B120,'CDCM Volume Forecasts'!$A$27:$AG$123,F$137,FALSE)</f>
        <v>0</v>
      </c>
      <c r="G155" s="6">
        <f>VLOOKUP(Vlookup!$B120,'CDCM Volume Forecasts'!$A$27:$AG$123,G$137,FALSE)</f>
        <v>0</v>
      </c>
      <c r="H155" s="7"/>
      <c r="I155"/>
      <c r="J155"/>
      <c r="K155"/>
    </row>
    <row r="156" spans="1:11" ht="15">
      <c r="A156" s="8" t="s">
        <v>156</v>
      </c>
      <c r="B156" s="4">
        <f>VLOOKUP(Vlookup!$B121,'CDCM Volume Forecasts'!$A$27:$AG$123,B$137,FALSE)</f>
        <v>2891.2734624687741</v>
      </c>
      <c r="C156" s="6">
        <f>VLOOKUP(Vlookup!$B121,'CDCM Volume Forecasts'!$A$27:$AG$123,C$137,FALSE)</f>
        <v>0</v>
      </c>
      <c r="D156" s="6">
        <f>VLOOKUP(Vlookup!$B121,'CDCM Volume Forecasts'!$A$27:$AG$123,D$137,FALSE)</f>
        <v>0</v>
      </c>
      <c r="E156" s="10">
        <f>VLOOKUP(Vlookup!$B121,'CDCM Volume Forecasts'!$A$27:$AG$123,E$137,FALSE)</f>
        <v>8156.5389495421296</v>
      </c>
      <c r="F156" s="6">
        <f>VLOOKUP(Vlookup!$B121,'CDCM Volume Forecasts'!$A$27:$AG$123,F$137,FALSE)</f>
        <v>0</v>
      </c>
      <c r="G156" s="6">
        <f>VLOOKUP(Vlookup!$B121,'CDCM Volume Forecasts'!$A$27:$AG$123,G$137,FALSE)</f>
        <v>0</v>
      </c>
      <c r="H156" s="7"/>
      <c r="I156"/>
      <c r="J156"/>
      <c r="K156"/>
    </row>
    <row r="157" spans="1:11" ht="15">
      <c r="A157" s="8" t="s">
        <v>157</v>
      </c>
      <c r="B157" s="4">
        <f>VLOOKUP(Vlookup!$B122,'CDCM Volume Forecasts'!$A$27:$AG$123,B$137,FALSE)</f>
        <v>15215.334512820744</v>
      </c>
      <c r="C157" s="6">
        <f>VLOOKUP(Vlookup!$B122,'CDCM Volume Forecasts'!$A$27:$AG$123,C$137,FALSE)</f>
        <v>0</v>
      </c>
      <c r="D157" s="6">
        <f>VLOOKUP(Vlookup!$B122,'CDCM Volume Forecasts'!$A$27:$AG$123,D$137,FALSE)</f>
        <v>0</v>
      </c>
      <c r="E157" s="10">
        <f>VLOOKUP(Vlookup!$B122,'CDCM Volume Forecasts'!$A$27:$AG$123,E$137,FALSE)</f>
        <v>894.00804864272811</v>
      </c>
      <c r="F157" s="6">
        <f>VLOOKUP(Vlookup!$B122,'CDCM Volume Forecasts'!$A$27:$AG$123,F$137,FALSE)</f>
        <v>0</v>
      </c>
      <c r="G157" s="6">
        <f>VLOOKUP(Vlookup!$B122,'CDCM Volume Forecasts'!$A$27:$AG$123,G$137,FALSE)</f>
        <v>0</v>
      </c>
      <c r="H157" s="7"/>
      <c r="I157"/>
      <c r="J157"/>
      <c r="K157"/>
    </row>
    <row r="158" spans="1:11" ht="15">
      <c r="A158" s="12" t="s">
        <v>158</v>
      </c>
      <c r="B158" s="13">
        <f>VLOOKUP(Vlookup!$B123,'CDCM Volume Forecasts'!$A$27:$AG$123,B$137,FALSE)</f>
        <v>0</v>
      </c>
      <c r="C158" s="13">
        <f>VLOOKUP(Vlookup!$B123,'CDCM Volume Forecasts'!$A$27:$AG$123,C$137,FALSE)</f>
        <v>0</v>
      </c>
      <c r="D158" s="13">
        <f>VLOOKUP(Vlookup!$B123,'CDCM Volume Forecasts'!$A$27:$AG$123,D$137,FALSE)</f>
        <v>0</v>
      </c>
      <c r="E158" s="13">
        <f>VLOOKUP(Vlookup!$B123,'CDCM Volume Forecasts'!$A$27:$AG$123,E$137,FALSE)</f>
        <v>0</v>
      </c>
      <c r="F158" s="13">
        <f>VLOOKUP(Vlookup!$B123,'CDCM Volume Forecasts'!$A$27:$AG$123,F$137,FALSE)</f>
        <v>0</v>
      </c>
      <c r="G158" s="13">
        <f>VLOOKUP(Vlookup!$B123,'CDCM Volume Forecasts'!$A$27:$AG$123,G$137,FALSE)</f>
        <v>0</v>
      </c>
      <c r="H158" s="7"/>
      <c r="I158"/>
      <c r="J158"/>
      <c r="K158"/>
    </row>
    <row r="159" spans="1:11" ht="15">
      <c r="A159" s="8" t="s">
        <v>95</v>
      </c>
      <c r="B159" s="4">
        <f>VLOOKUP(Vlookup!$B124,'CDCM Volume Forecasts'!$A$27:$AG$123,B$137,FALSE)</f>
        <v>505281.77147158369</v>
      </c>
      <c r="C159" s="4">
        <f>VLOOKUP(Vlookup!$B124,'CDCM Volume Forecasts'!$A$27:$AG$123,C$137,FALSE)</f>
        <v>208404.41119819321</v>
      </c>
      <c r="D159" s="6">
        <f>VLOOKUP(Vlookup!$B124,'CDCM Volume Forecasts'!$A$27:$AG$123,D$137,FALSE)</f>
        <v>0</v>
      </c>
      <c r="E159" s="10">
        <f>VLOOKUP(Vlookup!$B124,'CDCM Volume Forecasts'!$A$27:$AG$123,E$137,FALSE)</f>
        <v>34491.689344628736</v>
      </c>
      <c r="F159" s="6">
        <f>VLOOKUP(Vlookup!$B124,'CDCM Volume Forecasts'!$A$27:$AG$123,F$137,FALSE)</f>
        <v>0</v>
      </c>
      <c r="G159" s="6">
        <f>VLOOKUP(Vlookup!$B124,'CDCM Volume Forecasts'!$A$27:$AG$123,G$137,FALSE)</f>
        <v>0</v>
      </c>
      <c r="H159" s="7"/>
      <c r="I159"/>
      <c r="J159"/>
      <c r="K159"/>
    </row>
    <row r="160" spans="1:11" ht="15">
      <c r="A160" s="8" t="s">
        <v>159</v>
      </c>
      <c r="B160" s="4">
        <f>VLOOKUP(Vlookup!$B125,'CDCM Volume Forecasts'!$A$27:$AG$123,B$137,FALSE)</f>
        <v>879.40978502704854</v>
      </c>
      <c r="C160" s="4">
        <f>VLOOKUP(Vlookup!$B125,'CDCM Volume Forecasts'!$A$27:$AG$123,C$137,FALSE)</f>
        <v>325.90755796918535</v>
      </c>
      <c r="D160" s="6">
        <f>VLOOKUP(Vlookup!$B125,'CDCM Volume Forecasts'!$A$27:$AG$123,D$137,FALSE)</f>
        <v>0</v>
      </c>
      <c r="E160" s="10">
        <f>VLOOKUP(Vlookup!$B125,'CDCM Volume Forecasts'!$A$27:$AG$123,E$137,FALSE)</f>
        <v>17.982920518675567</v>
      </c>
      <c r="F160" s="6">
        <f>VLOOKUP(Vlookup!$B125,'CDCM Volume Forecasts'!$A$27:$AG$123,F$137,FALSE)</f>
        <v>0</v>
      </c>
      <c r="G160" s="6">
        <f>VLOOKUP(Vlookup!$B125,'CDCM Volume Forecasts'!$A$27:$AG$123,G$137,FALSE)</f>
        <v>0</v>
      </c>
      <c r="H160" s="7"/>
      <c r="I160"/>
      <c r="J160"/>
      <c r="K160"/>
    </row>
    <row r="161" spans="1:11" ht="15">
      <c r="A161" s="8" t="s">
        <v>160</v>
      </c>
      <c r="B161" s="4">
        <f>VLOOKUP(Vlookup!$B126,'CDCM Volume Forecasts'!$A$27:$AG$123,B$137,FALSE)</f>
        <v>3693.9572983147759</v>
      </c>
      <c r="C161" s="4">
        <f>VLOOKUP(Vlookup!$B126,'CDCM Volume Forecasts'!$A$27:$AG$123,C$137,FALSE)</f>
        <v>1053.731561149656</v>
      </c>
      <c r="D161" s="6">
        <f>VLOOKUP(Vlookup!$B126,'CDCM Volume Forecasts'!$A$27:$AG$123,D$137,FALSE)</f>
        <v>0</v>
      </c>
      <c r="E161" s="10">
        <f>VLOOKUP(Vlookup!$B126,'CDCM Volume Forecasts'!$A$27:$AG$123,E$137,FALSE)</f>
        <v>77.069659365752401</v>
      </c>
      <c r="F161" s="6">
        <f>VLOOKUP(Vlookup!$B126,'CDCM Volume Forecasts'!$A$27:$AG$123,F$137,FALSE)</f>
        <v>0</v>
      </c>
      <c r="G161" s="6">
        <f>VLOOKUP(Vlookup!$B126,'CDCM Volume Forecasts'!$A$27:$AG$123,G$137,FALSE)</f>
        <v>0</v>
      </c>
      <c r="H161" s="7"/>
      <c r="I161"/>
      <c r="J161"/>
      <c r="K161"/>
    </row>
    <row r="162" spans="1:11" ht="15">
      <c r="A162" s="12" t="s">
        <v>161</v>
      </c>
      <c r="B162" s="13">
        <f>VLOOKUP(Vlookup!$B127,'CDCM Volume Forecasts'!$A$27:$AG$123,B$137,FALSE)</f>
        <v>0</v>
      </c>
      <c r="C162" s="13">
        <f>VLOOKUP(Vlookup!$B127,'CDCM Volume Forecasts'!$A$27:$AG$123,C$137,FALSE)</f>
        <v>0</v>
      </c>
      <c r="D162" s="13">
        <f>VLOOKUP(Vlookup!$B127,'CDCM Volume Forecasts'!$A$27:$AG$123,D$137,FALSE)</f>
        <v>0</v>
      </c>
      <c r="E162" s="13">
        <f>VLOOKUP(Vlookup!$B127,'CDCM Volume Forecasts'!$A$27:$AG$123,E$137,FALSE)</f>
        <v>0</v>
      </c>
      <c r="F162" s="13">
        <f>VLOOKUP(Vlookup!$B127,'CDCM Volume Forecasts'!$A$27:$AG$123,F$137,FALSE)</f>
        <v>0</v>
      </c>
      <c r="G162" s="13">
        <f>VLOOKUP(Vlookup!$B127,'CDCM Volume Forecasts'!$A$27:$AG$123,G$137,FALSE)</f>
        <v>0</v>
      </c>
      <c r="H162" s="7"/>
      <c r="I162"/>
      <c r="J162"/>
      <c r="K162"/>
    </row>
    <row r="163" spans="1:11" ht="15">
      <c r="A163" s="8" t="s">
        <v>130</v>
      </c>
      <c r="B163" s="4">
        <f>VLOOKUP(Vlookup!$B128,'CDCM Volume Forecasts'!$A$27:$AG$123,B$137,FALSE)</f>
        <v>6654.8554381718086</v>
      </c>
      <c r="C163" s="6">
        <f>VLOOKUP(Vlookup!$B128,'CDCM Volume Forecasts'!$A$27:$AG$123,C$137,FALSE)</f>
        <v>0</v>
      </c>
      <c r="D163" s="6">
        <f>VLOOKUP(Vlookup!$B128,'CDCM Volume Forecasts'!$A$27:$AG$123,D$137,FALSE)</f>
        <v>0</v>
      </c>
      <c r="E163" s="10">
        <f>VLOOKUP(Vlookup!$B128,'CDCM Volume Forecasts'!$A$27:$AG$123,E$137,FALSE)</f>
        <v>0</v>
      </c>
      <c r="F163" s="6">
        <f>VLOOKUP(Vlookup!$B128,'CDCM Volume Forecasts'!$A$27:$AG$123,F$137,FALSE)</f>
        <v>0</v>
      </c>
      <c r="G163" s="6">
        <f>VLOOKUP(Vlookup!$B128,'CDCM Volume Forecasts'!$A$27:$AG$123,G$137,FALSE)</f>
        <v>0</v>
      </c>
      <c r="H163" s="7"/>
      <c r="I163"/>
      <c r="J163"/>
      <c r="K163"/>
    </row>
    <row r="164" spans="1:11" ht="30">
      <c r="A164" s="8" t="s">
        <v>162</v>
      </c>
      <c r="B164" s="4">
        <f>VLOOKUP(Vlookup!$B129,'CDCM Volume Forecasts'!$A$27:$AG$123,B$137,FALSE)</f>
        <v>0</v>
      </c>
      <c r="C164" s="6">
        <f>VLOOKUP(Vlookup!$B129,'CDCM Volume Forecasts'!$A$27:$AG$123,C$137,FALSE)</f>
        <v>0</v>
      </c>
      <c r="D164" s="6">
        <f>VLOOKUP(Vlookup!$B129,'CDCM Volume Forecasts'!$A$27:$AG$123,D$137,FALSE)</f>
        <v>0</v>
      </c>
      <c r="E164" s="10">
        <f>VLOOKUP(Vlookup!$B129,'CDCM Volume Forecasts'!$A$27:$AG$123,E$137,FALSE)</f>
        <v>0</v>
      </c>
      <c r="F164" s="6">
        <f>VLOOKUP(Vlookup!$B129,'CDCM Volume Forecasts'!$A$27:$AG$123,F$137,FALSE)</f>
        <v>0</v>
      </c>
      <c r="G164" s="6">
        <f>VLOOKUP(Vlookup!$B129,'CDCM Volume Forecasts'!$A$27:$AG$123,G$137,FALSE)</f>
        <v>0</v>
      </c>
      <c r="H164" s="7"/>
      <c r="I164"/>
      <c r="J164"/>
      <c r="K164"/>
    </row>
    <row r="165" spans="1:11" ht="30">
      <c r="A165" s="8" t="s">
        <v>163</v>
      </c>
      <c r="B165" s="4">
        <f>VLOOKUP(Vlookup!$B130,'CDCM Volume Forecasts'!$A$27:$AG$123,B$137,FALSE)</f>
        <v>0</v>
      </c>
      <c r="C165" s="6">
        <f>VLOOKUP(Vlookup!$B130,'CDCM Volume Forecasts'!$A$27:$AG$123,C$137,FALSE)</f>
        <v>0</v>
      </c>
      <c r="D165" s="6">
        <f>VLOOKUP(Vlookup!$B130,'CDCM Volume Forecasts'!$A$27:$AG$123,D$137,FALSE)</f>
        <v>0</v>
      </c>
      <c r="E165" s="10">
        <f>VLOOKUP(Vlookup!$B130,'CDCM Volume Forecasts'!$A$27:$AG$123,E$137,FALSE)</f>
        <v>0</v>
      </c>
      <c r="F165" s="6">
        <f>VLOOKUP(Vlookup!$B130,'CDCM Volume Forecasts'!$A$27:$AG$123,F$137,FALSE)</f>
        <v>0</v>
      </c>
      <c r="G165" s="6">
        <f>VLOOKUP(Vlookup!$B130,'CDCM Volume Forecasts'!$A$27:$AG$123,G$137,FALSE)</f>
        <v>0</v>
      </c>
      <c r="H165" s="7"/>
      <c r="I165"/>
      <c r="J165"/>
      <c r="K165"/>
    </row>
    <row r="166" spans="1:11" ht="15">
      <c r="A166" s="12" t="s">
        <v>164</v>
      </c>
      <c r="B166" s="13">
        <f>VLOOKUP(Vlookup!$B131,'CDCM Volume Forecasts'!$A$27:$AG$123,B$137,FALSE)</f>
        <v>0</v>
      </c>
      <c r="C166" s="13">
        <f>VLOOKUP(Vlookup!$B131,'CDCM Volume Forecasts'!$A$27:$AG$123,C$137,FALSE)</f>
        <v>0</v>
      </c>
      <c r="D166" s="13">
        <f>VLOOKUP(Vlookup!$B131,'CDCM Volume Forecasts'!$A$27:$AG$123,D$137,FALSE)</f>
        <v>0</v>
      </c>
      <c r="E166" s="13">
        <f>VLOOKUP(Vlookup!$B131,'CDCM Volume Forecasts'!$A$27:$AG$123,E$137,FALSE)</f>
        <v>0</v>
      </c>
      <c r="F166" s="13">
        <f>VLOOKUP(Vlookup!$B131,'CDCM Volume Forecasts'!$A$27:$AG$123,F$137,FALSE)</f>
        <v>0</v>
      </c>
      <c r="G166" s="13">
        <f>VLOOKUP(Vlookup!$B131,'CDCM Volume Forecasts'!$A$27:$AG$123,G$137,FALSE)</f>
        <v>0</v>
      </c>
      <c r="H166" s="7"/>
      <c r="I166"/>
      <c r="J166"/>
      <c r="K166"/>
    </row>
    <row r="167" spans="1:11" ht="15">
      <c r="A167" s="8" t="s">
        <v>96</v>
      </c>
      <c r="B167" s="4">
        <f>VLOOKUP(Vlookup!$B132,'CDCM Volume Forecasts'!$A$27:$AG$123,B$137,FALSE)</f>
        <v>0</v>
      </c>
      <c r="C167" s="4">
        <f>VLOOKUP(Vlookup!$B132,'CDCM Volume Forecasts'!$A$27:$AG$123,C$137,FALSE)</f>
        <v>0</v>
      </c>
      <c r="D167" s="6">
        <f>VLOOKUP(Vlookup!$B132,'CDCM Volume Forecasts'!$A$27:$AG$123,D$137,FALSE)</f>
        <v>0</v>
      </c>
      <c r="E167" s="10">
        <f>VLOOKUP(Vlookup!$B132,'CDCM Volume Forecasts'!$A$27:$AG$123,E$137,FALSE)</f>
        <v>0</v>
      </c>
      <c r="F167" s="6">
        <f>VLOOKUP(Vlookup!$B132,'CDCM Volume Forecasts'!$A$27:$AG$123,F$137,FALSE)</f>
        <v>0</v>
      </c>
      <c r="G167" s="6">
        <f>VLOOKUP(Vlookup!$B132,'CDCM Volume Forecasts'!$A$27:$AG$123,G$137,FALSE)</f>
        <v>0</v>
      </c>
      <c r="H167" s="7"/>
      <c r="I167"/>
      <c r="J167"/>
      <c r="K167"/>
    </row>
    <row r="168" spans="1:11" ht="15">
      <c r="A168" s="8" t="s">
        <v>165</v>
      </c>
      <c r="B168" s="4">
        <f>VLOOKUP(Vlookup!$B133,'CDCM Volume Forecasts'!$A$27:$AG$123,B$137,FALSE)</f>
        <v>0</v>
      </c>
      <c r="C168" s="4">
        <f>VLOOKUP(Vlookup!$B133,'CDCM Volume Forecasts'!$A$27:$AG$123,C$137,FALSE)</f>
        <v>0</v>
      </c>
      <c r="D168" s="6">
        <f>VLOOKUP(Vlookup!$B133,'CDCM Volume Forecasts'!$A$27:$AG$123,D$137,FALSE)</f>
        <v>0</v>
      </c>
      <c r="E168" s="10">
        <f>VLOOKUP(Vlookup!$B133,'CDCM Volume Forecasts'!$A$27:$AG$123,E$137,FALSE)</f>
        <v>0</v>
      </c>
      <c r="F168" s="6">
        <f>VLOOKUP(Vlookup!$B133,'CDCM Volume Forecasts'!$A$27:$AG$123,F$137,FALSE)</f>
        <v>0</v>
      </c>
      <c r="G168" s="6">
        <f>VLOOKUP(Vlookup!$B133,'CDCM Volume Forecasts'!$A$27:$AG$123,G$137,FALSE)</f>
        <v>0</v>
      </c>
      <c r="H168" s="7"/>
      <c r="I168"/>
      <c r="J168"/>
      <c r="K168"/>
    </row>
    <row r="169" spans="1:11" ht="15">
      <c r="A169" s="8" t="s">
        <v>166</v>
      </c>
      <c r="B169" s="4">
        <f>VLOOKUP(Vlookup!$B134,'CDCM Volume Forecasts'!$A$27:$AG$123,B$137,FALSE)</f>
        <v>0</v>
      </c>
      <c r="C169" s="4">
        <f>VLOOKUP(Vlookup!$B134,'CDCM Volume Forecasts'!$A$27:$AG$123,C$137,FALSE)</f>
        <v>0</v>
      </c>
      <c r="D169" s="6">
        <f>VLOOKUP(Vlookup!$B134,'CDCM Volume Forecasts'!$A$27:$AG$123,D$137,FALSE)</f>
        <v>0</v>
      </c>
      <c r="E169" s="10">
        <f>VLOOKUP(Vlookup!$B134,'CDCM Volume Forecasts'!$A$27:$AG$123,E$137,FALSE)</f>
        <v>0</v>
      </c>
      <c r="F169" s="6">
        <f>VLOOKUP(Vlookup!$B134,'CDCM Volume Forecasts'!$A$27:$AG$123,F$137,FALSE)</f>
        <v>0</v>
      </c>
      <c r="G169" s="6">
        <f>VLOOKUP(Vlookup!$B134,'CDCM Volume Forecasts'!$A$27:$AG$123,G$137,FALSE)</f>
        <v>0</v>
      </c>
      <c r="H169" s="7"/>
      <c r="I169"/>
      <c r="J169"/>
      <c r="K169"/>
    </row>
    <row r="170" spans="1:11" ht="15">
      <c r="A170" s="12" t="s">
        <v>167</v>
      </c>
      <c r="B170" s="13">
        <f>VLOOKUP(Vlookup!$B135,'CDCM Volume Forecasts'!$A$27:$AG$123,B$137,FALSE)</f>
        <v>0</v>
      </c>
      <c r="C170" s="13">
        <f>VLOOKUP(Vlookup!$B135,'CDCM Volume Forecasts'!$A$27:$AG$123,C$137,FALSE)</f>
        <v>0</v>
      </c>
      <c r="D170" s="13">
        <f>VLOOKUP(Vlookup!$B135,'CDCM Volume Forecasts'!$A$27:$AG$123,D$137,FALSE)</f>
        <v>0</v>
      </c>
      <c r="E170" s="13">
        <f>VLOOKUP(Vlookup!$B135,'CDCM Volume Forecasts'!$A$27:$AG$123,E$137,FALSE)</f>
        <v>0</v>
      </c>
      <c r="F170" s="13">
        <f>VLOOKUP(Vlookup!$B135,'CDCM Volume Forecasts'!$A$27:$AG$123,F$137,FALSE)</f>
        <v>0</v>
      </c>
      <c r="G170" s="13">
        <f>VLOOKUP(Vlookup!$B135,'CDCM Volume Forecasts'!$A$27:$AG$123,G$137,FALSE)</f>
        <v>0</v>
      </c>
      <c r="H170" s="7"/>
      <c r="I170"/>
      <c r="J170"/>
      <c r="K170"/>
    </row>
    <row r="171" spans="1:11" ht="15">
      <c r="A171" s="8" t="s">
        <v>97</v>
      </c>
      <c r="B171" s="4">
        <f>VLOOKUP(Vlookup!$B136,'CDCM Volume Forecasts'!$A$27:$AG$123,B$137,FALSE)</f>
        <v>0</v>
      </c>
      <c r="C171" s="4">
        <f>VLOOKUP(Vlookup!$B136,'CDCM Volume Forecasts'!$A$27:$AG$123,C$137,FALSE)</f>
        <v>0</v>
      </c>
      <c r="D171" s="6">
        <f>VLOOKUP(Vlookup!$B136,'CDCM Volume Forecasts'!$A$27:$AG$123,D$137,FALSE)</f>
        <v>0</v>
      </c>
      <c r="E171" s="10">
        <f>VLOOKUP(Vlookup!$B136,'CDCM Volume Forecasts'!$A$27:$AG$123,E$137,FALSE)</f>
        <v>0</v>
      </c>
      <c r="F171" s="6">
        <f>VLOOKUP(Vlookup!$B136,'CDCM Volume Forecasts'!$A$27:$AG$123,F$137,FALSE)</f>
        <v>0</v>
      </c>
      <c r="G171" s="6">
        <f>VLOOKUP(Vlookup!$B136,'CDCM Volume Forecasts'!$A$27:$AG$123,G$137,FALSE)</f>
        <v>0</v>
      </c>
      <c r="H171" s="7"/>
      <c r="I171"/>
      <c r="J171"/>
      <c r="K171"/>
    </row>
    <row r="172" spans="1:11" ht="15">
      <c r="A172" s="12" t="s">
        <v>168</v>
      </c>
      <c r="B172" s="13">
        <f>VLOOKUP(Vlookup!$B137,'CDCM Volume Forecasts'!$A$27:$AG$123,B$137,FALSE)</f>
        <v>0</v>
      </c>
      <c r="C172" s="13">
        <f>VLOOKUP(Vlookup!$B137,'CDCM Volume Forecasts'!$A$27:$AG$123,C$137,FALSE)</f>
        <v>0</v>
      </c>
      <c r="D172" s="13">
        <f>VLOOKUP(Vlookup!$B137,'CDCM Volume Forecasts'!$A$27:$AG$123,D$137,FALSE)</f>
        <v>0</v>
      </c>
      <c r="E172" s="13">
        <f>VLOOKUP(Vlookup!$B137,'CDCM Volume Forecasts'!$A$27:$AG$123,E$137,FALSE)</f>
        <v>0</v>
      </c>
      <c r="F172" s="13">
        <f>VLOOKUP(Vlookup!$B137,'CDCM Volume Forecasts'!$A$27:$AG$123,F$137,FALSE)</f>
        <v>0</v>
      </c>
      <c r="G172" s="13">
        <f>VLOOKUP(Vlookup!$B137,'CDCM Volume Forecasts'!$A$27:$AG$123,G$137,FALSE)</f>
        <v>0</v>
      </c>
      <c r="H172" s="7"/>
      <c r="I172"/>
      <c r="J172"/>
      <c r="K172"/>
    </row>
    <row r="173" spans="1:11" ht="15">
      <c r="A173" s="8" t="s">
        <v>110</v>
      </c>
      <c r="B173" s="4">
        <f>VLOOKUP(Vlookup!$B138,'CDCM Volume Forecasts'!$A$27:$AG$123,B$137,FALSE)</f>
        <v>0</v>
      </c>
      <c r="C173" s="4">
        <f>VLOOKUP(Vlookup!$B138,'CDCM Volume Forecasts'!$A$27:$AG$123,C$137,FALSE)</f>
        <v>0</v>
      </c>
      <c r="D173" s="6">
        <f>VLOOKUP(Vlookup!$B138,'CDCM Volume Forecasts'!$A$27:$AG$123,D$137,FALSE)</f>
        <v>0</v>
      </c>
      <c r="E173" s="10">
        <f>VLOOKUP(Vlookup!$B138,'CDCM Volume Forecasts'!$A$27:$AG$123,E$137,FALSE)</f>
        <v>0</v>
      </c>
      <c r="F173" s="6">
        <f>VLOOKUP(Vlookup!$B138,'CDCM Volume Forecasts'!$A$27:$AG$123,F$137,FALSE)</f>
        <v>0</v>
      </c>
      <c r="G173" s="6">
        <f>VLOOKUP(Vlookup!$B138,'CDCM Volume Forecasts'!$A$27:$AG$123,G$137,FALSE)</f>
        <v>0</v>
      </c>
      <c r="H173" s="7"/>
      <c r="I173"/>
      <c r="J173"/>
      <c r="K173"/>
    </row>
    <row r="174" spans="1:11" ht="15">
      <c r="A174" s="12" t="s">
        <v>1539</v>
      </c>
      <c r="B174" s="13">
        <f>VLOOKUP(Vlookup!$B139,'CDCM Volume Forecasts'!$A$27:$AG$123,B$137,FALSE)</f>
        <v>0</v>
      </c>
      <c r="C174" s="13">
        <f>VLOOKUP(Vlookup!$B139,'CDCM Volume Forecasts'!$A$27:$AG$123,C$137,FALSE)</f>
        <v>0</v>
      </c>
      <c r="D174" s="13">
        <f>VLOOKUP(Vlookup!$B139,'CDCM Volume Forecasts'!$A$27:$AG$123,D$137,FALSE)</f>
        <v>0</v>
      </c>
      <c r="E174" s="13">
        <f>VLOOKUP(Vlookup!$B139,'CDCM Volume Forecasts'!$A$27:$AG$123,E$137,FALSE)</f>
        <v>0</v>
      </c>
      <c r="F174" s="13">
        <f>VLOOKUP(Vlookup!$B139,'CDCM Volume Forecasts'!$A$27:$AG$123,F$137,FALSE)</f>
        <v>0</v>
      </c>
      <c r="G174" s="13">
        <f>VLOOKUP(Vlookup!$B139,'CDCM Volume Forecasts'!$A$27:$AG$123,G$137,FALSE)</f>
        <v>0</v>
      </c>
      <c r="H174" s="7"/>
      <c r="I174"/>
      <c r="J174"/>
      <c r="K174"/>
    </row>
    <row r="175" spans="1:11" ht="15">
      <c r="A175" s="8" t="s">
        <v>1536</v>
      </c>
      <c r="B175" s="4">
        <f>VLOOKUP(Vlookup!$B140,'CDCM Volume Forecasts'!$A$27:$AG$123,B$137,FALSE)</f>
        <v>0</v>
      </c>
      <c r="C175" s="4">
        <f>VLOOKUP(Vlookup!$B140,'CDCM Volume Forecasts'!$A$27:$AG$123,C$137,FALSE)</f>
        <v>0</v>
      </c>
      <c r="D175" s="4">
        <f>VLOOKUP(Vlookup!$B140,'CDCM Volume Forecasts'!$A$27:$AG$123,D$137,FALSE)</f>
        <v>0</v>
      </c>
      <c r="E175" s="10">
        <f>VLOOKUP(Vlookup!$B140,'CDCM Volume Forecasts'!$A$27:$AG$123,E$137,FALSE)</f>
        <v>0</v>
      </c>
      <c r="F175" s="6">
        <f>VLOOKUP(Vlookup!$B140,'CDCM Volume Forecasts'!$A$27:$AG$123,F$137,FALSE)</f>
        <v>0</v>
      </c>
      <c r="G175" s="6">
        <f>VLOOKUP(Vlookup!$B140,'CDCM Volume Forecasts'!$A$27:$AG$123,G$137,FALSE)</f>
        <v>0</v>
      </c>
      <c r="H175" s="7"/>
      <c r="I175"/>
      <c r="J175"/>
      <c r="K175"/>
    </row>
    <row r="176" spans="1:11" ht="15">
      <c r="A176" s="8" t="s">
        <v>1533</v>
      </c>
      <c r="B176" s="4">
        <f>VLOOKUP(Vlookup!$B141,'CDCM Volume Forecasts'!$A$27:$AG$123,B$137,FALSE)</f>
        <v>0</v>
      </c>
      <c r="C176" s="4">
        <f>VLOOKUP(Vlookup!$B141,'CDCM Volume Forecasts'!$A$27:$AG$123,C$137,FALSE)</f>
        <v>0</v>
      </c>
      <c r="D176" s="4">
        <f>VLOOKUP(Vlookup!$B141,'CDCM Volume Forecasts'!$A$27:$AG$123,D$137,FALSE)</f>
        <v>0</v>
      </c>
      <c r="E176" s="10">
        <f>VLOOKUP(Vlookup!$B141,'CDCM Volume Forecasts'!$A$27:$AG$123,E$137,FALSE)</f>
        <v>0</v>
      </c>
      <c r="F176" s="6">
        <f>VLOOKUP(Vlookup!$B141,'CDCM Volume Forecasts'!$A$27:$AG$123,F$137,FALSE)</f>
        <v>0</v>
      </c>
      <c r="G176" s="6">
        <f>VLOOKUP(Vlookup!$B141,'CDCM Volume Forecasts'!$A$27:$AG$123,G$137,FALSE)</f>
        <v>0</v>
      </c>
      <c r="H176" s="7"/>
      <c r="I176"/>
      <c r="J176"/>
      <c r="K176"/>
    </row>
    <row r="177" spans="1:11" ht="15">
      <c r="A177" s="8" t="s">
        <v>1530</v>
      </c>
      <c r="B177" s="4">
        <f>VLOOKUP(Vlookup!$B142,'CDCM Volume Forecasts'!$A$27:$AG$123,B$137,FALSE)</f>
        <v>0</v>
      </c>
      <c r="C177" s="4">
        <f>VLOOKUP(Vlookup!$B142,'CDCM Volume Forecasts'!$A$27:$AG$123,C$137,FALSE)</f>
        <v>0</v>
      </c>
      <c r="D177" s="4">
        <f>VLOOKUP(Vlookup!$B142,'CDCM Volume Forecasts'!$A$27:$AG$123,D$137,FALSE)</f>
        <v>0</v>
      </c>
      <c r="E177" s="10">
        <f>VLOOKUP(Vlookup!$B142,'CDCM Volume Forecasts'!$A$27:$AG$123,E$137,FALSE)</f>
        <v>0</v>
      </c>
      <c r="F177" s="6">
        <f>VLOOKUP(Vlookup!$B142,'CDCM Volume Forecasts'!$A$27:$AG$123,F$137,FALSE)</f>
        <v>0</v>
      </c>
      <c r="G177" s="6">
        <f>VLOOKUP(Vlookup!$B142,'CDCM Volume Forecasts'!$A$27:$AG$123,G$137,FALSE)</f>
        <v>0</v>
      </c>
      <c r="H177" s="7"/>
      <c r="I177"/>
      <c r="J177"/>
      <c r="K177"/>
    </row>
    <row r="178" spans="1:11" ht="15">
      <c r="A178" s="12" t="s">
        <v>1538</v>
      </c>
      <c r="B178" s="13">
        <f>VLOOKUP(Vlookup!$B143,'CDCM Volume Forecasts'!$A$27:$AG$123,B$137,FALSE)</f>
        <v>0</v>
      </c>
      <c r="C178" s="13">
        <f>VLOOKUP(Vlookup!$B143,'CDCM Volume Forecasts'!$A$27:$AG$123,C$137,FALSE)</f>
        <v>0</v>
      </c>
      <c r="D178" s="13">
        <f>VLOOKUP(Vlookup!$B143,'CDCM Volume Forecasts'!$A$27:$AG$123,D$137,FALSE)</f>
        <v>0</v>
      </c>
      <c r="E178" s="13">
        <f>VLOOKUP(Vlookup!$B143,'CDCM Volume Forecasts'!$A$27:$AG$123,E$137,FALSE)</f>
        <v>0</v>
      </c>
      <c r="F178" s="13">
        <f>VLOOKUP(Vlookup!$B143,'CDCM Volume Forecasts'!$A$27:$AG$123,F$137,FALSE)</f>
        <v>0</v>
      </c>
      <c r="G178" s="13">
        <f>VLOOKUP(Vlookup!$B143,'CDCM Volume Forecasts'!$A$27:$AG$123,G$137,FALSE)</f>
        <v>0</v>
      </c>
      <c r="H178" s="7"/>
      <c r="I178"/>
      <c r="J178"/>
      <c r="K178"/>
    </row>
    <row r="179" spans="1:11" ht="15">
      <c r="A179" s="8" t="s">
        <v>1535</v>
      </c>
      <c r="B179" s="4">
        <f>VLOOKUP(Vlookup!$B144,'CDCM Volume Forecasts'!$A$27:$AG$123,B$137,FALSE)</f>
        <v>68262.213677721258</v>
      </c>
      <c r="C179" s="4">
        <f>VLOOKUP(Vlookup!$B144,'CDCM Volume Forecasts'!$A$27:$AG$123,C$137,FALSE)</f>
        <v>260187.85793102454</v>
      </c>
      <c r="D179" s="4">
        <f>VLOOKUP(Vlookup!$B144,'CDCM Volume Forecasts'!$A$27:$AG$123,D$137,FALSE)</f>
        <v>288797.3281930369</v>
      </c>
      <c r="E179" s="10">
        <f>VLOOKUP(Vlookup!$B144,'CDCM Volume Forecasts'!$A$27:$AG$123,E$137,FALSE)</f>
        <v>10460.824638436699</v>
      </c>
      <c r="F179" s="6">
        <f>VLOOKUP(Vlookup!$B144,'CDCM Volume Forecasts'!$A$27:$AG$123,F$137,FALSE)</f>
        <v>0</v>
      </c>
      <c r="G179" s="6">
        <f>VLOOKUP(Vlookup!$B144,'CDCM Volume Forecasts'!$A$27:$AG$123,G$137,FALSE)</f>
        <v>0</v>
      </c>
      <c r="H179" s="7"/>
      <c r="I179"/>
      <c r="J179"/>
      <c r="K179"/>
    </row>
    <row r="180" spans="1:11" ht="15">
      <c r="A180" s="8" t="s">
        <v>1532</v>
      </c>
      <c r="B180" s="4">
        <f>VLOOKUP(Vlookup!$B145,'CDCM Volume Forecasts'!$A$27:$AG$123,B$137,FALSE)</f>
        <v>75.834457148452415</v>
      </c>
      <c r="C180" s="4">
        <f>VLOOKUP(Vlookup!$B145,'CDCM Volume Forecasts'!$A$27:$AG$123,C$137,FALSE)</f>
        <v>289.05017724699985</v>
      </c>
      <c r="D180" s="4">
        <f>VLOOKUP(Vlookup!$B145,'CDCM Volume Forecasts'!$A$27:$AG$123,D$137,FALSE)</f>
        <v>368.19822955247247</v>
      </c>
      <c r="E180" s="10">
        <f>VLOOKUP(Vlookup!$B145,'CDCM Volume Forecasts'!$A$27:$AG$123,E$137,FALSE)</f>
        <v>15.9977333411589</v>
      </c>
      <c r="F180" s="6">
        <f>VLOOKUP(Vlookup!$B145,'CDCM Volume Forecasts'!$A$27:$AG$123,F$137,FALSE)</f>
        <v>0</v>
      </c>
      <c r="G180" s="6">
        <f>VLOOKUP(Vlookup!$B145,'CDCM Volume Forecasts'!$A$27:$AG$123,G$137,FALSE)</f>
        <v>0</v>
      </c>
      <c r="H180" s="7"/>
      <c r="I180"/>
      <c r="J180"/>
      <c r="K180"/>
    </row>
    <row r="181" spans="1:11" ht="15">
      <c r="A181" s="8" t="s">
        <v>1529</v>
      </c>
      <c r="B181" s="4">
        <f>VLOOKUP(Vlookup!$B146,'CDCM Volume Forecasts'!$A$27:$AG$123,B$137,FALSE)</f>
        <v>748.69722989889033</v>
      </c>
      <c r="C181" s="4">
        <f>VLOOKUP(Vlookup!$B146,'CDCM Volume Forecasts'!$A$27:$AG$123,C$137,FALSE)</f>
        <v>2853.7300212088135</v>
      </c>
      <c r="D181" s="4">
        <f>VLOOKUP(Vlookup!$B146,'CDCM Volume Forecasts'!$A$27:$AG$123,D$137,FALSE)</f>
        <v>3130.6874634209976</v>
      </c>
      <c r="E181" s="10">
        <f>VLOOKUP(Vlookup!$B146,'CDCM Volume Forecasts'!$A$27:$AG$123,E$137,FALSE)</f>
        <v>96.748196872722914</v>
      </c>
      <c r="F181" s="6">
        <f>VLOOKUP(Vlookup!$B146,'CDCM Volume Forecasts'!$A$27:$AG$123,F$137,FALSE)</f>
        <v>0</v>
      </c>
      <c r="G181" s="6">
        <f>VLOOKUP(Vlookup!$B146,'CDCM Volume Forecasts'!$A$27:$AG$123,G$137,FALSE)</f>
        <v>0</v>
      </c>
      <c r="H181" s="7"/>
      <c r="I181"/>
      <c r="J181"/>
      <c r="K181"/>
    </row>
    <row r="182" spans="1:11" ht="15">
      <c r="A182" s="12" t="s">
        <v>169</v>
      </c>
      <c r="B182" s="13">
        <f>VLOOKUP(Vlookup!$B147,'CDCM Volume Forecasts'!$A$27:$AG$123,B$137,FALSE)</f>
        <v>0</v>
      </c>
      <c r="C182" s="13">
        <f>VLOOKUP(Vlookup!$B147,'CDCM Volume Forecasts'!$A$27:$AG$123,C$137,FALSE)</f>
        <v>0</v>
      </c>
      <c r="D182" s="13">
        <f>VLOOKUP(Vlookup!$B147,'CDCM Volume Forecasts'!$A$27:$AG$123,D$137,FALSE)</f>
        <v>0</v>
      </c>
      <c r="E182" s="13">
        <f>VLOOKUP(Vlookup!$B147,'CDCM Volume Forecasts'!$A$27:$AG$123,E$137,FALSE)</f>
        <v>0</v>
      </c>
      <c r="F182" s="13">
        <f>VLOOKUP(Vlookup!$B147,'CDCM Volume Forecasts'!$A$27:$AG$123,F$137,FALSE)</f>
        <v>0</v>
      </c>
      <c r="G182" s="13">
        <f>VLOOKUP(Vlookup!$B147,'CDCM Volume Forecasts'!$A$27:$AG$123,G$137,FALSE)</f>
        <v>0</v>
      </c>
      <c r="H182" s="7"/>
      <c r="I182"/>
      <c r="J182"/>
      <c r="K182"/>
    </row>
    <row r="183" spans="1:11" ht="15">
      <c r="A183" s="8" t="s">
        <v>98</v>
      </c>
      <c r="B183" s="4">
        <f>VLOOKUP(Vlookup!$B148,'CDCM Volume Forecasts'!$A$27:$AG$123,B$137,FALSE)</f>
        <v>298957.28664096713</v>
      </c>
      <c r="C183" s="4">
        <f>VLOOKUP(Vlookup!$B148,'CDCM Volume Forecasts'!$A$27:$AG$123,C$137,FALSE)</f>
        <v>1176221.7888048878</v>
      </c>
      <c r="D183" s="4">
        <f>VLOOKUP(Vlookup!$B148,'CDCM Volume Forecasts'!$A$27:$AG$123,D$137,FALSE)</f>
        <v>1263172.6301498166</v>
      </c>
      <c r="E183" s="10">
        <f>VLOOKUP(Vlookup!$B148,'CDCM Volume Forecasts'!$A$27:$AG$123,E$137,FALSE)</f>
        <v>13816.622163023712</v>
      </c>
      <c r="F183" s="10">
        <f>VLOOKUP(Vlookup!$B148,'CDCM Volume Forecasts'!$A$27:$AG$123,F$137,FALSE)</f>
        <v>1508041.0074922552</v>
      </c>
      <c r="G183" s="4">
        <f>VLOOKUP(Vlookup!$B148,'CDCM Volume Forecasts'!$A$27:$AG$123,G$137,FALSE)</f>
        <v>196222.56397259844</v>
      </c>
      <c r="H183" s="7"/>
      <c r="I183"/>
      <c r="J183"/>
      <c r="K183"/>
    </row>
    <row r="184" spans="1:11" ht="15">
      <c r="A184" s="8" t="s">
        <v>170</v>
      </c>
      <c r="B184" s="4">
        <f>VLOOKUP(Vlookup!$B149,'CDCM Volume Forecasts'!$A$27:$AG$123,B$137,FALSE)</f>
        <v>251.49533959309412</v>
      </c>
      <c r="C184" s="4">
        <f>VLOOKUP(Vlookup!$B149,'CDCM Volume Forecasts'!$A$27:$AG$123,C$137,FALSE)</f>
        <v>979.27101968520583</v>
      </c>
      <c r="D184" s="4">
        <f>VLOOKUP(Vlookup!$B149,'CDCM Volume Forecasts'!$A$27:$AG$123,D$137,FALSE)</f>
        <v>1323.8911488702286</v>
      </c>
      <c r="E184" s="10">
        <f>VLOOKUP(Vlookup!$B149,'CDCM Volume Forecasts'!$A$27:$AG$123,E$137,FALSE)</f>
        <v>24.512815784070572</v>
      </c>
      <c r="F184" s="10">
        <f>VLOOKUP(Vlookup!$B149,'CDCM Volume Forecasts'!$A$27:$AG$123,F$137,FALSE)</f>
        <v>1849.065290221057</v>
      </c>
      <c r="G184" s="4">
        <f>VLOOKUP(Vlookup!$B149,'CDCM Volume Forecasts'!$A$27:$AG$123,G$137,FALSE)</f>
        <v>67.956077159140733</v>
      </c>
      <c r="H184" s="7"/>
      <c r="I184"/>
      <c r="J184"/>
      <c r="K184"/>
    </row>
    <row r="185" spans="1:11" ht="15">
      <c r="A185" s="8" t="s">
        <v>171</v>
      </c>
      <c r="B185" s="4">
        <f>VLOOKUP(Vlookup!$B150,'CDCM Volume Forecasts'!$A$27:$AG$123,B$137,FALSE)</f>
        <v>13537.565805386388</v>
      </c>
      <c r="C185" s="4">
        <f>VLOOKUP(Vlookup!$B150,'CDCM Volume Forecasts'!$A$27:$AG$123,C$137,FALSE)</f>
        <v>48005.548971268166</v>
      </c>
      <c r="D185" s="4">
        <f>VLOOKUP(Vlookup!$B150,'CDCM Volume Forecasts'!$A$27:$AG$123,D$137,FALSE)</f>
        <v>54720.056524480991</v>
      </c>
      <c r="E185" s="10">
        <f>VLOOKUP(Vlookup!$B150,'CDCM Volume Forecasts'!$A$27:$AG$123,E$137,FALSE)</f>
        <v>314.54566848374873</v>
      </c>
      <c r="F185" s="10">
        <f>VLOOKUP(Vlookup!$B150,'CDCM Volume Forecasts'!$A$27:$AG$123,F$137,FALSE)</f>
        <v>75425.527164949934</v>
      </c>
      <c r="G185" s="4">
        <f>VLOOKUP(Vlookup!$B150,'CDCM Volume Forecasts'!$A$27:$AG$123,G$137,FALSE)</f>
        <v>4123.9245366067507</v>
      </c>
      <c r="H185" s="7"/>
      <c r="I185"/>
      <c r="J185"/>
      <c r="K185"/>
    </row>
    <row r="186" spans="1:11" ht="15">
      <c r="A186" s="12" t="s">
        <v>172</v>
      </c>
      <c r="B186" s="13">
        <f>VLOOKUP(Vlookup!$B151,'CDCM Volume Forecasts'!$A$27:$AG$123,B$137,FALSE)</f>
        <v>0</v>
      </c>
      <c r="C186" s="13">
        <f>VLOOKUP(Vlookup!$B151,'CDCM Volume Forecasts'!$A$27:$AG$123,C$137,FALSE)</f>
        <v>0</v>
      </c>
      <c r="D186" s="13">
        <f>VLOOKUP(Vlookup!$B151,'CDCM Volume Forecasts'!$A$27:$AG$123,D$137,FALSE)</f>
        <v>0</v>
      </c>
      <c r="E186" s="13">
        <f>VLOOKUP(Vlookup!$B151,'CDCM Volume Forecasts'!$A$27:$AG$123,E$137,FALSE)</f>
        <v>0</v>
      </c>
      <c r="F186" s="13">
        <f>VLOOKUP(Vlookup!$B151,'CDCM Volume Forecasts'!$A$27:$AG$123,F$137,FALSE)</f>
        <v>0</v>
      </c>
      <c r="G186" s="13">
        <f>VLOOKUP(Vlookup!$B151,'CDCM Volume Forecasts'!$A$27:$AG$123,G$137,FALSE)</f>
        <v>0</v>
      </c>
      <c r="H186" s="7"/>
      <c r="I186"/>
      <c r="J186"/>
      <c r="K186"/>
    </row>
    <row r="187" spans="1:11" ht="15">
      <c r="A187" s="8" t="s">
        <v>99</v>
      </c>
      <c r="B187" s="4">
        <f>VLOOKUP(Vlookup!$B152,'CDCM Volume Forecasts'!$A$27:$AG$123,B$137,FALSE)</f>
        <v>7018.5351050259123</v>
      </c>
      <c r="C187" s="4">
        <f>VLOOKUP(Vlookup!$B152,'CDCM Volume Forecasts'!$A$27:$AG$123,C$137,FALSE)</f>
        <v>27672.188641821547</v>
      </c>
      <c r="D187" s="4">
        <f>VLOOKUP(Vlookup!$B152,'CDCM Volume Forecasts'!$A$27:$AG$123,D$137,FALSE)</f>
        <v>31150.176618615114</v>
      </c>
      <c r="E187" s="10">
        <f>VLOOKUP(Vlookup!$B152,'CDCM Volume Forecasts'!$A$27:$AG$123,E$137,FALSE)</f>
        <v>122.79637271053774</v>
      </c>
      <c r="F187" s="10">
        <f>VLOOKUP(Vlookup!$B152,'CDCM Volume Forecasts'!$A$27:$AG$123,F$137,FALSE)</f>
        <v>50603.075477139901</v>
      </c>
      <c r="G187" s="4">
        <f>VLOOKUP(Vlookup!$B152,'CDCM Volume Forecasts'!$A$27:$AG$123,G$137,FALSE)</f>
        <v>4784.9905027288578</v>
      </c>
      <c r="H187" s="7"/>
      <c r="I187"/>
      <c r="J187"/>
      <c r="K187"/>
    </row>
    <row r="188" spans="1:11" ht="15">
      <c r="A188" s="8" t="s">
        <v>173</v>
      </c>
      <c r="B188" s="4">
        <f>VLOOKUP(Vlookup!$B153,'CDCM Volume Forecasts'!$A$27:$AG$123,B$137,FALSE)</f>
        <v>488.20666932707184</v>
      </c>
      <c r="C188" s="4">
        <f>VLOOKUP(Vlookup!$B153,'CDCM Volume Forecasts'!$A$27:$AG$123,C$137,FALSE)</f>
        <v>2007.7503213172342</v>
      </c>
      <c r="D188" s="4">
        <f>VLOOKUP(Vlookup!$B153,'CDCM Volume Forecasts'!$A$27:$AG$123,D$137,FALSE)</f>
        <v>2764.900888767711</v>
      </c>
      <c r="E188" s="10">
        <f>VLOOKUP(Vlookup!$B153,'CDCM Volume Forecasts'!$A$27:$AG$123,E$137,FALSE)</f>
        <v>5.6400701446733876</v>
      </c>
      <c r="F188" s="10">
        <f>VLOOKUP(Vlookup!$B153,'CDCM Volume Forecasts'!$A$27:$AG$123,F$137,FALSE)</f>
        <v>3384.0420868040314</v>
      </c>
      <c r="G188" s="4">
        <f>VLOOKUP(Vlookup!$B153,'CDCM Volume Forecasts'!$A$27:$AG$123,G$137,FALSE)</f>
        <v>1576.3003402016659</v>
      </c>
      <c r="H188" s="7"/>
      <c r="I188"/>
      <c r="J188"/>
      <c r="K188"/>
    </row>
    <row r="189" spans="1:11" ht="15">
      <c r="A189" s="12" t="s">
        <v>174</v>
      </c>
      <c r="B189" s="13">
        <f>VLOOKUP(Vlookup!$B154,'CDCM Volume Forecasts'!$A$27:$AG$123,B$137,FALSE)</f>
        <v>0</v>
      </c>
      <c r="C189" s="13">
        <f>VLOOKUP(Vlookup!$B154,'CDCM Volume Forecasts'!$A$27:$AG$123,C$137,FALSE)</f>
        <v>0</v>
      </c>
      <c r="D189" s="13">
        <f>VLOOKUP(Vlookup!$B154,'CDCM Volume Forecasts'!$A$27:$AG$123,D$137,FALSE)</f>
        <v>0</v>
      </c>
      <c r="E189" s="13">
        <f>VLOOKUP(Vlookup!$B154,'CDCM Volume Forecasts'!$A$27:$AG$123,E$137,FALSE)</f>
        <v>0</v>
      </c>
      <c r="F189" s="13">
        <f>VLOOKUP(Vlookup!$B154,'CDCM Volume Forecasts'!$A$27:$AG$123,F$137,FALSE)</f>
        <v>0</v>
      </c>
      <c r="G189" s="13">
        <f>VLOOKUP(Vlookup!$B154,'CDCM Volume Forecasts'!$A$27:$AG$123,G$137,FALSE)</f>
        <v>0</v>
      </c>
      <c r="H189" s="7"/>
      <c r="I189"/>
      <c r="J189"/>
      <c r="K189"/>
    </row>
    <row r="190" spans="1:11" ht="15">
      <c r="A190" s="8" t="s">
        <v>111</v>
      </c>
      <c r="B190" s="4">
        <f>VLOOKUP(Vlookup!$B155,'CDCM Volume Forecasts'!$A$27:$AG$123,B$137,FALSE)</f>
        <v>752034.67370639404</v>
      </c>
      <c r="C190" s="4">
        <f>VLOOKUP(Vlookup!$B155,'CDCM Volume Forecasts'!$A$27:$AG$123,C$137,FALSE)</f>
        <v>3018230.4256879073</v>
      </c>
      <c r="D190" s="4">
        <f>VLOOKUP(Vlookup!$B155,'CDCM Volume Forecasts'!$A$27:$AG$123,D$137,FALSE)</f>
        <v>3913761.9505902641</v>
      </c>
      <c r="E190" s="10">
        <f>VLOOKUP(Vlookup!$B155,'CDCM Volume Forecasts'!$A$27:$AG$123,E$137,FALSE)</f>
        <v>4028.1236359637046</v>
      </c>
      <c r="F190" s="10">
        <f>VLOOKUP(Vlookup!$B155,'CDCM Volume Forecasts'!$A$27:$AG$123,F$137,FALSE)</f>
        <v>2952679.7358666793</v>
      </c>
      <c r="G190" s="4">
        <f>VLOOKUP(Vlookup!$B155,'CDCM Volume Forecasts'!$A$27:$AG$123,G$137,FALSE)</f>
        <v>1051532.8176113358</v>
      </c>
      <c r="H190" s="7"/>
      <c r="I190"/>
      <c r="J190"/>
      <c r="K190"/>
    </row>
    <row r="191" spans="1:11" ht="15">
      <c r="A191" s="8" t="s">
        <v>175</v>
      </c>
      <c r="B191" s="4">
        <f>VLOOKUP(Vlookup!$B156,'CDCM Volume Forecasts'!$A$27:$AG$123,B$137,FALSE)</f>
        <v>2780.0934522047364</v>
      </c>
      <c r="C191" s="4">
        <f>VLOOKUP(Vlookup!$B156,'CDCM Volume Forecasts'!$A$27:$AG$123,C$137,FALSE)</f>
        <v>9141.0019170260457</v>
      </c>
      <c r="D191" s="4">
        <f>VLOOKUP(Vlookup!$B156,'CDCM Volume Forecasts'!$A$27:$AG$123,D$137,FALSE)</f>
        <v>10193.081488223934</v>
      </c>
      <c r="E191" s="10">
        <f>VLOOKUP(Vlookup!$B156,'CDCM Volume Forecasts'!$A$27:$AG$123,E$137,FALSE)</f>
        <v>21.432266549758875</v>
      </c>
      <c r="F191" s="10">
        <f>VLOOKUP(Vlookup!$B156,'CDCM Volume Forecasts'!$A$27:$AG$123,F$137,FALSE)</f>
        <v>22560.280578693553</v>
      </c>
      <c r="G191" s="4">
        <f>VLOOKUP(Vlookup!$B156,'CDCM Volume Forecasts'!$A$27:$AG$123,G$137,FALSE)</f>
        <v>833.00339193336254</v>
      </c>
      <c r="H191" s="7"/>
      <c r="I191"/>
      <c r="J191"/>
      <c r="K191"/>
    </row>
    <row r="192" spans="1:11" ht="15">
      <c r="A192" s="12" t="s">
        <v>176</v>
      </c>
      <c r="B192" s="13">
        <f>VLOOKUP(Vlookup!$B157,'CDCM Volume Forecasts'!$A$27:$AG$123,B$137,FALSE)</f>
        <v>0</v>
      </c>
      <c r="C192" s="13">
        <f>VLOOKUP(Vlookup!$B157,'CDCM Volume Forecasts'!$A$27:$AG$123,C$137,FALSE)</f>
        <v>0</v>
      </c>
      <c r="D192" s="13">
        <f>VLOOKUP(Vlookup!$B157,'CDCM Volume Forecasts'!$A$27:$AG$123,D$137,FALSE)</f>
        <v>0</v>
      </c>
      <c r="E192" s="13">
        <f>VLOOKUP(Vlookup!$B157,'CDCM Volume Forecasts'!$A$27:$AG$123,E$137,FALSE)</f>
        <v>0</v>
      </c>
      <c r="F192" s="13">
        <f>VLOOKUP(Vlookup!$B157,'CDCM Volume Forecasts'!$A$27:$AG$123,F$137,FALSE)</f>
        <v>0</v>
      </c>
      <c r="G192" s="13">
        <f>VLOOKUP(Vlookup!$B157,'CDCM Volume Forecasts'!$A$27:$AG$123,G$137,FALSE)</f>
        <v>0</v>
      </c>
      <c r="H192" s="7"/>
      <c r="I192"/>
      <c r="J192"/>
      <c r="K192"/>
    </row>
    <row r="193" spans="1:11" ht="15">
      <c r="A193" s="8" t="s">
        <v>131</v>
      </c>
      <c r="B193" s="4">
        <f>VLOOKUP(Vlookup!$B158,'CDCM Volume Forecasts'!$A$27:$AG$123,B$137,FALSE)</f>
        <v>53670.276181774323</v>
      </c>
      <c r="C193" s="6">
        <f>VLOOKUP(Vlookup!$B158,'CDCM Volume Forecasts'!$A$27:$AG$123,C$137,FALSE)</f>
        <v>0</v>
      </c>
      <c r="D193" s="6">
        <f>VLOOKUP(Vlookup!$B158,'CDCM Volume Forecasts'!$A$27:$AG$123,D$137,FALSE)</f>
        <v>0</v>
      </c>
      <c r="E193" s="10">
        <f>VLOOKUP(Vlookup!$B158,'CDCM Volume Forecasts'!$A$27:$AG$123,E$137,FALSE)</f>
        <v>945.29828999676329</v>
      </c>
      <c r="F193" s="6">
        <f>VLOOKUP(Vlookup!$B158,'CDCM Volume Forecasts'!$A$27:$AG$123,F$137,FALSE)</f>
        <v>0</v>
      </c>
      <c r="G193" s="6">
        <f>VLOOKUP(Vlookup!$B158,'CDCM Volume Forecasts'!$A$27:$AG$123,G$137,FALSE)</f>
        <v>0</v>
      </c>
      <c r="H193" s="7"/>
      <c r="I193"/>
      <c r="J193"/>
      <c r="K193"/>
    </row>
    <row r="194" spans="1:11" ht="15">
      <c r="A194" s="8" t="s">
        <v>177</v>
      </c>
      <c r="B194" s="4">
        <f>VLOOKUP(Vlookup!$B159,'CDCM Volume Forecasts'!$A$27:$AG$123,B$137,FALSE)</f>
        <v>172.28035588618667</v>
      </c>
      <c r="C194" s="6">
        <f>VLOOKUP(Vlookup!$B159,'CDCM Volume Forecasts'!$A$27:$AG$123,C$137,FALSE)</f>
        <v>0</v>
      </c>
      <c r="D194" s="6">
        <f>VLOOKUP(Vlookup!$B159,'CDCM Volume Forecasts'!$A$27:$AG$123,D$137,FALSE)</f>
        <v>0</v>
      </c>
      <c r="E194" s="10">
        <f>VLOOKUP(Vlookup!$B159,'CDCM Volume Forecasts'!$A$27:$AG$123,E$137,FALSE)</f>
        <v>0</v>
      </c>
      <c r="F194" s="6">
        <f>VLOOKUP(Vlookup!$B159,'CDCM Volume Forecasts'!$A$27:$AG$123,F$137,FALSE)</f>
        <v>0</v>
      </c>
      <c r="G194" s="6">
        <f>VLOOKUP(Vlookup!$B159,'CDCM Volume Forecasts'!$A$27:$AG$123,G$137,FALSE)</f>
        <v>0</v>
      </c>
      <c r="H194" s="7"/>
      <c r="I194"/>
      <c r="J194"/>
      <c r="K194"/>
    </row>
    <row r="195" spans="1:11" ht="15">
      <c r="A195" s="8" t="s">
        <v>178</v>
      </c>
      <c r="B195" s="4">
        <f>VLOOKUP(Vlookup!$B160,'CDCM Volume Forecasts'!$A$27:$AG$123,B$137,FALSE)</f>
        <v>0</v>
      </c>
      <c r="C195" s="6">
        <f>VLOOKUP(Vlookup!$B160,'CDCM Volume Forecasts'!$A$27:$AG$123,C$137,FALSE)</f>
        <v>0</v>
      </c>
      <c r="D195" s="6">
        <f>VLOOKUP(Vlookup!$B160,'CDCM Volume Forecasts'!$A$27:$AG$123,D$137,FALSE)</f>
        <v>0</v>
      </c>
      <c r="E195" s="10">
        <f>VLOOKUP(Vlookup!$B160,'CDCM Volume Forecasts'!$A$27:$AG$123,E$137,FALSE)</f>
        <v>0</v>
      </c>
      <c r="F195" s="6">
        <f>VLOOKUP(Vlookup!$B160,'CDCM Volume Forecasts'!$A$27:$AG$123,F$137,FALSE)</f>
        <v>0</v>
      </c>
      <c r="G195" s="6">
        <f>VLOOKUP(Vlookup!$B160,'CDCM Volume Forecasts'!$A$27:$AG$123,G$137,FALSE)</f>
        <v>0</v>
      </c>
      <c r="H195" s="7"/>
      <c r="I195"/>
      <c r="J195"/>
      <c r="K195"/>
    </row>
    <row r="196" spans="1:11" ht="15">
      <c r="A196" s="12" t="s">
        <v>179</v>
      </c>
      <c r="B196" s="13">
        <f>VLOOKUP(Vlookup!$B161,'CDCM Volume Forecasts'!$A$27:$AG$123,B$137,FALSE)</f>
        <v>0</v>
      </c>
      <c r="C196" s="13">
        <f>VLOOKUP(Vlookup!$B161,'CDCM Volume Forecasts'!$A$27:$AG$123,C$137,FALSE)</f>
        <v>0</v>
      </c>
      <c r="D196" s="13">
        <f>VLOOKUP(Vlookup!$B161,'CDCM Volume Forecasts'!$A$27:$AG$123,D$137,FALSE)</f>
        <v>0</v>
      </c>
      <c r="E196" s="13">
        <f>VLOOKUP(Vlookup!$B161,'CDCM Volume Forecasts'!$A$27:$AG$123,E$137,FALSE)</f>
        <v>0</v>
      </c>
      <c r="F196" s="13">
        <f>VLOOKUP(Vlookup!$B161,'CDCM Volume Forecasts'!$A$27:$AG$123,F$137,FALSE)</f>
        <v>0</v>
      </c>
      <c r="G196" s="13">
        <f>VLOOKUP(Vlookup!$B161,'CDCM Volume Forecasts'!$A$27:$AG$123,G$137,FALSE)</f>
        <v>0</v>
      </c>
      <c r="H196" s="7"/>
      <c r="I196"/>
      <c r="J196"/>
      <c r="K196"/>
    </row>
    <row r="197" spans="1:11" ht="15">
      <c r="A197" s="8" t="s">
        <v>132</v>
      </c>
      <c r="B197" s="4">
        <f>VLOOKUP(Vlookup!$B162,'CDCM Volume Forecasts'!$A$27:$AG$123,B$137,FALSE)</f>
        <v>16146.815302762892</v>
      </c>
      <c r="C197" s="6">
        <f>VLOOKUP(Vlookup!$B162,'CDCM Volume Forecasts'!$A$27:$AG$123,C$137,FALSE)</f>
        <v>0</v>
      </c>
      <c r="D197" s="6">
        <f>VLOOKUP(Vlookup!$B162,'CDCM Volume Forecasts'!$A$27:$AG$123,D$137,FALSE)</f>
        <v>0</v>
      </c>
      <c r="E197" s="10">
        <f>VLOOKUP(Vlookup!$B162,'CDCM Volume Forecasts'!$A$27:$AG$123,E$137,FALSE)</f>
        <v>683.89747668576126</v>
      </c>
      <c r="F197" s="6">
        <f>VLOOKUP(Vlookup!$B162,'CDCM Volume Forecasts'!$A$27:$AG$123,F$137,FALSE)</f>
        <v>0</v>
      </c>
      <c r="G197" s="6">
        <f>VLOOKUP(Vlookup!$B162,'CDCM Volume Forecasts'!$A$27:$AG$123,G$137,FALSE)</f>
        <v>0</v>
      </c>
      <c r="H197" s="7"/>
      <c r="I197"/>
      <c r="J197"/>
      <c r="K197"/>
    </row>
    <row r="198" spans="1:11" ht="15">
      <c r="A198" s="8" t="s">
        <v>180</v>
      </c>
      <c r="B198" s="4">
        <f>VLOOKUP(Vlookup!$B163,'CDCM Volume Forecasts'!$A$27:$AG$123,B$137,FALSE)</f>
        <v>177.96348496274157</v>
      </c>
      <c r="C198" s="6">
        <f>VLOOKUP(Vlookup!$B163,'CDCM Volume Forecasts'!$A$27:$AG$123,C$137,FALSE)</f>
        <v>0</v>
      </c>
      <c r="D198" s="6">
        <f>VLOOKUP(Vlookup!$B163,'CDCM Volume Forecasts'!$A$27:$AG$123,D$137,FALSE)</f>
        <v>0</v>
      </c>
      <c r="E198" s="10">
        <f>VLOOKUP(Vlookup!$B163,'CDCM Volume Forecasts'!$A$27:$AG$123,E$137,FALSE)</f>
        <v>0</v>
      </c>
      <c r="F198" s="6">
        <f>VLOOKUP(Vlookup!$B163,'CDCM Volume Forecasts'!$A$27:$AG$123,F$137,FALSE)</f>
        <v>0</v>
      </c>
      <c r="G198" s="6">
        <f>VLOOKUP(Vlookup!$B163,'CDCM Volume Forecasts'!$A$27:$AG$123,G$137,FALSE)</f>
        <v>0</v>
      </c>
      <c r="H198" s="7"/>
      <c r="I198"/>
      <c r="J198"/>
      <c r="K198"/>
    </row>
    <row r="199" spans="1:11" ht="15">
      <c r="A199" s="8" t="s">
        <v>181</v>
      </c>
      <c r="B199" s="4">
        <f>VLOOKUP(Vlookup!$B164,'CDCM Volume Forecasts'!$A$27:$AG$123,B$137,FALSE)</f>
        <v>573.70856302427069</v>
      </c>
      <c r="C199" s="6">
        <f>VLOOKUP(Vlookup!$B164,'CDCM Volume Forecasts'!$A$27:$AG$123,C$137,FALSE)</f>
        <v>0</v>
      </c>
      <c r="D199" s="6">
        <f>VLOOKUP(Vlookup!$B164,'CDCM Volume Forecasts'!$A$27:$AG$123,D$137,FALSE)</f>
        <v>0</v>
      </c>
      <c r="E199" s="10">
        <f>VLOOKUP(Vlookup!$B164,'CDCM Volume Forecasts'!$A$27:$AG$123,E$137,FALSE)</f>
        <v>0</v>
      </c>
      <c r="F199" s="6">
        <f>VLOOKUP(Vlookup!$B164,'CDCM Volume Forecasts'!$A$27:$AG$123,F$137,FALSE)</f>
        <v>0</v>
      </c>
      <c r="G199" s="6">
        <f>VLOOKUP(Vlookup!$B164,'CDCM Volume Forecasts'!$A$27:$AG$123,G$137,FALSE)</f>
        <v>0</v>
      </c>
      <c r="H199" s="7"/>
      <c r="I199"/>
      <c r="J199"/>
      <c r="K199"/>
    </row>
    <row r="200" spans="1:11" ht="15">
      <c r="A200" s="12" t="s">
        <v>182</v>
      </c>
      <c r="B200" s="13">
        <f>VLOOKUP(Vlookup!$B165,'CDCM Volume Forecasts'!$A$27:$AG$123,B$137,FALSE)</f>
        <v>0</v>
      </c>
      <c r="C200" s="13">
        <f>VLOOKUP(Vlookup!$B165,'CDCM Volume Forecasts'!$A$27:$AG$123,C$137,FALSE)</f>
        <v>0</v>
      </c>
      <c r="D200" s="13">
        <f>VLOOKUP(Vlookup!$B165,'CDCM Volume Forecasts'!$A$27:$AG$123,D$137,FALSE)</f>
        <v>0</v>
      </c>
      <c r="E200" s="13">
        <f>VLOOKUP(Vlookup!$B165,'CDCM Volume Forecasts'!$A$27:$AG$123,E$137,FALSE)</f>
        <v>0</v>
      </c>
      <c r="F200" s="13">
        <f>VLOOKUP(Vlookup!$B165,'CDCM Volume Forecasts'!$A$27:$AG$123,F$137,FALSE)</f>
        <v>0</v>
      </c>
      <c r="G200" s="13">
        <f>VLOOKUP(Vlookup!$B165,'CDCM Volume Forecasts'!$A$27:$AG$123,G$137,FALSE)</f>
        <v>0</v>
      </c>
      <c r="H200" s="7"/>
      <c r="I200"/>
      <c r="J200"/>
      <c r="K200"/>
    </row>
    <row r="201" spans="1:11" ht="15">
      <c r="A201" s="8" t="s">
        <v>133</v>
      </c>
      <c r="B201" s="4">
        <f>VLOOKUP(Vlookup!$B166,'CDCM Volume Forecasts'!$A$27:$AG$123,B$137,FALSE)</f>
        <v>770.36280056434089</v>
      </c>
      <c r="C201" s="6">
        <f>VLOOKUP(Vlookup!$B166,'CDCM Volume Forecasts'!$A$27:$AG$123,C$137,FALSE)</f>
        <v>0</v>
      </c>
      <c r="D201" s="6">
        <f>VLOOKUP(Vlookup!$B166,'CDCM Volume Forecasts'!$A$27:$AG$123,D$137,FALSE)</f>
        <v>0</v>
      </c>
      <c r="E201" s="10">
        <f>VLOOKUP(Vlookup!$B166,'CDCM Volume Forecasts'!$A$27:$AG$123,E$137,FALSE)</f>
        <v>140.83222112491973</v>
      </c>
      <c r="F201" s="6">
        <f>VLOOKUP(Vlookup!$B166,'CDCM Volume Forecasts'!$A$27:$AG$123,F$137,FALSE)</f>
        <v>0</v>
      </c>
      <c r="G201" s="6">
        <f>VLOOKUP(Vlookup!$B166,'CDCM Volume Forecasts'!$A$27:$AG$123,G$137,FALSE)</f>
        <v>0</v>
      </c>
      <c r="H201" s="7"/>
      <c r="I201"/>
      <c r="J201"/>
      <c r="K201"/>
    </row>
    <row r="202" spans="1:11" ht="15">
      <c r="A202" s="8" t="s">
        <v>183</v>
      </c>
      <c r="B202" s="4">
        <f>VLOOKUP(Vlookup!$B167,'CDCM Volume Forecasts'!$A$27:$AG$123,B$137,FALSE)</f>
        <v>0</v>
      </c>
      <c r="C202" s="6">
        <f>VLOOKUP(Vlookup!$B167,'CDCM Volume Forecasts'!$A$27:$AG$123,C$137,FALSE)</f>
        <v>0</v>
      </c>
      <c r="D202" s="6">
        <f>VLOOKUP(Vlookup!$B167,'CDCM Volume Forecasts'!$A$27:$AG$123,D$137,FALSE)</f>
        <v>0</v>
      </c>
      <c r="E202" s="10">
        <f>VLOOKUP(Vlookup!$B167,'CDCM Volume Forecasts'!$A$27:$AG$123,E$137,FALSE)</f>
        <v>0</v>
      </c>
      <c r="F202" s="6">
        <f>VLOOKUP(Vlookup!$B167,'CDCM Volume Forecasts'!$A$27:$AG$123,F$137,FALSE)</f>
        <v>0</v>
      </c>
      <c r="G202" s="6">
        <f>VLOOKUP(Vlookup!$B167,'CDCM Volume Forecasts'!$A$27:$AG$123,G$137,FALSE)</f>
        <v>0</v>
      </c>
      <c r="H202" s="7"/>
      <c r="I202"/>
      <c r="J202"/>
      <c r="K202"/>
    </row>
    <row r="203" spans="1:11" ht="15">
      <c r="A203" s="8" t="s">
        <v>184</v>
      </c>
      <c r="B203" s="4">
        <f>VLOOKUP(Vlookup!$B168,'CDCM Volume Forecasts'!$A$27:$AG$123,B$137,FALSE)</f>
        <v>28.81289678085793</v>
      </c>
      <c r="C203" s="6">
        <f>VLOOKUP(Vlookup!$B168,'CDCM Volume Forecasts'!$A$27:$AG$123,C$137,FALSE)</f>
        <v>0</v>
      </c>
      <c r="D203" s="6">
        <f>VLOOKUP(Vlookup!$B168,'CDCM Volume Forecasts'!$A$27:$AG$123,D$137,FALSE)</f>
        <v>0</v>
      </c>
      <c r="E203" s="10">
        <f>VLOOKUP(Vlookup!$B168,'CDCM Volume Forecasts'!$A$27:$AG$123,E$137,FALSE)</f>
        <v>0</v>
      </c>
      <c r="F203" s="6">
        <f>VLOOKUP(Vlookup!$B168,'CDCM Volume Forecasts'!$A$27:$AG$123,F$137,FALSE)</f>
        <v>0</v>
      </c>
      <c r="G203" s="6">
        <f>VLOOKUP(Vlookup!$B168,'CDCM Volume Forecasts'!$A$27:$AG$123,G$137,FALSE)</f>
        <v>0</v>
      </c>
      <c r="H203" s="7"/>
      <c r="I203"/>
      <c r="J203"/>
      <c r="K203"/>
    </row>
    <row r="204" spans="1:11" ht="15">
      <c r="A204" s="12" t="s">
        <v>185</v>
      </c>
      <c r="B204" s="13">
        <f>VLOOKUP(Vlookup!$B169,'CDCM Volume Forecasts'!$A$27:$AG$123,B$137,FALSE)</f>
        <v>0</v>
      </c>
      <c r="C204" s="13">
        <f>VLOOKUP(Vlookup!$B169,'CDCM Volume Forecasts'!$A$27:$AG$123,C$137,FALSE)</f>
        <v>0</v>
      </c>
      <c r="D204" s="13">
        <f>VLOOKUP(Vlookup!$B169,'CDCM Volume Forecasts'!$A$27:$AG$123,D$137,FALSE)</f>
        <v>0</v>
      </c>
      <c r="E204" s="13">
        <f>VLOOKUP(Vlookup!$B169,'CDCM Volume Forecasts'!$A$27:$AG$123,E$137,FALSE)</f>
        <v>0</v>
      </c>
      <c r="F204" s="13">
        <f>VLOOKUP(Vlookup!$B169,'CDCM Volume Forecasts'!$A$27:$AG$123,F$137,FALSE)</f>
        <v>0</v>
      </c>
      <c r="G204" s="13">
        <f>VLOOKUP(Vlookup!$B169,'CDCM Volume Forecasts'!$A$27:$AG$123,G$137,FALSE)</f>
        <v>0</v>
      </c>
      <c r="H204" s="7"/>
      <c r="I204"/>
      <c r="J204"/>
      <c r="K204"/>
    </row>
    <row r="205" spans="1:11" ht="15">
      <c r="A205" s="8" t="s">
        <v>134</v>
      </c>
      <c r="B205" s="4">
        <f>VLOOKUP(Vlookup!$B170,'CDCM Volume Forecasts'!$A$27:$AG$123,B$137,FALSE)</f>
        <v>4817.2532716792102</v>
      </c>
      <c r="C205" s="6">
        <f>VLOOKUP(Vlookup!$B170,'CDCM Volume Forecasts'!$A$27:$AG$123,C$137,FALSE)</f>
        <v>0</v>
      </c>
      <c r="D205" s="6">
        <f>VLOOKUP(Vlookup!$B170,'CDCM Volume Forecasts'!$A$27:$AG$123,D$137,FALSE)</f>
        <v>0</v>
      </c>
      <c r="E205" s="10">
        <f>VLOOKUP(Vlookup!$B170,'CDCM Volume Forecasts'!$A$27:$AG$123,E$137,FALSE)</f>
        <v>40.527257877674742</v>
      </c>
      <c r="F205" s="6">
        <f>VLOOKUP(Vlookup!$B170,'CDCM Volume Forecasts'!$A$27:$AG$123,F$137,FALSE)</f>
        <v>0</v>
      </c>
      <c r="G205" s="6">
        <f>VLOOKUP(Vlookup!$B170,'CDCM Volume Forecasts'!$A$27:$AG$123,G$137,FALSE)</f>
        <v>0</v>
      </c>
      <c r="H205" s="7"/>
      <c r="I205"/>
      <c r="J205"/>
      <c r="K205"/>
    </row>
    <row r="206" spans="1:11" ht="15">
      <c r="A206" s="8" t="s">
        <v>186</v>
      </c>
      <c r="B206" s="4">
        <f>VLOOKUP(Vlookup!$B171,'CDCM Volume Forecasts'!$A$27:$AG$123,B$137,FALSE)</f>
        <v>0</v>
      </c>
      <c r="C206" s="6">
        <f>VLOOKUP(Vlookup!$B171,'CDCM Volume Forecasts'!$A$27:$AG$123,C$137,FALSE)</f>
        <v>0</v>
      </c>
      <c r="D206" s="6">
        <f>VLOOKUP(Vlookup!$B171,'CDCM Volume Forecasts'!$A$27:$AG$123,D$137,FALSE)</f>
        <v>0</v>
      </c>
      <c r="E206" s="10">
        <f>VLOOKUP(Vlookup!$B171,'CDCM Volume Forecasts'!$A$27:$AG$123,E$137,FALSE)</f>
        <v>0</v>
      </c>
      <c r="F206" s="6">
        <f>VLOOKUP(Vlookup!$B171,'CDCM Volume Forecasts'!$A$27:$AG$123,F$137,FALSE)</f>
        <v>0</v>
      </c>
      <c r="G206" s="6">
        <f>VLOOKUP(Vlookup!$B171,'CDCM Volume Forecasts'!$A$27:$AG$123,G$137,FALSE)</f>
        <v>0</v>
      </c>
      <c r="H206" s="7"/>
      <c r="I206"/>
      <c r="J206"/>
      <c r="K206"/>
    </row>
    <row r="207" spans="1:11" ht="15">
      <c r="A207" s="8" t="s">
        <v>187</v>
      </c>
      <c r="B207" s="4">
        <f>VLOOKUP(Vlookup!$B172,'CDCM Volume Forecasts'!$A$27:$AG$123,B$137,FALSE)</f>
        <v>0</v>
      </c>
      <c r="C207" s="6">
        <f>VLOOKUP(Vlookup!$B172,'CDCM Volume Forecasts'!$A$27:$AG$123,C$137,FALSE)</f>
        <v>0</v>
      </c>
      <c r="D207" s="6">
        <f>VLOOKUP(Vlookup!$B172,'CDCM Volume Forecasts'!$A$27:$AG$123,D$137,FALSE)</f>
        <v>0</v>
      </c>
      <c r="E207" s="10">
        <f>VLOOKUP(Vlookup!$B172,'CDCM Volume Forecasts'!$A$27:$AG$123,E$137,FALSE)</f>
        <v>0</v>
      </c>
      <c r="F207" s="6">
        <f>VLOOKUP(Vlookup!$B172,'CDCM Volume Forecasts'!$A$27:$AG$123,F$137,FALSE)</f>
        <v>0</v>
      </c>
      <c r="G207" s="6">
        <f>VLOOKUP(Vlookup!$B172,'CDCM Volume Forecasts'!$A$27:$AG$123,G$137,FALSE)</f>
        <v>0</v>
      </c>
      <c r="H207" s="7"/>
      <c r="I207"/>
      <c r="J207"/>
      <c r="K207"/>
    </row>
    <row r="208" spans="1:11" ht="15">
      <c r="A208" s="12" t="s">
        <v>188</v>
      </c>
      <c r="B208" s="13">
        <f>VLOOKUP(Vlookup!$B173,'CDCM Volume Forecasts'!$A$27:$AG$123,B$137,FALSE)</f>
        <v>0</v>
      </c>
      <c r="C208" s="13">
        <f>VLOOKUP(Vlookup!$B173,'CDCM Volume Forecasts'!$A$27:$AG$123,C$137,FALSE)</f>
        <v>0</v>
      </c>
      <c r="D208" s="13">
        <f>VLOOKUP(Vlookup!$B173,'CDCM Volume Forecasts'!$A$27:$AG$123,D$137,FALSE)</f>
        <v>0</v>
      </c>
      <c r="E208" s="13">
        <f>VLOOKUP(Vlookup!$B173,'CDCM Volume Forecasts'!$A$27:$AG$123,E$137,FALSE)</f>
        <v>0</v>
      </c>
      <c r="F208" s="13">
        <f>VLOOKUP(Vlookup!$B173,'CDCM Volume Forecasts'!$A$27:$AG$123,F$137,FALSE)</f>
        <v>0</v>
      </c>
      <c r="G208" s="13">
        <f>VLOOKUP(Vlookup!$B173,'CDCM Volume Forecasts'!$A$27:$AG$123,G$137,FALSE)</f>
        <v>0</v>
      </c>
      <c r="H208" s="7"/>
      <c r="I208"/>
      <c r="J208"/>
      <c r="K208"/>
    </row>
    <row r="209" spans="1:11" ht="15">
      <c r="A209" s="8" t="s">
        <v>135</v>
      </c>
      <c r="B209" s="4">
        <f>VLOOKUP(Vlookup!$B174,'CDCM Volume Forecasts'!$A$27:$AG$123,B$137,FALSE)</f>
        <v>12679.091510220966</v>
      </c>
      <c r="C209" s="4">
        <f>VLOOKUP(Vlookup!$B174,'CDCM Volume Forecasts'!$A$27:$AG$123,C$137,FALSE)</f>
        <v>30029.713146509384</v>
      </c>
      <c r="D209" s="4">
        <f>VLOOKUP(Vlookup!$B174,'CDCM Volume Forecasts'!$A$27:$AG$123,D$137,FALSE)</f>
        <v>206123.67095361077</v>
      </c>
      <c r="E209" s="10">
        <f>VLOOKUP(Vlookup!$B174,'CDCM Volume Forecasts'!$A$27:$AG$123,E$137,FALSE)</f>
        <v>20.263628938837371</v>
      </c>
      <c r="F209" s="6">
        <f>VLOOKUP(Vlookup!$B174,'CDCM Volume Forecasts'!$A$27:$AG$123,F$137,FALSE)</f>
        <v>0</v>
      </c>
      <c r="G209" s="6">
        <f>VLOOKUP(Vlookup!$B174,'CDCM Volume Forecasts'!$A$27:$AG$123,G$137,FALSE)</f>
        <v>0</v>
      </c>
      <c r="H209" s="7"/>
      <c r="I209"/>
      <c r="J209"/>
      <c r="K209"/>
    </row>
    <row r="210" spans="1:11" ht="15">
      <c r="A210" s="8" t="s">
        <v>189</v>
      </c>
      <c r="B210" s="4">
        <f>VLOOKUP(Vlookup!$B175,'CDCM Volume Forecasts'!$A$27:$AG$123,B$137,FALSE)</f>
        <v>0</v>
      </c>
      <c r="C210" s="4">
        <f>VLOOKUP(Vlookup!$B175,'CDCM Volume Forecasts'!$A$27:$AG$123,C$137,FALSE)</f>
        <v>0</v>
      </c>
      <c r="D210" s="4">
        <f>VLOOKUP(Vlookup!$B175,'CDCM Volume Forecasts'!$A$27:$AG$123,D$137,FALSE)</f>
        <v>0</v>
      </c>
      <c r="E210" s="10">
        <f>VLOOKUP(Vlookup!$B175,'CDCM Volume Forecasts'!$A$27:$AG$123,E$137,FALSE)</f>
        <v>0</v>
      </c>
      <c r="F210" s="6">
        <f>VLOOKUP(Vlookup!$B175,'CDCM Volume Forecasts'!$A$27:$AG$123,F$137,FALSE)</f>
        <v>0</v>
      </c>
      <c r="G210" s="6">
        <f>VLOOKUP(Vlookup!$B175,'CDCM Volume Forecasts'!$A$27:$AG$123,G$137,FALSE)</f>
        <v>0</v>
      </c>
      <c r="H210" s="7"/>
      <c r="I210"/>
      <c r="J210"/>
      <c r="K210"/>
    </row>
    <row r="211" spans="1:11" ht="15">
      <c r="A211" s="8" t="s">
        <v>190</v>
      </c>
      <c r="B211" s="4">
        <f>VLOOKUP(Vlookup!$B176,'CDCM Volume Forecasts'!$A$27:$AG$123,B$137,FALSE)</f>
        <v>0</v>
      </c>
      <c r="C211" s="4">
        <f>VLOOKUP(Vlookup!$B176,'CDCM Volume Forecasts'!$A$27:$AG$123,C$137,FALSE)</f>
        <v>0</v>
      </c>
      <c r="D211" s="4">
        <f>VLOOKUP(Vlookup!$B176,'CDCM Volume Forecasts'!$A$27:$AG$123,D$137,FALSE)</f>
        <v>0</v>
      </c>
      <c r="E211" s="10">
        <f>VLOOKUP(Vlookup!$B176,'CDCM Volume Forecasts'!$A$27:$AG$123,E$137,FALSE)</f>
        <v>0</v>
      </c>
      <c r="F211" s="6">
        <f>VLOOKUP(Vlookup!$B176,'CDCM Volume Forecasts'!$A$27:$AG$123,F$137,FALSE)</f>
        <v>0</v>
      </c>
      <c r="G211" s="6">
        <f>VLOOKUP(Vlookup!$B176,'CDCM Volume Forecasts'!$A$27:$AG$123,G$137,FALSE)</f>
        <v>0</v>
      </c>
      <c r="H211" s="7"/>
      <c r="I211"/>
      <c r="J211"/>
      <c r="K211"/>
    </row>
    <row r="212" spans="1:11" ht="15">
      <c r="A212" s="12" t="s">
        <v>1537</v>
      </c>
      <c r="B212" s="13">
        <f>VLOOKUP(Vlookup!$B177,'CDCM Volume Forecasts'!$A$27:$AG$123,B$137,FALSE)</f>
        <v>0</v>
      </c>
      <c r="C212" s="13">
        <f>VLOOKUP(Vlookup!$B177,'CDCM Volume Forecasts'!$A$27:$AG$123,C$137,FALSE)</f>
        <v>0</v>
      </c>
      <c r="D212" s="13">
        <f>VLOOKUP(Vlookup!$B177,'CDCM Volume Forecasts'!$A$27:$AG$123,D$137,FALSE)</f>
        <v>0</v>
      </c>
      <c r="E212" s="13">
        <f>VLOOKUP(Vlookup!$B177,'CDCM Volume Forecasts'!$A$27:$AG$123,E$137,FALSE)</f>
        <v>0</v>
      </c>
      <c r="F212" s="13">
        <f>VLOOKUP(Vlookup!$B177,'CDCM Volume Forecasts'!$A$27:$AG$123,F$137,FALSE)</f>
        <v>0</v>
      </c>
      <c r="G212" s="13">
        <f>VLOOKUP(Vlookup!$B177,'CDCM Volume Forecasts'!$A$27:$AG$123,G$137,FALSE)</f>
        <v>0</v>
      </c>
      <c r="H212" s="7"/>
      <c r="I212"/>
      <c r="J212"/>
      <c r="K212"/>
    </row>
    <row r="213" spans="1:11" ht="15">
      <c r="A213" s="8" t="s">
        <v>1534</v>
      </c>
      <c r="B213" s="4">
        <f>VLOOKUP(Vlookup!$B178,'CDCM Volume Forecasts'!$A$27:$AG$123,B$137,FALSE)</f>
        <v>1660.7170232592748</v>
      </c>
      <c r="C213" s="6">
        <f>VLOOKUP(Vlookup!$B178,'CDCM Volume Forecasts'!$A$27:$AG$123,C$137,FALSE)</f>
        <v>0</v>
      </c>
      <c r="D213" s="6">
        <f>VLOOKUP(Vlookup!$B178,'CDCM Volume Forecasts'!$A$27:$AG$123,D$137,FALSE)</f>
        <v>0</v>
      </c>
      <c r="E213" s="10">
        <f>VLOOKUP(Vlookup!$B178,'CDCM Volume Forecasts'!$A$27:$AG$123,E$137,FALSE)</f>
        <v>119.55541073914044</v>
      </c>
      <c r="F213" s="6">
        <f>VLOOKUP(Vlookup!$B178,'CDCM Volume Forecasts'!$A$27:$AG$123,F$137,FALSE)</f>
        <v>0</v>
      </c>
      <c r="G213" s="6">
        <f>VLOOKUP(Vlookup!$B178,'CDCM Volume Forecasts'!$A$27:$AG$123,G$137,FALSE)</f>
        <v>0</v>
      </c>
      <c r="H213" s="7"/>
      <c r="I213"/>
      <c r="J213"/>
      <c r="K213"/>
    </row>
    <row r="214" spans="1:11" ht="15">
      <c r="A214" s="8" t="s">
        <v>1531</v>
      </c>
      <c r="B214" s="4">
        <f>VLOOKUP(Vlookup!$B179,'CDCM Volume Forecasts'!$A$27:$AG$123,B$137,FALSE)</f>
        <v>0</v>
      </c>
      <c r="C214" s="6">
        <f>VLOOKUP(Vlookup!$B179,'CDCM Volume Forecasts'!$A$27:$AG$123,C$137,FALSE)</f>
        <v>0</v>
      </c>
      <c r="D214" s="6">
        <f>VLOOKUP(Vlookup!$B179,'CDCM Volume Forecasts'!$A$27:$AG$123,D$137,FALSE)</f>
        <v>0</v>
      </c>
      <c r="E214" s="10">
        <f>VLOOKUP(Vlookup!$B179,'CDCM Volume Forecasts'!$A$27:$AG$123,E$137,FALSE)</f>
        <v>0</v>
      </c>
      <c r="F214" s="6">
        <f>VLOOKUP(Vlookup!$B179,'CDCM Volume Forecasts'!$A$27:$AG$123,F$137,FALSE)</f>
        <v>0</v>
      </c>
      <c r="G214" s="6">
        <f>VLOOKUP(Vlookup!$B179,'CDCM Volume Forecasts'!$A$27:$AG$123,G$137,FALSE)</f>
        <v>0</v>
      </c>
      <c r="H214" s="7"/>
      <c r="I214"/>
      <c r="J214"/>
      <c r="K214"/>
    </row>
    <row r="215" spans="1:11" ht="15">
      <c r="A215" s="8" t="s">
        <v>1528</v>
      </c>
      <c r="B215" s="4">
        <f>VLOOKUP(Vlookup!$B180,'CDCM Volume Forecasts'!$A$27:$AG$123,B$137,FALSE)</f>
        <v>0</v>
      </c>
      <c r="C215" s="6">
        <f>VLOOKUP(Vlookup!$B180,'CDCM Volume Forecasts'!$A$27:$AG$123,C$137,FALSE)</f>
        <v>0</v>
      </c>
      <c r="D215" s="6">
        <f>VLOOKUP(Vlookup!$B180,'CDCM Volume Forecasts'!$A$27:$AG$123,D$137,FALSE)</f>
        <v>0</v>
      </c>
      <c r="E215" s="10">
        <f>VLOOKUP(Vlookup!$B180,'CDCM Volume Forecasts'!$A$27:$AG$123,E$137,FALSE)</f>
        <v>0</v>
      </c>
      <c r="F215" s="6">
        <f>VLOOKUP(Vlookup!$B180,'CDCM Volume Forecasts'!$A$27:$AG$123,F$137,FALSE)</f>
        <v>0</v>
      </c>
      <c r="G215" s="6">
        <f>VLOOKUP(Vlookup!$B180,'CDCM Volume Forecasts'!$A$27:$AG$123,G$137,FALSE)</f>
        <v>0</v>
      </c>
      <c r="H215" s="7"/>
      <c r="I215"/>
      <c r="J215"/>
      <c r="K215"/>
    </row>
    <row r="216" spans="1:11" ht="15">
      <c r="A216" s="12" t="s">
        <v>191</v>
      </c>
      <c r="B216" s="13">
        <f>VLOOKUP(Vlookup!$B181,'CDCM Volume Forecasts'!$A$27:$AG$123,B$137,FALSE)</f>
        <v>0</v>
      </c>
      <c r="C216" s="13">
        <f>VLOOKUP(Vlookup!$B181,'CDCM Volume Forecasts'!$A$27:$AG$123,C$137,FALSE)</f>
        <v>0</v>
      </c>
      <c r="D216" s="13">
        <f>VLOOKUP(Vlookup!$B181,'CDCM Volume Forecasts'!$A$27:$AG$123,D$137,FALSE)</f>
        <v>0</v>
      </c>
      <c r="E216" s="13">
        <f>VLOOKUP(Vlookup!$B181,'CDCM Volume Forecasts'!$A$27:$AG$123,E$137,FALSE)</f>
        <v>0</v>
      </c>
      <c r="F216" s="13">
        <f>VLOOKUP(Vlookup!$B181,'CDCM Volume Forecasts'!$A$27:$AG$123,F$137,FALSE)</f>
        <v>0</v>
      </c>
      <c r="G216" s="13">
        <f>VLOOKUP(Vlookup!$B181,'CDCM Volume Forecasts'!$A$27:$AG$123,G$137,FALSE)</f>
        <v>0</v>
      </c>
      <c r="H216" s="7"/>
      <c r="I216"/>
      <c r="J216"/>
      <c r="K216"/>
    </row>
    <row r="217" spans="1:11" ht="15">
      <c r="A217" s="8" t="s">
        <v>100</v>
      </c>
      <c r="B217" s="4">
        <f>VLOOKUP(Vlookup!$B182,'CDCM Volume Forecasts'!$A$27:$AG$123,B$137,FALSE)</f>
        <v>0</v>
      </c>
      <c r="C217" s="6">
        <f>VLOOKUP(Vlookup!$B182,'CDCM Volume Forecasts'!$A$27:$AG$123,C$137,FALSE)</f>
        <v>0</v>
      </c>
      <c r="D217" s="6">
        <f>VLOOKUP(Vlookup!$B182,'CDCM Volume Forecasts'!$A$27:$AG$123,D$137,FALSE)</f>
        <v>0</v>
      </c>
      <c r="E217" s="10">
        <f>VLOOKUP(Vlookup!$B182,'CDCM Volume Forecasts'!$A$27:$AG$123,E$137,FALSE)</f>
        <v>0</v>
      </c>
      <c r="F217" s="6">
        <f>VLOOKUP(Vlookup!$B182,'CDCM Volume Forecasts'!$A$27:$AG$123,F$137,FALSE)</f>
        <v>0</v>
      </c>
      <c r="G217" s="6">
        <f>VLOOKUP(Vlookup!$B182,'CDCM Volume Forecasts'!$A$27:$AG$123,G$137,FALSE)</f>
        <v>0</v>
      </c>
      <c r="H217" s="7"/>
      <c r="I217"/>
      <c r="J217"/>
      <c r="K217"/>
    </row>
    <row r="218" spans="1:11" ht="15">
      <c r="A218" s="8" t="s">
        <v>192</v>
      </c>
      <c r="B218" s="4">
        <f>VLOOKUP(Vlookup!$B183,'CDCM Volume Forecasts'!$A$27:$AG$123,B$137,FALSE)</f>
        <v>0</v>
      </c>
      <c r="C218" s="6">
        <f>VLOOKUP(Vlookup!$B183,'CDCM Volume Forecasts'!$A$27:$AG$123,C$137,FALSE)</f>
        <v>0</v>
      </c>
      <c r="D218" s="6">
        <f>VLOOKUP(Vlookup!$B183,'CDCM Volume Forecasts'!$A$27:$AG$123,D$137,FALSE)</f>
        <v>0</v>
      </c>
      <c r="E218" s="10">
        <f>VLOOKUP(Vlookup!$B183,'CDCM Volume Forecasts'!$A$27:$AG$123,E$137,FALSE)</f>
        <v>0</v>
      </c>
      <c r="F218" s="6">
        <f>VLOOKUP(Vlookup!$B183,'CDCM Volume Forecasts'!$A$27:$AG$123,F$137,FALSE)</f>
        <v>0</v>
      </c>
      <c r="G218" s="6">
        <f>VLOOKUP(Vlookup!$B183,'CDCM Volume Forecasts'!$A$27:$AG$123,G$137,FALSE)</f>
        <v>0</v>
      </c>
      <c r="H218" s="7"/>
      <c r="I218"/>
      <c r="J218"/>
      <c r="K218"/>
    </row>
    <row r="219" spans="1:11" ht="15">
      <c r="A219" s="12" t="s">
        <v>193</v>
      </c>
      <c r="B219" s="13">
        <f>VLOOKUP(Vlookup!$B184,'CDCM Volume Forecasts'!$A$27:$AG$123,B$137,FALSE)</f>
        <v>0</v>
      </c>
      <c r="C219" s="13">
        <f>VLOOKUP(Vlookup!$B184,'CDCM Volume Forecasts'!$A$27:$AG$123,C$137,FALSE)</f>
        <v>0</v>
      </c>
      <c r="D219" s="13">
        <f>VLOOKUP(Vlookup!$B184,'CDCM Volume Forecasts'!$A$27:$AG$123,D$137,FALSE)</f>
        <v>0</v>
      </c>
      <c r="E219" s="13">
        <f>VLOOKUP(Vlookup!$B184,'CDCM Volume Forecasts'!$A$27:$AG$123,E$137,FALSE)</f>
        <v>0</v>
      </c>
      <c r="F219" s="13">
        <f>VLOOKUP(Vlookup!$B184,'CDCM Volume Forecasts'!$A$27:$AG$123,F$137,FALSE)</f>
        <v>0</v>
      </c>
      <c r="G219" s="13">
        <f>VLOOKUP(Vlookup!$B184,'CDCM Volume Forecasts'!$A$27:$AG$123,G$137,FALSE)</f>
        <v>0</v>
      </c>
      <c r="H219" s="7"/>
      <c r="I219"/>
      <c r="J219"/>
      <c r="K219"/>
    </row>
    <row r="220" spans="1:11" ht="15">
      <c r="A220" s="8" t="s">
        <v>101</v>
      </c>
      <c r="B220" s="4">
        <f>VLOOKUP(Vlookup!$B185,'CDCM Volume Forecasts'!$A$27:$AG$123,B$137,FALSE)</f>
        <v>24996.858841456458</v>
      </c>
      <c r="C220" s="6">
        <f>VLOOKUP(Vlookup!$B185,'CDCM Volume Forecasts'!$A$27:$AG$123,C$137,FALSE)</f>
        <v>0</v>
      </c>
      <c r="D220" s="6">
        <f>VLOOKUP(Vlookup!$B185,'CDCM Volume Forecasts'!$A$27:$AG$123,D$137,FALSE)</f>
        <v>0</v>
      </c>
      <c r="E220" s="10">
        <f>VLOOKUP(Vlookup!$B185,'CDCM Volume Forecasts'!$A$27:$AG$123,E$137,FALSE)</f>
        <v>167.17493874540833</v>
      </c>
      <c r="F220" s="6">
        <f>VLOOKUP(Vlookup!$B185,'CDCM Volume Forecasts'!$A$27:$AG$123,F$137,FALSE)</f>
        <v>0</v>
      </c>
      <c r="G220" s="4">
        <f>VLOOKUP(Vlookup!$B185,'CDCM Volume Forecasts'!$A$27:$AG$123,G$137,FALSE)</f>
        <v>1833.7618341721654</v>
      </c>
      <c r="H220" s="7"/>
      <c r="I220"/>
      <c r="J220"/>
      <c r="K220"/>
    </row>
    <row r="221" spans="1:11" ht="15">
      <c r="A221" s="8" t="s">
        <v>194</v>
      </c>
      <c r="B221" s="4">
        <f>VLOOKUP(Vlookup!$B186,'CDCM Volume Forecasts'!$A$27:$AG$123,B$137,FALSE)</f>
        <v>0</v>
      </c>
      <c r="C221" s="6">
        <f>VLOOKUP(Vlookup!$B186,'CDCM Volume Forecasts'!$A$27:$AG$123,C$137,FALSE)</f>
        <v>0</v>
      </c>
      <c r="D221" s="6">
        <f>VLOOKUP(Vlookup!$B186,'CDCM Volume Forecasts'!$A$27:$AG$123,D$137,FALSE)</f>
        <v>0</v>
      </c>
      <c r="E221" s="10">
        <f>VLOOKUP(Vlookup!$B186,'CDCM Volume Forecasts'!$A$27:$AG$123,E$137,FALSE)</f>
        <v>0</v>
      </c>
      <c r="F221" s="6">
        <f>VLOOKUP(Vlookup!$B186,'CDCM Volume Forecasts'!$A$27:$AG$123,F$137,FALSE)</f>
        <v>0</v>
      </c>
      <c r="G221" s="4">
        <f>VLOOKUP(Vlookup!$B186,'CDCM Volume Forecasts'!$A$27:$AG$123,G$137,FALSE)</f>
        <v>0</v>
      </c>
      <c r="H221" s="7"/>
      <c r="I221"/>
      <c r="J221"/>
      <c r="K221"/>
    </row>
    <row r="222" spans="1:11" ht="15">
      <c r="A222" s="8" t="s">
        <v>195</v>
      </c>
      <c r="B222" s="4">
        <f>VLOOKUP(Vlookup!$B187,'CDCM Volume Forecasts'!$A$27:$AG$123,B$137,FALSE)</f>
        <v>67.449079939668152</v>
      </c>
      <c r="C222" s="6">
        <f>VLOOKUP(Vlookup!$B187,'CDCM Volume Forecasts'!$A$27:$AG$123,C$137,FALSE)</f>
        <v>0</v>
      </c>
      <c r="D222" s="6">
        <f>VLOOKUP(Vlookup!$B187,'CDCM Volume Forecasts'!$A$27:$AG$123,D$137,FALSE)</f>
        <v>0</v>
      </c>
      <c r="E222" s="10">
        <f>VLOOKUP(Vlookup!$B187,'CDCM Volume Forecasts'!$A$27:$AG$123,E$137,FALSE)</f>
        <v>0</v>
      </c>
      <c r="F222" s="6">
        <f>VLOOKUP(Vlookup!$B187,'CDCM Volume Forecasts'!$A$27:$AG$123,F$137,FALSE)</f>
        <v>0</v>
      </c>
      <c r="G222" s="4">
        <f>VLOOKUP(Vlookup!$B187,'CDCM Volume Forecasts'!$A$27:$AG$123,G$137,FALSE)</f>
        <v>40.276868917141599</v>
      </c>
      <c r="H222" s="7"/>
      <c r="I222"/>
      <c r="J222"/>
      <c r="K222"/>
    </row>
    <row r="223" spans="1:11" ht="15">
      <c r="A223" s="12" t="s">
        <v>196</v>
      </c>
      <c r="B223" s="13">
        <f>VLOOKUP(Vlookup!$B188,'CDCM Volume Forecasts'!$A$27:$AG$123,B$137,FALSE)</f>
        <v>0</v>
      </c>
      <c r="C223" s="13">
        <f>VLOOKUP(Vlookup!$B188,'CDCM Volume Forecasts'!$A$27:$AG$123,C$137,FALSE)</f>
        <v>0</v>
      </c>
      <c r="D223" s="13">
        <f>VLOOKUP(Vlookup!$B188,'CDCM Volume Forecasts'!$A$27:$AG$123,D$137,FALSE)</f>
        <v>0</v>
      </c>
      <c r="E223" s="13">
        <f>VLOOKUP(Vlookup!$B188,'CDCM Volume Forecasts'!$A$27:$AG$123,E$137,FALSE)</f>
        <v>0</v>
      </c>
      <c r="F223" s="13">
        <f>VLOOKUP(Vlookup!$B188,'CDCM Volume Forecasts'!$A$27:$AG$123,F$137,FALSE)</f>
        <v>0</v>
      </c>
      <c r="G223" s="13">
        <f>VLOOKUP(Vlookup!$B188,'CDCM Volume Forecasts'!$A$27:$AG$123,G$137,FALSE)</f>
        <v>0</v>
      </c>
      <c r="H223" s="7"/>
      <c r="I223"/>
      <c r="J223"/>
      <c r="K223"/>
    </row>
    <row r="224" spans="1:11" ht="15">
      <c r="A224" s="8" t="s">
        <v>102</v>
      </c>
      <c r="B224" s="4">
        <f>VLOOKUP(Vlookup!$B189,'CDCM Volume Forecasts'!$A$27:$AG$123,B$137,FALSE)</f>
        <v>826.92226302739937</v>
      </c>
      <c r="C224" s="4">
        <f>VLOOKUP(Vlookup!$B189,'CDCM Volume Forecasts'!$A$27:$AG$123,C$137,FALSE)</f>
        <v>3731.6613783210264</v>
      </c>
      <c r="D224" s="4">
        <f>VLOOKUP(Vlookup!$B189,'CDCM Volume Forecasts'!$A$27:$AG$123,D$137,FALSE)</f>
        <v>5008.4114190363289</v>
      </c>
      <c r="E224" s="10">
        <f>VLOOKUP(Vlookup!$B189,'CDCM Volume Forecasts'!$A$27:$AG$123,E$137,FALSE)</f>
        <v>86.120422990058827</v>
      </c>
      <c r="F224" s="6">
        <f>VLOOKUP(Vlookup!$B189,'CDCM Volume Forecasts'!$A$27:$AG$123,F$137,FALSE)</f>
        <v>0</v>
      </c>
      <c r="G224" s="4">
        <f>VLOOKUP(Vlookup!$B189,'CDCM Volume Forecasts'!$A$27:$AG$123,G$137,FALSE)</f>
        <v>497.09178617320293</v>
      </c>
      <c r="H224" s="7"/>
      <c r="I224"/>
      <c r="J224"/>
      <c r="K224"/>
    </row>
    <row r="225" spans="1:11" ht="15">
      <c r="A225" s="8" t="s">
        <v>197</v>
      </c>
      <c r="B225" s="4">
        <f>VLOOKUP(Vlookup!$B190,'CDCM Volume Forecasts'!$A$27:$AG$123,B$137,FALSE)</f>
        <v>0</v>
      </c>
      <c r="C225" s="4">
        <f>VLOOKUP(Vlookup!$B190,'CDCM Volume Forecasts'!$A$27:$AG$123,C$137,FALSE)</f>
        <v>0</v>
      </c>
      <c r="D225" s="4">
        <f>VLOOKUP(Vlookup!$B190,'CDCM Volume Forecasts'!$A$27:$AG$123,D$137,FALSE)</f>
        <v>0</v>
      </c>
      <c r="E225" s="10">
        <f>VLOOKUP(Vlookup!$B190,'CDCM Volume Forecasts'!$A$27:$AG$123,E$137,FALSE)</f>
        <v>0</v>
      </c>
      <c r="F225" s="6">
        <f>VLOOKUP(Vlookup!$B190,'CDCM Volume Forecasts'!$A$27:$AG$123,F$137,FALSE)</f>
        <v>0</v>
      </c>
      <c r="G225" s="4">
        <f>VLOOKUP(Vlookup!$B190,'CDCM Volume Forecasts'!$A$27:$AG$123,G$137,FALSE)</f>
        <v>0</v>
      </c>
      <c r="H225" s="7"/>
      <c r="I225"/>
      <c r="J225"/>
      <c r="K225"/>
    </row>
    <row r="226" spans="1:11" ht="15">
      <c r="A226" s="8" t="s">
        <v>198</v>
      </c>
      <c r="B226" s="4">
        <f>VLOOKUP(Vlookup!$B191,'CDCM Volume Forecasts'!$A$27:$AG$123,B$137,FALSE)</f>
        <v>0.3293543489190548</v>
      </c>
      <c r="C226" s="4">
        <f>VLOOKUP(Vlookup!$B191,'CDCM Volume Forecasts'!$A$27:$AG$123,C$137,FALSE)</f>
        <v>0</v>
      </c>
      <c r="D226" s="4">
        <f>VLOOKUP(Vlookup!$B191,'CDCM Volume Forecasts'!$A$27:$AG$123,D$137,FALSE)</f>
        <v>0</v>
      </c>
      <c r="E226" s="10">
        <f>VLOOKUP(Vlookup!$B191,'CDCM Volume Forecasts'!$A$27:$AG$123,E$137,FALSE)</f>
        <v>0</v>
      </c>
      <c r="F226" s="6">
        <f>VLOOKUP(Vlookup!$B191,'CDCM Volume Forecasts'!$A$27:$AG$123,F$137,FALSE)</f>
        <v>0</v>
      </c>
      <c r="G226" s="4">
        <f>VLOOKUP(Vlookup!$B191,'CDCM Volume Forecasts'!$A$27:$AG$123,G$137,FALSE)</f>
        <v>0.38239675580885579</v>
      </c>
      <c r="H226" s="7"/>
      <c r="I226"/>
      <c r="J226"/>
      <c r="K226"/>
    </row>
    <row r="227" spans="1:11" ht="15">
      <c r="A227" s="12" t="s">
        <v>199</v>
      </c>
      <c r="B227" s="13">
        <f>VLOOKUP(Vlookup!$B192,'CDCM Volume Forecasts'!$A$27:$AG$123,B$137,FALSE)</f>
        <v>0</v>
      </c>
      <c r="C227" s="13">
        <f>VLOOKUP(Vlookup!$B192,'CDCM Volume Forecasts'!$A$27:$AG$123,C$137,FALSE)</f>
        <v>0</v>
      </c>
      <c r="D227" s="13">
        <f>VLOOKUP(Vlookup!$B192,'CDCM Volume Forecasts'!$A$27:$AG$123,D$137,FALSE)</f>
        <v>0</v>
      </c>
      <c r="E227" s="13">
        <f>VLOOKUP(Vlookup!$B192,'CDCM Volume Forecasts'!$A$27:$AG$123,E$137,FALSE)</f>
        <v>0</v>
      </c>
      <c r="F227" s="13">
        <f>VLOOKUP(Vlookup!$B192,'CDCM Volume Forecasts'!$A$27:$AG$123,F$137,FALSE)</f>
        <v>0</v>
      </c>
      <c r="G227" s="13">
        <f>VLOOKUP(Vlookup!$B192,'CDCM Volume Forecasts'!$A$27:$AG$123,G$137,FALSE)</f>
        <v>0</v>
      </c>
      <c r="H227" s="7"/>
      <c r="I227"/>
      <c r="J227"/>
      <c r="K227"/>
    </row>
    <row r="228" spans="1:11" customFormat="1" ht="15">
      <c r="A228" s="8" t="s">
        <v>103</v>
      </c>
      <c r="B228" s="4">
        <f>VLOOKUP(Vlookup!$B193,'CDCM Volume Forecasts'!$A$27:$AG$123,B$137,FALSE)</f>
        <v>1213.6794216291853</v>
      </c>
      <c r="C228" s="6">
        <f>VLOOKUP(Vlookup!$B193,'CDCM Volume Forecasts'!$A$27:$AG$123,C$137,FALSE)</f>
        <v>0</v>
      </c>
      <c r="D228" s="6">
        <f>VLOOKUP(Vlookup!$B193,'CDCM Volume Forecasts'!$A$27:$AG$123,D$137,FALSE)</f>
        <v>0</v>
      </c>
      <c r="E228" s="10">
        <f>VLOOKUP(Vlookup!$B193,'CDCM Volume Forecasts'!$A$27:$AG$123,E$137,FALSE)</f>
        <v>5.0659072347093428</v>
      </c>
      <c r="F228" s="6">
        <f>VLOOKUP(Vlookup!$B193,'CDCM Volume Forecasts'!$A$27:$AG$123,F$137,FALSE)</f>
        <v>0</v>
      </c>
      <c r="G228" s="4">
        <f>VLOOKUP(Vlookup!$B193,'CDCM Volume Forecasts'!$A$27:$AG$123,G$137,FALSE)</f>
        <v>124.64962312250731</v>
      </c>
      <c r="H228" s="7"/>
    </row>
    <row r="229" spans="1:11" customFormat="1" ht="15">
      <c r="A229" s="8" t="s">
        <v>200</v>
      </c>
      <c r="B229" s="4">
        <f>VLOOKUP(Vlookup!$B194,'CDCM Volume Forecasts'!$A$27:$AG$123,B$137,FALSE)</f>
        <v>0</v>
      </c>
      <c r="C229" s="6">
        <f>VLOOKUP(Vlookup!$B194,'CDCM Volume Forecasts'!$A$27:$AG$123,C$137,FALSE)</f>
        <v>0</v>
      </c>
      <c r="D229" s="6">
        <f>VLOOKUP(Vlookup!$B194,'CDCM Volume Forecasts'!$A$27:$AG$123,D$137,FALSE)</f>
        <v>0</v>
      </c>
      <c r="E229" s="10">
        <f>VLOOKUP(Vlookup!$B194,'CDCM Volume Forecasts'!$A$27:$AG$123,E$137,FALSE)</f>
        <v>0</v>
      </c>
      <c r="F229" s="6">
        <f>VLOOKUP(Vlookup!$B194,'CDCM Volume Forecasts'!$A$27:$AG$123,F$137,FALSE)</f>
        <v>0</v>
      </c>
      <c r="G229" s="4">
        <f>VLOOKUP(Vlookup!$B194,'CDCM Volume Forecasts'!$A$27:$AG$123,G$137,FALSE)</f>
        <v>0</v>
      </c>
      <c r="H229" s="7"/>
    </row>
    <row r="230" spans="1:11" customFormat="1" ht="15">
      <c r="A230" s="12" t="s">
        <v>201</v>
      </c>
      <c r="B230" s="13">
        <f>VLOOKUP(Vlookup!$B195,'CDCM Volume Forecasts'!$A$27:$AG$123,B$137,FALSE)</f>
        <v>0</v>
      </c>
      <c r="C230" s="13">
        <f>VLOOKUP(Vlookup!$B195,'CDCM Volume Forecasts'!$A$27:$AG$123,C$137,FALSE)</f>
        <v>0</v>
      </c>
      <c r="D230" s="13">
        <f>VLOOKUP(Vlookup!$B195,'CDCM Volume Forecasts'!$A$27:$AG$123,D$137,FALSE)</f>
        <v>0</v>
      </c>
      <c r="E230" s="13">
        <f>VLOOKUP(Vlookup!$B195,'CDCM Volume Forecasts'!$A$27:$AG$123,E$137,FALSE)</f>
        <v>0</v>
      </c>
      <c r="F230" s="13">
        <f>VLOOKUP(Vlookup!$B195,'CDCM Volume Forecasts'!$A$27:$AG$123,F$137,FALSE)</f>
        <v>0</v>
      </c>
      <c r="G230" s="13">
        <f>VLOOKUP(Vlookup!$B195,'CDCM Volume Forecasts'!$A$27:$AG$123,G$137,FALSE)</f>
        <v>0</v>
      </c>
      <c r="H230" s="7"/>
    </row>
    <row r="231" spans="1:11" customFormat="1" ht="15">
      <c r="A231" s="8" t="s">
        <v>104</v>
      </c>
      <c r="B231" s="4">
        <f>VLOOKUP(Vlookup!$B196,'CDCM Volume Forecasts'!$A$27:$AG$123,B$137,FALSE)</f>
        <v>1398.4642496253416</v>
      </c>
      <c r="C231" s="4">
        <f>VLOOKUP(Vlookup!$B196,'CDCM Volume Forecasts'!$A$27:$AG$123,C$137,FALSE)</f>
        <v>3179.9868408000002</v>
      </c>
      <c r="D231" s="4">
        <f>VLOOKUP(Vlookup!$B196,'CDCM Volume Forecasts'!$A$27:$AG$123,D$137,FALSE)</f>
        <v>6128.1571032000011</v>
      </c>
      <c r="E231" s="10">
        <f>VLOOKUP(Vlookup!$B196,'CDCM Volume Forecasts'!$A$27:$AG$123,E$137,FALSE)</f>
        <v>4.0527257877674732</v>
      </c>
      <c r="F231" s="6">
        <f>VLOOKUP(Vlookup!$B196,'CDCM Volume Forecasts'!$A$27:$AG$123,F$137,FALSE)</f>
        <v>0</v>
      </c>
      <c r="G231" s="4">
        <f>VLOOKUP(Vlookup!$B196,'CDCM Volume Forecasts'!$A$27:$AG$123,G$137,FALSE)</f>
        <v>8.8798433495988469</v>
      </c>
      <c r="H231" s="7"/>
    </row>
    <row r="232" spans="1:11" customFormat="1" ht="15">
      <c r="A232" s="8" t="s">
        <v>202</v>
      </c>
      <c r="B232" s="4">
        <f>VLOOKUP(Vlookup!$B197,'CDCM Volume Forecasts'!$A$27:$AG$123,B$137,FALSE)</f>
        <v>0</v>
      </c>
      <c r="C232" s="4">
        <f>VLOOKUP(Vlookup!$B197,'CDCM Volume Forecasts'!$A$27:$AG$123,C$137,FALSE)</f>
        <v>0</v>
      </c>
      <c r="D232" s="4">
        <f>VLOOKUP(Vlookup!$B197,'CDCM Volume Forecasts'!$A$27:$AG$123,D$137,FALSE)</f>
        <v>0</v>
      </c>
      <c r="E232" s="10">
        <f>VLOOKUP(Vlookup!$B197,'CDCM Volume Forecasts'!$A$27:$AG$123,E$137,FALSE)</f>
        <v>0</v>
      </c>
      <c r="F232" s="6">
        <f>VLOOKUP(Vlookup!$B197,'CDCM Volume Forecasts'!$A$27:$AG$123,F$137,FALSE)</f>
        <v>0</v>
      </c>
      <c r="G232" s="4">
        <f>VLOOKUP(Vlookup!$B197,'CDCM Volume Forecasts'!$A$27:$AG$123,G$137,FALSE)</f>
        <v>0</v>
      </c>
      <c r="H232" s="7"/>
    </row>
    <row r="233" spans="1:11" customFormat="1" ht="15">
      <c r="A233" s="12" t="s">
        <v>203</v>
      </c>
      <c r="B233" s="13">
        <f>VLOOKUP(Vlookup!$B198,'CDCM Volume Forecasts'!$A$27:$AG$123,B$137,FALSE)</f>
        <v>0</v>
      </c>
      <c r="C233" s="13">
        <f>VLOOKUP(Vlookup!$B198,'CDCM Volume Forecasts'!$A$27:$AG$123,C$137,FALSE)</f>
        <v>0</v>
      </c>
      <c r="D233" s="13">
        <f>VLOOKUP(Vlookup!$B198,'CDCM Volume Forecasts'!$A$27:$AG$123,D$137,FALSE)</f>
        <v>0</v>
      </c>
      <c r="E233" s="13">
        <f>VLOOKUP(Vlookup!$B198,'CDCM Volume Forecasts'!$A$27:$AG$123,E$137,FALSE)</f>
        <v>0</v>
      </c>
      <c r="F233" s="13">
        <f>VLOOKUP(Vlookup!$B198,'CDCM Volume Forecasts'!$A$27:$AG$123,F$137,FALSE)</f>
        <v>0</v>
      </c>
      <c r="G233" s="13">
        <f>VLOOKUP(Vlookup!$B198,'CDCM Volume Forecasts'!$A$27:$AG$123,G$137,FALSE)</f>
        <v>0</v>
      </c>
      <c r="H233" s="7"/>
    </row>
    <row r="234" spans="1:11" customFormat="1" ht="15">
      <c r="A234" s="8" t="s">
        <v>112</v>
      </c>
      <c r="B234" s="4">
        <f>VLOOKUP(Vlookup!$B199,'CDCM Volume Forecasts'!$A$27:$AG$123,B$137,FALSE)</f>
        <v>95543.871083999999</v>
      </c>
      <c r="C234" s="6">
        <f>VLOOKUP(Vlookup!$B199,'CDCM Volume Forecasts'!$A$27:$AG$123,C$137,FALSE)</f>
        <v>0</v>
      </c>
      <c r="D234" s="6">
        <f>VLOOKUP(Vlookup!$B199,'CDCM Volume Forecasts'!$A$27:$AG$123,D$137,FALSE)</f>
        <v>0</v>
      </c>
      <c r="E234" s="10">
        <f>VLOOKUP(Vlookup!$B199,'CDCM Volume Forecasts'!$A$27:$AG$123,E$137,FALSE)</f>
        <v>55.359020484258814</v>
      </c>
      <c r="F234" s="6">
        <f>VLOOKUP(Vlookup!$B199,'CDCM Volume Forecasts'!$A$27:$AG$123,F$137,FALSE)</f>
        <v>0</v>
      </c>
      <c r="G234" s="4">
        <f>VLOOKUP(Vlookup!$B199,'CDCM Volume Forecasts'!$A$27:$AG$123,G$137,FALSE)</f>
        <v>3144.8579734229206</v>
      </c>
      <c r="H234" s="7"/>
    </row>
    <row r="235" spans="1:11" customFormat="1" ht="15">
      <c r="A235" s="8" t="s">
        <v>204</v>
      </c>
      <c r="B235" s="4">
        <f>VLOOKUP(Vlookup!$B200,'CDCM Volume Forecasts'!$A$27:$AG$123,B$137,FALSE)</f>
        <v>0</v>
      </c>
      <c r="C235" s="6">
        <f>VLOOKUP(Vlookup!$B200,'CDCM Volume Forecasts'!$A$27:$AG$123,C$137,FALSE)</f>
        <v>0</v>
      </c>
      <c r="D235" s="6">
        <f>VLOOKUP(Vlookup!$B200,'CDCM Volume Forecasts'!$A$27:$AG$123,D$137,FALSE)</f>
        <v>0</v>
      </c>
      <c r="E235" s="10">
        <f>VLOOKUP(Vlookup!$B200,'CDCM Volume Forecasts'!$A$27:$AG$123,E$137,FALSE)</f>
        <v>0</v>
      </c>
      <c r="F235" s="6">
        <f>VLOOKUP(Vlookup!$B200,'CDCM Volume Forecasts'!$A$27:$AG$123,F$137,FALSE)</f>
        <v>0</v>
      </c>
      <c r="G235" s="4">
        <f>VLOOKUP(Vlookup!$B200,'CDCM Volume Forecasts'!$A$27:$AG$123,G$137,FALSE)</f>
        <v>0</v>
      </c>
      <c r="H235" s="7"/>
    </row>
    <row r="236" spans="1:11" customFormat="1" ht="15">
      <c r="A236" s="12" t="s">
        <v>205</v>
      </c>
      <c r="B236" s="13">
        <f>VLOOKUP(Vlookup!$B201,'CDCM Volume Forecasts'!$A$27:$AG$123,B$137,FALSE)</f>
        <v>0</v>
      </c>
      <c r="C236" s="13">
        <f>VLOOKUP(Vlookup!$B201,'CDCM Volume Forecasts'!$A$27:$AG$123,C$137,FALSE)</f>
        <v>0</v>
      </c>
      <c r="D236" s="13">
        <f>VLOOKUP(Vlookup!$B201,'CDCM Volume Forecasts'!$A$27:$AG$123,D$137,FALSE)</f>
        <v>0</v>
      </c>
      <c r="E236" s="13">
        <f>VLOOKUP(Vlookup!$B201,'CDCM Volume Forecasts'!$A$27:$AG$123,E$137,FALSE)</f>
        <v>0</v>
      </c>
      <c r="F236" s="13">
        <f>VLOOKUP(Vlookup!$B201,'CDCM Volume Forecasts'!$A$27:$AG$123,F$137,FALSE)</f>
        <v>0</v>
      </c>
      <c r="G236" s="13">
        <f>VLOOKUP(Vlookup!$B201,'CDCM Volume Forecasts'!$A$27:$AG$123,G$137,FALSE)</f>
        <v>0</v>
      </c>
      <c r="H236" s="7"/>
    </row>
    <row r="237" spans="1:11" ht="15">
      <c r="A237" s="8" t="s">
        <v>113</v>
      </c>
      <c r="B237" s="4">
        <f>VLOOKUP(Vlookup!$B202,'CDCM Volume Forecasts'!$A$27:$AG$123,B$137,FALSE)</f>
        <v>65104.786809687452</v>
      </c>
      <c r="C237" s="4">
        <f>VLOOKUP(Vlookup!$B202,'CDCM Volume Forecasts'!$A$27:$AG$123,C$137,FALSE)</f>
        <v>202236.73285292476</v>
      </c>
      <c r="D237" s="4">
        <f>VLOOKUP(Vlookup!$B202,'CDCM Volume Forecasts'!$A$27:$AG$123,D$137,FALSE)</f>
        <v>389530.18598588731</v>
      </c>
      <c r="E237" s="10">
        <f>VLOOKUP(Vlookup!$B202,'CDCM Volume Forecasts'!$A$27:$AG$123,E$137,FALSE)</f>
        <v>115.75067919435931</v>
      </c>
      <c r="F237" s="6">
        <f>VLOOKUP(Vlookup!$B202,'CDCM Volume Forecasts'!$A$27:$AG$123,F$137,FALSE)</f>
        <v>0</v>
      </c>
      <c r="G237" s="4">
        <f>VLOOKUP(Vlookup!$B202,'CDCM Volume Forecasts'!$A$27:$AG$123,G$137,FALSE)</f>
        <v>7784.0578486942413</v>
      </c>
      <c r="H237" s="7"/>
      <c r="I237"/>
      <c r="J237"/>
      <c r="K237"/>
    </row>
    <row r="238" spans="1:11" ht="15">
      <c r="A238" s="8" t="s">
        <v>206</v>
      </c>
      <c r="B238" s="4">
        <f>VLOOKUP(Vlookup!$B203,'CDCM Volume Forecasts'!$A$27:$AG$123,B$137,FALSE)</f>
        <v>0</v>
      </c>
      <c r="C238" s="4">
        <f>VLOOKUP(Vlookup!$B203,'CDCM Volume Forecasts'!$A$27:$AG$123,C$137,FALSE)</f>
        <v>0</v>
      </c>
      <c r="D238" s="4">
        <f>VLOOKUP(Vlookup!$B203,'CDCM Volume Forecasts'!$A$27:$AG$123,D$137,FALSE)</f>
        <v>0</v>
      </c>
      <c r="E238" s="10">
        <f>VLOOKUP(Vlookup!$B203,'CDCM Volume Forecasts'!$A$27:$AG$123,E$137,FALSE)</f>
        <v>0</v>
      </c>
      <c r="F238" s="6">
        <f>VLOOKUP(Vlookup!$B203,'CDCM Volume Forecasts'!$A$27:$AG$123,F$137,FALSE)</f>
        <v>0</v>
      </c>
      <c r="G238" s="4">
        <f>VLOOKUP(Vlookup!$B203,'CDCM Volume Forecasts'!$A$27:$AG$123,G$137,FALSE)</f>
        <v>0</v>
      </c>
      <c r="H238" s="7"/>
      <c r="I238"/>
      <c r="J238"/>
      <c r="K238"/>
    </row>
    <row r="239" spans="1:11" ht="15">
      <c r="A239"/>
      <c r="B239"/>
      <c r="C239"/>
      <c r="D239"/>
      <c r="E239"/>
      <c r="F239"/>
      <c r="G239"/>
      <c r="H239"/>
      <c r="I239"/>
      <c r="J239"/>
      <c r="K239"/>
    </row>
    <row r="240" spans="1:11" ht="19.5">
      <c r="A240" s="1" t="s">
        <v>207</v>
      </c>
      <c r="B240"/>
      <c r="C240"/>
      <c r="D240"/>
      <c r="E240"/>
      <c r="F240"/>
      <c r="G240"/>
      <c r="H240"/>
      <c r="I240"/>
      <c r="J240"/>
      <c r="K240"/>
    </row>
    <row r="241" spans="1:11" ht="15">
      <c r="A241" s="2" t="s">
        <v>262</v>
      </c>
      <c r="B241"/>
      <c r="C241"/>
      <c r="D241"/>
      <c r="E241"/>
      <c r="F241"/>
      <c r="G241"/>
      <c r="H241"/>
      <c r="I241"/>
      <c r="J241"/>
      <c r="K241"/>
    </row>
    <row r="242" spans="1:11" ht="15">
      <c r="A242" t="s">
        <v>137</v>
      </c>
      <c r="B242"/>
      <c r="C242"/>
      <c r="D242"/>
      <c r="E242"/>
      <c r="F242"/>
      <c r="G242"/>
      <c r="H242"/>
      <c r="I242"/>
      <c r="J242"/>
      <c r="K242"/>
    </row>
    <row r="243" spans="1:11" ht="30">
      <c r="A243"/>
      <c r="B243" s="3" t="s">
        <v>208</v>
      </c>
      <c r="C243"/>
      <c r="D243"/>
      <c r="E243"/>
      <c r="F243"/>
      <c r="G243"/>
      <c r="H243"/>
      <c r="I243"/>
      <c r="J243"/>
      <c r="K243"/>
    </row>
    <row r="244" spans="1:11" ht="15">
      <c r="A244" s="8" t="s">
        <v>209</v>
      </c>
      <c r="B244" s="10">
        <f>VLOOKUP(Vlookup!B209,'CDCM Forecast Data'!$A$14:$I$271,7,FALSE)</f>
        <v>13570865.7468521</v>
      </c>
      <c r="C244" s="7" t="s">
        <v>262</v>
      </c>
      <c r="D244"/>
      <c r="E244"/>
      <c r="F244"/>
      <c r="G244"/>
      <c r="H244"/>
      <c r="I244"/>
      <c r="J244"/>
      <c r="K244"/>
    </row>
    <row r="245" spans="1:11" ht="15">
      <c r="A245"/>
      <c r="B245"/>
      <c r="C245"/>
      <c r="D245"/>
      <c r="E245"/>
      <c r="F245"/>
      <c r="G245"/>
      <c r="H245"/>
      <c r="I245"/>
      <c r="J245"/>
      <c r="K245"/>
    </row>
    <row r="246" spans="1:11" ht="19.5">
      <c r="A246" s="1" t="s">
        <v>210</v>
      </c>
      <c r="B246"/>
      <c r="C246"/>
      <c r="D246"/>
      <c r="E246"/>
      <c r="F246"/>
      <c r="G246"/>
      <c r="H246"/>
      <c r="I246"/>
      <c r="J246"/>
      <c r="K246"/>
    </row>
    <row r="247" spans="1:11" ht="15">
      <c r="A247" t="s">
        <v>262</v>
      </c>
      <c r="B247"/>
      <c r="C247"/>
      <c r="D247"/>
      <c r="E247"/>
      <c r="F247"/>
      <c r="G247"/>
      <c r="H247"/>
      <c r="I247"/>
      <c r="J247"/>
      <c r="K247"/>
    </row>
    <row r="248" spans="1:11" ht="30">
      <c r="A248"/>
      <c r="B248" s="3" t="s">
        <v>211</v>
      </c>
      <c r="C248" s="3" t="s">
        <v>212</v>
      </c>
      <c r="D248" s="3" t="s">
        <v>213</v>
      </c>
      <c r="E248" s="3" t="s">
        <v>214</v>
      </c>
      <c r="F248"/>
      <c r="G248"/>
      <c r="H248"/>
      <c r="I248"/>
      <c r="J248"/>
      <c r="K248"/>
    </row>
    <row r="249" spans="1:11" ht="15">
      <c r="A249" s="8" t="s">
        <v>215</v>
      </c>
      <c r="B249" s="10">
        <f>VLOOKUP(Vlookup!B214,'CDCM Forecast Data'!$A$14:$I$271,7,FALSE)</f>
        <v>27683014.380130529</v>
      </c>
      <c r="C249" s="10">
        <f>VLOOKUP(Vlookup!C214,'CDCM Forecast Data'!$A$14:$I$271,7,FALSE)</f>
        <v>115428366.98353337</v>
      </c>
      <c r="D249" s="11">
        <f>VLOOKUP(Vlookup!D214,'CDCM Forecast Data'!$A$14:$I$271,7,FALSE)</f>
        <v>0.6</v>
      </c>
      <c r="E249" s="10">
        <f>VLOOKUP(Vlookup!E214,'CDCM Forecast Data'!$A$14:$I$271,7,FALSE)</f>
        <v>48171343</v>
      </c>
      <c r="F249" s="7" t="s">
        <v>262</v>
      </c>
      <c r="G249"/>
      <c r="H249"/>
      <c r="I249"/>
      <c r="J249"/>
      <c r="K249"/>
    </row>
    <row r="250" spans="1:11" ht="15">
      <c r="A250"/>
      <c r="B250"/>
      <c r="C250"/>
      <c r="D250"/>
      <c r="E250"/>
      <c r="F250"/>
      <c r="G250"/>
      <c r="H250"/>
      <c r="I250"/>
      <c r="J250"/>
      <c r="K250"/>
    </row>
    <row r="251" spans="1:11" ht="19.5">
      <c r="A251" s="1" t="s">
        <v>216</v>
      </c>
      <c r="B251"/>
      <c r="C251"/>
      <c r="D251"/>
      <c r="E251"/>
      <c r="F251"/>
      <c r="G251"/>
      <c r="H251"/>
      <c r="I251"/>
      <c r="J251"/>
      <c r="K251"/>
    </row>
    <row r="252" spans="1:11" ht="15">
      <c r="A252" s="2"/>
      <c r="B252"/>
      <c r="C252"/>
      <c r="D252"/>
      <c r="E252"/>
      <c r="F252"/>
      <c r="G252"/>
      <c r="H252"/>
      <c r="I252"/>
      <c r="J252"/>
      <c r="K252"/>
    </row>
    <row r="253" spans="1:11" ht="15">
      <c r="A253" s="2" t="s">
        <v>217</v>
      </c>
      <c r="B253"/>
      <c r="C253"/>
      <c r="D253"/>
      <c r="E253"/>
      <c r="F253"/>
      <c r="G253"/>
      <c r="H253"/>
      <c r="I253"/>
      <c r="J253"/>
      <c r="K253"/>
    </row>
    <row r="254" spans="1:11" ht="15">
      <c r="A254" s="2" t="s">
        <v>218</v>
      </c>
      <c r="B254"/>
      <c r="C254"/>
      <c r="D254"/>
      <c r="E254"/>
      <c r="F254"/>
      <c r="G254"/>
      <c r="H254"/>
      <c r="I254"/>
      <c r="J254"/>
      <c r="K254"/>
    </row>
    <row r="255" spans="1:11" ht="15">
      <c r="A255" t="s">
        <v>219</v>
      </c>
      <c r="B255"/>
      <c r="C255"/>
      <c r="D255"/>
      <c r="E255"/>
      <c r="F255"/>
      <c r="G255"/>
      <c r="H255"/>
      <c r="I255"/>
      <c r="J255"/>
      <c r="K255"/>
    </row>
    <row r="256" spans="1:11" ht="30">
      <c r="A256"/>
      <c r="B256" s="3" t="s">
        <v>220</v>
      </c>
      <c r="C256" s="3" t="s">
        <v>221</v>
      </c>
      <c r="D256" s="3" t="s">
        <v>222</v>
      </c>
      <c r="E256" s="3" t="s">
        <v>223</v>
      </c>
      <c r="F256" s="3" t="s">
        <v>224</v>
      </c>
      <c r="G256" s="3" t="s">
        <v>225</v>
      </c>
      <c r="H256" s="3" t="s">
        <v>226</v>
      </c>
      <c r="I256" s="3" t="s">
        <v>227</v>
      </c>
      <c r="J256"/>
      <c r="K256"/>
    </row>
    <row r="257" spans="1:11" ht="15">
      <c r="A257" s="8" t="s">
        <v>228</v>
      </c>
      <c r="B257" s="11">
        <f>VLOOKUP(Vlookup!B222,'CDCM Forecast Data'!$A$14:$I$271,7,FALSE)</f>
        <v>0</v>
      </c>
      <c r="C257" s="11">
        <f>VLOOKUP(Vlookup!C222,'CDCM Forecast Data'!$A$14:$I$271,7,FALSE)</f>
        <v>0</v>
      </c>
      <c r="D257" s="11">
        <f>VLOOKUP(Vlookup!D222,'CDCM Forecast Data'!$A$14:$I$271,7,FALSE)</f>
        <v>0</v>
      </c>
      <c r="E257" s="11">
        <f>VLOOKUP(Vlookup!E222,'CDCM Forecast Data'!$A$14:$I$271,7,FALSE)</f>
        <v>0</v>
      </c>
      <c r="F257" s="11">
        <f>VLOOKUP(Vlookup!F222,'CDCM Forecast Data'!$A$14:$I$271,7,FALSE)</f>
        <v>0</v>
      </c>
      <c r="G257" s="11">
        <f>VLOOKUP(Vlookup!G222,'CDCM Forecast Data'!$A$14:$I$271,7,FALSE)</f>
        <v>0.38684969697494365</v>
      </c>
      <c r="H257" s="11">
        <f>VLOOKUP(Vlookup!H222,'CDCM Forecast Data'!$A$14:$I$271,7,FALSE)</f>
        <v>0.64124825573068889</v>
      </c>
      <c r="I257" s="11">
        <f>VLOOKUP(Vlookup!I222,'CDCM Forecast Data'!$A$14:$I$271,7,FALSE)</f>
        <v>0.89564681448643413</v>
      </c>
      <c r="J257" s="7" t="s">
        <v>262</v>
      </c>
      <c r="K257"/>
    </row>
    <row r="258" spans="1:11" ht="15">
      <c r="A258" s="8" t="s">
        <v>229</v>
      </c>
      <c r="B258" s="11">
        <f>VLOOKUP(Vlookup!B223,'CDCM Forecast Data'!$A$14:$I$271,7,FALSE)</f>
        <v>0</v>
      </c>
      <c r="C258" s="11">
        <f>VLOOKUP(Vlookup!C223,'CDCM Forecast Data'!$A$14:$I$271,7,FALSE)</f>
        <v>0</v>
      </c>
      <c r="D258" s="11">
        <f>VLOOKUP(Vlookup!D223,'CDCM Forecast Data'!$A$14:$I$271,7,FALSE)</f>
        <v>0</v>
      </c>
      <c r="E258" s="11">
        <f>VLOOKUP(Vlookup!E223,'CDCM Forecast Data'!$A$14:$I$271,7,FALSE)</f>
        <v>0</v>
      </c>
      <c r="F258" s="11">
        <f>VLOOKUP(Vlookup!F223,'CDCM Forecast Data'!$A$14:$I$271,7,FALSE)</f>
        <v>0</v>
      </c>
      <c r="G258" s="11">
        <f>VLOOKUP(Vlookup!G223,'CDCM Forecast Data'!$A$14:$I$271,7,FALSE)</f>
        <v>0.38684969697494365</v>
      </c>
      <c r="H258" s="11">
        <f>VLOOKUP(Vlookup!H223,'CDCM Forecast Data'!$A$14:$I$271,7,FALSE)</f>
        <v>0.64124825573068889</v>
      </c>
      <c r="I258" s="6"/>
      <c r="J258" s="7" t="s">
        <v>262</v>
      </c>
      <c r="K258"/>
    </row>
    <row r="259" spans="1:11" ht="15">
      <c r="A259" s="8" t="s">
        <v>230</v>
      </c>
      <c r="B259" s="11">
        <f>VLOOKUP(Vlookup!B224,'CDCM Forecast Data'!$A$14:$I$271,7,FALSE)</f>
        <v>0</v>
      </c>
      <c r="C259" s="11">
        <f>VLOOKUP(Vlookup!C224,'CDCM Forecast Data'!$A$14:$I$271,7,FALSE)</f>
        <v>0</v>
      </c>
      <c r="D259" s="11">
        <f>VLOOKUP(Vlookup!D224,'CDCM Forecast Data'!$A$14:$I$271,7,FALSE)</f>
        <v>0</v>
      </c>
      <c r="E259" s="11">
        <f>VLOOKUP(Vlookup!E224,'CDCM Forecast Data'!$A$14:$I$271,7,FALSE)</f>
        <v>0.25764106948138837</v>
      </c>
      <c r="F259" s="11">
        <f>VLOOKUP(Vlookup!F224,'CDCM Forecast Data'!$A$14:$I$271,7,FALSE)</f>
        <v>0.25764106948138837</v>
      </c>
      <c r="G259" s="11">
        <f>VLOOKUP(Vlookup!G224,'CDCM Forecast Data'!$A$14:$I$271,7,FALSE)</f>
        <v>0.51528213896277675</v>
      </c>
      <c r="H259" s="6"/>
      <c r="I259" s="6"/>
      <c r="J259" s="7" t="s">
        <v>262</v>
      </c>
      <c r="K259"/>
    </row>
    <row r="260" spans="1:11" ht="15">
      <c r="A260" s="8" t="s">
        <v>231</v>
      </c>
      <c r="B260" s="11">
        <f>VLOOKUP(Vlookup!B225,'CDCM Forecast Data'!$A$14:$I$271,7,FALSE)</f>
        <v>0</v>
      </c>
      <c r="C260" s="11">
        <f>VLOOKUP(Vlookup!C225,'CDCM Forecast Data'!$A$14:$I$271,7,FALSE)</f>
        <v>0</v>
      </c>
      <c r="D260" s="11">
        <f>VLOOKUP(Vlookup!D225,'CDCM Forecast Data'!$A$14:$I$271,7,FALSE)</f>
        <v>0</v>
      </c>
      <c r="E260" s="11">
        <f>VLOOKUP(Vlookup!E225,'CDCM Forecast Data'!$A$14:$I$271,7,FALSE)</f>
        <v>0.25764106948138837</v>
      </c>
      <c r="F260" s="6"/>
      <c r="G260" s="6"/>
      <c r="H260" s="6"/>
      <c r="I260" s="6"/>
      <c r="J260" s="7" t="s">
        <v>262</v>
      </c>
      <c r="K260"/>
    </row>
    <row r="261" spans="1:11" ht="15">
      <c r="A261"/>
      <c r="B261"/>
      <c r="C261"/>
      <c r="D261"/>
      <c r="E261"/>
      <c r="F261"/>
      <c r="G261"/>
      <c r="H261"/>
      <c r="I261"/>
      <c r="J261"/>
      <c r="K261"/>
    </row>
    <row r="262" spans="1:11" ht="19.5">
      <c r="A262" s="1" t="s">
        <v>232</v>
      </c>
      <c r="B262"/>
      <c r="C262"/>
      <c r="D262"/>
      <c r="E262"/>
      <c r="F262"/>
      <c r="G262"/>
      <c r="H262"/>
      <c r="I262"/>
      <c r="J262"/>
      <c r="K262"/>
    </row>
    <row r="263" spans="1:11" ht="15">
      <c r="A263"/>
      <c r="B263"/>
      <c r="C263"/>
      <c r="D263"/>
      <c r="E263"/>
      <c r="F263"/>
      <c r="G263"/>
      <c r="H263"/>
      <c r="I263"/>
      <c r="J263"/>
      <c r="K263"/>
    </row>
    <row r="264" spans="1:11" ht="15">
      <c r="A264"/>
      <c r="B264" s="3" t="s">
        <v>233</v>
      </c>
      <c r="C264" s="3" t="s">
        <v>234</v>
      </c>
      <c r="D264" s="3" t="s">
        <v>235</v>
      </c>
      <c r="E264"/>
      <c r="F264"/>
      <c r="G264"/>
      <c r="H264"/>
      <c r="I264"/>
      <c r="J264"/>
      <c r="K264"/>
    </row>
    <row r="265" spans="1:11" ht="15">
      <c r="A265" s="8" t="s">
        <v>92</v>
      </c>
      <c r="B265" s="11">
        <f>VLOOKUP(Vlookup!B235,'CDCM Forecast Data'!$A$14:$I$271,5,FALSE)</f>
        <v>0.15163735853906232</v>
      </c>
      <c r="C265" s="11">
        <f>VLOOKUP(Vlookup!C235,'CDCM Forecast Data'!$A$14:$I$271,5,FALSE)</f>
        <v>0.41909005511697384</v>
      </c>
      <c r="D265" s="11">
        <f>VLOOKUP(Vlookup!D235,'CDCM Forecast Data'!$A$14:$I$271,5,FALSE)</f>
        <v>0.42927258634396387</v>
      </c>
      <c r="E265" s="7" t="s">
        <v>262</v>
      </c>
      <c r="F265"/>
      <c r="G265"/>
      <c r="H265"/>
      <c r="I265"/>
      <c r="J265"/>
      <c r="K265"/>
    </row>
    <row r="266" spans="1:11" ht="15">
      <c r="A266" s="8" t="s">
        <v>93</v>
      </c>
      <c r="B266" s="11">
        <f>VLOOKUP(Vlookup!B236,'CDCM Forecast Data'!$A$14:$I$271,5,FALSE)</f>
        <v>0.14794456993942195</v>
      </c>
      <c r="C266" s="11">
        <f>VLOOKUP(Vlookup!C236,'CDCM Forecast Data'!$A$14:$I$271,5,FALSE)</f>
        <v>0.41591847408405047</v>
      </c>
      <c r="D266" s="11">
        <f>VLOOKUP(Vlookup!D236,'CDCM Forecast Data'!$A$14:$I$271,5,FALSE)</f>
        <v>0.43613695597652757</v>
      </c>
      <c r="E266" s="7" t="s">
        <v>262</v>
      </c>
      <c r="F266"/>
      <c r="G266"/>
      <c r="H266"/>
      <c r="I266"/>
      <c r="J266"/>
      <c r="K266"/>
    </row>
    <row r="267" spans="1:11" ht="15">
      <c r="A267" s="8" t="s">
        <v>129</v>
      </c>
      <c r="B267" s="11">
        <f>VLOOKUP(Vlookup!B237,'CDCM Forecast Data'!$A$14:$I$271,5,FALSE)</f>
        <v>2.8213273611215495E-3</v>
      </c>
      <c r="C267" s="11">
        <f>VLOOKUP(Vlookup!C237,'CDCM Forecast Data'!$A$14:$I$271,5,FALSE)</f>
        <v>0.20906851428116469</v>
      </c>
      <c r="D267" s="11">
        <f>VLOOKUP(Vlookup!D237,'CDCM Forecast Data'!$A$14:$I$271,5,FALSE)</f>
        <v>0.78811015835771381</v>
      </c>
      <c r="E267" s="7"/>
      <c r="F267"/>
      <c r="G267"/>
      <c r="H267"/>
      <c r="I267"/>
      <c r="J267"/>
      <c r="K267"/>
    </row>
    <row r="268" spans="1:11" ht="15">
      <c r="A268" s="8" t="s">
        <v>94</v>
      </c>
      <c r="B268" s="11">
        <f>VLOOKUP(Vlookup!B238,'CDCM Forecast Data'!$A$14:$I$271,5,FALSE)</f>
        <v>0.13166491281892173</v>
      </c>
      <c r="C268" s="11">
        <f>VLOOKUP(Vlookup!C238,'CDCM Forecast Data'!$A$14:$I$271,5,FALSE)</f>
        <v>0.58418150754710119</v>
      </c>
      <c r="D268" s="11">
        <f>VLOOKUP(Vlookup!D238,'CDCM Forecast Data'!$A$14:$I$271,5,FALSE)</f>
        <v>0.28415357963397708</v>
      </c>
      <c r="E268" s="7"/>
      <c r="F268"/>
      <c r="G268"/>
      <c r="H268"/>
      <c r="I268"/>
      <c r="J268"/>
      <c r="K268"/>
    </row>
    <row r="269" spans="1:11" ht="15">
      <c r="A269" s="8" t="s">
        <v>95</v>
      </c>
      <c r="B269" s="11">
        <f>VLOOKUP(Vlookup!B239,'CDCM Forecast Data'!$A$14:$I$271,5,FALSE)</f>
        <v>0.13097267676429289</v>
      </c>
      <c r="C269" s="11">
        <f>VLOOKUP(Vlookup!C239,'CDCM Forecast Data'!$A$14:$I$271,5,FALSE)</f>
        <v>0.53624987448173789</v>
      </c>
      <c r="D269" s="11">
        <f>VLOOKUP(Vlookup!D239,'CDCM Forecast Data'!$A$14:$I$271,5,FALSE)</f>
        <v>0.33277744875396925</v>
      </c>
      <c r="E269" s="7" t="s">
        <v>262</v>
      </c>
      <c r="F269"/>
      <c r="G269"/>
      <c r="H269"/>
      <c r="I269"/>
      <c r="J269"/>
      <c r="K269"/>
    </row>
    <row r="270" spans="1:11" ht="15">
      <c r="A270" s="8" t="s">
        <v>130</v>
      </c>
      <c r="B270" s="11">
        <f>VLOOKUP(Vlookup!B240,'CDCM Forecast Data'!$A$14:$I$271,5,FALSE)</f>
        <v>2.1180943708626887E-2</v>
      </c>
      <c r="C270" s="11">
        <f>VLOOKUP(Vlookup!C240,'CDCM Forecast Data'!$A$14:$I$271,5,FALSE)</f>
        <v>0.17461755756654385</v>
      </c>
      <c r="D270" s="11">
        <f>VLOOKUP(Vlookup!D240,'CDCM Forecast Data'!$A$14:$I$271,5,FALSE)</f>
        <v>0.80420149872482938</v>
      </c>
      <c r="E270" s="7" t="s">
        <v>262</v>
      </c>
      <c r="F270"/>
      <c r="G270"/>
      <c r="H270"/>
      <c r="I270"/>
      <c r="J270"/>
      <c r="K270"/>
    </row>
    <row r="271" spans="1:11" ht="15">
      <c r="A271" s="8" t="s">
        <v>96</v>
      </c>
      <c r="B271" s="11">
        <f>VLOOKUP(Vlookup!B241,'CDCM Forecast Data'!$A$14:$I$271,5,FALSE)</f>
        <v>0.13675751648464302</v>
      </c>
      <c r="C271" s="11">
        <f>VLOOKUP(Vlookup!C241,'CDCM Forecast Data'!$A$14:$I$271,5,FALSE)</f>
        <v>0.52643299691979983</v>
      </c>
      <c r="D271" s="11">
        <f>VLOOKUP(Vlookup!D241,'CDCM Forecast Data'!$A$14:$I$271,5,FALSE)</f>
        <v>0.33680948659555715</v>
      </c>
      <c r="E271" s="7" t="s">
        <v>262</v>
      </c>
      <c r="F271"/>
      <c r="G271"/>
      <c r="H271"/>
      <c r="I271"/>
      <c r="J271"/>
      <c r="K271"/>
    </row>
    <row r="272" spans="1:11" ht="15">
      <c r="A272" s="8" t="s">
        <v>97</v>
      </c>
      <c r="B272" s="11">
        <f>VLOOKUP(Vlookup!B242,'CDCM Forecast Data'!$A$14:$I$271,5,FALSE)</f>
        <v>0.13246682554357336</v>
      </c>
      <c r="C272" s="11">
        <f>VLOOKUP(Vlookup!C242,'CDCM Forecast Data'!$A$14:$I$271,5,FALSE)</f>
        <v>0.5419021330055962</v>
      </c>
      <c r="D272" s="11">
        <f>VLOOKUP(Vlookup!D242,'CDCM Forecast Data'!$A$14:$I$271,5,FALSE)</f>
        <v>0.32563104145083038</v>
      </c>
      <c r="E272" s="7" t="s">
        <v>262</v>
      </c>
      <c r="F272"/>
      <c r="G272"/>
      <c r="H272"/>
      <c r="I272"/>
      <c r="J272"/>
      <c r="K272"/>
    </row>
    <row r="273" spans="1:11" ht="15">
      <c r="A273" s="8" t="s">
        <v>110</v>
      </c>
      <c r="B273" s="11">
        <f>VLOOKUP(Vlookup!B243,'CDCM Forecast Data'!$A$14:$I$271,5,FALSE)</f>
        <v>0.13067404581003325</v>
      </c>
      <c r="C273" s="11">
        <f>VLOOKUP(Vlookup!C243,'CDCM Forecast Data'!$A$14:$I$271,5,FALSE)</f>
        <v>0.55375454532068635</v>
      </c>
      <c r="D273" s="11">
        <f>VLOOKUP(Vlookup!D243,'CDCM Forecast Data'!$A$14:$I$271,5,FALSE)</f>
        <v>0.31557140886928042</v>
      </c>
      <c r="E273" s="7" t="s">
        <v>262</v>
      </c>
      <c r="F273"/>
      <c r="G273"/>
      <c r="H273"/>
      <c r="I273"/>
      <c r="J273"/>
      <c r="K273"/>
    </row>
    <row r="274" spans="1:11" ht="15">
      <c r="A274"/>
      <c r="B274"/>
      <c r="C274"/>
      <c r="D274"/>
      <c r="E274"/>
      <c r="F274"/>
      <c r="G274"/>
      <c r="H274"/>
      <c r="I274"/>
      <c r="J274"/>
      <c r="K274"/>
    </row>
    <row r="275" spans="1:11" ht="19.5">
      <c r="A275" s="1" t="s">
        <v>236</v>
      </c>
      <c r="B275"/>
      <c r="C275"/>
      <c r="D275"/>
      <c r="E275"/>
      <c r="F275"/>
      <c r="G275"/>
      <c r="H275"/>
      <c r="I275"/>
      <c r="J275"/>
      <c r="K275"/>
    </row>
    <row r="276" spans="1:11" ht="15">
      <c r="A276"/>
      <c r="B276"/>
      <c r="C276"/>
      <c r="D276"/>
      <c r="E276"/>
      <c r="F276"/>
      <c r="G276"/>
      <c r="H276"/>
      <c r="I276"/>
      <c r="J276"/>
      <c r="K276"/>
    </row>
    <row r="277" spans="1:11" ht="15">
      <c r="A277"/>
      <c r="B277" s="3" t="s">
        <v>233</v>
      </c>
      <c r="C277" s="3" t="s">
        <v>234</v>
      </c>
      <c r="D277" s="3" t="s">
        <v>235</v>
      </c>
      <c r="E277"/>
      <c r="F277"/>
      <c r="G277"/>
      <c r="H277"/>
      <c r="I277"/>
      <c r="J277"/>
      <c r="K277"/>
    </row>
    <row r="278" spans="1:11" ht="15">
      <c r="A278" s="8" t="s">
        <v>93</v>
      </c>
      <c r="B278" s="11">
        <f>VLOOKUP(Vlookup!B251,'CDCM Forecast Data'!$A$14:$I$271,7,FALSE)</f>
        <v>0</v>
      </c>
      <c r="C278" s="11">
        <f>VLOOKUP(Vlookup!C251,'CDCM Forecast Data'!$A$14:$I$271,7,FALSE)</f>
        <v>0</v>
      </c>
      <c r="D278" s="11">
        <f>VLOOKUP(Vlookup!D251,'CDCM Forecast Data'!$A$14:$I$271,7,FALSE)</f>
        <v>1</v>
      </c>
      <c r="E278" s="7" t="s">
        <v>262</v>
      </c>
      <c r="F278"/>
      <c r="G278"/>
      <c r="H278"/>
      <c r="I278"/>
      <c r="J278"/>
      <c r="K278"/>
    </row>
    <row r="279" spans="1:11" ht="15">
      <c r="A279" s="8" t="s">
        <v>95</v>
      </c>
      <c r="B279" s="11">
        <f>VLOOKUP(Vlookup!B252,'CDCM Forecast Data'!$A$14:$I$271,7,FALSE)</f>
        <v>0</v>
      </c>
      <c r="C279" s="11">
        <f>VLOOKUP(Vlookup!C252,'CDCM Forecast Data'!$A$14:$I$271,7,FALSE)</f>
        <v>0</v>
      </c>
      <c r="D279" s="11">
        <f>VLOOKUP(Vlookup!D252,'CDCM Forecast Data'!$A$14:$I$271,7,FALSE)</f>
        <v>1</v>
      </c>
      <c r="E279" s="7" t="s">
        <v>262</v>
      </c>
      <c r="F279"/>
      <c r="G279"/>
      <c r="H279"/>
      <c r="I279"/>
      <c r="J279"/>
      <c r="K279"/>
    </row>
    <row r="280" spans="1:11" ht="15">
      <c r="A280" s="8" t="s">
        <v>96</v>
      </c>
      <c r="B280" s="11">
        <f>VLOOKUP(Vlookup!B253,'CDCM Forecast Data'!$A$14:$I$271,7,FALSE)</f>
        <v>0</v>
      </c>
      <c r="C280" s="11">
        <f>VLOOKUP(Vlookup!C253,'CDCM Forecast Data'!$A$14:$I$271,7,FALSE)</f>
        <v>0</v>
      </c>
      <c r="D280" s="11">
        <f>VLOOKUP(Vlookup!D253,'CDCM Forecast Data'!$A$14:$I$271,7,FALSE)</f>
        <v>1</v>
      </c>
      <c r="E280" s="7" t="s">
        <v>262</v>
      </c>
      <c r="F280"/>
      <c r="G280"/>
      <c r="H280"/>
      <c r="I280"/>
      <c r="J280"/>
      <c r="K280"/>
    </row>
    <row r="281" spans="1:11" ht="15">
      <c r="A281" s="8" t="s">
        <v>97</v>
      </c>
      <c r="B281" s="11">
        <f>VLOOKUP(Vlookup!B254,'CDCM Forecast Data'!$A$14:$I$271,7,FALSE)</f>
        <v>0</v>
      </c>
      <c r="C281" s="11">
        <f>VLOOKUP(Vlookup!C254,'CDCM Forecast Data'!$A$14:$I$271,7,FALSE)</f>
        <v>0</v>
      </c>
      <c r="D281" s="11">
        <f>VLOOKUP(Vlookup!D254,'CDCM Forecast Data'!$A$14:$I$271,7,FALSE)</f>
        <v>1</v>
      </c>
      <c r="E281" s="7" t="s">
        <v>262</v>
      </c>
      <c r="F281"/>
      <c r="G281"/>
      <c r="H281"/>
      <c r="I281"/>
      <c r="J281"/>
      <c r="K281"/>
    </row>
    <row r="282" spans="1:11" ht="15">
      <c r="A282" s="8" t="s">
        <v>110</v>
      </c>
      <c r="B282" s="11">
        <f>VLOOKUP(Vlookup!B255,'CDCM Forecast Data'!$A$14:$I$271,7,FALSE)</f>
        <v>0</v>
      </c>
      <c r="C282" s="11">
        <f>VLOOKUP(Vlookup!C255,'CDCM Forecast Data'!$A$14:$I$271,7,FALSE)</f>
        <v>0</v>
      </c>
      <c r="D282" s="11">
        <f>VLOOKUP(Vlookup!D255,'CDCM Forecast Data'!$A$14:$I$271,7,FALSE)</f>
        <v>1</v>
      </c>
      <c r="E282" s="7" t="s">
        <v>262</v>
      </c>
      <c r="F282"/>
      <c r="G282"/>
      <c r="H282"/>
      <c r="I282"/>
      <c r="J282"/>
      <c r="K282"/>
    </row>
    <row r="283" spans="1:11" ht="15">
      <c r="A283"/>
      <c r="B283"/>
      <c r="C283"/>
      <c r="D283"/>
      <c r="E283"/>
      <c r="F283"/>
      <c r="G283"/>
      <c r="H283"/>
      <c r="I283"/>
      <c r="J283"/>
      <c r="K283"/>
    </row>
    <row r="284" spans="1:11" ht="19.5">
      <c r="A284" s="1" t="s">
        <v>237</v>
      </c>
      <c r="B284"/>
      <c r="C284"/>
      <c r="D284"/>
      <c r="E284"/>
      <c r="F284"/>
      <c r="G284"/>
      <c r="H284"/>
      <c r="I284"/>
      <c r="J284"/>
      <c r="K284"/>
    </row>
    <row r="285" spans="1:11" ht="15">
      <c r="A285"/>
      <c r="B285"/>
      <c r="C285"/>
      <c r="D285"/>
      <c r="E285"/>
      <c r="F285"/>
      <c r="G285"/>
      <c r="H285"/>
      <c r="I285"/>
      <c r="J285"/>
      <c r="K285"/>
    </row>
    <row r="286" spans="1:11" ht="15">
      <c r="A286"/>
      <c r="B286" s="3" t="s">
        <v>233</v>
      </c>
      <c r="C286" s="3" t="s">
        <v>234</v>
      </c>
      <c r="D286" s="3" t="s">
        <v>235</v>
      </c>
      <c r="E286" t="s">
        <v>262</v>
      </c>
      <c r="F286"/>
      <c r="G286"/>
      <c r="H286"/>
      <c r="I286"/>
      <c r="J286"/>
      <c r="K286"/>
    </row>
    <row r="287" spans="1:11" ht="15">
      <c r="A287" s="8" t="s">
        <v>131</v>
      </c>
      <c r="B287" s="11">
        <f>VLOOKUP(Vlookup!B260,'CDCM Forecast Data'!$A$14:$I$271,7,FALSE)</f>
        <v>2.9337899543378995E-2</v>
      </c>
      <c r="C287" s="11">
        <f>VLOOKUP(Vlookup!C260,'CDCM Forecast Data'!$A$14:$I$271,7,FALSE)</f>
        <v>0.37237442922374431</v>
      </c>
      <c r="D287" s="11">
        <f>VLOOKUP(Vlookup!D260,'CDCM Forecast Data'!$A$14:$I$271,7,FALSE)</f>
        <v>0.59828767123287674</v>
      </c>
      <c r="E287" s="7" t="s">
        <v>262</v>
      </c>
      <c r="F287"/>
      <c r="G287"/>
      <c r="H287"/>
      <c r="I287"/>
      <c r="J287"/>
      <c r="K287"/>
    </row>
    <row r="288" spans="1:11" ht="15">
      <c r="A288" s="8" t="s">
        <v>132</v>
      </c>
      <c r="B288" s="11">
        <f>VLOOKUP(Vlookup!B261,'CDCM Forecast Data'!$A$14:$I$271,7,FALSE)</f>
        <v>4.891355254087474E-2</v>
      </c>
      <c r="C288" s="11">
        <f>VLOOKUP(Vlookup!C261,'CDCM Forecast Data'!$A$14:$I$271,7,FALSE)</f>
        <v>8.8639017251141775E-2</v>
      </c>
      <c r="D288" s="11">
        <f>VLOOKUP(Vlookup!D261,'CDCM Forecast Data'!$A$14:$I$271,7,FALSE)</f>
        <v>0.86244743020798342</v>
      </c>
      <c r="E288" s="7" t="s">
        <v>262</v>
      </c>
      <c r="F288"/>
      <c r="G288"/>
      <c r="H288"/>
      <c r="I288"/>
      <c r="J288"/>
      <c r="K288"/>
    </row>
    <row r="289" spans="1:11" ht="15">
      <c r="A289" s="8" t="s">
        <v>133</v>
      </c>
      <c r="B289" s="11">
        <f>VLOOKUP(Vlookup!B262,'CDCM Forecast Data'!$A$14:$I$271,7,FALSE)</f>
        <v>8.9373751938750981E-2</v>
      </c>
      <c r="C289" s="11">
        <f>VLOOKUP(Vlookup!C262,'CDCM Forecast Data'!$A$14:$I$271,7,FALSE)</f>
        <v>0.1511733177646977</v>
      </c>
      <c r="D289" s="11">
        <f>VLOOKUP(Vlookup!D262,'CDCM Forecast Data'!$A$14:$I$271,7,FALSE)</f>
        <v>0.75945293029655137</v>
      </c>
      <c r="E289" s="7" t="s">
        <v>262</v>
      </c>
      <c r="F289"/>
      <c r="G289"/>
      <c r="H289"/>
      <c r="I289"/>
      <c r="J289"/>
      <c r="K289"/>
    </row>
    <row r="290" spans="1:11" ht="15">
      <c r="A290" s="8" t="s">
        <v>134</v>
      </c>
      <c r="B290" s="11">
        <f>VLOOKUP(Vlookup!B263,'CDCM Forecast Data'!$A$14:$I$271,7,FALSE)</f>
        <v>9.8662176030754195E-3</v>
      </c>
      <c r="C290" s="11">
        <f>VLOOKUP(Vlookup!C263,'CDCM Forecast Data'!$A$14:$I$271,7,FALSE)</f>
        <v>0.63526803788016351</v>
      </c>
      <c r="D290" s="11">
        <f>VLOOKUP(Vlookup!D263,'CDCM Forecast Data'!$A$14:$I$271,7,FALSE)</f>
        <v>0.35486574451676106</v>
      </c>
      <c r="E290" s="7" t="s">
        <v>262</v>
      </c>
      <c r="F290"/>
      <c r="G290"/>
      <c r="H290"/>
      <c r="I290"/>
      <c r="J290"/>
      <c r="K290"/>
    </row>
    <row r="291" spans="1:11" ht="15">
      <c r="A291"/>
      <c r="B291"/>
      <c r="C291"/>
      <c r="D291"/>
      <c r="E291"/>
      <c r="F291"/>
      <c r="G291"/>
      <c r="H291"/>
      <c r="I291"/>
      <c r="J291"/>
      <c r="K291"/>
    </row>
    <row r="292" spans="1:11" ht="19.5">
      <c r="A292" s="1" t="s">
        <v>240</v>
      </c>
      <c r="B292"/>
      <c r="C292"/>
      <c r="D292"/>
      <c r="E292"/>
      <c r="F292"/>
      <c r="G292"/>
      <c r="H292"/>
      <c r="I292"/>
      <c r="J292"/>
      <c r="K292"/>
    </row>
    <row r="293" spans="1:11" ht="15">
      <c r="A293" s="2" t="s">
        <v>241</v>
      </c>
      <c r="B293"/>
      <c r="C293"/>
      <c r="D293"/>
      <c r="E293"/>
      <c r="F293"/>
      <c r="G293"/>
      <c r="H293"/>
      <c r="I293"/>
      <c r="J293"/>
      <c r="K293"/>
    </row>
    <row r="294" spans="1:11" ht="15">
      <c r="A294" s="2" t="s">
        <v>242</v>
      </c>
      <c r="B294"/>
      <c r="C294"/>
      <c r="D294"/>
      <c r="E294"/>
      <c r="F294"/>
      <c r="G294"/>
      <c r="H294"/>
      <c r="I294"/>
      <c r="J294"/>
      <c r="K294"/>
    </row>
    <row r="295" spans="1:11" ht="15">
      <c r="A295"/>
      <c r="B295"/>
      <c r="C295"/>
      <c r="D295"/>
      <c r="E295"/>
      <c r="F295"/>
      <c r="G295"/>
      <c r="H295"/>
      <c r="I295"/>
      <c r="J295"/>
      <c r="K295"/>
    </row>
    <row r="296" spans="1:11" ht="15">
      <c r="A296"/>
      <c r="B296" s="3" t="s">
        <v>233</v>
      </c>
      <c r="C296" s="3" t="s">
        <v>234</v>
      </c>
      <c r="D296" s="3" t="s">
        <v>235</v>
      </c>
      <c r="E296"/>
      <c r="F296"/>
      <c r="G296"/>
      <c r="H296"/>
      <c r="I296"/>
      <c r="J296"/>
      <c r="K296"/>
    </row>
    <row r="297" spans="1:11" ht="15">
      <c r="A297" s="8" t="s">
        <v>243</v>
      </c>
      <c r="B297" s="14">
        <f>VLOOKUP(Vlookup!B270,'CDCM Forecast Data'!$A$14:$I$271,7,FALSE)</f>
        <v>258</v>
      </c>
      <c r="C297" s="14">
        <f>VLOOKUP(Vlookup!C270,'CDCM Forecast Data'!$A$14:$I$271,7,FALSE)</f>
        <v>3279</v>
      </c>
      <c r="D297" s="14">
        <f>VLOOKUP(Vlookup!D270,'CDCM Forecast Data'!$A$14:$I$271,7,FALSE)</f>
        <v>5247</v>
      </c>
      <c r="E297" s="7" t="s">
        <v>262</v>
      </c>
      <c r="F297"/>
      <c r="G297"/>
      <c r="H297"/>
      <c r="I297"/>
      <c r="J297"/>
      <c r="K297"/>
    </row>
    <row r="298" spans="1:11" ht="15">
      <c r="A298"/>
      <c r="B298"/>
      <c r="C298"/>
      <c r="D298"/>
      <c r="E298"/>
      <c r="F298"/>
      <c r="G298"/>
      <c r="H298"/>
      <c r="I298"/>
      <c r="J298"/>
      <c r="K298"/>
    </row>
    <row r="299" spans="1:11" ht="19.5">
      <c r="A299" s="1" t="s">
        <v>244</v>
      </c>
      <c r="B299"/>
      <c r="C299"/>
      <c r="D299"/>
      <c r="E299"/>
      <c r="F299"/>
      <c r="G299"/>
      <c r="H299"/>
      <c r="I299"/>
      <c r="J299"/>
      <c r="K299"/>
    </row>
    <row r="300" spans="1:11" ht="15">
      <c r="A300" s="2"/>
      <c r="B300"/>
      <c r="C300"/>
      <c r="D300"/>
      <c r="E300"/>
      <c r="F300"/>
      <c r="G300"/>
      <c r="H300"/>
      <c r="I300"/>
      <c r="J300"/>
      <c r="K300"/>
    </row>
    <row r="301" spans="1:11" ht="15">
      <c r="A301" s="2" t="s">
        <v>241</v>
      </c>
      <c r="B301"/>
      <c r="C301"/>
      <c r="D301"/>
      <c r="E301"/>
      <c r="F301"/>
      <c r="G301"/>
      <c r="H301"/>
      <c r="I301"/>
      <c r="J301"/>
      <c r="K301"/>
    </row>
    <row r="302" spans="1:11" ht="15">
      <c r="A302" t="s">
        <v>242</v>
      </c>
      <c r="B302"/>
      <c r="C302"/>
      <c r="D302"/>
      <c r="E302"/>
      <c r="F302"/>
      <c r="G302"/>
      <c r="H302"/>
      <c r="I302"/>
      <c r="J302"/>
      <c r="K302"/>
    </row>
    <row r="303" spans="1:11" ht="15">
      <c r="A303"/>
      <c r="B303" s="3" t="s">
        <v>233</v>
      </c>
      <c r="C303" s="3" t="s">
        <v>234</v>
      </c>
      <c r="D303" s="3" t="s">
        <v>235</v>
      </c>
      <c r="E303"/>
      <c r="F303"/>
      <c r="G303"/>
      <c r="H303"/>
      <c r="I303"/>
      <c r="J303"/>
      <c r="K303"/>
    </row>
    <row r="304" spans="1:11" ht="15">
      <c r="A304" s="8" t="s">
        <v>243</v>
      </c>
      <c r="B304" s="14">
        <f>VLOOKUP(Vlookup!B277,'CDCM Forecast Data'!$A$14:$I$271,7,FALSE)</f>
        <v>786</v>
      </c>
      <c r="C304" s="14">
        <f>VLOOKUP(Vlookup!C277,'CDCM Forecast Data'!$A$14:$I$271,7,FALSE)</f>
        <v>2751</v>
      </c>
      <c r="D304" s="14">
        <f>VLOOKUP(Vlookup!D277,'CDCM Forecast Data'!$A$14:$I$271,7,FALSE)</f>
        <v>5247</v>
      </c>
      <c r="E304" s="7" t="s">
        <v>262</v>
      </c>
      <c r="F304"/>
      <c r="G304"/>
      <c r="H304"/>
      <c r="I304"/>
      <c r="J304"/>
      <c r="K304"/>
    </row>
    <row r="305" spans="1:11" ht="15">
      <c r="A305"/>
      <c r="B305"/>
      <c r="C305"/>
      <c r="D305"/>
      <c r="E305"/>
      <c r="F305"/>
      <c r="G305"/>
      <c r="H305"/>
      <c r="I305"/>
      <c r="J305"/>
      <c r="K305"/>
    </row>
    <row r="306" spans="1:11" ht="19.5">
      <c r="A306" s="1" t="s">
        <v>245</v>
      </c>
      <c r="B306"/>
      <c r="C306"/>
      <c r="D306"/>
      <c r="E306"/>
      <c r="F306"/>
      <c r="G306"/>
      <c r="H306"/>
      <c r="I306"/>
      <c r="J306"/>
      <c r="K306"/>
    </row>
    <row r="307" spans="1:11" ht="15">
      <c r="A307" s="2"/>
      <c r="B307"/>
      <c r="C307"/>
      <c r="D307"/>
      <c r="E307"/>
      <c r="F307"/>
      <c r="G307"/>
      <c r="H307"/>
      <c r="I307"/>
      <c r="J307"/>
      <c r="K307"/>
    </row>
    <row r="308" spans="1:11" ht="15">
      <c r="A308"/>
      <c r="B308"/>
      <c r="C308"/>
      <c r="D308"/>
      <c r="E308"/>
      <c r="F308"/>
      <c r="G308"/>
      <c r="H308"/>
      <c r="I308"/>
      <c r="J308"/>
      <c r="K308"/>
    </row>
    <row r="309" spans="1:11" ht="15">
      <c r="A309" t="s">
        <v>246</v>
      </c>
      <c r="B309" s="15"/>
      <c r="C309" s="15"/>
      <c r="D309" s="15"/>
      <c r="E309"/>
      <c r="F309"/>
      <c r="G309"/>
      <c r="H309"/>
      <c r="I309"/>
      <c r="J309"/>
      <c r="K309"/>
    </row>
    <row r="310" spans="1:11" ht="15">
      <c r="A310"/>
      <c r="B310" s="3" t="s">
        <v>233</v>
      </c>
      <c r="C310" s="3" t="s">
        <v>234</v>
      </c>
      <c r="D310" s="3" t="s">
        <v>235</v>
      </c>
      <c r="E310" s="3" t="s">
        <v>238</v>
      </c>
      <c r="F310"/>
      <c r="G310"/>
      <c r="H310"/>
      <c r="I310"/>
      <c r="J310"/>
      <c r="K310"/>
    </row>
    <row r="311" spans="1:11" ht="15">
      <c r="A311" s="8" t="s">
        <v>60</v>
      </c>
      <c r="B311" s="11">
        <f>VLOOKUP(Vlookup!B283,'CDCM Forecast Data'!$A$14:$I$271,7,FALSE)</f>
        <v>0.85470794540392048</v>
      </c>
      <c r="C311" s="11">
        <f>VLOOKUP(Vlookup!C283,'CDCM Forecast Data'!$A$14:$I$271,7,FALSE)</f>
        <v>0.14529205459607944</v>
      </c>
      <c r="D311" s="11">
        <f>VLOOKUP(Vlookup!D283,'CDCM Forecast Data'!$A$14:$I$271,7,FALSE)</f>
        <v>0</v>
      </c>
      <c r="E311" s="11">
        <f>VLOOKUP(Vlookup!E283,'CDCM Forecast Data'!$A$14:$I$271,7,FALSE)</f>
        <v>0.84810150959791342</v>
      </c>
      <c r="F311" s="7" t="s">
        <v>262</v>
      </c>
      <c r="G311"/>
      <c r="H311"/>
      <c r="I311"/>
      <c r="J311"/>
      <c r="K311"/>
    </row>
    <row r="312" spans="1:11" ht="15">
      <c r="A312" s="8" t="s">
        <v>61</v>
      </c>
      <c r="B312" s="11">
        <f>VLOOKUP(Vlookup!B284,'CDCM Forecast Data'!$A$14:$I$271,7,FALSE)</f>
        <v>0.73347807576361312</v>
      </c>
      <c r="C312" s="11">
        <f>VLOOKUP(Vlookup!C284,'CDCM Forecast Data'!$A$14:$I$271,7,FALSE)</f>
        <v>0.23785008473510372</v>
      </c>
      <c r="D312" s="11">
        <f>VLOOKUP(Vlookup!D284,'CDCM Forecast Data'!$A$14:$I$271,7,FALSE)</f>
        <v>2.8671839501283092E-2</v>
      </c>
      <c r="E312" s="11">
        <f>VLOOKUP(Vlookup!E284,'CDCM Forecast Data'!$A$14:$I$271,7,FALSE)</f>
        <v>0.72115228218186689</v>
      </c>
      <c r="F312" s="7" t="s">
        <v>262</v>
      </c>
      <c r="G312"/>
      <c r="H312"/>
      <c r="I312"/>
      <c r="J312"/>
      <c r="K312"/>
    </row>
    <row r="313" spans="1:11" ht="15">
      <c r="A313" s="8" t="s">
        <v>62</v>
      </c>
      <c r="B313" s="11">
        <f>VLOOKUP(Vlookup!B285,'CDCM Forecast Data'!$A$14:$I$271,7,FALSE)</f>
        <v>0.73347807576361312</v>
      </c>
      <c r="C313" s="11">
        <f>VLOOKUP(Vlookup!C285,'CDCM Forecast Data'!$A$14:$I$271,7,FALSE)</f>
        <v>0.23785008473510372</v>
      </c>
      <c r="D313" s="11">
        <f>VLOOKUP(Vlookup!D285,'CDCM Forecast Data'!$A$14:$I$271,7,FALSE)</f>
        <v>2.8671839501283092E-2</v>
      </c>
      <c r="E313" s="11">
        <f>VLOOKUP(Vlookup!E285,'CDCM Forecast Data'!$A$14:$I$271,7,FALSE)</f>
        <v>0.72115228218186689</v>
      </c>
      <c r="F313" s="7" t="s">
        <v>262</v>
      </c>
      <c r="G313"/>
      <c r="H313"/>
      <c r="I313"/>
      <c r="J313"/>
      <c r="K313"/>
    </row>
    <row r="314" spans="1:11" ht="15">
      <c r="A314" s="8" t="s">
        <v>63</v>
      </c>
      <c r="B314" s="11">
        <f>VLOOKUP(Vlookup!B286,'CDCM Forecast Data'!$A$14:$I$271,7,FALSE)</f>
        <v>0.74849318073591797</v>
      </c>
      <c r="C314" s="11">
        <f>VLOOKUP(Vlookup!C286,'CDCM Forecast Data'!$A$14:$I$271,7,FALSE)</f>
        <v>0.18814792948012682</v>
      </c>
      <c r="D314" s="11">
        <f>VLOOKUP(Vlookup!D286,'CDCM Forecast Data'!$A$14:$I$271,7,FALSE)</f>
        <v>6.3358889783955152E-2</v>
      </c>
      <c r="E314" s="11">
        <f>VLOOKUP(Vlookup!E286,'CDCM Forecast Data'!$A$14:$I$271,7,FALSE)</f>
        <v>0.7448691829953189</v>
      </c>
      <c r="F314" s="7" t="s">
        <v>262</v>
      </c>
      <c r="G314"/>
      <c r="H314"/>
      <c r="I314"/>
      <c r="J314"/>
      <c r="K314"/>
    </row>
    <row r="315" spans="1:11" ht="15">
      <c r="A315" s="8" t="s">
        <v>64</v>
      </c>
      <c r="B315" s="11">
        <f>VLOOKUP(Vlookup!B287,'CDCM Forecast Data'!$A$14:$I$271,7,FALSE)</f>
        <v>0.74849318073591797</v>
      </c>
      <c r="C315" s="11">
        <f>VLOOKUP(Vlookup!C287,'CDCM Forecast Data'!$A$14:$I$271,7,FALSE)</f>
        <v>0.18814792948012682</v>
      </c>
      <c r="D315" s="11">
        <f>VLOOKUP(Vlookup!D287,'CDCM Forecast Data'!$A$14:$I$271,7,FALSE)</f>
        <v>6.3358889783955152E-2</v>
      </c>
      <c r="E315" s="11">
        <f>VLOOKUP(Vlookup!E287,'CDCM Forecast Data'!$A$14:$I$271,7,FALSE)</f>
        <v>0.7448691829953189</v>
      </c>
      <c r="F315" s="7" t="s">
        <v>262</v>
      </c>
      <c r="G315"/>
      <c r="H315"/>
      <c r="I315"/>
      <c r="J315"/>
      <c r="K315"/>
    </row>
    <row r="316" spans="1:11" ht="15">
      <c r="A316" s="8" t="s">
        <v>69</v>
      </c>
      <c r="B316" s="11">
        <f>VLOOKUP(Vlookup!B288,'CDCM Forecast Data'!$A$14:$I$271,7,FALSE)</f>
        <v>0.73347807576361312</v>
      </c>
      <c r="C316" s="11">
        <f>VLOOKUP(Vlookup!C288,'CDCM Forecast Data'!$A$14:$I$271,7,FALSE)</f>
        <v>0.23785008473510372</v>
      </c>
      <c r="D316" s="11">
        <f>VLOOKUP(Vlookup!D288,'CDCM Forecast Data'!$A$14:$I$271,7,FALSE)</f>
        <v>2.8671839501283092E-2</v>
      </c>
      <c r="E316" s="11">
        <f>VLOOKUP(Vlookup!E288,'CDCM Forecast Data'!$A$14:$I$271,7,FALSE)</f>
        <v>0.72115228218186689</v>
      </c>
      <c r="F316" s="7" t="s">
        <v>262</v>
      </c>
      <c r="G316"/>
      <c r="H316"/>
      <c r="I316"/>
      <c r="J316"/>
      <c r="K316"/>
    </row>
    <row r="317" spans="1:11" ht="15">
      <c r="A317" s="8" t="s">
        <v>65</v>
      </c>
      <c r="B317" s="11">
        <f>VLOOKUP(Vlookup!B289,'CDCM Forecast Data'!$A$14:$I$271,7,FALSE)</f>
        <v>0.74849318073591797</v>
      </c>
      <c r="C317" s="11">
        <f>VLOOKUP(Vlookup!C289,'CDCM Forecast Data'!$A$14:$I$271,7,FALSE)</f>
        <v>0.18814792948012682</v>
      </c>
      <c r="D317" s="11">
        <f>VLOOKUP(Vlookup!D289,'CDCM Forecast Data'!$A$14:$I$271,7,FALSE)</f>
        <v>6.3358889783955152E-2</v>
      </c>
      <c r="E317" s="11">
        <f>VLOOKUP(Vlookup!E289,'CDCM Forecast Data'!$A$14:$I$271,7,FALSE)</f>
        <v>0.7448691829953189</v>
      </c>
      <c r="F317" s="7" t="s">
        <v>262</v>
      </c>
      <c r="G317"/>
      <c r="H317"/>
      <c r="I317"/>
      <c r="J317"/>
      <c r="K317"/>
    </row>
    <row r="318" spans="1:11" ht="15">
      <c r="A318" s="8" t="s">
        <v>66</v>
      </c>
      <c r="B318" s="11">
        <f>VLOOKUP(Vlookup!B290,'CDCM Forecast Data'!$A$14:$I$271,7,FALSE)</f>
        <v>0.74849318073591797</v>
      </c>
      <c r="C318" s="11">
        <f>VLOOKUP(Vlookup!C290,'CDCM Forecast Data'!$A$14:$I$271,7,FALSE)</f>
        <v>0.18814792948012682</v>
      </c>
      <c r="D318" s="11">
        <f>VLOOKUP(Vlookup!D290,'CDCM Forecast Data'!$A$14:$I$271,7,FALSE)</f>
        <v>6.3358889783955152E-2</v>
      </c>
      <c r="E318" s="11">
        <f>VLOOKUP(Vlookup!E290,'CDCM Forecast Data'!$A$14:$I$271,7,FALSE)</f>
        <v>0.7448691829953189</v>
      </c>
      <c r="F318" s="7" t="s">
        <v>262</v>
      </c>
      <c r="G318"/>
      <c r="H318"/>
      <c r="I318"/>
      <c r="J318"/>
      <c r="K318"/>
    </row>
    <row r="319" spans="1:11" ht="15">
      <c r="A319" s="8" t="s">
        <v>67</v>
      </c>
      <c r="B319" s="11">
        <f>VLOOKUP(Vlookup!B291,'CDCM Forecast Data'!$A$14:$I$271,7,FALSE)</f>
        <v>0.74849318073591797</v>
      </c>
      <c r="C319" s="11">
        <f>VLOOKUP(Vlookup!C291,'CDCM Forecast Data'!$A$14:$I$271,7,FALSE)</f>
        <v>0.18814792948012682</v>
      </c>
      <c r="D319" s="11">
        <f>VLOOKUP(Vlookup!D291,'CDCM Forecast Data'!$A$14:$I$271,7,FALSE)</f>
        <v>6.3358889783955152E-2</v>
      </c>
      <c r="E319" s="11">
        <f>VLOOKUP(Vlookup!E291,'CDCM Forecast Data'!$A$14:$I$271,7,FALSE)</f>
        <v>0.7448691829953189</v>
      </c>
      <c r="F319" s="7" t="s">
        <v>262</v>
      </c>
      <c r="G319"/>
      <c r="H319"/>
      <c r="I319"/>
      <c r="J319"/>
      <c r="K319"/>
    </row>
    <row r="320" spans="1:11" ht="15">
      <c r="A320"/>
      <c r="B320"/>
      <c r="C320"/>
      <c r="D320"/>
      <c r="E320"/>
      <c r="F320"/>
      <c r="G320"/>
      <c r="H320"/>
      <c r="I320"/>
      <c r="J320"/>
      <c r="K320"/>
    </row>
    <row r="321" spans="1:11" ht="19.5">
      <c r="A321" s="1" t="s">
        <v>1524</v>
      </c>
      <c r="B321"/>
      <c r="C321"/>
      <c r="D321"/>
      <c r="E321"/>
      <c r="F321"/>
      <c r="G321"/>
      <c r="H321"/>
      <c r="I321"/>
      <c r="J321"/>
      <c r="K321"/>
    </row>
    <row r="322" spans="1:11" ht="15">
      <c r="A322" s="2" t="s">
        <v>1523</v>
      </c>
      <c r="B322"/>
      <c r="C322"/>
      <c r="D322"/>
      <c r="E322"/>
      <c r="F322"/>
      <c r="G322"/>
      <c r="H322"/>
      <c r="I322"/>
      <c r="J322"/>
      <c r="K322"/>
    </row>
    <row r="323" spans="1:11" ht="15">
      <c r="A323"/>
      <c r="B323"/>
      <c r="C323"/>
      <c r="D323"/>
      <c r="E323"/>
      <c r="F323"/>
      <c r="G323"/>
      <c r="H323"/>
      <c r="I323"/>
      <c r="J323"/>
      <c r="K323"/>
    </row>
    <row r="324" spans="1:11" ht="30">
      <c r="A324"/>
      <c r="B324" s="3" t="s">
        <v>1522</v>
      </c>
      <c r="C324"/>
      <c r="D324"/>
      <c r="E324"/>
      <c r="F324"/>
      <c r="G324"/>
      <c r="H324"/>
      <c r="I324"/>
      <c r="J324"/>
      <c r="K324"/>
    </row>
    <row r="325" spans="1:11" ht="15">
      <c r="A325" s="8" t="s">
        <v>1522</v>
      </c>
      <c r="B325" s="10">
        <f>1000000*'Table 1'!H47</f>
        <v>501979635.93235034</v>
      </c>
      <c r="C325" s="7"/>
      <c r="D325"/>
      <c r="E325"/>
      <c r="F325"/>
      <c r="G325"/>
      <c r="H325"/>
      <c r="I325"/>
      <c r="J325"/>
      <c r="K325"/>
    </row>
    <row r="326" spans="1:11" ht="15">
      <c r="A326"/>
      <c r="B326"/>
      <c r="C326"/>
      <c r="D326"/>
      <c r="E326"/>
      <c r="F326"/>
      <c r="G326"/>
      <c r="H326"/>
      <c r="I326"/>
      <c r="J326"/>
      <c r="K326"/>
    </row>
    <row r="327" spans="1:11" ht="19.5">
      <c r="A327" s="1" t="s">
        <v>248</v>
      </c>
      <c r="B327"/>
      <c r="C327"/>
      <c r="D327"/>
      <c r="E327"/>
      <c r="F327"/>
      <c r="G327"/>
      <c r="H327"/>
      <c r="I327"/>
      <c r="J327"/>
      <c r="K327"/>
    </row>
    <row r="328" spans="1:11" ht="15">
      <c r="A328" s="2" t="s">
        <v>262</v>
      </c>
      <c r="B328"/>
      <c r="C328"/>
      <c r="D328"/>
      <c r="E328"/>
      <c r="F328"/>
      <c r="G328"/>
      <c r="H328"/>
      <c r="I328"/>
      <c r="J328"/>
      <c r="K328"/>
    </row>
    <row r="329" spans="1:11" ht="15">
      <c r="A329" s="2" t="s">
        <v>249</v>
      </c>
      <c r="B329"/>
      <c r="C329"/>
      <c r="D329"/>
      <c r="E329"/>
      <c r="F329"/>
      <c r="G329"/>
      <c r="H329"/>
      <c r="I329"/>
      <c r="J329"/>
      <c r="K329"/>
    </row>
    <row r="330" spans="1:11" ht="15">
      <c r="A330" t="s">
        <v>250</v>
      </c>
      <c r="B330"/>
      <c r="C330"/>
      <c r="D330"/>
      <c r="E330"/>
      <c r="F330"/>
      <c r="G330"/>
      <c r="H330"/>
      <c r="I330"/>
      <c r="J330"/>
      <c r="K330"/>
    </row>
    <row r="331" spans="1:11" ht="15">
      <c r="A331"/>
      <c r="B331" s="3" t="s">
        <v>60</v>
      </c>
      <c r="C331" s="3" t="s">
        <v>61</v>
      </c>
      <c r="D331" s="3" t="s">
        <v>62</v>
      </c>
      <c r="E331" s="3" t="s">
        <v>63</v>
      </c>
      <c r="F331" s="3" t="s">
        <v>64</v>
      </c>
      <c r="G331" s="3" t="s">
        <v>69</v>
      </c>
      <c r="H331" s="3" t="s">
        <v>65</v>
      </c>
      <c r="I331" s="3" t="s">
        <v>66</v>
      </c>
      <c r="J331" s="3" t="s">
        <v>67</v>
      </c>
      <c r="K331"/>
    </row>
    <row r="332" spans="1:11" ht="15">
      <c r="A332" s="8" t="s">
        <v>251</v>
      </c>
      <c r="B332" s="4">
        <f>VLOOKUP(Vlookup!B298,'CDCM Forecast Data'!$A$14:$I$271,7,FALSE)</f>
        <v>0.2810621222726124</v>
      </c>
      <c r="C332" s="4">
        <f>VLOOKUP(Vlookup!C298,'CDCM Forecast Data'!$A$14:$I$271,7,FALSE)</f>
        <v>0.2810621222726124</v>
      </c>
      <c r="D332" s="4">
        <f>VLOOKUP(Vlookup!D298,'CDCM Forecast Data'!$A$14:$I$271,7,FALSE)</f>
        <v>0.2810621222726124</v>
      </c>
      <c r="E332" s="4">
        <f>VLOOKUP(Vlookup!E298,'CDCM Forecast Data'!$A$14:$I$271,7,FALSE)</f>
        <v>0.2810621222726124</v>
      </c>
      <c r="F332" s="4">
        <f>VLOOKUP(Vlookup!F298,'CDCM Forecast Data'!$A$14:$I$271,7,FALSE)</f>
        <v>0.2810621222726124</v>
      </c>
      <c r="G332" s="4">
        <f>VLOOKUP(Vlookup!G298,'CDCM Forecast Data'!$A$14:$I$271,7,FALSE)</f>
        <v>0.2810621222726124</v>
      </c>
      <c r="H332" s="4">
        <f>VLOOKUP(Vlookup!H298,'CDCM Forecast Data'!$A$14:$I$271,7,FALSE)</f>
        <v>0.2810621222726124</v>
      </c>
      <c r="I332" s="4">
        <f>VLOOKUP(Vlookup!I298,'CDCM Forecast Data'!$A$14:$I$271,7,FALSE)</f>
        <v>0.2810621222726124</v>
      </c>
      <c r="J332" s="4">
        <f>VLOOKUP(Vlookup!J298,'CDCM Forecast Data'!$A$14:$I$271,7,FALSE)</f>
        <v>0.2810621222726124</v>
      </c>
      <c r="K332" s="7" t="s">
        <v>262</v>
      </c>
    </row>
  </sheetData>
  <dataValidations count="7">
    <dataValidation type="decimal" allowBlank="1" showInputMessage="1" showErrorMessage="1" error="The number in this cell must be between 0% and 100%." sqref="B90:I90 B95:F98 B68:I83">
      <formula1>0</formula1>
      <formula2>1</formula2>
    </dataValidation>
    <dataValidation type="decimal" allowBlank="1" showInputMessage="1" showErrorMessage="1" error="The LDNO discount must be between 0% and 100%." sqref="B110">
      <formula1>0</formula1>
      <formula2>1</formula2>
    </dataValidation>
    <dataValidation type="decimal" allowBlank="1" showInputMessage="1" showErrorMessage="1" error="The coincidence factor must be between 0% and 100%." sqref="B118 B121">
      <formula1>0</formula1>
      <formula2>1</formula2>
    </dataValidation>
    <dataValidation type="textLength" operator="equal" allowBlank="1" showInputMessage="1" showErrorMessage="1" error="This cell should remain blank." sqref="B200:G200 B196:G196 B192:G192 B142:G142 B146:G146 B150:G150 B154:G154 B158:G158 B162:G162 B166:G166 B170:G170 B172:G172 B174:G174 B178:G178 B181:G181 B184:G184 B188:G188 B204:G204 B208:G208 B211:G211 B215:G215 B219:G219 B222:G222 B225:G225 B234:G234 B231:G231 B228:G228 B237:G237">
      <formula1>0</formula1>
    </dataValidation>
    <dataValidation type="decimal" allowBlank="1" showInputMessage="1" showErrorMessage="1" errorTitle="Invalid customer contribution" error="The customer contribution must be a non-negative percentage value." sqref="I258:I260 F260:G260 H259:H260">
      <formula1>0</formula1>
      <formula2>4</formula2>
    </dataValidation>
    <dataValidation type="decimal" operator="greaterThanOrEqual" allowBlank="1" showInputMessage="1" showErrorMessage="1" errorTitle="Volume data error" error="The volume must be a non-negative number." sqref="B223:G224 B189:G191 B212:G214 B197:G199 B185:G187 B201:G203 B147:G149 B151:G153 B155:G157 B159:G161 B163:G165 B171:G171 B167:G169 B179:G180 B182:G183 B175:G177 B143:G145 B173:G173 B193:G195 B205:G207 B209:G210 B216:G218 B235:G236 B220:G221 B226:G227 B232:G233 B229:G230 B238:G238">
      <formula1>0</formula1>
    </dataValidation>
    <dataValidation type="decimal" operator="greaterThanOrEqual" allowBlank="1" showInputMessage="1" showErrorMessage="1" sqref="B325">
      <formula1>0</formula1>
    </dataValidation>
  </dataValidation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K332"/>
  <sheetViews>
    <sheetView showGridLines="0" workbookViewId="0">
      <selection activeCell="A4" sqref="A4:K332"/>
    </sheetView>
  </sheetViews>
  <sheetFormatPr defaultColWidth="8.85546875" defaultRowHeight="12.75"/>
  <cols>
    <col min="1" max="1" width="50.7109375" style="26" customWidth="1"/>
    <col min="2" max="251" width="20.7109375" style="26" customWidth="1"/>
    <col min="252" max="16384" width="8.85546875" style="26"/>
  </cols>
  <sheetData>
    <row r="1" spans="1:11" ht="19.5">
      <c r="A1" s="1" t="s">
        <v>1479</v>
      </c>
      <c r="B1"/>
      <c r="C1"/>
      <c r="D1"/>
      <c r="E1"/>
      <c r="F1"/>
      <c r="G1"/>
      <c r="H1"/>
      <c r="I1"/>
      <c r="J1"/>
      <c r="K1"/>
    </row>
    <row r="2" spans="1:11" ht="15">
      <c r="A2" s="2"/>
      <c r="B2"/>
      <c r="C2"/>
      <c r="D2"/>
      <c r="E2"/>
      <c r="F2"/>
      <c r="G2"/>
      <c r="H2"/>
      <c r="I2"/>
      <c r="J2"/>
      <c r="K2"/>
    </row>
    <row r="3" spans="1:11" ht="15">
      <c r="A3"/>
      <c r="B3"/>
      <c r="C3"/>
      <c r="D3"/>
      <c r="E3"/>
      <c r="F3"/>
      <c r="G3"/>
      <c r="H3"/>
      <c r="I3"/>
      <c r="J3"/>
      <c r="K3"/>
    </row>
    <row r="4" spans="1:11" ht="19.5">
      <c r="A4" s="1" t="s">
        <v>0</v>
      </c>
      <c r="B4"/>
      <c r="C4"/>
      <c r="D4"/>
      <c r="E4"/>
      <c r="F4"/>
      <c r="G4"/>
      <c r="H4"/>
      <c r="I4"/>
      <c r="J4"/>
      <c r="K4"/>
    </row>
    <row r="5" spans="1:11" ht="15">
      <c r="A5" t="s">
        <v>262</v>
      </c>
      <c r="B5"/>
      <c r="C5"/>
      <c r="D5"/>
      <c r="E5"/>
      <c r="F5"/>
      <c r="G5"/>
      <c r="H5"/>
      <c r="I5"/>
      <c r="J5"/>
      <c r="K5"/>
    </row>
    <row r="6" spans="1:11" ht="15">
      <c r="A6"/>
      <c r="B6" s="3" t="s">
        <v>1</v>
      </c>
      <c r="C6" s="3" t="s">
        <v>2</v>
      </c>
      <c r="D6" s="3" t="s">
        <v>3</v>
      </c>
      <c r="E6"/>
      <c r="F6"/>
      <c r="G6"/>
      <c r="H6"/>
      <c r="I6"/>
      <c r="J6"/>
      <c r="K6"/>
    </row>
    <row r="7" spans="1:11" ht="15">
      <c r="A7" s="8" t="s">
        <v>4</v>
      </c>
      <c r="B7" s="9" t="str">
        <f>VLOOKUP(Vlookup!B7,'CDCM Forecast Data'!$A$14:$I$271,8,FALSE)</f>
        <v>West Mids</v>
      </c>
      <c r="C7" s="9">
        <f>VLOOKUP(Vlookup!C7,'CDCM Forecast Data'!$A$14:$I$271,8,FALSE)</f>
        <v>0</v>
      </c>
      <c r="D7" s="9" t="str">
        <f>VLOOKUP(Vlookup!D7,'CDCM Forecast Data'!$A$14:$I$271,8,FALSE)</f>
        <v>Forecast</v>
      </c>
      <c r="E7" s="7" t="s">
        <v>262</v>
      </c>
      <c r="F7"/>
      <c r="G7"/>
      <c r="H7"/>
      <c r="I7"/>
      <c r="J7"/>
      <c r="K7"/>
    </row>
    <row r="8" spans="1:11" ht="15">
      <c r="A8"/>
      <c r="B8"/>
      <c r="C8"/>
      <c r="D8"/>
      <c r="E8"/>
      <c r="F8"/>
      <c r="G8"/>
      <c r="H8"/>
      <c r="I8"/>
      <c r="J8"/>
      <c r="K8"/>
    </row>
    <row r="9" spans="1:11" ht="19.5">
      <c r="A9" s="1" t="s">
        <v>45</v>
      </c>
      <c r="B9"/>
      <c r="C9"/>
      <c r="D9"/>
      <c r="E9"/>
      <c r="F9"/>
      <c r="G9"/>
      <c r="H9"/>
      <c r="I9"/>
      <c r="J9"/>
      <c r="K9"/>
    </row>
    <row r="10" spans="1:11" ht="15">
      <c r="A10" s="2"/>
      <c r="B10"/>
      <c r="C10"/>
      <c r="D10"/>
      <c r="E10"/>
      <c r="F10"/>
      <c r="G10"/>
      <c r="H10"/>
      <c r="I10"/>
      <c r="J10"/>
      <c r="K10"/>
    </row>
    <row r="11" spans="1:11" ht="15">
      <c r="A11" s="2" t="s">
        <v>46</v>
      </c>
      <c r="B11"/>
      <c r="C11"/>
      <c r="D11"/>
      <c r="E11"/>
      <c r="F11"/>
      <c r="G11"/>
      <c r="H11"/>
      <c r="I11"/>
      <c r="J11"/>
      <c r="K11"/>
    </row>
    <row r="12" spans="1:11" ht="15">
      <c r="A12" t="s">
        <v>47</v>
      </c>
      <c r="B12"/>
      <c r="C12"/>
      <c r="D12"/>
      <c r="E12"/>
      <c r="F12"/>
      <c r="G12"/>
      <c r="H12"/>
      <c r="I12"/>
      <c r="J12"/>
      <c r="K12"/>
    </row>
    <row r="13" spans="1:11" ht="45">
      <c r="A13"/>
      <c r="B13" s="3" t="s">
        <v>48</v>
      </c>
      <c r="C13" s="3" t="s">
        <v>49</v>
      </c>
      <c r="D13" s="3" t="s">
        <v>50</v>
      </c>
      <c r="E13" s="3" t="s">
        <v>51</v>
      </c>
      <c r="F13" s="3" t="s">
        <v>1398</v>
      </c>
      <c r="G13"/>
      <c r="H13"/>
      <c r="I13"/>
      <c r="J13"/>
      <c r="K13"/>
    </row>
    <row r="14" spans="1:11" ht="15">
      <c r="A14" s="8" t="s">
        <v>52</v>
      </c>
      <c r="B14" s="11">
        <f>VLOOKUP(Vlookup!B14,'CDCM Forecast Data'!$A$14:$I$271,8,FALSE)</f>
        <v>4.3099999999999999E-2</v>
      </c>
      <c r="C14" s="10">
        <f>VLOOKUP(Vlookup!C14,'CDCM Forecast Data'!$A$14:$I$271,8,FALSE)</f>
        <v>40</v>
      </c>
      <c r="D14" s="5"/>
      <c r="E14" s="4">
        <f>VLOOKUP(Vlookup!E14,'CDCM Forecast Data'!$A$14:$I$271,8,FALSE)</f>
        <v>0.95</v>
      </c>
      <c r="F14" s="10">
        <f>VLOOKUP(Vlookup!F14,'CDCM Forecast Data'!$A$14:$I$271,8,FALSE)</f>
        <v>365</v>
      </c>
      <c r="G14" s="7" t="s">
        <v>262</v>
      </c>
      <c r="H14"/>
      <c r="I14"/>
      <c r="J14"/>
      <c r="K14"/>
    </row>
    <row r="15" spans="1:11" ht="15">
      <c r="A15"/>
      <c r="B15"/>
      <c r="C15"/>
      <c r="D15"/>
      <c r="E15"/>
      <c r="F15"/>
      <c r="G15"/>
      <c r="H15"/>
      <c r="I15"/>
      <c r="J15"/>
      <c r="K15"/>
    </row>
    <row r="16" spans="1:11" ht="19.5">
      <c r="A16" s="1" t="s">
        <v>53</v>
      </c>
      <c r="B16"/>
      <c r="C16"/>
      <c r="D16"/>
      <c r="E16"/>
      <c r="F16"/>
      <c r="G16"/>
      <c r="H16"/>
      <c r="I16"/>
      <c r="J16"/>
      <c r="K16"/>
    </row>
    <row r="17" spans="1:11" ht="15">
      <c r="A17" s="2"/>
      <c r="B17"/>
      <c r="C17"/>
      <c r="D17"/>
      <c r="E17"/>
      <c r="F17"/>
      <c r="G17"/>
      <c r="H17"/>
      <c r="I17"/>
      <c r="J17"/>
      <c r="K17"/>
    </row>
    <row r="18" spans="1:11" ht="15">
      <c r="A18" s="2" t="s">
        <v>54</v>
      </c>
      <c r="B18"/>
      <c r="C18"/>
      <c r="D18"/>
      <c r="E18"/>
      <c r="F18"/>
      <c r="G18"/>
      <c r="H18"/>
      <c r="I18"/>
      <c r="J18"/>
      <c r="K18"/>
    </row>
    <row r="19" spans="1:11" ht="15">
      <c r="A19" s="2" t="s">
        <v>55</v>
      </c>
      <c r="B19"/>
      <c r="C19"/>
      <c r="D19"/>
      <c r="E19"/>
      <c r="F19"/>
      <c r="G19"/>
      <c r="H19"/>
      <c r="I19"/>
      <c r="J19"/>
      <c r="K19"/>
    </row>
    <row r="20" spans="1:11" ht="15">
      <c r="A20" s="2" t="s">
        <v>56</v>
      </c>
      <c r="B20"/>
      <c r="C20"/>
      <c r="D20"/>
      <c r="E20"/>
      <c r="F20"/>
      <c r="G20"/>
      <c r="H20"/>
      <c r="I20"/>
      <c r="J20"/>
      <c r="K20"/>
    </row>
    <row r="21" spans="1:11" ht="15">
      <c r="A21" s="2" t="s">
        <v>57</v>
      </c>
      <c r="B21"/>
      <c r="C21"/>
      <c r="D21"/>
      <c r="E21"/>
      <c r="F21"/>
      <c r="G21"/>
      <c r="H21"/>
      <c r="I21"/>
      <c r="J21"/>
      <c r="K21"/>
    </row>
    <row r="22" spans="1:11" ht="15">
      <c r="A22" t="s">
        <v>58</v>
      </c>
      <c r="B22"/>
      <c r="C22"/>
      <c r="D22"/>
      <c r="E22"/>
      <c r="F22"/>
      <c r="G22"/>
      <c r="H22"/>
      <c r="I22"/>
      <c r="J22"/>
      <c r="K22"/>
    </row>
    <row r="23" spans="1:11" ht="60">
      <c r="A23"/>
      <c r="B23" s="3" t="s">
        <v>59</v>
      </c>
      <c r="C23"/>
      <c r="D23"/>
      <c r="E23"/>
      <c r="F23"/>
      <c r="G23"/>
      <c r="H23"/>
      <c r="I23"/>
      <c r="J23"/>
      <c r="K23"/>
    </row>
    <row r="24" spans="1:11" ht="15">
      <c r="A24" s="8" t="s">
        <v>60</v>
      </c>
      <c r="B24" s="11">
        <f>VLOOKUP(Vlookup!B24,'CDCM Forecast Data'!$A$14:$I$271,8,FALSE)</f>
        <v>5.649040831841079E-2</v>
      </c>
      <c r="C24" s="7" t="s">
        <v>262</v>
      </c>
      <c r="D24"/>
      <c r="E24"/>
      <c r="F24"/>
      <c r="G24"/>
      <c r="H24"/>
      <c r="I24"/>
      <c r="J24"/>
      <c r="K24"/>
    </row>
    <row r="25" spans="1:11" ht="15">
      <c r="A25" s="8" t="s">
        <v>61</v>
      </c>
      <c r="B25" s="11">
        <f>VLOOKUP(Vlookup!B25,'CDCM Forecast Data'!$A$14:$I$271,8,FALSE)</f>
        <v>2.5568682496299511E-2</v>
      </c>
      <c r="C25" s="7" t="s">
        <v>262</v>
      </c>
      <c r="D25"/>
      <c r="E25"/>
      <c r="F25"/>
      <c r="G25"/>
      <c r="H25"/>
      <c r="I25"/>
      <c r="J25"/>
      <c r="K25"/>
    </row>
    <row r="26" spans="1:11" ht="15">
      <c r="A26" s="8" t="s">
        <v>62</v>
      </c>
      <c r="B26" s="6"/>
      <c r="C26" s="7" t="s">
        <v>262</v>
      </c>
      <c r="D26"/>
      <c r="E26"/>
      <c r="F26"/>
      <c r="G26"/>
      <c r="H26"/>
      <c r="I26"/>
      <c r="J26"/>
      <c r="K26"/>
    </row>
    <row r="27" spans="1:11" ht="15">
      <c r="A27" s="8" t="s">
        <v>63</v>
      </c>
      <c r="B27" s="11">
        <f>VLOOKUP(Vlookup!B27,'CDCM Forecast Data'!$A$14:$I$271,8,FALSE)</f>
        <v>2.6631596666738533E-2</v>
      </c>
      <c r="C27" s="7" t="s">
        <v>262</v>
      </c>
      <c r="D27"/>
      <c r="E27"/>
      <c r="F27"/>
      <c r="G27"/>
      <c r="H27"/>
      <c r="I27"/>
      <c r="J27"/>
      <c r="K27"/>
    </row>
    <row r="28" spans="1:11" ht="15">
      <c r="A28" s="8" t="s">
        <v>64</v>
      </c>
      <c r="B28" s="6"/>
      <c r="C28" s="7" t="s">
        <v>262</v>
      </c>
      <c r="D28"/>
      <c r="E28"/>
      <c r="F28"/>
      <c r="G28"/>
      <c r="H28"/>
      <c r="I28"/>
      <c r="J28"/>
      <c r="K28"/>
    </row>
    <row r="29" spans="1:11" ht="15">
      <c r="A29" s="8" t="s">
        <v>65</v>
      </c>
      <c r="B29" s="11">
        <f>VLOOKUP(Vlookup!B29,'CDCM Forecast Data'!$A$14:$I$271,8,FALSE)</f>
        <v>0.34000000000000008</v>
      </c>
      <c r="C29" s="7" t="s">
        <v>262</v>
      </c>
      <c r="D29"/>
      <c r="E29"/>
      <c r="F29"/>
      <c r="G29"/>
      <c r="H29"/>
      <c r="I29"/>
      <c r="J29"/>
      <c r="K29"/>
    </row>
    <row r="30" spans="1:11" ht="15">
      <c r="A30" s="8" t="s">
        <v>66</v>
      </c>
      <c r="B30" s="6"/>
      <c r="C30" s="7" t="s">
        <v>262</v>
      </c>
      <c r="D30"/>
      <c r="E30"/>
      <c r="F30"/>
      <c r="G30"/>
      <c r="H30"/>
      <c r="I30"/>
      <c r="J30"/>
      <c r="K30"/>
    </row>
    <row r="31" spans="1:11" ht="15">
      <c r="A31" s="8" t="s">
        <v>67</v>
      </c>
      <c r="B31" s="6"/>
      <c r="C31" s="7" t="s">
        <v>262</v>
      </c>
      <c r="D31"/>
      <c r="E31"/>
      <c r="F31"/>
      <c r="G31"/>
      <c r="H31"/>
      <c r="I31"/>
      <c r="J31"/>
      <c r="K31"/>
    </row>
    <row r="32" spans="1:11" ht="15">
      <c r="A32"/>
      <c r="B32"/>
      <c r="C32"/>
      <c r="D32"/>
      <c r="E32"/>
      <c r="F32"/>
      <c r="G32"/>
      <c r="H32"/>
      <c r="I32"/>
      <c r="J32"/>
      <c r="K32"/>
    </row>
    <row r="33" spans="1:11" ht="19.5">
      <c r="A33" s="1" t="s">
        <v>68</v>
      </c>
      <c r="B33"/>
      <c r="C33"/>
      <c r="D33"/>
      <c r="E33"/>
      <c r="F33"/>
      <c r="G33"/>
      <c r="H33"/>
      <c r="I33"/>
      <c r="J33"/>
      <c r="K33"/>
    </row>
    <row r="34" spans="1:11" ht="15">
      <c r="A34" t="s">
        <v>262</v>
      </c>
      <c r="B34"/>
      <c r="C34"/>
      <c r="D34"/>
      <c r="E34"/>
      <c r="F34"/>
      <c r="G34"/>
      <c r="H34"/>
      <c r="I34"/>
      <c r="J34"/>
      <c r="K34"/>
    </row>
    <row r="35" spans="1:11" ht="15">
      <c r="A35"/>
      <c r="B35" s="3" t="s">
        <v>69</v>
      </c>
      <c r="C35"/>
      <c r="D35"/>
      <c r="E35"/>
      <c r="F35"/>
      <c r="G35"/>
      <c r="H35"/>
      <c r="I35"/>
      <c r="J35"/>
      <c r="K35"/>
    </row>
    <row r="36" spans="1:11" ht="15">
      <c r="A36" s="8" t="s">
        <v>64</v>
      </c>
      <c r="B36" s="11">
        <f>VLOOKUP(Vlookup!B36,'CDCM Forecast Data'!$A$14:$I$271,8,FALSE)</f>
        <v>0.69256562916818787</v>
      </c>
      <c r="C36" s="7" t="s">
        <v>262</v>
      </c>
      <c r="D36"/>
      <c r="E36"/>
      <c r="F36"/>
      <c r="G36"/>
      <c r="H36"/>
      <c r="I36"/>
      <c r="J36"/>
      <c r="K36"/>
    </row>
    <row r="37" spans="1:11" ht="15">
      <c r="A37"/>
      <c r="B37"/>
      <c r="C37"/>
      <c r="D37"/>
      <c r="E37"/>
      <c r="F37"/>
      <c r="G37"/>
      <c r="H37"/>
      <c r="I37"/>
      <c r="J37"/>
      <c r="K37"/>
    </row>
    <row r="38" spans="1:11" ht="19.5">
      <c r="A38" s="1" t="s">
        <v>70</v>
      </c>
      <c r="B38"/>
      <c r="C38"/>
      <c r="D38"/>
      <c r="E38"/>
      <c r="F38"/>
      <c r="G38"/>
      <c r="H38"/>
      <c r="I38"/>
      <c r="J38"/>
      <c r="K38"/>
    </row>
    <row r="39" spans="1:11" ht="15">
      <c r="A39"/>
      <c r="B39"/>
      <c r="C39"/>
      <c r="D39"/>
      <c r="E39"/>
      <c r="F39"/>
      <c r="G39"/>
      <c r="H39"/>
      <c r="I39"/>
      <c r="J39"/>
      <c r="K39"/>
    </row>
    <row r="40" spans="1:11" ht="30">
      <c r="A40"/>
      <c r="B40" s="3" t="s">
        <v>71</v>
      </c>
      <c r="C40"/>
      <c r="D40"/>
      <c r="E40"/>
      <c r="F40"/>
      <c r="G40"/>
      <c r="H40"/>
      <c r="I40"/>
      <c r="J40"/>
      <c r="K40"/>
    </row>
    <row r="41" spans="1:11" ht="15">
      <c r="A41" s="8" t="s">
        <v>71</v>
      </c>
      <c r="B41" s="10">
        <f>VLOOKUP(Vlookup!B41,'CDCM Forecast Data'!$A$14:$I$271,8,FALSE)</f>
        <v>500</v>
      </c>
      <c r="C41" s="7" t="s">
        <v>262</v>
      </c>
      <c r="D41"/>
      <c r="E41"/>
      <c r="F41"/>
      <c r="G41"/>
      <c r="H41"/>
      <c r="I41"/>
      <c r="J41"/>
      <c r="K41"/>
    </row>
    <row r="42" spans="1:11" ht="15">
      <c r="A42"/>
      <c r="B42"/>
      <c r="C42"/>
      <c r="D42"/>
      <c r="E42"/>
      <c r="F42"/>
      <c r="G42"/>
      <c r="H42"/>
      <c r="I42"/>
      <c r="J42"/>
      <c r="K42"/>
    </row>
    <row r="43" spans="1:11" ht="19.5">
      <c r="A43" s="1" t="s">
        <v>72</v>
      </c>
      <c r="B43"/>
      <c r="C43"/>
      <c r="D43"/>
      <c r="E43"/>
      <c r="F43"/>
      <c r="G43"/>
      <c r="H43"/>
      <c r="I43"/>
      <c r="J43"/>
      <c r="K43"/>
    </row>
    <row r="44" spans="1:11" ht="15">
      <c r="A44"/>
      <c r="B44"/>
      <c r="C44"/>
      <c r="D44"/>
      <c r="E44"/>
      <c r="F44"/>
      <c r="G44"/>
      <c r="H44"/>
      <c r="I44"/>
      <c r="J44"/>
      <c r="K44"/>
    </row>
    <row r="45" spans="1:11" ht="15">
      <c r="A45"/>
      <c r="B45" s="3" t="s">
        <v>73</v>
      </c>
      <c r="C45"/>
      <c r="D45"/>
      <c r="E45"/>
      <c r="F45"/>
      <c r="G45"/>
      <c r="H45"/>
      <c r="I45"/>
      <c r="J45"/>
      <c r="K45"/>
    </row>
    <row r="46" spans="1:11" ht="15">
      <c r="A46" s="8" t="s">
        <v>61</v>
      </c>
      <c r="B46" s="10">
        <f>VLOOKUP(Vlookup!B46,'CDCM Forecast Data'!$A$14:$I$271,8,FALSE)</f>
        <v>53711588.48793523</v>
      </c>
      <c r="C46" s="7" t="s">
        <v>262</v>
      </c>
      <c r="D46"/>
      <c r="E46"/>
      <c r="F46"/>
      <c r="G46"/>
      <c r="H46"/>
      <c r="I46"/>
      <c r="J46"/>
      <c r="K46"/>
    </row>
    <row r="47" spans="1:11" ht="15">
      <c r="A47" s="8" t="s">
        <v>62</v>
      </c>
      <c r="B47" s="10">
        <f>VLOOKUP(Vlookup!B47,'CDCM Forecast Data'!$A$14:$I$271,8,FALSE)</f>
        <v>12295327.169731388</v>
      </c>
      <c r="C47" s="7" t="s">
        <v>262</v>
      </c>
      <c r="D47"/>
      <c r="E47"/>
      <c r="F47"/>
      <c r="G47"/>
      <c r="H47"/>
      <c r="I47"/>
      <c r="J47"/>
      <c r="K47"/>
    </row>
    <row r="48" spans="1:11" ht="15">
      <c r="A48" s="8" t="s">
        <v>63</v>
      </c>
      <c r="B48" s="10">
        <f>VLOOKUP(Vlookup!B48,'CDCM Forecast Data'!$A$14:$I$271,8,FALSE)</f>
        <v>12669423.004380248</v>
      </c>
      <c r="C48" s="7" t="s">
        <v>262</v>
      </c>
      <c r="D48"/>
      <c r="E48"/>
      <c r="F48"/>
      <c r="G48"/>
      <c r="H48"/>
      <c r="I48"/>
      <c r="J48"/>
      <c r="K48"/>
    </row>
    <row r="49" spans="1:11" ht="15">
      <c r="A49" s="8" t="s">
        <v>64</v>
      </c>
      <c r="B49" s="10">
        <f>VLOOKUP(Vlookup!B49,'CDCM Forecast Data'!$A$14:$I$271,8,FALSE)</f>
        <v>23941569.166655373</v>
      </c>
      <c r="C49" s="7" t="s">
        <v>262</v>
      </c>
      <c r="D49"/>
      <c r="E49"/>
      <c r="F49"/>
      <c r="G49"/>
      <c r="H49"/>
      <c r="I49"/>
      <c r="J49"/>
      <c r="K49"/>
    </row>
    <row r="50" spans="1:11" ht="15">
      <c r="A50" s="8" t="s">
        <v>69</v>
      </c>
      <c r="B50" s="10">
        <f>VLOOKUP(Vlookup!B50,'CDCM Forecast Data'!$A$14:$I$271,8,FALSE)</f>
        <v>25522990.922727507</v>
      </c>
      <c r="C50" s="7" t="s">
        <v>262</v>
      </c>
      <c r="D50"/>
      <c r="E50"/>
      <c r="F50"/>
      <c r="G50"/>
      <c r="H50"/>
      <c r="I50"/>
      <c r="J50"/>
      <c r="K50"/>
    </row>
    <row r="51" spans="1:11" ht="15">
      <c r="A51" s="8" t="s">
        <v>65</v>
      </c>
      <c r="B51" s="10">
        <f>VLOOKUP(Vlookup!B51,'CDCM Forecast Data'!$A$14:$I$271,8,FALSE)</f>
        <v>165735272.78027713</v>
      </c>
      <c r="C51" s="7" t="s">
        <v>262</v>
      </c>
      <c r="D51"/>
      <c r="E51"/>
      <c r="F51"/>
      <c r="G51"/>
      <c r="H51"/>
      <c r="I51"/>
      <c r="J51"/>
      <c r="K51"/>
    </row>
    <row r="52" spans="1:11" ht="15">
      <c r="A52" s="8" t="s">
        <v>66</v>
      </c>
      <c r="B52" s="10">
        <f>VLOOKUP(Vlookup!B52,'CDCM Forecast Data'!$A$14:$I$271,8,FALSE)</f>
        <v>74781251.906048328</v>
      </c>
      <c r="C52" s="7" t="s">
        <v>262</v>
      </c>
      <c r="D52"/>
      <c r="E52"/>
      <c r="F52"/>
      <c r="G52"/>
      <c r="H52"/>
      <c r="I52"/>
      <c r="J52"/>
      <c r="K52"/>
    </row>
    <row r="53" spans="1:11" ht="15">
      <c r="A53" s="8" t="s">
        <v>67</v>
      </c>
      <c r="B53" s="10">
        <f>VLOOKUP(Vlookup!B53,'CDCM Forecast Data'!$A$14:$I$271,8,FALSE)</f>
        <v>170395328.51484513</v>
      </c>
      <c r="C53" s="7" t="s">
        <v>262</v>
      </c>
      <c r="D53"/>
      <c r="E53"/>
      <c r="F53"/>
      <c r="G53"/>
      <c r="H53"/>
      <c r="I53"/>
      <c r="J53"/>
      <c r="K53"/>
    </row>
    <row r="54" spans="1:11" ht="15">
      <c r="A54"/>
      <c r="B54"/>
      <c r="C54"/>
      <c r="D54"/>
      <c r="E54"/>
      <c r="F54"/>
      <c r="G54"/>
      <c r="H54"/>
      <c r="I54"/>
      <c r="J54"/>
      <c r="K54"/>
    </row>
    <row r="55" spans="1:11" ht="19.5">
      <c r="A55" s="1" t="s">
        <v>74</v>
      </c>
      <c r="B55"/>
      <c r="C55"/>
      <c r="D55"/>
      <c r="E55"/>
      <c r="F55"/>
      <c r="G55"/>
      <c r="H55"/>
      <c r="I55"/>
      <c r="J55"/>
      <c r="K55"/>
    </row>
    <row r="56" spans="1:11" ht="15">
      <c r="A56"/>
      <c r="B56"/>
      <c r="C56"/>
      <c r="D56"/>
      <c r="E56"/>
      <c r="F56"/>
      <c r="G56"/>
      <c r="H56"/>
      <c r="I56"/>
      <c r="J56"/>
      <c r="K56"/>
    </row>
    <row r="57" spans="1:11" ht="15">
      <c r="A57"/>
      <c r="B57" s="3" t="s">
        <v>75</v>
      </c>
      <c r="C57" s="3" t="s">
        <v>76</v>
      </c>
      <c r="D57" s="3" t="s">
        <v>77</v>
      </c>
      <c r="E57" s="3" t="s">
        <v>78</v>
      </c>
      <c r="F57" s="3" t="s">
        <v>79</v>
      </c>
      <c r="G57" s="3" t="s">
        <v>80</v>
      </c>
      <c r="H57" s="3" t="s">
        <v>81</v>
      </c>
      <c r="I57" s="3" t="s">
        <v>82</v>
      </c>
      <c r="J57"/>
      <c r="K57"/>
    </row>
    <row r="58" spans="1:11" ht="15">
      <c r="A58" s="8" t="s">
        <v>83</v>
      </c>
      <c r="B58" s="10">
        <f>VLOOKUP(Vlookup!B58,'CDCM Forecast Data'!$A$14:$I$271,8,FALSE)</f>
        <v>5742.9753729060094</v>
      </c>
      <c r="C58" s="10">
        <f>VLOOKUP(Vlookup!C58,'CDCM Forecast Data'!$A$14:$I$271,8,FALSE)</f>
        <v>646.02731181056231</v>
      </c>
      <c r="D58" s="10">
        <f>VLOOKUP(Vlookup!D58,'CDCM Forecast Data'!$A$14:$I$271,8,FALSE)</f>
        <v>786.53364952735785</v>
      </c>
      <c r="E58" s="10">
        <f>VLOOKUP(Vlookup!E58,'CDCM Forecast Data'!$A$14:$I$271,8,FALSE)</f>
        <v>583.30905954463344</v>
      </c>
      <c r="F58" s="10">
        <f>VLOOKUP(Vlookup!F58,'CDCM Forecast Data'!$A$14:$I$271,8,FALSE)</f>
        <v>1325.9913036190585</v>
      </c>
      <c r="G58" s="10">
        <f>VLOOKUP(Vlookup!G58,'CDCM Forecast Data'!$A$14:$I$271,8,FALSE)</f>
        <v>1021.2958585635465</v>
      </c>
      <c r="H58" s="10">
        <f>VLOOKUP(Vlookup!H58,'CDCM Forecast Data'!$A$14:$I$271,8,FALSE)</f>
        <v>0</v>
      </c>
      <c r="I58" s="10">
        <f>VLOOKUP(Vlookup!I58,'CDCM Forecast Data'!$A$14:$I$271,8,FALSE)</f>
        <v>534.14369249972322</v>
      </c>
      <c r="J58" s="7" t="s">
        <v>262</v>
      </c>
      <c r="K58"/>
    </row>
    <row r="59" spans="1:11" ht="15">
      <c r="A59"/>
      <c r="B59"/>
      <c r="C59"/>
      <c r="D59"/>
      <c r="E59"/>
      <c r="F59"/>
      <c r="G59"/>
      <c r="H59"/>
      <c r="I59"/>
      <c r="J59"/>
      <c r="K59"/>
    </row>
    <row r="60" spans="1:11" ht="19.5">
      <c r="A60" s="1" t="s">
        <v>84</v>
      </c>
      <c r="B60"/>
      <c r="C60"/>
      <c r="D60"/>
      <c r="E60"/>
      <c r="F60"/>
      <c r="G60"/>
      <c r="H60"/>
      <c r="I60"/>
      <c r="J60"/>
      <c r="K60"/>
    </row>
    <row r="61" spans="1:11" ht="15">
      <c r="A61"/>
      <c r="B61"/>
      <c r="C61"/>
      <c r="D61"/>
      <c r="E61"/>
      <c r="F61"/>
      <c r="G61"/>
      <c r="H61"/>
      <c r="I61"/>
      <c r="J61"/>
      <c r="K61"/>
    </row>
    <row r="62" spans="1:11" ht="15">
      <c r="A62"/>
      <c r="B62" s="3" t="s">
        <v>85</v>
      </c>
      <c r="C62" s="3" t="s">
        <v>86</v>
      </c>
      <c r="D62" s="3" t="s">
        <v>87</v>
      </c>
      <c r="E62" s="3" t="s">
        <v>88</v>
      </c>
      <c r="F62" s="3" t="s">
        <v>89</v>
      </c>
      <c r="G62"/>
      <c r="H62"/>
      <c r="I62"/>
      <c r="J62"/>
      <c r="K62"/>
    </row>
    <row r="63" spans="1:11" ht="15">
      <c r="A63" s="8" t="s">
        <v>90</v>
      </c>
      <c r="B63" s="10">
        <f>VLOOKUP(Vlookup!B63,'CDCM Forecast Data'!$A$14:$I$271,8,FALSE)</f>
        <v>10132.439993849537</v>
      </c>
      <c r="C63" s="10">
        <f>VLOOKUP(Vlookup!C63,'CDCM Forecast Data'!$A$14:$I$271,8,FALSE)</f>
        <v>4885.1916062569762</v>
      </c>
      <c r="D63" s="10">
        <f>VLOOKUP(Vlookup!D63,'CDCM Forecast Data'!$A$14:$I$271,8,FALSE)</f>
        <v>0</v>
      </c>
      <c r="E63" s="10">
        <f>VLOOKUP(Vlookup!E63,'CDCM Forecast Data'!$A$14:$I$271,8,FALSE)</f>
        <v>0</v>
      </c>
      <c r="F63" s="10">
        <f>VLOOKUP(Vlookup!F63,'CDCM Forecast Data'!$A$14:$I$271,8,FALSE)</f>
        <v>0</v>
      </c>
      <c r="G63" s="7" t="s">
        <v>262</v>
      </c>
      <c r="H63"/>
      <c r="I63"/>
      <c r="J63"/>
      <c r="K63"/>
    </row>
    <row r="64" spans="1:11" ht="15">
      <c r="A64"/>
      <c r="B64"/>
      <c r="C64"/>
      <c r="D64"/>
      <c r="E64"/>
      <c r="F64"/>
      <c r="G64"/>
      <c r="H64"/>
      <c r="I64"/>
      <c r="J64"/>
      <c r="K64"/>
    </row>
    <row r="65" spans="1:11" ht="19.5">
      <c r="A65" s="1" t="s">
        <v>91</v>
      </c>
      <c r="B65"/>
      <c r="C65"/>
      <c r="D65"/>
      <c r="E65"/>
      <c r="F65"/>
      <c r="G65"/>
      <c r="H65"/>
      <c r="I65"/>
      <c r="J65"/>
      <c r="K65"/>
    </row>
    <row r="66" spans="1:11" ht="15">
      <c r="A66"/>
      <c r="B66">
        <v>26</v>
      </c>
      <c r="C66">
        <f t="shared" ref="C66:I66" si="0">B66+1</f>
        <v>27</v>
      </c>
      <c r="D66">
        <f t="shared" si="0"/>
        <v>28</v>
      </c>
      <c r="E66">
        <f t="shared" si="0"/>
        <v>29</v>
      </c>
      <c r="F66">
        <f t="shared" si="0"/>
        <v>30</v>
      </c>
      <c r="G66">
        <f t="shared" si="0"/>
        <v>31</v>
      </c>
      <c r="H66">
        <f t="shared" si="0"/>
        <v>32</v>
      </c>
      <c r="I66">
        <f t="shared" si="0"/>
        <v>33</v>
      </c>
      <c r="J66"/>
      <c r="K66"/>
    </row>
    <row r="67" spans="1:11" ht="15">
      <c r="A67"/>
      <c r="B67" s="3" t="s">
        <v>75</v>
      </c>
      <c r="C67" s="3" t="s">
        <v>76</v>
      </c>
      <c r="D67" s="3" t="s">
        <v>77</v>
      </c>
      <c r="E67" s="3" t="s">
        <v>78</v>
      </c>
      <c r="F67" s="3" t="s">
        <v>79</v>
      </c>
      <c r="G67" s="3" t="s">
        <v>80</v>
      </c>
      <c r="H67" s="3" t="s">
        <v>81</v>
      </c>
      <c r="I67" s="3" t="s">
        <v>82</v>
      </c>
      <c r="J67"/>
      <c r="K67"/>
    </row>
    <row r="68" spans="1:11" ht="15">
      <c r="A68" s="8" t="s">
        <v>92</v>
      </c>
      <c r="B68" s="11">
        <f>VLOOKUP($A68,'Mat of App'!$B$7:$AP$37,B$66,FALSE)</f>
        <v>0.05</v>
      </c>
      <c r="C68" s="11">
        <f>VLOOKUP($A68,'Mat of App'!$B$7:$AP$37,C$66,FALSE)</f>
        <v>0</v>
      </c>
      <c r="D68" s="11">
        <f>VLOOKUP($A68,'Mat of App'!$B$7:$AP$37,D$66,FALSE)</f>
        <v>0</v>
      </c>
      <c r="E68" s="11">
        <f>VLOOKUP($A68,'Mat of App'!$B$7:$AP$37,E$66,FALSE)</f>
        <v>0</v>
      </c>
      <c r="F68" s="11">
        <f>VLOOKUP($A68,'Mat of App'!$B$7:$AP$37,F$66,FALSE)</f>
        <v>0</v>
      </c>
      <c r="G68" s="11">
        <f>VLOOKUP($A68,'Mat of App'!$B$7:$AP$37,G$66,FALSE)</f>
        <v>0</v>
      </c>
      <c r="H68" s="11">
        <f>VLOOKUP($A68,'Mat of App'!$B$7:$AP$37,H$66,FALSE)</f>
        <v>0</v>
      </c>
      <c r="I68" s="11">
        <f>VLOOKUP($A68,'Mat of App'!$B$7:$AP$37,I$66,FALSE)</f>
        <v>0</v>
      </c>
      <c r="J68" s="7" t="s">
        <v>262</v>
      </c>
      <c r="K68"/>
    </row>
    <row r="69" spans="1:11" ht="15">
      <c r="A69" s="8" t="s">
        <v>93</v>
      </c>
      <c r="B69" s="11">
        <f>VLOOKUP($A69,'Mat of App'!$B$7:$AP$37,B$66,FALSE)</f>
        <v>0.05</v>
      </c>
      <c r="C69" s="11">
        <f>VLOOKUP($A69,'Mat of App'!$B$7:$AP$37,C$66,FALSE)</f>
        <v>0</v>
      </c>
      <c r="D69" s="11">
        <f>VLOOKUP($A69,'Mat of App'!$B$7:$AP$37,D$66,FALSE)</f>
        <v>0</v>
      </c>
      <c r="E69" s="11">
        <f>VLOOKUP($A69,'Mat of App'!$B$7:$AP$37,E$66,FALSE)</f>
        <v>0</v>
      </c>
      <c r="F69" s="11">
        <f>VLOOKUP($A69,'Mat of App'!$B$7:$AP$37,F$66,FALSE)</f>
        <v>0</v>
      </c>
      <c r="G69" s="11">
        <f>VLOOKUP($A69,'Mat of App'!$B$7:$AP$37,G$66,FALSE)</f>
        <v>0</v>
      </c>
      <c r="H69" s="11">
        <f>VLOOKUP($A69,'Mat of App'!$B$7:$AP$37,H$66,FALSE)</f>
        <v>0</v>
      </c>
      <c r="I69" s="11">
        <f>VLOOKUP($A69,'Mat of App'!$B$7:$AP$37,I$66,FALSE)</f>
        <v>0</v>
      </c>
      <c r="J69" s="7" t="s">
        <v>262</v>
      </c>
      <c r="K69"/>
    </row>
    <row r="70" spans="1:11" ht="15">
      <c r="A70" s="8" t="s">
        <v>94</v>
      </c>
      <c r="B70" s="11">
        <f>VLOOKUP($A70,'Mat of App'!$B$7:$AP$37,B$66,FALSE)</f>
        <v>0</v>
      </c>
      <c r="C70" s="11">
        <f>VLOOKUP($A70,'Mat of App'!$B$7:$AP$37,C$66,FALSE)</f>
        <v>1</v>
      </c>
      <c r="D70" s="11">
        <f>VLOOKUP($A70,'Mat of App'!$B$7:$AP$37,D$66,FALSE)</f>
        <v>0</v>
      </c>
      <c r="E70" s="11">
        <f>VLOOKUP($A70,'Mat of App'!$B$7:$AP$37,E$66,FALSE)</f>
        <v>0</v>
      </c>
      <c r="F70" s="11">
        <f>VLOOKUP($A70,'Mat of App'!$B$7:$AP$37,F$66,FALSE)</f>
        <v>0</v>
      </c>
      <c r="G70" s="11">
        <f>VLOOKUP($A70,'Mat of App'!$B$7:$AP$37,G$66,FALSE)</f>
        <v>0</v>
      </c>
      <c r="H70" s="11">
        <f>VLOOKUP($A70,'Mat of App'!$B$7:$AP$37,H$66,FALSE)</f>
        <v>0</v>
      </c>
      <c r="I70" s="11">
        <f>VLOOKUP($A70,'Mat of App'!$B$7:$AP$37,I$66,FALSE)</f>
        <v>0</v>
      </c>
      <c r="J70" s="7" t="s">
        <v>262</v>
      </c>
      <c r="K70"/>
    </row>
    <row r="71" spans="1:11" ht="15">
      <c r="A71" s="8" t="s">
        <v>95</v>
      </c>
      <c r="B71" s="11">
        <f>VLOOKUP($A71,'Mat of App'!$B$7:$AP$37,B$66,FALSE)</f>
        <v>0</v>
      </c>
      <c r="C71" s="11">
        <f>VLOOKUP($A71,'Mat of App'!$B$7:$AP$37,C$66,FALSE)</f>
        <v>1</v>
      </c>
      <c r="D71" s="11">
        <f>VLOOKUP($A71,'Mat of App'!$B$7:$AP$37,D$66,FALSE)</f>
        <v>0</v>
      </c>
      <c r="E71" s="11">
        <f>VLOOKUP($A71,'Mat of App'!$B$7:$AP$37,E$66,FALSE)</f>
        <v>0</v>
      </c>
      <c r="F71" s="11">
        <f>VLOOKUP($A71,'Mat of App'!$B$7:$AP$37,F$66,FALSE)</f>
        <v>0</v>
      </c>
      <c r="G71" s="11">
        <f>VLOOKUP($A71,'Mat of App'!$B$7:$AP$37,G$66,FALSE)</f>
        <v>0</v>
      </c>
      <c r="H71" s="11">
        <f>VLOOKUP($A71,'Mat of App'!$B$7:$AP$37,H$66,FALSE)</f>
        <v>0</v>
      </c>
      <c r="I71" s="11">
        <f>VLOOKUP($A71,'Mat of App'!$B$7:$AP$37,I$66,FALSE)</f>
        <v>0</v>
      </c>
      <c r="J71" s="7" t="s">
        <v>262</v>
      </c>
      <c r="K71"/>
    </row>
    <row r="72" spans="1:11" ht="15">
      <c r="A72" s="8" t="s">
        <v>96</v>
      </c>
      <c r="B72" s="11">
        <f>VLOOKUP($A72,'Mat of App'!$B$7:$AP$37,B$66,FALSE)</f>
        <v>0</v>
      </c>
      <c r="C72" s="11">
        <f>VLOOKUP($A72,'Mat of App'!$B$7:$AP$37,C$66,FALSE)</f>
        <v>0</v>
      </c>
      <c r="D72" s="11">
        <f>VLOOKUP($A72,'Mat of App'!$B$7:$AP$37,D$66,FALSE)</f>
        <v>1</v>
      </c>
      <c r="E72" s="11">
        <f>VLOOKUP($A72,'Mat of App'!$B$7:$AP$37,E$66,FALSE)</f>
        <v>0</v>
      </c>
      <c r="F72" s="11">
        <f>VLOOKUP($A72,'Mat of App'!$B$7:$AP$37,F$66,FALSE)</f>
        <v>0</v>
      </c>
      <c r="G72" s="11">
        <f>VLOOKUP($A72,'Mat of App'!$B$7:$AP$37,G$66,FALSE)</f>
        <v>0</v>
      </c>
      <c r="H72" s="11">
        <f>VLOOKUP($A72,'Mat of App'!$B$7:$AP$37,H$66,FALSE)</f>
        <v>0</v>
      </c>
      <c r="I72" s="11">
        <f>VLOOKUP($A72,'Mat of App'!$B$7:$AP$37,I$66,FALSE)</f>
        <v>0</v>
      </c>
      <c r="J72" s="7"/>
      <c r="K72"/>
    </row>
    <row r="73" spans="1:11" ht="15">
      <c r="A73" s="8" t="s">
        <v>97</v>
      </c>
      <c r="B73" s="11">
        <f>VLOOKUP($A73,'Mat of App'!$B$7:$AP$37,B$66,FALSE)</f>
        <v>0</v>
      </c>
      <c r="C73" s="11">
        <f>VLOOKUP($A73,'Mat of App'!$B$7:$AP$37,C$66,FALSE)</f>
        <v>0</v>
      </c>
      <c r="D73" s="11">
        <f>VLOOKUP($A73,'Mat of App'!$B$7:$AP$37,D$66,FALSE)</f>
        <v>0</v>
      </c>
      <c r="E73" s="11">
        <f>VLOOKUP($A73,'Mat of App'!$B$7:$AP$37,E$66,FALSE)</f>
        <v>1</v>
      </c>
      <c r="F73" s="11">
        <f>VLOOKUP($A73,'Mat of App'!$B$7:$AP$37,F$66,FALSE)</f>
        <v>0</v>
      </c>
      <c r="G73" s="11">
        <f>VLOOKUP($A73,'Mat of App'!$B$7:$AP$37,G$66,FALSE)</f>
        <v>0</v>
      </c>
      <c r="H73" s="11">
        <f>VLOOKUP($A73,'Mat of App'!$B$7:$AP$37,H$66,FALSE)</f>
        <v>0</v>
      </c>
      <c r="I73" s="11">
        <f>VLOOKUP($A73,'Mat of App'!$B$7:$AP$37,I$66,FALSE)</f>
        <v>0</v>
      </c>
      <c r="J73" s="7"/>
      <c r="K73"/>
    </row>
    <row r="74" spans="1:11" ht="15">
      <c r="A74" s="8" t="s">
        <v>1536</v>
      </c>
      <c r="B74" s="11">
        <f>VLOOKUP($A74,'Mat of App'!$B$7:$AP$37,B$66,FALSE)</f>
        <v>0.05</v>
      </c>
      <c r="C74" s="11">
        <f>VLOOKUP($A74,'Mat of App'!$B$7:$AP$37,C$66,FALSE)</f>
        <v>0</v>
      </c>
      <c r="D74" s="11">
        <f>VLOOKUP($A74,'Mat of App'!$B$7:$AP$37,D$66,FALSE)</f>
        <v>0</v>
      </c>
      <c r="E74" s="11">
        <f>VLOOKUP($A74,'Mat of App'!$B$7:$AP$37,E$66,FALSE)</f>
        <v>0</v>
      </c>
      <c r="F74" s="11">
        <f>VLOOKUP($A74,'Mat of App'!$B$7:$AP$37,F$66,FALSE)</f>
        <v>0</v>
      </c>
      <c r="G74" s="11">
        <f>VLOOKUP($A74,'Mat of App'!$B$7:$AP$37,G$66,FALSE)</f>
        <v>0</v>
      </c>
      <c r="H74" s="11">
        <f>VLOOKUP($A74,'Mat of App'!$B$7:$AP$37,H$66,FALSE)</f>
        <v>0</v>
      </c>
      <c r="I74" s="11">
        <f>VLOOKUP($A74,'Mat of App'!$B$7:$AP$37,I$66,FALSE)</f>
        <v>0</v>
      </c>
      <c r="J74" s="7" t="s">
        <v>262</v>
      </c>
      <c r="K74"/>
    </row>
    <row r="75" spans="1:11" ht="15">
      <c r="A75" s="8" t="s">
        <v>1535</v>
      </c>
      <c r="B75" s="11">
        <f>VLOOKUP($A75,'Mat of App'!$B$7:$AP$37,B$66,FALSE)</f>
        <v>0</v>
      </c>
      <c r="C75" s="11">
        <f>VLOOKUP($A75,'Mat of App'!$B$7:$AP$37,C$66,FALSE)</f>
        <v>1</v>
      </c>
      <c r="D75" s="11">
        <f>VLOOKUP($A75,'Mat of App'!$B$7:$AP$37,D$66,FALSE)</f>
        <v>0</v>
      </c>
      <c r="E75" s="11">
        <f>VLOOKUP($A75,'Mat of App'!$B$7:$AP$37,E$66,FALSE)</f>
        <v>0</v>
      </c>
      <c r="F75" s="11">
        <f>VLOOKUP($A75,'Mat of App'!$B$7:$AP$37,F$66,FALSE)</f>
        <v>0</v>
      </c>
      <c r="G75" s="11">
        <f>VLOOKUP($A75,'Mat of App'!$B$7:$AP$37,G$66,FALSE)</f>
        <v>0</v>
      </c>
      <c r="H75" s="11">
        <f>VLOOKUP($A75,'Mat of App'!$B$7:$AP$37,H$66,FALSE)</f>
        <v>0</v>
      </c>
      <c r="I75" s="11">
        <f>VLOOKUP($A75,'Mat of App'!$B$7:$AP$37,I$66,FALSE)</f>
        <v>0</v>
      </c>
      <c r="J75" s="7" t="s">
        <v>262</v>
      </c>
      <c r="K75"/>
    </row>
    <row r="76" spans="1:11" ht="15">
      <c r="A76" s="8" t="s">
        <v>98</v>
      </c>
      <c r="B76" s="11">
        <f>VLOOKUP($A76,'Mat of App'!$B$7:$AP$37,B$66,FALSE)</f>
        <v>0</v>
      </c>
      <c r="C76" s="11">
        <f>VLOOKUP($A76,'Mat of App'!$B$7:$AP$37,C$66,FALSE)</f>
        <v>0</v>
      </c>
      <c r="D76" s="11">
        <f>VLOOKUP($A76,'Mat of App'!$B$7:$AP$37,D$66,FALSE)</f>
        <v>0</v>
      </c>
      <c r="E76" s="11">
        <f>VLOOKUP($A76,'Mat of App'!$B$7:$AP$37,E$66,FALSE)</f>
        <v>0</v>
      </c>
      <c r="F76" s="11">
        <f>VLOOKUP($A76,'Mat of App'!$B$7:$AP$37,F$66,FALSE)</f>
        <v>1</v>
      </c>
      <c r="G76" s="11">
        <f>VLOOKUP($A76,'Mat of App'!$B$7:$AP$37,G$66,FALSE)</f>
        <v>0</v>
      </c>
      <c r="H76" s="11">
        <f>VLOOKUP($A76,'Mat of App'!$B$7:$AP$37,H$66,FALSE)</f>
        <v>0</v>
      </c>
      <c r="I76" s="11">
        <f>VLOOKUP($A76,'Mat of App'!$B$7:$AP$37,I$66,FALSE)</f>
        <v>0</v>
      </c>
      <c r="J76" s="7" t="s">
        <v>262</v>
      </c>
      <c r="K76"/>
    </row>
    <row r="77" spans="1:11" ht="15">
      <c r="A77" s="8" t="s">
        <v>99</v>
      </c>
      <c r="B77" s="11">
        <f>VLOOKUP($A77,'Mat of App'!$B$7:$AP$37,B$66,FALSE)</f>
        <v>0</v>
      </c>
      <c r="C77" s="11">
        <f>VLOOKUP($A77,'Mat of App'!$B$7:$AP$37,C$66,FALSE)</f>
        <v>0</v>
      </c>
      <c r="D77" s="11">
        <f>VLOOKUP($A77,'Mat of App'!$B$7:$AP$37,D$66,FALSE)</f>
        <v>0</v>
      </c>
      <c r="E77" s="11">
        <f>VLOOKUP($A77,'Mat of App'!$B$7:$AP$37,E$66,FALSE)</f>
        <v>0</v>
      </c>
      <c r="F77" s="11">
        <f>VLOOKUP($A77,'Mat of App'!$B$7:$AP$37,F$66,FALSE)</f>
        <v>0</v>
      </c>
      <c r="G77" s="11">
        <f>VLOOKUP($A77,'Mat of App'!$B$7:$AP$37,G$66,FALSE)</f>
        <v>1</v>
      </c>
      <c r="H77" s="11">
        <f>VLOOKUP($A77,'Mat of App'!$B$7:$AP$37,H$66,FALSE)</f>
        <v>0</v>
      </c>
      <c r="I77" s="11">
        <f>VLOOKUP($A77,'Mat of App'!$B$7:$AP$37,I$66,FALSE)</f>
        <v>0</v>
      </c>
      <c r="J77" s="7" t="s">
        <v>262</v>
      </c>
      <c r="K77"/>
    </row>
    <row r="78" spans="1:11" ht="15">
      <c r="A78" s="8" t="s">
        <v>1534</v>
      </c>
      <c r="B78" s="11">
        <f>VLOOKUP($A78,'Mat of App'!$B$7:$AP$37,B$66,FALSE)</f>
        <v>0</v>
      </c>
      <c r="C78" s="11">
        <f>VLOOKUP($A78,'Mat of App'!$B$7:$AP$37,C$66,FALSE)</f>
        <v>0</v>
      </c>
      <c r="D78" s="11">
        <f>VLOOKUP($A78,'Mat of App'!$B$7:$AP$37,D$66,FALSE)</f>
        <v>0</v>
      </c>
      <c r="E78" s="11">
        <f>VLOOKUP($A78,'Mat of App'!$B$7:$AP$37,E$66,FALSE)</f>
        <v>0</v>
      </c>
      <c r="F78" s="11">
        <f>VLOOKUP($A78,'Mat of App'!$B$7:$AP$37,F$66,FALSE)</f>
        <v>0</v>
      </c>
      <c r="G78" s="11">
        <f>VLOOKUP($A78,'Mat of App'!$B$7:$AP$37,G$66,FALSE)</f>
        <v>0</v>
      </c>
      <c r="H78" s="11">
        <f>VLOOKUP($A78,'Mat of App'!$B$7:$AP$37,H$66,FALSE)</f>
        <v>1</v>
      </c>
      <c r="I78" s="11">
        <f>VLOOKUP($A78,'Mat of App'!$B$7:$AP$37,I$66,FALSE)</f>
        <v>0</v>
      </c>
      <c r="J78" s="7" t="s">
        <v>262</v>
      </c>
      <c r="K78"/>
    </row>
    <row r="79" spans="1:11" ht="15">
      <c r="A79" s="8" t="s">
        <v>100</v>
      </c>
      <c r="B79" s="11">
        <f>VLOOKUP($A79,'Mat of App'!$B$7:$AP$37,B$66,FALSE)</f>
        <v>0</v>
      </c>
      <c r="C79" s="11">
        <f>VLOOKUP($A79,'Mat of App'!$B$7:$AP$37,C$66,FALSE)</f>
        <v>0</v>
      </c>
      <c r="D79" s="11">
        <f>VLOOKUP($A79,'Mat of App'!$B$7:$AP$37,D$66,FALSE)</f>
        <v>0</v>
      </c>
      <c r="E79" s="11">
        <f>VLOOKUP($A79,'Mat of App'!$B$7:$AP$37,E$66,FALSE)</f>
        <v>0</v>
      </c>
      <c r="F79" s="11">
        <f>VLOOKUP($A79,'Mat of App'!$B$7:$AP$37,F$66,FALSE)</f>
        <v>0</v>
      </c>
      <c r="G79" s="11">
        <f>VLOOKUP($A79,'Mat of App'!$B$7:$AP$37,G$66,FALSE)</f>
        <v>0</v>
      </c>
      <c r="H79" s="11">
        <f>VLOOKUP($A79,'Mat of App'!$B$7:$AP$37,H$66,FALSE)</f>
        <v>1</v>
      </c>
      <c r="I79" s="11">
        <f>VLOOKUP($A79,'Mat of App'!$B$7:$AP$37,I$66,FALSE)</f>
        <v>0</v>
      </c>
      <c r="J79" s="7" t="s">
        <v>262</v>
      </c>
      <c r="K79"/>
    </row>
    <row r="80" spans="1:11" ht="15">
      <c r="A80" s="8" t="s">
        <v>101</v>
      </c>
      <c r="B80" s="11">
        <f>VLOOKUP($A80,'Mat of App'!$B$7:$AP$37,B$66,FALSE)</f>
        <v>0</v>
      </c>
      <c r="C80" s="11">
        <f>VLOOKUP($A80,'Mat of App'!$B$7:$AP$37,C$66,FALSE)</f>
        <v>0</v>
      </c>
      <c r="D80" s="11">
        <f>VLOOKUP($A80,'Mat of App'!$B$7:$AP$37,D$66,FALSE)</f>
        <v>0</v>
      </c>
      <c r="E80" s="11">
        <f>VLOOKUP($A80,'Mat of App'!$B$7:$AP$37,E$66,FALSE)</f>
        <v>0</v>
      </c>
      <c r="F80" s="11">
        <f>VLOOKUP($A80,'Mat of App'!$B$7:$AP$37,F$66,FALSE)</f>
        <v>0</v>
      </c>
      <c r="G80" s="11">
        <f>VLOOKUP($A80,'Mat of App'!$B$7:$AP$37,G$66,FALSE)</f>
        <v>0</v>
      </c>
      <c r="H80" s="11">
        <f>VLOOKUP($A80,'Mat of App'!$B$7:$AP$37,H$66,FALSE)</f>
        <v>1</v>
      </c>
      <c r="I80" s="11">
        <f>VLOOKUP($A80,'Mat of App'!$B$7:$AP$37,I$66,FALSE)</f>
        <v>0</v>
      </c>
      <c r="J80" s="7" t="s">
        <v>262</v>
      </c>
      <c r="K80"/>
    </row>
    <row r="81" spans="1:11" ht="15">
      <c r="A81" s="8" t="s">
        <v>102</v>
      </c>
      <c r="B81" s="11">
        <f>VLOOKUP($A81,'Mat of App'!$B$7:$AP$37,B$66,FALSE)</f>
        <v>0</v>
      </c>
      <c r="C81" s="11">
        <f>VLOOKUP($A81,'Mat of App'!$B$7:$AP$37,C$66,FALSE)</f>
        <v>0</v>
      </c>
      <c r="D81" s="11">
        <f>VLOOKUP($A81,'Mat of App'!$B$7:$AP$37,D$66,FALSE)</f>
        <v>0</v>
      </c>
      <c r="E81" s="11">
        <f>VLOOKUP($A81,'Mat of App'!$B$7:$AP$37,E$66,FALSE)</f>
        <v>0</v>
      </c>
      <c r="F81" s="11">
        <f>VLOOKUP($A81,'Mat of App'!$B$7:$AP$37,F$66,FALSE)</f>
        <v>0</v>
      </c>
      <c r="G81" s="11">
        <f>VLOOKUP($A81,'Mat of App'!$B$7:$AP$37,G$66,FALSE)</f>
        <v>0</v>
      </c>
      <c r="H81" s="11">
        <f>VLOOKUP($A81,'Mat of App'!$B$7:$AP$37,H$66,FALSE)</f>
        <v>0</v>
      </c>
      <c r="I81" s="11">
        <f>VLOOKUP($A81,'Mat of App'!$B$7:$AP$37,I$66,FALSE)</f>
        <v>0</v>
      </c>
      <c r="J81" s="7" t="s">
        <v>262</v>
      </c>
      <c r="K81"/>
    </row>
    <row r="82" spans="1:11" ht="15">
      <c r="A82" s="8" t="s">
        <v>103</v>
      </c>
      <c r="B82" s="11">
        <f>VLOOKUP($A82,'Mat of App'!$B$7:$AP$37,B$66,FALSE)</f>
        <v>0</v>
      </c>
      <c r="C82" s="11">
        <f>VLOOKUP($A82,'Mat of App'!$B$7:$AP$37,C$66,FALSE)</f>
        <v>0</v>
      </c>
      <c r="D82" s="11">
        <f>VLOOKUP($A82,'Mat of App'!$B$7:$AP$37,D$66,FALSE)</f>
        <v>0</v>
      </c>
      <c r="E82" s="11">
        <f>VLOOKUP($A82,'Mat of App'!$B$7:$AP$37,E$66,FALSE)</f>
        <v>0</v>
      </c>
      <c r="F82" s="11">
        <f>VLOOKUP($A82,'Mat of App'!$B$7:$AP$37,F$66,FALSE)</f>
        <v>0</v>
      </c>
      <c r="G82" s="11">
        <f>VLOOKUP($A82,'Mat of App'!$B$7:$AP$37,G$66,FALSE)</f>
        <v>0</v>
      </c>
      <c r="H82" s="11">
        <f>VLOOKUP($A82,'Mat of App'!$B$7:$AP$37,H$66,FALSE)</f>
        <v>0</v>
      </c>
      <c r="I82" s="11">
        <f>VLOOKUP($A82,'Mat of App'!$B$7:$AP$37,I$66,FALSE)</f>
        <v>0</v>
      </c>
      <c r="J82" s="7" t="s">
        <v>262</v>
      </c>
      <c r="K82"/>
    </row>
    <row r="83" spans="1:11" ht="15">
      <c r="A83" s="8" t="s">
        <v>104</v>
      </c>
      <c r="B83" s="11">
        <f>VLOOKUP($A83,'Mat of App'!$B$7:$AP$37,B$66,FALSE)</f>
        <v>0</v>
      </c>
      <c r="C83" s="11">
        <f>VLOOKUP($A83,'Mat of App'!$B$7:$AP$37,C$66,FALSE)</f>
        <v>0</v>
      </c>
      <c r="D83" s="11">
        <f>VLOOKUP($A83,'Mat of App'!$B$7:$AP$37,D$66,FALSE)</f>
        <v>0</v>
      </c>
      <c r="E83" s="11">
        <f>VLOOKUP($A83,'Mat of App'!$B$7:$AP$37,E$66,FALSE)</f>
        <v>0</v>
      </c>
      <c r="F83" s="11">
        <f>VLOOKUP($A83,'Mat of App'!$B$7:$AP$37,F$66,FALSE)</f>
        <v>0</v>
      </c>
      <c r="G83" s="11">
        <f>VLOOKUP($A83,'Mat of App'!$B$7:$AP$37,G$66,FALSE)</f>
        <v>0</v>
      </c>
      <c r="H83" s="11">
        <f>VLOOKUP($A83,'Mat of App'!$B$7:$AP$37,H$66,FALSE)</f>
        <v>0</v>
      </c>
      <c r="I83" s="11">
        <f>VLOOKUP($A83,'Mat of App'!$B$7:$AP$37,I$66,FALSE)</f>
        <v>0</v>
      </c>
      <c r="J83" s="7" t="s">
        <v>262</v>
      </c>
      <c r="K83"/>
    </row>
    <row r="84" spans="1:11" ht="15">
      <c r="A84"/>
      <c r="B84"/>
      <c r="C84"/>
      <c r="D84"/>
      <c r="E84"/>
      <c r="F84"/>
      <c r="G84"/>
      <c r="H84"/>
      <c r="I84"/>
      <c r="J84"/>
      <c r="K84"/>
    </row>
    <row r="85" spans="1:11" ht="19.5">
      <c r="A85" s="1" t="s">
        <v>105</v>
      </c>
      <c r="B85"/>
      <c r="C85"/>
      <c r="D85"/>
      <c r="E85"/>
      <c r="F85"/>
      <c r="G85"/>
      <c r="H85"/>
      <c r="I85"/>
      <c r="J85"/>
      <c r="K85"/>
    </row>
    <row r="86" spans="1:11" ht="15">
      <c r="A86" s="2"/>
      <c r="B86"/>
      <c r="C86"/>
      <c r="D86"/>
      <c r="E86"/>
      <c r="F86"/>
      <c r="G86"/>
      <c r="H86"/>
      <c r="I86"/>
      <c r="J86"/>
      <c r="K86"/>
    </row>
    <row r="87" spans="1:11" ht="15">
      <c r="A87" s="2" t="s">
        <v>106</v>
      </c>
      <c r="B87"/>
      <c r="C87"/>
      <c r="D87"/>
      <c r="E87"/>
      <c r="F87"/>
      <c r="G87"/>
      <c r="H87"/>
      <c r="I87"/>
      <c r="J87"/>
      <c r="K87"/>
    </row>
    <row r="88" spans="1:11" ht="15">
      <c r="A88" t="s">
        <v>107</v>
      </c>
      <c r="B88"/>
      <c r="C88"/>
      <c r="D88"/>
      <c r="E88"/>
      <c r="F88"/>
      <c r="G88"/>
      <c r="H88"/>
      <c r="I88"/>
      <c r="J88"/>
      <c r="K88"/>
    </row>
    <row r="89" spans="1:11" ht="15">
      <c r="A89"/>
      <c r="B89" s="3" t="s">
        <v>75</v>
      </c>
      <c r="C89" s="3" t="s">
        <v>76</v>
      </c>
      <c r="D89" s="3" t="s">
        <v>77</v>
      </c>
      <c r="E89" s="3" t="s">
        <v>78</v>
      </c>
      <c r="F89" s="3" t="s">
        <v>79</v>
      </c>
      <c r="G89" s="3" t="s">
        <v>80</v>
      </c>
      <c r="H89" s="3" t="s">
        <v>81</v>
      </c>
      <c r="I89" s="3" t="s">
        <v>82</v>
      </c>
      <c r="J89"/>
      <c r="K89"/>
    </row>
    <row r="90" spans="1:11" ht="15">
      <c r="A90" s="8" t="s">
        <v>108</v>
      </c>
      <c r="B90" s="4">
        <f>VLOOKUP($A90,'Mat of App'!$B$7:$AP$37,B$66,FALSE)</f>
        <v>0</v>
      </c>
      <c r="C90" s="4">
        <f>VLOOKUP($A90,'Mat of App'!$B$7:$AP$37,C$66,FALSE)</f>
        <v>0</v>
      </c>
      <c r="D90" s="4">
        <f>VLOOKUP($A90,'Mat of App'!$B$7:$AP$37,D$66,FALSE)</f>
        <v>0</v>
      </c>
      <c r="E90" s="4">
        <f>VLOOKUP($A90,'Mat of App'!$B$7:$AP$37,E$66,FALSE)</f>
        <v>0</v>
      </c>
      <c r="F90" s="4">
        <f>VLOOKUP($A90,'Mat of App'!$B$7:$AP$37,F$66,FALSE)</f>
        <v>0</v>
      </c>
      <c r="G90" s="4">
        <f>VLOOKUP($A90,'Mat of App'!$B$7:$AP$37,G$66,FALSE)</f>
        <v>0</v>
      </c>
      <c r="H90" s="4">
        <f>VLOOKUP($A90,'Mat of App'!$B$7:$AP$37,H$66,FALSE)</f>
        <v>0</v>
      </c>
      <c r="I90" s="4">
        <f>VLOOKUP($A90,'Mat of App'!$B$7:$AP$37,I$66,FALSE)</f>
        <v>0.48799999999999999</v>
      </c>
      <c r="J90" s="7" t="s">
        <v>262</v>
      </c>
      <c r="K90"/>
    </row>
    <row r="91" spans="1:11" ht="15">
      <c r="A91"/>
      <c r="B91"/>
      <c r="C91"/>
      <c r="D91"/>
      <c r="E91"/>
      <c r="F91"/>
      <c r="G91"/>
      <c r="H91"/>
      <c r="I91"/>
      <c r="J91"/>
      <c r="K91"/>
    </row>
    <row r="92" spans="1:11" ht="19.5">
      <c r="A92" s="1" t="s">
        <v>109</v>
      </c>
      <c r="B92"/>
      <c r="C92"/>
      <c r="D92"/>
      <c r="E92"/>
      <c r="F92"/>
      <c r="G92"/>
      <c r="H92"/>
      <c r="I92"/>
      <c r="J92"/>
      <c r="K92"/>
    </row>
    <row r="93" spans="1:11" ht="15">
      <c r="A93"/>
      <c r="B93">
        <v>17</v>
      </c>
      <c r="C93">
        <f>B93+1</f>
        <v>18</v>
      </c>
      <c r="D93">
        <f>C93+1</f>
        <v>19</v>
      </c>
      <c r="E93">
        <f>D93+1</f>
        <v>20</v>
      </c>
      <c r="F93">
        <f>E93+1</f>
        <v>21</v>
      </c>
      <c r="G93"/>
      <c r="H93"/>
      <c r="I93"/>
      <c r="J93"/>
      <c r="K93"/>
    </row>
    <row r="94" spans="1:11" ht="15">
      <c r="A94"/>
      <c r="B94" s="3" t="s">
        <v>85</v>
      </c>
      <c r="C94" s="3" t="s">
        <v>86</v>
      </c>
      <c r="D94" s="3" t="s">
        <v>87</v>
      </c>
      <c r="E94" s="3" t="s">
        <v>88</v>
      </c>
      <c r="F94" s="3" t="s">
        <v>89</v>
      </c>
      <c r="G94"/>
      <c r="H94"/>
      <c r="I94"/>
      <c r="J94"/>
      <c r="K94"/>
    </row>
    <row r="95" spans="1:11" ht="15">
      <c r="A95" s="8" t="s">
        <v>110</v>
      </c>
      <c r="B95" s="11">
        <f>VLOOKUP($A95,'Mat of App'!$B$7:$AP$37,B$93,FALSE)</f>
        <v>1</v>
      </c>
      <c r="C95" s="11">
        <f>VLOOKUP($A95,'Mat of App'!$B$7:$AP$37,C$93,FALSE)</f>
        <v>0</v>
      </c>
      <c r="D95" s="11">
        <f>VLOOKUP($A95,'Mat of App'!$B$7:$AP$37,D$93,FALSE)</f>
        <v>0</v>
      </c>
      <c r="E95" s="11">
        <f>VLOOKUP($A95,'Mat of App'!$B$7:$AP$37,E$93,FALSE)</f>
        <v>0</v>
      </c>
      <c r="F95" s="11">
        <f>VLOOKUP($A95,'Mat of App'!$B$7:$AP$37,F$93,FALSE)</f>
        <v>0</v>
      </c>
      <c r="G95" s="7" t="s">
        <v>262</v>
      </c>
      <c r="H95"/>
      <c r="I95"/>
      <c r="J95"/>
      <c r="K95"/>
    </row>
    <row r="96" spans="1:11" ht="15">
      <c r="A96" s="8" t="s">
        <v>111</v>
      </c>
      <c r="B96" s="11">
        <f>VLOOKUP($A96,'Mat of App'!$B$7:$AP$37,B$93,FALSE)</f>
        <v>1</v>
      </c>
      <c r="C96" s="11">
        <f>VLOOKUP($A96,'Mat of App'!$B$7:$AP$37,C$93,FALSE)</f>
        <v>0</v>
      </c>
      <c r="D96" s="11">
        <f>VLOOKUP($A96,'Mat of App'!$B$7:$AP$37,D$93,FALSE)</f>
        <v>0</v>
      </c>
      <c r="E96" s="11">
        <f>VLOOKUP($A96,'Mat of App'!$B$7:$AP$37,E$93,FALSE)</f>
        <v>0</v>
      </c>
      <c r="F96" s="11">
        <f>VLOOKUP($A96,'Mat of App'!$B$7:$AP$37,F$93,FALSE)</f>
        <v>0</v>
      </c>
      <c r="G96" s="7" t="s">
        <v>262</v>
      </c>
      <c r="H96"/>
      <c r="I96"/>
      <c r="J96"/>
      <c r="K96"/>
    </row>
    <row r="97" spans="1:11" customFormat="1" ht="15">
      <c r="A97" s="8" t="s">
        <v>112</v>
      </c>
      <c r="B97" s="11">
        <f>VLOOKUP($A97,'Mat of App'!$B$7:$AP$37,B$93,FALSE)</f>
        <v>0</v>
      </c>
      <c r="C97" s="11">
        <f>VLOOKUP($A97,'Mat of App'!$B$7:$AP$37,C$93,FALSE)</f>
        <v>1</v>
      </c>
      <c r="D97" s="11">
        <f>VLOOKUP($A97,'Mat of App'!$B$7:$AP$37,D$93,FALSE)</f>
        <v>0</v>
      </c>
      <c r="E97" s="11">
        <f>VLOOKUP($A97,'Mat of App'!$B$7:$AP$37,E$93,FALSE)</f>
        <v>0</v>
      </c>
      <c r="F97" s="11">
        <f>VLOOKUP($A97,'Mat of App'!$B$7:$AP$37,F$93,FALSE)</f>
        <v>0</v>
      </c>
      <c r="G97" s="7"/>
    </row>
    <row r="98" spans="1:11" customFormat="1" ht="15">
      <c r="A98" s="8" t="s">
        <v>113</v>
      </c>
      <c r="B98" s="11">
        <f>VLOOKUP($A98,'Mat of App'!$B$7:$AP$37,B$93,FALSE)</f>
        <v>0</v>
      </c>
      <c r="C98" s="11">
        <f>VLOOKUP($A98,'Mat of App'!$B$7:$AP$37,C$93,FALSE)</f>
        <v>1</v>
      </c>
      <c r="D98" s="11">
        <f>VLOOKUP($A98,'Mat of App'!$B$7:$AP$37,D$93,FALSE)</f>
        <v>0</v>
      </c>
      <c r="E98" s="11">
        <f>VLOOKUP($A98,'Mat of App'!$B$7:$AP$37,E$93,FALSE)</f>
        <v>0</v>
      </c>
      <c r="F98" s="11">
        <f>VLOOKUP($A98,'Mat of App'!$B$7:$AP$37,F$93,FALSE)</f>
        <v>0</v>
      </c>
      <c r="G98" s="7"/>
    </row>
    <row r="99" spans="1:11" ht="15">
      <c r="A99"/>
      <c r="B99"/>
      <c r="C99"/>
      <c r="D99"/>
      <c r="E99"/>
      <c r="F99"/>
      <c r="G99"/>
      <c r="H99"/>
      <c r="I99"/>
      <c r="J99"/>
      <c r="K99"/>
    </row>
    <row r="100" spans="1:11" ht="19.5">
      <c r="A100" s="1" t="s">
        <v>114</v>
      </c>
      <c r="B100"/>
      <c r="C100"/>
      <c r="D100"/>
      <c r="E100"/>
      <c r="F100"/>
      <c r="G100"/>
      <c r="H100"/>
      <c r="I100"/>
      <c r="J100"/>
      <c r="K100"/>
    </row>
    <row r="101" spans="1:11" ht="15">
      <c r="A101" s="2" t="s">
        <v>262</v>
      </c>
      <c r="B101"/>
      <c r="C101"/>
      <c r="D101"/>
      <c r="E101"/>
      <c r="F101"/>
      <c r="G101"/>
      <c r="H101"/>
      <c r="I101"/>
      <c r="J101"/>
      <c r="K101"/>
    </row>
    <row r="102" spans="1:11" ht="15">
      <c r="A102" t="s">
        <v>115</v>
      </c>
      <c r="B102"/>
      <c r="C102"/>
      <c r="D102"/>
      <c r="E102"/>
      <c r="F102"/>
      <c r="G102"/>
      <c r="H102"/>
      <c r="I102"/>
      <c r="J102"/>
      <c r="K102"/>
    </row>
    <row r="103" spans="1:11" ht="15">
      <c r="A103"/>
      <c r="B103" s="3" t="s">
        <v>61</v>
      </c>
      <c r="C103" s="3" t="s">
        <v>62</v>
      </c>
      <c r="D103" s="3" t="s">
        <v>63</v>
      </c>
      <c r="E103" s="3" t="s">
        <v>64</v>
      </c>
      <c r="F103" s="3" t="s">
        <v>65</v>
      </c>
      <c r="G103" s="3" t="s">
        <v>66</v>
      </c>
      <c r="H103" s="3" t="s">
        <v>67</v>
      </c>
      <c r="I103"/>
      <c r="J103"/>
      <c r="K103"/>
    </row>
    <row r="104" spans="1:11" ht="15">
      <c r="A104" s="8" t="s">
        <v>116</v>
      </c>
      <c r="B104" s="4">
        <f>VLOOKUP(Vlookup!B69,'CDCM Forecast Data'!$A$14:$I$271,8,FALSE)</f>
        <v>1.002</v>
      </c>
      <c r="C104" s="4">
        <f>VLOOKUP(Vlookup!C69,'CDCM Forecast Data'!$A$14:$I$271,8,FALSE)</f>
        <v>1.0069999999999999</v>
      </c>
      <c r="D104" s="4">
        <f>VLOOKUP(Vlookup!D69,'CDCM Forecast Data'!$A$14:$I$271,8,FALSE)</f>
        <v>1.016</v>
      </c>
      <c r="E104" s="4">
        <f>VLOOKUP(Vlookup!E69,'CDCM Forecast Data'!$A$14:$I$271,8,FALSE)</f>
        <v>1.0229999999999999</v>
      </c>
      <c r="F104" s="4">
        <f>VLOOKUP(Vlookup!F69,'CDCM Forecast Data'!$A$14:$I$271,8,FALSE)</f>
        <v>1.0509999999999999</v>
      </c>
      <c r="G104" s="4">
        <f>VLOOKUP(Vlookup!G69,'CDCM Forecast Data'!$A$14:$I$271,8,FALSE)</f>
        <v>1.07</v>
      </c>
      <c r="H104" s="4">
        <f>VLOOKUP(Vlookup!H69,'CDCM Forecast Data'!$A$14:$I$271,8,FALSE)</f>
        <v>1.087</v>
      </c>
      <c r="I104" s="7" t="s">
        <v>262</v>
      </c>
      <c r="J104"/>
      <c r="K104"/>
    </row>
    <row r="105" spans="1:11" ht="15">
      <c r="A105"/>
      <c r="B105"/>
      <c r="C105"/>
      <c r="D105"/>
      <c r="E105"/>
      <c r="F105"/>
      <c r="G105"/>
      <c r="H105"/>
      <c r="I105"/>
      <c r="J105"/>
      <c r="K105"/>
    </row>
    <row r="106" spans="1:11" ht="19.5">
      <c r="A106" s="1" t="s">
        <v>117</v>
      </c>
      <c r="B106"/>
      <c r="C106"/>
      <c r="D106"/>
      <c r="E106"/>
      <c r="F106"/>
      <c r="G106"/>
      <c r="H106"/>
      <c r="I106"/>
      <c r="J106"/>
      <c r="K106"/>
    </row>
    <row r="107" spans="1:11" ht="15">
      <c r="A107" s="2" t="s">
        <v>262</v>
      </c>
      <c r="B107"/>
      <c r="C107"/>
      <c r="D107"/>
      <c r="E107"/>
      <c r="F107"/>
      <c r="G107"/>
      <c r="H107"/>
      <c r="I107"/>
      <c r="J107"/>
      <c r="K107"/>
    </row>
    <row r="108" spans="1:11" ht="15">
      <c r="A108" t="s">
        <v>118</v>
      </c>
      <c r="B108"/>
      <c r="C108"/>
      <c r="D108"/>
      <c r="E108"/>
      <c r="F108"/>
      <c r="G108"/>
      <c r="H108"/>
      <c r="I108"/>
      <c r="J108"/>
      <c r="K108"/>
    </row>
    <row r="109" spans="1:11" ht="15">
      <c r="A109"/>
      <c r="B109" s="3" t="s">
        <v>119</v>
      </c>
      <c r="C109" s="3" t="s">
        <v>120</v>
      </c>
      <c r="D109" s="3" t="s">
        <v>121</v>
      </c>
      <c r="E109" s="3" t="s">
        <v>122</v>
      </c>
      <c r="F109" s="3" t="s">
        <v>123</v>
      </c>
      <c r="G109"/>
      <c r="H109"/>
      <c r="I109"/>
      <c r="J109"/>
      <c r="K109"/>
    </row>
    <row r="110" spans="1:11" ht="15">
      <c r="A110" s="8" t="s">
        <v>124</v>
      </c>
      <c r="B110" s="6"/>
      <c r="C110" s="11">
        <f>VLOOKUP(Vlookup!C75,'CDCM Forecast Data'!$A$14:$I$271,8,FALSE)</f>
        <v>0.33064254054995224</v>
      </c>
      <c r="D110" s="11">
        <f>VLOOKUP(Vlookup!D75,'CDCM Forecast Data'!$A$14:$I$271,8,FALSE)</f>
        <v>0.51417010196128798</v>
      </c>
      <c r="E110" s="11">
        <f>VLOOKUP(Vlookup!E75,'CDCM Forecast Data'!$A$14:$I$271,8,FALSE)</f>
        <v>0.25833648748307197</v>
      </c>
      <c r="F110" s="11">
        <f>VLOOKUP(Vlookup!F75,'CDCM Forecast Data'!$A$14:$I$271,8,FALSE)</f>
        <v>0.15078510117655297</v>
      </c>
      <c r="G110" s="7" t="s">
        <v>262</v>
      </c>
      <c r="H110"/>
      <c r="I110"/>
      <c r="J110"/>
      <c r="K110"/>
    </row>
    <row r="111" spans="1:11" ht="15">
      <c r="A111"/>
      <c r="B111"/>
      <c r="C111"/>
      <c r="D111"/>
      <c r="E111"/>
      <c r="F111"/>
      <c r="G111"/>
      <c r="H111"/>
      <c r="I111"/>
      <c r="J111"/>
      <c r="K111"/>
    </row>
    <row r="112" spans="1:11" ht="19.5">
      <c r="A112" s="1" t="s">
        <v>125</v>
      </c>
      <c r="B112"/>
      <c r="C112"/>
      <c r="D112"/>
      <c r="E112"/>
      <c r="F112"/>
      <c r="G112"/>
      <c r="H112"/>
      <c r="I112"/>
      <c r="J112"/>
      <c r="K112"/>
    </row>
    <row r="113" spans="1:11" ht="15">
      <c r="A113" s="2"/>
      <c r="B113"/>
      <c r="C113"/>
      <c r="D113"/>
      <c r="E113"/>
      <c r="F113"/>
      <c r="G113"/>
      <c r="H113"/>
      <c r="I113"/>
      <c r="J113"/>
      <c r="K113"/>
    </row>
    <row r="114" spans="1:11" ht="15">
      <c r="A114" t="s">
        <v>126</v>
      </c>
      <c r="B114"/>
      <c r="C114"/>
      <c r="D114"/>
      <c r="E114"/>
      <c r="F114"/>
      <c r="G114"/>
      <c r="H114"/>
      <c r="I114"/>
      <c r="J114"/>
      <c r="K114"/>
    </row>
    <row r="115" spans="1:11" ht="15">
      <c r="A115"/>
      <c r="B115" s="3" t="s">
        <v>127</v>
      </c>
      <c r="C115" s="3" t="s">
        <v>128</v>
      </c>
      <c r="D115"/>
      <c r="E115"/>
      <c r="F115"/>
      <c r="G115"/>
      <c r="H115"/>
      <c r="I115"/>
      <c r="J115"/>
      <c r="K115"/>
    </row>
    <row r="116" spans="1:11" ht="15">
      <c r="A116" s="8" t="s">
        <v>92</v>
      </c>
      <c r="B116" s="4">
        <f>VLOOKUP(Vlookup!B81,'CDCM Forecast Data'!$A$14:$I$271,6,FALSE)</f>
        <v>0.89738819736502429</v>
      </c>
      <c r="C116" s="4">
        <f>VLOOKUP(Vlookup!C81,'CDCM Forecast Data'!$A$14:$I$271,6,FALSE)</f>
        <v>0.43411076877330973</v>
      </c>
      <c r="D116" s="7" t="s">
        <v>262</v>
      </c>
      <c r="E116"/>
      <c r="F116"/>
      <c r="G116"/>
      <c r="H116"/>
      <c r="I116"/>
      <c r="J116"/>
      <c r="K116"/>
    </row>
    <row r="117" spans="1:11" ht="15">
      <c r="A117" s="8" t="s">
        <v>93</v>
      </c>
      <c r="B117" s="4">
        <f>VLOOKUP(Vlookup!B82,'CDCM Forecast Data'!$A$14:$I$271,6,FALSE)</f>
        <v>0.41597516714124932</v>
      </c>
      <c r="C117" s="4">
        <f>VLOOKUP(Vlookup!C82,'CDCM Forecast Data'!$A$14:$I$271,6,FALSE)</f>
        <v>0.30069751871841721</v>
      </c>
      <c r="D117" s="7" t="s">
        <v>262</v>
      </c>
      <c r="E117"/>
      <c r="F117"/>
      <c r="G117"/>
      <c r="H117"/>
      <c r="I117"/>
      <c r="J117"/>
      <c r="K117"/>
    </row>
    <row r="118" spans="1:11" ht="15">
      <c r="A118" s="8" t="s">
        <v>129</v>
      </c>
      <c r="B118" s="6"/>
      <c r="C118" s="4">
        <f>VLOOKUP(Vlookup!C83,'CDCM Forecast Data'!$A$14:$I$271,6,FALSE)</f>
        <v>0.17961939605399557</v>
      </c>
      <c r="D118" s="7" t="s">
        <v>262</v>
      </c>
      <c r="E118"/>
      <c r="F118"/>
      <c r="G118"/>
      <c r="H118"/>
      <c r="I118"/>
      <c r="J118"/>
      <c r="K118"/>
    </row>
    <row r="119" spans="1:11" ht="15">
      <c r="A119" s="8" t="s">
        <v>94</v>
      </c>
      <c r="B119" s="4">
        <f>VLOOKUP(Vlookup!B84,'CDCM Forecast Data'!$A$14:$I$271,6,FALSE)</f>
        <v>0.69492206140680768</v>
      </c>
      <c r="C119" s="4">
        <f>VLOOKUP(Vlookup!C84,'CDCM Forecast Data'!$A$14:$I$271,6,FALSE)</f>
        <v>0.39797534499698228</v>
      </c>
      <c r="D119" s="7" t="s">
        <v>262</v>
      </c>
      <c r="E119"/>
      <c r="F119"/>
      <c r="G119"/>
      <c r="H119"/>
      <c r="I119"/>
      <c r="J119"/>
      <c r="K119"/>
    </row>
    <row r="120" spans="1:11" ht="15">
      <c r="A120" s="8" t="s">
        <v>95</v>
      </c>
      <c r="B120" s="4">
        <f>VLOOKUP(Vlookup!B85,'CDCM Forecast Data'!$A$14:$I$271,6,FALSE)</f>
        <v>0.74846447157386065</v>
      </c>
      <c r="C120" s="4">
        <f>VLOOKUP(Vlookup!C85,'CDCM Forecast Data'!$A$14:$I$271,6,FALSE)</f>
        <v>0.52024521708825189</v>
      </c>
      <c r="D120" s="7" t="s">
        <v>262</v>
      </c>
      <c r="E120"/>
      <c r="F120"/>
      <c r="G120"/>
      <c r="H120"/>
      <c r="I120"/>
      <c r="J120"/>
      <c r="K120"/>
    </row>
    <row r="121" spans="1:11" ht="15">
      <c r="A121" s="8" t="s">
        <v>130</v>
      </c>
      <c r="B121" s="6"/>
      <c r="C121" s="4">
        <f>VLOOKUP(Vlookup!C86,'CDCM Forecast Data'!$A$14:$I$271,6,FALSE)</f>
        <v>0.21120992364816046</v>
      </c>
      <c r="D121" s="7" t="s">
        <v>262</v>
      </c>
      <c r="E121"/>
      <c r="F121"/>
      <c r="G121"/>
      <c r="H121"/>
      <c r="I121"/>
      <c r="J121"/>
      <c r="K121"/>
    </row>
    <row r="122" spans="1:11" ht="15">
      <c r="A122" s="8" t="s">
        <v>96</v>
      </c>
      <c r="B122" s="4">
        <f>VLOOKUP(Vlookup!B87,'CDCM Forecast Data'!$A$14:$I$271,6,FALSE)</f>
        <v>0.83801012339332381</v>
      </c>
      <c r="C122" s="4">
        <f>VLOOKUP(Vlookup!C87,'CDCM Forecast Data'!$A$14:$I$271,6,FALSE)</f>
        <v>0.53574416845541439</v>
      </c>
      <c r="D122" s="7" t="s">
        <v>262</v>
      </c>
      <c r="E122"/>
      <c r="F122"/>
      <c r="G122"/>
      <c r="H122"/>
      <c r="I122"/>
      <c r="J122"/>
      <c r="K122"/>
    </row>
    <row r="123" spans="1:11" ht="15">
      <c r="A123" s="8" t="s">
        <v>97</v>
      </c>
      <c r="B123" s="4">
        <f>VLOOKUP(Vlookup!B88,'CDCM Forecast Data'!$A$14:$I$271,6,FALSE)</f>
        <v>0.83801012339332381</v>
      </c>
      <c r="C123" s="4">
        <f>VLOOKUP(Vlookup!C88,'CDCM Forecast Data'!$A$14:$I$271,6,FALSE)</f>
        <v>0.53574416845541439</v>
      </c>
      <c r="D123" s="7" t="s">
        <v>262</v>
      </c>
      <c r="E123"/>
      <c r="F123"/>
      <c r="G123"/>
      <c r="H123"/>
      <c r="I123"/>
      <c r="J123"/>
      <c r="K123"/>
    </row>
    <row r="124" spans="1:11" ht="15">
      <c r="A124" s="8" t="s">
        <v>110</v>
      </c>
      <c r="B124" s="4">
        <f>VLOOKUP(Vlookup!B89,'CDCM Forecast Data'!$A$14:$I$271,6,FALSE)</f>
        <v>0.64043929029771907</v>
      </c>
      <c r="C124" s="4">
        <f>VLOOKUP(Vlookup!C89,'CDCM Forecast Data'!$A$14:$I$271,6,FALSE)</f>
        <v>0.43446675238274496</v>
      </c>
      <c r="D124" s="7" t="s">
        <v>262</v>
      </c>
      <c r="E124"/>
      <c r="F124"/>
      <c r="G124"/>
      <c r="H124"/>
      <c r="I124"/>
      <c r="J124"/>
      <c r="K124"/>
    </row>
    <row r="125" spans="1:11" ht="15">
      <c r="A125" s="8" t="s">
        <v>1536</v>
      </c>
      <c r="B125" s="4">
        <f>VLOOKUP(Vlookup!B90,'CDCM Forecast Data'!$A$14:$I$271,6,FALSE)</f>
        <v>0.83273040302787538</v>
      </c>
      <c r="C125" s="4">
        <f>VLOOKUP(Vlookup!C90,'CDCM Forecast Data'!$A$14:$I$271,6,FALSE)</f>
        <v>0.41510669865444888</v>
      </c>
      <c r="D125" s="7" t="s">
        <v>262</v>
      </c>
      <c r="E125"/>
      <c r="F125"/>
      <c r="G125"/>
      <c r="H125"/>
      <c r="I125"/>
      <c r="J125"/>
      <c r="K125"/>
    </row>
    <row r="126" spans="1:11" ht="15">
      <c r="A126" s="8" t="s">
        <v>1535</v>
      </c>
      <c r="B126" s="4">
        <f>VLOOKUP(Vlookup!B91,'CDCM Forecast Data'!$A$14:$I$271,6,FALSE)</f>
        <v>0.70542255324747616</v>
      </c>
      <c r="C126" s="4">
        <f>VLOOKUP(Vlookup!C91,'CDCM Forecast Data'!$A$14:$I$271,6,FALSE)</f>
        <v>0.42086756514790613</v>
      </c>
      <c r="D126" s="7" t="s">
        <v>262</v>
      </c>
      <c r="E126"/>
      <c r="F126"/>
      <c r="G126"/>
      <c r="H126"/>
      <c r="I126"/>
      <c r="J126"/>
      <c r="K126"/>
    </row>
    <row r="127" spans="1:11" ht="15">
      <c r="A127" s="8" t="s">
        <v>98</v>
      </c>
      <c r="B127" s="4">
        <f>VLOOKUP(Vlookup!B92,'CDCM Forecast Data'!$A$14:$I$271,6,FALSE)</f>
        <v>0.79385686220007168</v>
      </c>
      <c r="C127" s="4">
        <f>VLOOKUP(Vlookup!C92,'CDCM Forecast Data'!$A$14:$I$271,6,FALSE)</f>
        <v>0.53736458823526412</v>
      </c>
      <c r="D127" s="7" t="s">
        <v>262</v>
      </c>
      <c r="E127"/>
      <c r="F127"/>
      <c r="G127"/>
      <c r="H127"/>
      <c r="I127"/>
      <c r="J127"/>
      <c r="K127"/>
    </row>
    <row r="128" spans="1:11" ht="15">
      <c r="A128" s="8" t="s">
        <v>99</v>
      </c>
      <c r="B128" s="4">
        <f>VLOOKUP(Vlookup!B93,'CDCM Forecast Data'!$A$14:$I$271,6,FALSE)</f>
        <v>0.80793779849955216</v>
      </c>
      <c r="C128" s="4">
        <f>VLOOKUP(Vlookup!C93,'CDCM Forecast Data'!$A$14:$I$271,6,FALSE)</f>
        <v>0.52702405279759323</v>
      </c>
      <c r="D128" s="7"/>
      <c r="E128"/>
      <c r="F128"/>
      <c r="G128"/>
      <c r="H128"/>
      <c r="I128"/>
      <c r="J128"/>
      <c r="K128"/>
    </row>
    <row r="129" spans="1:11" ht="15">
      <c r="A129" s="8" t="s">
        <v>111</v>
      </c>
      <c r="B129" s="4">
        <f>VLOOKUP(Vlookup!B94,'CDCM Forecast Data'!$A$14:$I$271,6,FALSE)</f>
        <v>0.78892978454231644</v>
      </c>
      <c r="C129" s="4">
        <f>VLOOKUP(Vlookup!C94,'CDCM Forecast Data'!$A$14:$I$271,6,FALSE)</f>
        <v>0.66158319064179105</v>
      </c>
      <c r="D129" s="7"/>
      <c r="E129"/>
      <c r="F129"/>
      <c r="G129"/>
      <c r="H129"/>
      <c r="I129"/>
      <c r="J129"/>
      <c r="K129"/>
    </row>
    <row r="130" spans="1:11" ht="15">
      <c r="A130" s="8" t="s">
        <v>131</v>
      </c>
      <c r="B130" s="4">
        <f>VLOOKUP(Vlookup!B95,'CDCM Forecast Data'!$A$14:$I$271,6,FALSE)</f>
        <v>1</v>
      </c>
      <c r="C130" s="4">
        <f>VLOOKUP(Vlookup!C95,'CDCM Forecast Data'!$A$14:$I$271,6,FALSE)</f>
        <v>1</v>
      </c>
      <c r="D130" s="7" t="s">
        <v>262</v>
      </c>
      <c r="E130"/>
      <c r="F130"/>
      <c r="G130"/>
      <c r="H130"/>
      <c r="I130"/>
      <c r="J130"/>
      <c r="K130"/>
    </row>
    <row r="131" spans="1:11" ht="15">
      <c r="A131" s="8" t="s">
        <v>132</v>
      </c>
      <c r="B131" s="4">
        <f>VLOOKUP(Vlookup!B96,'CDCM Forecast Data'!$A$14:$I$271,6,FALSE)</f>
        <v>0.99301420785685035</v>
      </c>
      <c r="C131" s="4">
        <f>VLOOKUP(Vlookup!C96,'CDCM Forecast Data'!$A$14:$I$271,6,FALSE)</f>
        <v>0.46960080865953691</v>
      </c>
      <c r="D131" s="7"/>
      <c r="E131"/>
      <c r="F131"/>
      <c r="G131"/>
      <c r="H131"/>
      <c r="I131"/>
      <c r="J131"/>
      <c r="K131"/>
    </row>
    <row r="132" spans="1:11" ht="15">
      <c r="A132" s="8" t="s">
        <v>133</v>
      </c>
      <c r="B132" s="4">
        <f>VLOOKUP(Vlookup!B97,'CDCM Forecast Data'!$A$14:$I$271,6,FALSE)</f>
        <v>0.95213478843576482</v>
      </c>
      <c r="C132" s="4">
        <f>VLOOKUP(Vlookup!C97,'CDCM Forecast Data'!$A$14:$I$271,6,FALSE)</f>
        <v>0.25417039627197974</v>
      </c>
      <c r="D132" s="7"/>
      <c r="E132"/>
      <c r="F132"/>
      <c r="G132"/>
      <c r="H132"/>
      <c r="I132"/>
      <c r="J132"/>
      <c r="K132"/>
    </row>
    <row r="133" spans="1:11" ht="15">
      <c r="A133" s="8" t="s">
        <v>134</v>
      </c>
      <c r="B133" s="4">
        <f>VLOOKUP(Vlookup!B98,'CDCM Forecast Data'!$A$14:$I$271,6,FALSE)</f>
        <v>0</v>
      </c>
      <c r="C133" s="4">
        <f>VLOOKUP(Vlookup!C98,'CDCM Forecast Data'!$A$14:$I$271,6,FALSE)</f>
        <v>0.51587229987729666</v>
      </c>
      <c r="D133" s="7"/>
      <c r="E133"/>
      <c r="F133"/>
      <c r="G133"/>
      <c r="H133"/>
      <c r="I133"/>
      <c r="J133"/>
      <c r="K133"/>
    </row>
    <row r="134" spans="1:11" ht="15">
      <c r="A134" s="8" t="s">
        <v>135</v>
      </c>
      <c r="B134" s="4">
        <f>VLOOKUP(Vlookup!B99,'CDCM Forecast Data'!$A$14:$I$271,6,FALSE)</f>
        <v>0.94398062288314322</v>
      </c>
      <c r="C134" s="4">
        <f>VLOOKUP(Vlookup!C99,'CDCM Forecast Data'!$A$14:$I$271,6,FALSE)</f>
        <v>0.47630128718610992</v>
      </c>
      <c r="D134" s="7" t="s">
        <v>262</v>
      </c>
      <c r="E134"/>
      <c r="F134"/>
      <c r="G134"/>
      <c r="H134"/>
      <c r="I134"/>
      <c r="J134"/>
      <c r="K134"/>
    </row>
    <row r="135" spans="1:11" ht="15">
      <c r="A135"/>
      <c r="B135"/>
      <c r="C135"/>
      <c r="D135"/>
      <c r="E135"/>
      <c r="F135"/>
      <c r="G135"/>
      <c r="H135"/>
      <c r="I135"/>
      <c r="J135"/>
      <c r="K135"/>
    </row>
    <row r="136" spans="1:11" ht="19.5">
      <c r="A136" s="1" t="s">
        <v>136</v>
      </c>
      <c r="B136"/>
      <c r="C136"/>
      <c r="D136"/>
      <c r="E136"/>
      <c r="F136"/>
      <c r="G136"/>
      <c r="H136"/>
      <c r="I136"/>
      <c r="J136"/>
      <c r="K136"/>
    </row>
    <row r="137" spans="1:11" ht="15">
      <c r="A137" s="2" t="s">
        <v>262</v>
      </c>
      <c r="B137">
        <v>22</v>
      </c>
      <c r="C137">
        <v>23</v>
      </c>
      <c r="D137">
        <v>24</v>
      </c>
      <c r="E137">
        <v>25</v>
      </c>
      <c r="F137">
        <v>26</v>
      </c>
      <c r="G137">
        <v>27</v>
      </c>
      <c r="H137"/>
      <c r="I137"/>
      <c r="J137"/>
      <c r="K137"/>
    </row>
    <row r="138" spans="1:11" ht="15">
      <c r="A138" s="2" t="s">
        <v>137</v>
      </c>
      <c r="B138"/>
      <c r="C138"/>
      <c r="D138"/>
      <c r="E138"/>
      <c r="F138"/>
      <c r="G138"/>
      <c r="H138"/>
      <c r="I138"/>
      <c r="J138"/>
      <c r="K138"/>
    </row>
    <row r="139" spans="1:11" ht="15">
      <c r="A139" s="2" t="s">
        <v>138</v>
      </c>
      <c r="B139"/>
      <c r="C139"/>
      <c r="D139"/>
      <c r="E139"/>
      <c r="F139"/>
      <c r="G139"/>
      <c r="H139"/>
      <c r="I139"/>
      <c r="J139"/>
      <c r="K139"/>
    </row>
    <row r="140" spans="1:11" ht="15">
      <c r="A140" t="s">
        <v>139</v>
      </c>
      <c r="B140"/>
      <c r="C140"/>
      <c r="D140"/>
      <c r="E140"/>
      <c r="F140"/>
      <c r="G140"/>
      <c r="H140"/>
      <c r="I140"/>
      <c r="J140"/>
      <c r="K140"/>
    </row>
    <row r="141" spans="1:11" ht="30">
      <c r="A141"/>
      <c r="B141" s="3" t="s">
        <v>140</v>
      </c>
      <c r="C141" s="3" t="s">
        <v>141</v>
      </c>
      <c r="D141" s="3" t="s">
        <v>142</v>
      </c>
      <c r="E141" s="3" t="s">
        <v>143</v>
      </c>
      <c r="F141" s="3" t="s">
        <v>144</v>
      </c>
      <c r="G141" s="3" t="s">
        <v>145</v>
      </c>
      <c r="H141"/>
      <c r="I141"/>
      <c r="J141"/>
      <c r="K141"/>
    </row>
    <row r="142" spans="1:11" ht="15">
      <c r="A142" s="12" t="s">
        <v>146</v>
      </c>
      <c r="B142" s="13">
        <f>VLOOKUP(Vlookup!$B107,'CDCM Volume Forecasts'!$A$27:$AG$123,B$137,FALSE)</f>
        <v>0</v>
      </c>
      <c r="C142" s="13">
        <f>VLOOKUP(Vlookup!$B107,'CDCM Volume Forecasts'!$A$27:$AG$123,C$137,FALSE)</f>
        <v>0</v>
      </c>
      <c r="D142" s="13">
        <f>VLOOKUP(Vlookup!$B107,'CDCM Volume Forecasts'!$A$27:$AG$123,D$137,FALSE)</f>
        <v>0</v>
      </c>
      <c r="E142" s="13">
        <f>VLOOKUP(Vlookup!$B107,'CDCM Volume Forecasts'!$A$27:$AG$123,E$137,FALSE)</f>
        <v>0</v>
      </c>
      <c r="F142" s="13">
        <f>VLOOKUP(Vlookup!$B107,'CDCM Volume Forecasts'!$A$27:$AG$123,F$137,FALSE)</f>
        <v>0</v>
      </c>
      <c r="G142" s="13">
        <f>VLOOKUP(Vlookup!$B107,'CDCM Volume Forecasts'!$A$27:$AG$123,G$137,FALSE)</f>
        <v>0</v>
      </c>
      <c r="H142" s="7"/>
      <c r="I142"/>
      <c r="J142"/>
      <c r="K142"/>
    </row>
    <row r="143" spans="1:11" ht="15">
      <c r="A143" s="8" t="s">
        <v>92</v>
      </c>
      <c r="B143" s="4">
        <f>VLOOKUP(Vlookup!$B108,'CDCM Volume Forecasts'!$A$27:$AG$123,B$137,FALSE)</f>
        <v>7006599.2032143781</v>
      </c>
      <c r="C143" s="6">
        <f>VLOOKUP(Vlookup!$B108,'CDCM Volume Forecasts'!$A$27:$AG$123,C$137,FALSE)</f>
        <v>0</v>
      </c>
      <c r="D143" s="6">
        <f>VLOOKUP(Vlookup!$B108,'CDCM Volume Forecasts'!$A$27:$AG$123,D$137,FALSE)</f>
        <v>0</v>
      </c>
      <c r="E143" s="10">
        <f>VLOOKUP(Vlookup!$B108,'CDCM Volume Forecasts'!$A$27:$AG$123,E$137,FALSE)</f>
        <v>1967400.2028794924</v>
      </c>
      <c r="F143" s="6">
        <f>VLOOKUP(Vlookup!$B108,'CDCM Volume Forecasts'!$A$27:$AG$123,F$137,FALSE)</f>
        <v>0</v>
      </c>
      <c r="G143" s="6">
        <f>VLOOKUP(Vlookup!$B108,'CDCM Volume Forecasts'!$A$27:$AG$123,G$137,FALSE)</f>
        <v>0</v>
      </c>
      <c r="H143" s="7"/>
      <c r="I143"/>
      <c r="J143"/>
      <c r="K143"/>
    </row>
    <row r="144" spans="1:11" ht="15">
      <c r="A144" s="8" t="s">
        <v>147</v>
      </c>
      <c r="B144" s="4">
        <f>VLOOKUP(Vlookup!$B109,'CDCM Volume Forecasts'!$A$27:$AG$123,B$137,FALSE)</f>
        <v>41568.678990041961</v>
      </c>
      <c r="C144" s="6">
        <f>VLOOKUP(Vlookup!$B109,'CDCM Volume Forecasts'!$A$27:$AG$123,C$137,FALSE)</f>
        <v>0</v>
      </c>
      <c r="D144" s="6">
        <f>VLOOKUP(Vlookup!$B109,'CDCM Volume Forecasts'!$A$27:$AG$123,D$137,FALSE)</f>
        <v>0</v>
      </c>
      <c r="E144" s="10">
        <f>VLOOKUP(Vlookup!$B109,'CDCM Volume Forecasts'!$A$27:$AG$123,E$137,FALSE)</f>
        <v>13963.737782751579</v>
      </c>
      <c r="F144" s="6">
        <f>VLOOKUP(Vlookup!$B109,'CDCM Volume Forecasts'!$A$27:$AG$123,F$137,FALSE)</f>
        <v>0</v>
      </c>
      <c r="G144" s="6">
        <f>VLOOKUP(Vlookup!$B109,'CDCM Volume Forecasts'!$A$27:$AG$123,G$137,FALSE)</f>
        <v>0</v>
      </c>
      <c r="H144" s="7"/>
      <c r="I144"/>
      <c r="J144"/>
      <c r="K144"/>
    </row>
    <row r="145" spans="1:11" ht="15">
      <c r="A145" s="8" t="s">
        <v>148</v>
      </c>
      <c r="B145" s="4">
        <f>VLOOKUP(Vlookup!$B110,'CDCM Volume Forecasts'!$A$27:$AG$123,B$137,FALSE)</f>
        <v>74118.188048410288</v>
      </c>
      <c r="C145" s="6">
        <f>VLOOKUP(Vlookup!$B110,'CDCM Volume Forecasts'!$A$27:$AG$123,C$137,FALSE)</f>
        <v>0</v>
      </c>
      <c r="D145" s="6">
        <f>VLOOKUP(Vlookup!$B110,'CDCM Volume Forecasts'!$A$27:$AG$123,D$137,FALSE)</f>
        <v>0</v>
      </c>
      <c r="E145" s="10">
        <f>VLOOKUP(Vlookup!$B110,'CDCM Volume Forecasts'!$A$27:$AG$123,E$137,FALSE)</f>
        <v>24598.066280902651</v>
      </c>
      <c r="F145" s="6">
        <f>VLOOKUP(Vlookup!$B110,'CDCM Volume Forecasts'!$A$27:$AG$123,F$137,FALSE)</f>
        <v>0</v>
      </c>
      <c r="G145" s="6">
        <f>VLOOKUP(Vlookup!$B110,'CDCM Volume Forecasts'!$A$27:$AG$123,G$137,FALSE)</f>
        <v>0</v>
      </c>
      <c r="H145" s="7"/>
      <c r="I145"/>
      <c r="J145"/>
      <c r="K145"/>
    </row>
    <row r="146" spans="1:11" ht="15">
      <c r="A146" s="12" t="s">
        <v>149</v>
      </c>
      <c r="B146" s="13">
        <f>VLOOKUP(Vlookup!$B111,'CDCM Volume Forecasts'!$A$27:$AG$123,B$137,FALSE)</f>
        <v>0</v>
      </c>
      <c r="C146" s="13">
        <f>VLOOKUP(Vlookup!$B111,'CDCM Volume Forecasts'!$A$27:$AG$123,C$137,FALSE)</f>
        <v>0</v>
      </c>
      <c r="D146" s="13">
        <f>VLOOKUP(Vlookup!$B111,'CDCM Volume Forecasts'!$A$27:$AG$123,D$137,FALSE)</f>
        <v>0</v>
      </c>
      <c r="E146" s="13">
        <f>VLOOKUP(Vlookup!$B111,'CDCM Volume Forecasts'!$A$27:$AG$123,E$137,FALSE)</f>
        <v>0</v>
      </c>
      <c r="F146" s="13">
        <f>VLOOKUP(Vlookup!$B111,'CDCM Volume Forecasts'!$A$27:$AG$123,F$137,FALSE)</f>
        <v>0</v>
      </c>
      <c r="G146" s="13">
        <f>VLOOKUP(Vlookup!$B111,'CDCM Volume Forecasts'!$A$27:$AG$123,G$137,FALSE)</f>
        <v>0</v>
      </c>
      <c r="H146" s="7"/>
      <c r="I146"/>
      <c r="J146"/>
      <c r="K146"/>
    </row>
    <row r="147" spans="1:11" ht="15">
      <c r="A147" s="8" t="s">
        <v>93</v>
      </c>
      <c r="B147" s="4">
        <f>VLOOKUP(Vlookup!$B112,'CDCM Volume Forecasts'!$A$27:$AG$123,B$137,FALSE)</f>
        <v>932948.80360757222</v>
      </c>
      <c r="C147" s="4">
        <f>VLOOKUP(Vlookup!$B112,'CDCM Volume Forecasts'!$A$27:$AG$123,C$137,FALSE)</f>
        <v>720595.7844260158</v>
      </c>
      <c r="D147" s="6">
        <f>VLOOKUP(Vlookup!$B112,'CDCM Volume Forecasts'!$A$27:$AG$123,D$137,FALSE)</f>
        <v>0</v>
      </c>
      <c r="E147" s="10">
        <f>VLOOKUP(Vlookup!$B112,'CDCM Volume Forecasts'!$A$27:$AG$123,E$137,FALSE)</f>
        <v>300314.63390594267</v>
      </c>
      <c r="F147" s="6">
        <f>VLOOKUP(Vlookup!$B112,'CDCM Volume Forecasts'!$A$27:$AG$123,F$137,FALSE)</f>
        <v>0</v>
      </c>
      <c r="G147" s="6">
        <f>VLOOKUP(Vlookup!$B112,'CDCM Volume Forecasts'!$A$27:$AG$123,G$137,FALSE)</f>
        <v>0</v>
      </c>
      <c r="H147" s="7"/>
      <c r="I147"/>
      <c r="J147"/>
      <c r="K147"/>
    </row>
    <row r="148" spans="1:11" ht="15">
      <c r="A148" s="8" t="s">
        <v>150</v>
      </c>
      <c r="B148" s="4">
        <f>VLOOKUP(Vlookup!$B113,'CDCM Volume Forecasts'!$A$27:$AG$123,B$137,FALSE)</f>
        <v>2626.7913722264775</v>
      </c>
      <c r="C148" s="4">
        <f>VLOOKUP(Vlookup!$B113,'CDCM Volume Forecasts'!$A$27:$AG$123,C$137,FALSE)</f>
        <v>918.3510283071206</v>
      </c>
      <c r="D148" s="6">
        <f>VLOOKUP(Vlookup!$B113,'CDCM Volume Forecasts'!$A$27:$AG$123,D$137,FALSE)</f>
        <v>0</v>
      </c>
      <c r="E148" s="10">
        <f>VLOOKUP(Vlookup!$B113,'CDCM Volume Forecasts'!$A$27:$AG$123,E$137,FALSE)</f>
        <v>1003.190066077544</v>
      </c>
      <c r="F148" s="6">
        <f>VLOOKUP(Vlookup!$B113,'CDCM Volume Forecasts'!$A$27:$AG$123,F$137,FALSE)</f>
        <v>0</v>
      </c>
      <c r="G148" s="6">
        <f>VLOOKUP(Vlookup!$B113,'CDCM Volume Forecasts'!$A$27:$AG$123,G$137,FALSE)</f>
        <v>0</v>
      </c>
      <c r="H148" s="7"/>
      <c r="I148"/>
      <c r="J148"/>
      <c r="K148"/>
    </row>
    <row r="149" spans="1:11" ht="15">
      <c r="A149" s="8" t="s">
        <v>151</v>
      </c>
      <c r="B149" s="4">
        <f>VLOOKUP(Vlookup!$B114,'CDCM Volume Forecasts'!$A$27:$AG$123,B$137,FALSE)</f>
        <v>4076.7631681946186</v>
      </c>
      <c r="C149" s="4">
        <f>VLOOKUP(Vlookup!$B114,'CDCM Volume Forecasts'!$A$27:$AG$123,C$137,FALSE)</f>
        <v>1583.897915112062</v>
      </c>
      <c r="D149" s="6">
        <f>VLOOKUP(Vlookup!$B114,'CDCM Volume Forecasts'!$A$27:$AG$123,D$137,FALSE)</f>
        <v>0</v>
      </c>
      <c r="E149" s="10">
        <f>VLOOKUP(Vlookup!$B114,'CDCM Volume Forecasts'!$A$27:$AG$123,E$137,FALSE)</f>
        <v>1260.0889306300521</v>
      </c>
      <c r="F149" s="6">
        <f>VLOOKUP(Vlookup!$B114,'CDCM Volume Forecasts'!$A$27:$AG$123,F$137,FALSE)</f>
        <v>0</v>
      </c>
      <c r="G149" s="6">
        <f>VLOOKUP(Vlookup!$B114,'CDCM Volume Forecasts'!$A$27:$AG$123,G$137,FALSE)</f>
        <v>0</v>
      </c>
      <c r="H149" s="7"/>
      <c r="I149"/>
      <c r="J149"/>
      <c r="K149"/>
    </row>
    <row r="150" spans="1:11" ht="15">
      <c r="A150" s="12" t="s">
        <v>152</v>
      </c>
      <c r="B150" s="13">
        <f>VLOOKUP(Vlookup!$B115,'CDCM Volume Forecasts'!$A$27:$AG$123,B$137,FALSE)</f>
        <v>0</v>
      </c>
      <c r="C150" s="13">
        <f>VLOOKUP(Vlookup!$B115,'CDCM Volume Forecasts'!$A$27:$AG$123,C$137,FALSE)</f>
        <v>0</v>
      </c>
      <c r="D150" s="13">
        <f>VLOOKUP(Vlookup!$B115,'CDCM Volume Forecasts'!$A$27:$AG$123,D$137,FALSE)</f>
        <v>0</v>
      </c>
      <c r="E150" s="13">
        <f>VLOOKUP(Vlookup!$B115,'CDCM Volume Forecasts'!$A$27:$AG$123,E$137,FALSE)</f>
        <v>0</v>
      </c>
      <c r="F150" s="13">
        <f>VLOOKUP(Vlookup!$B115,'CDCM Volume Forecasts'!$A$27:$AG$123,F$137,FALSE)</f>
        <v>0</v>
      </c>
      <c r="G150" s="13">
        <f>VLOOKUP(Vlookup!$B115,'CDCM Volume Forecasts'!$A$27:$AG$123,G$137,FALSE)</f>
        <v>0</v>
      </c>
      <c r="H150" s="7"/>
      <c r="I150"/>
      <c r="J150"/>
      <c r="K150"/>
    </row>
    <row r="151" spans="1:11" ht="15">
      <c r="A151" s="8" t="s">
        <v>129</v>
      </c>
      <c r="B151" s="4">
        <f>VLOOKUP(Vlookup!$B116,'CDCM Volume Forecasts'!$A$27:$AG$123,B$137,FALSE)</f>
        <v>36106.46318967735</v>
      </c>
      <c r="C151" s="6">
        <f>VLOOKUP(Vlookup!$B116,'CDCM Volume Forecasts'!$A$27:$AG$123,C$137,FALSE)</f>
        <v>0</v>
      </c>
      <c r="D151" s="6">
        <f>VLOOKUP(Vlookup!$B116,'CDCM Volume Forecasts'!$A$27:$AG$123,D$137,FALSE)</f>
        <v>0</v>
      </c>
      <c r="E151" s="10">
        <f>VLOOKUP(Vlookup!$B116,'CDCM Volume Forecasts'!$A$27:$AG$123,E$137,FALSE)</f>
        <v>0</v>
      </c>
      <c r="F151" s="6">
        <f>VLOOKUP(Vlookup!$B116,'CDCM Volume Forecasts'!$A$27:$AG$123,F$137,FALSE)</f>
        <v>0</v>
      </c>
      <c r="G151" s="6">
        <f>VLOOKUP(Vlookup!$B116,'CDCM Volume Forecasts'!$A$27:$AG$123,G$137,FALSE)</f>
        <v>0</v>
      </c>
      <c r="H151" s="7"/>
      <c r="I151"/>
      <c r="J151"/>
      <c r="K151"/>
    </row>
    <row r="152" spans="1:11" ht="15">
      <c r="A152" s="8" t="s">
        <v>153</v>
      </c>
      <c r="B152" s="4">
        <f>VLOOKUP(Vlookup!$B117,'CDCM Volume Forecasts'!$A$27:$AG$123,B$137,FALSE)</f>
        <v>0</v>
      </c>
      <c r="C152" s="6">
        <f>VLOOKUP(Vlookup!$B117,'CDCM Volume Forecasts'!$A$27:$AG$123,C$137,FALSE)</f>
        <v>0</v>
      </c>
      <c r="D152" s="6">
        <f>VLOOKUP(Vlookup!$B117,'CDCM Volume Forecasts'!$A$27:$AG$123,D$137,FALSE)</f>
        <v>0</v>
      </c>
      <c r="E152" s="10">
        <f>VLOOKUP(Vlookup!$B117,'CDCM Volume Forecasts'!$A$27:$AG$123,E$137,FALSE)</f>
        <v>0</v>
      </c>
      <c r="F152" s="6">
        <f>VLOOKUP(Vlookup!$B117,'CDCM Volume Forecasts'!$A$27:$AG$123,F$137,FALSE)</f>
        <v>0</v>
      </c>
      <c r="G152" s="6">
        <f>VLOOKUP(Vlookup!$B117,'CDCM Volume Forecasts'!$A$27:$AG$123,G$137,FALSE)</f>
        <v>0</v>
      </c>
      <c r="H152" s="7"/>
      <c r="I152"/>
      <c r="J152"/>
      <c r="K152"/>
    </row>
    <row r="153" spans="1:11" ht="15">
      <c r="A153" s="8" t="s">
        <v>154</v>
      </c>
      <c r="B153" s="4">
        <f>VLOOKUP(Vlookup!$B118,'CDCM Volume Forecasts'!$A$27:$AG$123,B$137,FALSE)</f>
        <v>0</v>
      </c>
      <c r="C153" s="6">
        <f>VLOOKUP(Vlookup!$B118,'CDCM Volume Forecasts'!$A$27:$AG$123,C$137,FALSE)</f>
        <v>0</v>
      </c>
      <c r="D153" s="6">
        <f>VLOOKUP(Vlookup!$B118,'CDCM Volume Forecasts'!$A$27:$AG$123,D$137,FALSE)</f>
        <v>0</v>
      </c>
      <c r="E153" s="10">
        <f>VLOOKUP(Vlookup!$B118,'CDCM Volume Forecasts'!$A$27:$AG$123,E$137,FALSE)</f>
        <v>0</v>
      </c>
      <c r="F153" s="6">
        <f>VLOOKUP(Vlookup!$B118,'CDCM Volume Forecasts'!$A$27:$AG$123,F$137,FALSE)</f>
        <v>0</v>
      </c>
      <c r="G153" s="6">
        <f>VLOOKUP(Vlookup!$B118,'CDCM Volume Forecasts'!$A$27:$AG$123,G$137,FALSE)</f>
        <v>0</v>
      </c>
      <c r="H153" s="7"/>
      <c r="I153"/>
      <c r="J153"/>
      <c r="K153"/>
    </row>
    <row r="154" spans="1:11" ht="15">
      <c r="A154" s="12" t="s">
        <v>155</v>
      </c>
      <c r="B154" s="13">
        <f>VLOOKUP(Vlookup!$B119,'CDCM Volume Forecasts'!$A$27:$AG$123,B$137,FALSE)</f>
        <v>0</v>
      </c>
      <c r="C154" s="13">
        <f>VLOOKUP(Vlookup!$B119,'CDCM Volume Forecasts'!$A$27:$AG$123,C$137,FALSE)</f>
        <v>0</v>
      </c>
      <c r="D154" s="13">
        <f>VLOOKUP(Vlookup!$B119,'CDCM Volume Forecasts'!$A$27:$AG$123,D$137,FALSE)</f>
        <v>0</v>
      </c>
      <c r="E154" s="13">
        <f>VLOOKUP(Vlookup!$B119,'CDCM Volume Forecasts'!$A$27:$AG$123,E$137,FALSE)</f>
        <v>0</v>
      </c>
      <c r="F154" s="13">
        <f>VLOOKUP(Vlookup!$B119,'CDCM Volume Forecasts'!$A$27:$AG$123,F$137,FALSE)</f>
        <v>0</v>
      </c>
      <c r="G154" s="13">
        <f>VLOOKUP(Vlookup!$B119,'CDCM Volume Forecasts'!$A$27:$AG$123,G$137,FALSE)</f>
        <v>0</v>
      </c>
      <c r="H154" s="7"/>
      <c r="I154"/>
      <c r="J154"/>
      <c r="K154"/>
    </row>
    <row r="155" spans="1:11" ht="15">
      <c r="A155" s="8" t="s">
        <v>94</v>
      </c>
      <c r="B155" s="4">
        <f>VLOOKUP(Vlookup!$B120,'CDCM Volume Forecasts'!$A$27:$AG$123,B$137,FALSE)</f>
        <v>1619655.6585213088</v>
      </c>
      <c r="C155" s="6">
        <f>VLOOKUP(Vlookup!$B120,'CDCM Volume Forecasts'!$A$27:$AG$123,C$137,FALSE)</f>
        <v>0</v>
      </c>
      <c r="D155" s="6">
        <f>VLOOKUP(Vlookup!$B120,'CDCM Volume Forecasts'!$A$27:$AG$123,D$137,FALSE)</f>
        <v>0</v>
      </c>
      <c r="E155" s="10">
        <f>VLOOKUP(Vlookup!$B120,'CDCM Volume Forecasts'!$A$27:$AG$123,E$137,FALSE)</f>
        <v>135679.92656869252</v>
      </c>
      <c r="F155" s="6">
        <f>VLOOKUP(Vlookup!$B120,'CDCM Volume Forecasts'!$A$27:$AG$123,F$137,FALSE)</f>
        <v>0</v>
      </c>
      <c r="G155" s="6">
        <f>VLOOKUP(Vlookup!$B120,'CDCM Volume Forecasts'!$A$27:$AG$123,G$137,FALSE)</f>
        <v>0</v>
      </c>
      <c r="H155" s="7"/>
      <c r="I155"/>
      <c r="J155"/>
      <c r="K155"/>
    </row>
    <row r="156" spans="1:11" ht="15">
      <c r="A156" s="8" t="s">
        <v>156</v>
      </c>
      <c r="B156" s="4">
        <f>VLOOKUP(Vlookup!$B121,'CDCM Volume Forecasts'!$A$27:$AG$123,B$137,FALSE)</f>
        <v>2891.2734624687741</v>
      </c>
      <c r="C156" s="6">
        <f>VLOOKUP(Vlookup!$B121,'CDCM Volume Forecasts'!$A$27:$AG$123,C$137,FALSE)</f>
        <v>0</v>
      </c>
      <c r="D156" s="6">
        <f>VLOOKUP(Vlookup!$B121,'CDCM Volume Forecasts'!$A$27:$AG$123,D$137,FALSE)</f>
        <v>0</v>
      </c>
      <c r="E156" s="10">
        <f>VLOOKUP(Vlookup!$B121,'CDCM Volume Forecasts'!$A$27:$AG$123,E$137,FALSE)</f>
        <v>8156.5389495421296</v>
      </c>
      <c r="F156" s="6">
        <f>VLOOKUP(Vlookup!$B121,'CDCM Volume Forecasts'!$A$27:$AG$123,F$137,FALSE)</f>
        <v>0</v>
      </c>
      <c r="G156" s="6">
        <f>VLOOKUP(Vlookup!$B121,'CDCM Volume Forecasts'!$A$27:$AG$123,G$137,FALSE)</f>
        <v>0</v>
      </c>
      <c r="H156" s="7"/>
      <c r="I156"/>
      <c r="J156"/>
      <c r="K156"/>
    </row>
    <row r="157" spans="1:11" ht="15">
      <c r="A157" s="8" t="s">
        <v>157</v>
      </c>
      <c r="B157" s="4">
        <f>VLOOKUP(Vlookup!$B122,'CDCM Volume Forecasts'!$A$27:$AG$123,B$137,FALSE)</f>
        <v>15215.334512820744</v>
      </c>
      <c r="C157" s="6">
        <f>VLOOKUP(Vlookup!$B122,'CDCM Volume Forecasts'!$A$27:$AG$123,C$137,FALSE)</f>
        <v>0</v>
      </c>
      <c r="D157" s="6">
        <f>VLOOKUP(Vlookup!$B122,'CDCM Volume Forecasts'!$A$27:$AG$123,D$137,FALSE)</f>
        <v>0</v>
      </c>
      <c r="E157" s="10">
        <f>VLOOKUP(Vlookup!$B122,'CDCM Volume Forecasts'!$A$27:$AG$123,E$137,FALSE)</f>
        <v>894.00804864272811</v>
      </c>
      <c r="F157" s="6">
        <f>VLOOKUP(Vlookup!$B122,'CDCM Volume Forecasts'!$A$27:$AG$123,F$137,FALSE)</f>
        <v>0</v>
      </c>
      <c r="G157" s="6">
        <f>VLOOKUP(Vlookup!$B122,'CDCM Volume Forecasts'!$A$27:$AG$123,G$137,FALSE)</f>
        <v>0</v>
      </c>
      <c r="H157" s="7"/>
      <c r="I157"/>
      <c r="J157"/>
      <c r="K157"/>
    </row>
    <row r="158" spans="1:11" ht="15">
      <c r="A158" s="12" t="s">
        <v>158</v>
      </c>
      <c r="B158" s="13">
        <f>VLOOKUP(Vlookup!$B123,'CDCM Volume Forecasts'!$A$27:$AG$123,B$137,FALSE)</f>
        <v>0</v>
      </c>
      <c r="C158" s="13">
        <f>VLOOKUP(Vlookup!$B123,'CDCM Volume Forecasts'!$A$27:$AG$123,C$137,FALSE)</f>
        <v>0</v>
      </c>
      <c r="D158" s="13">
        <f>VLOOKUP(Vlookup!$B123,'CDCM Volume Forecasts'!$A$27:$AG$123,D$137,FALSE)</f>
        <v>0</v>
      </c>
      <c r="E158" s="13">
        <f>VLOOKUP(Vlookup!$B123,'CDCM Volume Forecasts'!$A$27:$AG$123,E$137,FALSE)</f>
        <v>0</v>
      </c>
      <c r="F158" s="13">
        <f>VLOOKUP(Vlookup!$B123,'CDCM Volume Forecasts'!$A$27:$AG$123,F$137,FALSE)</f>
        <v>0</v>
      </c>
      <c r="G158" s="13">
        <f>VLOOKUP(Vlookup!$B123,'CDCM Volume Forecasts'!$A$27:$AG$123,G$137,FALSE)</f>
        <v>0</v>
      </c>
      <c r="H158" s="7"/>
      <c r="I158"/>
      <c r="J158"/>
      <c r="K158"/>
    </row>
    <row r="159" spans="1:11" ht="15">
      <c r="A159" s="8" t="s">
        <v>95</v>
      </c>
      <c r="B159" s="4">
        <f>VLOOKUP(Vlookup!$B124,'CDCM Volume Forecasts'!$A$27:$AG$123,B$137,FALSE)</f>
        <v>505281.77147158369</v>
      </c>
      <c r="C159" s="4">
        <f>VLOOKUP(Vlookup!$B124,'CDCM Volume Forecasts'!$A$27:$AG$123,C$137,FALSE)</f>
        <v>208404.41119819321</v>
      </c>
      <c r="D159" s="6">
        <f>VLOOKUP(Vlookup!$B124,'CDCM Volume Forecasts'!$A$27:$AG$123,D$137,FALSE)</f>
        <v>0</v>
      </c>
      <c r="E159" s="10">
        <f>VLOOKUP(Vlookup!$B124,'CDCM Volume Forecasts'!$A$27:$AG$123,E$137,FALSE)</f>
        <v>34491.689344628736</v>
      </c>
      <c r="F159" s="6">
        <f>VLOOKUP(Vlookup!$B124,'CDCM Volume Forecasts'!$A$27:$AG$123,F$137,FALSE)</f>
        <v>0</v>
      </c>
      <c r="G159" s="6">
        <f>VLOOKUP(Vlookup!$B124,'CDCM Volume Forecasts'!$A$27:$AG$123,G$137,FALSE)</f>
        <v>0</v>
      </c>
      <c r="H159" s="7"/>
      <c r="I159"/>
      <c r="J159"/>
      <c r="K159"/>
    </row>
    <row r="160" spans="1:11" ht="15">
      <c r="A160" s="8" t="s">
        <v>159</v>
      </c>
      <c r="B160" s="4">
        <f>VLOOKUP(Vlookup!$B125,'CDCM Volume Forecasts'!$A$27:$AG$123,B$137,FALSE)</f>
        <v>879.40978502704854</v>
      </c>
      <c r="C160" s="4">
        <f>VLOOKUP(Vlookup!$B125,'CDCM Volume Forecasts'!$A$27:$AG$123,C$137,FALSE)</f>
        <v>325.90755796918535</v>
      </c>
      <c r="D160" s="6">
        <f>VLOOKUP(Vlookup!$B125,'CDCM Volume Forecasts'!$A$27:$AG$123,D$137,FALSE)</f>
        <v>0</v>
      </c>
      <c r="E160" s="10">
        <f>VLOOKUP(Vlookup!$B125,'CDCM Volume Forecasts'!$A$27:$AG$123,E$137,FALSE)</f>
        <v>17.982920518675567</v>
      </c>
      <c r="F160" s="6">
        <f>VLOOKUP(Vlookup!$B125,'CDCM Volume Forecasts'!$A$27:$AG$123,F$137,FALSE)</f>
        <v>0</v>
      </c>
      <c r="G160" s="6">
        <f>VLOOKUP(Vlookup!$B125,'CDCM Volume Forecasts'!$A$27:$AG$123,G$137,FALSE)</f>
        <v>0</v>
      </c>
      <c r="H160" s="7"/>
      <c r="I160"/>
      <c r="J160"/>
      <c r="K160"/>
    </row>
    <row r="161" spans="1:11" ht="15">
      <c r="A161" s="8" t="s">
        <v>160</v>
      </c>
      <c r="B161" s="4">
        <f>VLOOKUP(Vlookup!$B126,'CDCM Volume Forecasts'!$A$27:$AG$123,B$137,FALSE)</f>
        <v>3693.9572983147759</v>
      </c>
      <c r="C161" s="4">
        <f>VLOOKUP(Vlookup!$B126,'CDCM Volume Forecasts'!$A$27:$AG$123,C$137,FALSE)</f>
        <v>1053.731561149656</v>
      </c>
      <c r="D161" s="6">
        <f>VLOOKUP(Vlookup!$B126,'CDCM Volume Forecasts'!$A$27:$AG$123,D$137,FALSE)</f>
        <v>0</v>
      </c>
      <c r="E161" s="10">
        <f>VLOOKUP(Vlookup!$B126,'CDCM Volume Forecasts'!$A$27:$AG$123,E$137,FALSE)</f>
        <v>77.069659365752401</v>
      </c>
      <c r="F161" s="6">
        <f>VLOOKUP(Vlookup!$B126,'CDCM Volume Forecasts'!$A$27:$AG$123,F$137,FALSE)</f>
        <v>0</v>
      </c>
      <c r="G161" s="6">
        <f>VLOOKUP(Vlookup!$B126,'CDCM Volume Forecasts'!$A$27:$AG$123,G$137,FALSE)</f>
        <v>0</v>
      </c>
      <c r="H161" s="7"/>
      <c r="I161"/>
      <c r="J161"/>
      <c r="K161"/>
    </row>
    <row r="162" spans="1:11" ht="15">
      <c r="A162" s="12" t="s">
        <v>161</v>
      </c>
      <c r="B162" s="13">
        <f>VLOOKUP(Vlookup!$B127,'CDCM Volume Forecasts'!$A$27:$AG$123,B$137,FALSE)</f>
        <v>0</v>
      </c>
      <c r="C162" s="13">
        <f>VLOOKUP(Vlookup!$B127,'CDCM Volume Forecasts'!$A$27:$AG$123,C$137,FALSE)</f>
        <v>0</v>
      </c>
      <c r="D162" s="13">
        <f>VLOOKUP(Vlookup!$B127,'CDCM Volume Forecasts'!$A$27:$AG$123,D$137,FALSE)</f>
        <v>0</v>
      </c>
      <c r="E162" s="13">
        <f>VLOOKUP(Vlookup!$B127,'CDCM Volume Forecasts'!$A$27:$AG$123,E$137,FALSE)</f>
        <v>0</v>
      </c>
      <c r="F162" s="13">
        <f>VLOOKUP(Vlookup!$B127,'CDCM Volume Forecasts'!$A$27:$AG$123,F$137,FALSE)</f>
        <v>0</v>
      </c>
      <c r="G162" s="13">
        <f>VLOOKUP(Vlookup!$B127,'CDCM Volume Forecasts'!$A$27:$AG$123,G$137,FALSE)</f>
        <v>0</v>
      </c>
      <c r="H162" s="7"/>
      <c r="I162"/>
      <c r="J162"/>
      <c r="K162"/>
    </row>
    <row r="163" spans="1:11" ht="15">
      <c r="A163" s="8" t="s">
        <v>130</v>
      </c>
      <c r="B163" s="4">
        <f>VLOOKUP(Vlookup!$B128,'CDCM Volume Forecasts'!$A$27:$AG$123,B$137,FALSE)</f>
        <v>6654.8554381718086</v>
      </c>
      <c r="C163" s="6">
        <f>VLOOKUP(Vlookup!$B128,'CDCM Volume Forecasts'!$A$27:$AG$123,C$137,FALSE)</f>
        <v>0</v>
      </c>
      <c r="D163" s="6">
        <f>VLOOKUP(Vlookup!$B128,'CDCM Volume Forecasts'!$A$27:$AG$123,D$137,FALSE)</f>
        <v>0</v>
      </c>
      <c r="E163" s="10">
        <f>VLOOKUP(Vlookup!$B128,'CDCM Volume Forecasts'!$A$27:$AG$123,E$137,FALSE)</f>
        <v>0</v>
      </c>
      <c r="F163" s="6">
        <f>VLOOKUP(Vlookup!$B128,'CDCM Volume Forecasts'!$A$27:$AG$123,F$137,FALSE)</f>
        <v>0</v>
      </c>
      <c r="G163" s="6">
        <f>VLOOKUP(Vlookup!$B128,'CDCM Volume Forecasts'!$A$27:$AG$123,G$137,FALSE)</f>
        <v>0</v>
      </c>
      <c r="H163" s="7"/>
      <c r="I163"/>
      <c r="J163"/>
      <c r="K163"/>
    </row>
    <row r="164" spans="1:11" ht="30">
      <c r="A164" s="8" t="s">
        <v>162</v>
      </c>
      <c r="B164" s="4">
        <f>VLOOKUP(Vlookup!$B129,'CDCM Volume Forecasts'!$A$27:$AG$123,B$137,FALSE)</f>
        <v>0</v>
      </c>
      <c r="C164" s="6">
        <f>VLOOKUP(Vlookup!$B129,'CDCM Volume Forecasts'!$A$27:$AG$123,C$137,FALSE)</f>
        <v>0</v>
      </c>
      <c r="D164" s="6">
        <f>VLOOKUP(Vlookup!$B129,'CDCM Volume Forecasts'!$A$27:$AG$123,D$137,FALSE)</f>
        <v>0</v>
      </c>
      <c r="E164" s="10">
        <f>VLOOKUP(Vlookup!$B129,'CDCM Volume Forecasts'!$A$27:$AG$123,E$137,FALSE)</f>
        <v>0</v>
      </c>
      <c r="F164" s="6">
        <f>VLOOKUP(Vlookup!$B129,'CDCM Volume Forecasts'!$A$27:$AG$123,F$137,FALSE)</f>
        <v>0</v>
      </c>
      <c r="G164" s="6">
        <f>VLOOKUP(Vlookup!$B129,'CDCM Volume Forecasts'!$A$27:$AG$123,G$137,FALSE)</f>
        <v>0</v>
      </c>
      <c r="H164" s="7"/>
      <c r="I164"/>
      <c r="J164"/>
      <c r="K164"/>
    </row>
    <row r="165" spans="1:11" ht="30">
      <c r="A165" s="8" t="s">
        <v>163</v>
      </c>
      <c r="B165" s="4">
        <f>VLOOKUP(Vlookup!$B130,'CDCM Volume Forecasts'!$A$27:$AG$123,B$137,FALSE)</f>
        <v>0</v>
      </c>
      <c r="C165" s="6">
        <f>VLOOKUP(Vlookup!$B130,'CDCM Volume Forecasts'!$A$27:$AG$123,C$137,FALSE)</f>
        <v>0</v>
      </c>
      <c r="D165" s="6">
        <f>VLOOKUP(Vlookup!$B130,'CDCM Volume Forecasts'!$A$27:$AG$123,D$137,FALSE)</f>
        <v>0</v>
      </c>
      <c r="E165" s="10">
        <f>VLOOKUP(Vlookup!$B130,'CDCM Volume Forecasts'!$A$27:$AG$123,E$137,FALSE)</f>
        <v>0</v>
      </c>
      <c r="F165" s="6">
        <f>VLOOKUP(Vlookup!$B130,'CDCM Volume Forecasts'!$A$27:$AG$123,F$137,FALSE)</f>
        <v>0</v>
      </c>
      <c r="G165" s="6">
        <f>VLOOKUP(Vlookup!$B130,'CDCM Volume Forecasts'!$A$27:$AG$123,G$137,FALSE)</f>
        <v>0</v>
      </c>
      <c r="H165" s="7"/>
      <c r="I165"/>
      <c r="J165"/>
      <c r="K165"/>
    </row>
    <row r="166" spans="1:11" ht="15">
      <c r="A166" s="12" t="s">
        <v>164</v>
      </c>
      <c r="B166" s="13">
        <f>VLOOKUP(Vlookup!$B131,'CDCM Volume Forecasts'!$A$27:$AG$123,B$137,FALSE)</f>
        <v>0</v>
      </c>
      <c r="C166" s="13">
        <f>VLOOKUP(Vlookup!$B131,'CDCM Volume Forecasts'!$A$27:$AG$123,C$137,FALSE)</f>
        <v>0</v>
      </c>
      <c r="D166" s="13">
        <f>VLOOKUP(Vlookup!$B131,'CDCM Volume Forecasts'!$A$27:$AG$123,D$137,FALSE)</f>
        <v>0</v>
      </c>
      <c r="E166" s="13">
        <f>VLOOKUP(Vlookup!$B131,'CDCM Volume Forecasts'!$A$27:$AG$123,E$137,FALSE)</f>
        <v>0</v>
      </c>
      <c r="F166" s="13">
        <f>VLOOKUP(Vlookup!$B131,'CDCM Volume Forecasts'!$A$27:$AG$123,F$137,FALSE)</f>
        <v>0</v>
      </c>
      <c r="G166" s="13">
        <f>VLOOKUP(Vlookup!$B131,'CDCM Volume Forecasts'!$A$27:$AG$123,G$137,FALSE)</f>
        <v>0</v>
      </c>
      <c r="H166" s="7"/>
      <c r="I166"/>
      <c r="J166"/>
      <c r="K166"/>
    </row>
    <row r="167" spans="1:11" ht="15">
      <c r="A167" s="8" t="s">
        <v>96</v>
      </c>
      <c r="B167" s="4">
        <f>VLOOKUP(Vlookup!$B132,'CDCM Volume Forecasts'!$A$27:$AG$123,B$137,FALSE)</f>
        <v>0</v>
      </c>
      <c r="C167" s="4">
        <f>VLOOKUP(Vlookup!$B132,'CDCM Volume Forecasts'!$A$27:$AG$123,C$137,FALSE)</f>
        <v>0</v>
      </c>
      <c r="D167" s="6">
        <f>VLOOKUP(Vlookup!$B132,'CDCM Volume Forecasts'!$A$27:$AG$123,D$137,FALSE)</f>
        <v>0</v>
      </c>
      <c r="E167" s="10">
        <f>VLOOKUP(Vlookup!$B132,'CDCM Volume Forecasts'!$A$27:$AG$123,E$137,FALSE)</f>
        <v>0</v>
      </c>
      <c r="F167" s="6">
        <f>VLOOKUP(Vlookup!$B132,'CDCM Volume Forecasts'!$A$27:$AG$123,F$137,FALSE)</f>
        <v>0</v>
      </c>
      <c r="G167" s="6">
        <f>VLOOKUP(Vlookup!$B132,'CDCM Volume Forecasts'!$A$27:$AG$123,G$137,FALSE)</f>
        <v>0</v>
      </c>
      <c r="H167" s="7"/>
      <c r="I167"/>
      <c r="J167"/>
      <c r="K167"/>
    </row>
    <row r="168" spans="1:11" ht="15">
      <c r="A168" s="8" t="s">
        <v>165</v>
      </c>
      <c r="B168" s="4">
        <f>VLOOKUP(Vlookup!$B133,'CDCM Volume Forecasts'!$A$27:$AG$123,B$137,FALSE)</f>
        <v>0</v>
      </c>
      <c r="C168" s="4">
        <f>VLOOKUP(Vlookup!$B133,'CDCM Volume Forecasts'!$A$27:$AG$123,C$137,FALSE)</f>
        <v>0</v>
      </c>
      <c r="D168" s="6">
        <f>VLOOKUP(Vlookup!$B133,'CDCM Volume Forecasts'!$A$27:$AG$123,D$137,FALSE)</f>
        <v>0</v>
      </c>
      <c r="E168" s="10">
        <f>VLOOKUP(Vlookup!$B133,'CDCM Volume Forecasts'!$A$27:$AG$123,E$137,FALSE)</f>
        <v>0</v>
      </c>
      <c r="F168" s="6">
        <f>VLOOKUP(Vlookup!$B133,'CDCM Volume Forecasts'!$A$27:$AG$123,F$137,FALSE)</f>
        <v>0</v>
      </c>
      <c r="G168" s="6">
        <f>VLOOKUP(Vlookup!$B133,'CDCM Volume Forecasts'!$A$27:$AG$123,G$137,FALSE)</f>
        <v>0</v>
      </c>
      <c r="H168" s="7"/>
      <c r="I168"/>
      <c r="J168"/>
      <c r="K168"/>
    </row>
    <row r="169" spans="1:11" ht="15">
      <c r="A169" s="8" t="s">
        <v>166</v>
      </c>
      <c r="B169" s="4">
        <f>VLOOKUP(Vlookup!$B134,'CDCM Volume Forecasts'!$A$27:$AG$123,B$137,FALSE)</f>
        <v>0</v>
      </c>
      <c r="C169" s="4">
        <f>VLOOKUP(Vlookup!$B134,'CDCM Volume Forecasts'!$A$27:$AG$123,C$137,FALSE)</f>
        <v>0</v>
      </c>
      <c r="D169" s="6">
        <f>VLOOKUP(Vlookup!$B134,'CDCM Volume Forecasts'!$A$27:$AG$123,D$137,FALSE)</f>
        <v>0</v>
      </c>
      <c r="E169" s="10">
        <f>VLOOKUP(Vlookup!$B134,'CDCM Volume Forecasts'!$A$27:$AG$123,E$137,FALSE)</f>
        <v>0</v>
      </c>
      <c r="F169" s="6">
        <f>VLOOKUP(Vlookup!$B134,'CDCM Volume Forecasts'!$A$27:$AG$123,F$137,FALSE)</f>
        <v>0</v>
      </c>
      <c r="G169" s="6">
        <f>VLOOKUP(Vlookup!$B134,'CDCM Volume Forecasts'!$A$27:$AG$123,G$137,FALSE)</f>
        <v>0</v>
      </c>
      <c r="H169" s="7"/>
      <c r="I169"/>
      <c r="J169"/>
      <c r="K169"/>
    </row>
    <row r="170" spans="1:11" ht="15">
      <c r="A170" s="12" t="s">
        <v>167</v>
      </c>
      <c r="B170" s="13">
        <f>VLOOKUP(Vlookup!$B135,'CDCM Volume Forecasts'!$A$27:$AG$123,B$137,FALSE)</f>
        <v>0</v>
      </c>
      <c r="C170" s="13">
        <f>VLOOKUP(Vlookup!$B135,'CDCM Volume Forecasts'!$A$27:$AG$123,C$137,FALSE)</f>
        <v>0</v>
      </c>
      <c r="D170" s="13">
        <f>VLOOKUP(Vlookup!$B135,'CDCM Volume Forecasts'!$A$27:$AG$123,D$137,FALSE)</f>
        <v>0</v>
      </c>
      <c r="E170" s="13">
        <f>VLOOKUP(Vlookup!$B135,'CDCM Volume Forecasts'!$A$27:$AG$123,E$137,FALSE)</f>
        <v>0</v>
      </c>
      <c r="F170" s="13">
        <f>VLOOKUP(Vlookup!$B135,'CDCM Volume Forecasts'!$A$27:$AG$123,F$137,FALSE)</f>
        <v>0</v>
      </c>
      <c r="G170" s="13">
        <f>VLOOKUP(Vlookup!$B135,'CDCM Volume Forecasts'!$A$27:$AG$123,G$137,FALSE)</f>
        <v>0</v>
      </c>
      <c r="H170" s="7"/>
      <c r="I170"/>
      <c r="J170"/>
      <c r="K170"/>
    </row>
    <row r="171" spans="1:11" ht="15">
      <c r="A171" s="8" t="s">
        <v>97</v>
      </c>
      <c r="B171" s="4">
        <f>VLOOKUP(Vlookup!$B136,'CDCM Volume Forecasts'!$A$27:$AG$123,B$137,FALSE)</f>
        <v>0</v>
      </c>
      <c r="C171" s="4">
        <f>VLOOKUP(Vlookup!$B136,'CDCM Volume Forecasts'!$A$27:$AG$123,C$137,FALSE)</f>
        <v>0</v>
      </c>
      <c r="D171" s="6">
        <f>VLOOKUP(Vlookup!$B136,'CDCM Volume Forecasts'!$A$27:$AG$123,D$137,FALSE)</f>
        <v>0</v>
      </c>
      <c r="E171" s="10">
        <f>VLOOKUP(Vlookup!$B136,'CDCM Volume Forecasts'!$A$27:$AG$123,E$137,FALSE)</f>
        <v>0</v>
      </c>
      <c r="F171" s="6">
        <f>VLOOKUP(Vlookup!$B136,'CDCM Volume Forecasts'!$A$27:$AG$123,F$137,FALSE)</f>
        <v>0</v>
      </c>
      <c r="G171" s="6">
        <f>VLOOKUP(Vlookup!$B136,'CDCM Volume Forecasts'!$A$27:$AG$123,G$137,FALSE)</f>
        <v>0</v>
      </c>
      <c r="H171" s="7"/>
      <c r="I171"/>
      <c r="J171"/>
      <c r="K171"/>
    </row>
    <row r="172" spans="1:11" ht="15">
      <c r="A172" s="12" t="s">
        <v>168</v>
      </c>
      <c r="B172" s="13">
        <f>VLOOKUP(Vlookup!$B137,'CDCM Volume Forecasts'!$A$27:$AG$123,B$137,FALSE)</f>
        <v>0</v>
      </c>
      <c r="C172" s="13">
        <f>VLOOKUP(Vlookup!$B137,'CDCM Volume Forecasts'!$A$27:$AG$123,C$137,FALSE)</f>
        <v>0</v>
      </c>
      <c r="D172" s="13">
        <f>VLOOKUP(Vlookup!$B137,'CDCM Volume Forecasts'!$A$27:$AG$123,D$137,FALSE)</f>
        <v>0</v>
      </c>
      <c r="E172" s="13">
        <f>VLOOKUP(Vlookup!$B137,'CDCM Volume Forecasts'!$A$27:$AG$123,E$137,FALSE)</f>
        <v>0</v>
      </c>
      <c r="F172" s="13">
        <f>VLOOKUP(Vlookup!$B137,'CDCM Volume Forecasts'!$A$27:$AG$123,F$137,FALSE)</f>
        <v>0</v>
      </c>
      <c r="G172" s="13">
        <f>VLOOKUP(Vlookup!$B137,'CDCM Volume Forecasts'!$A$27:$AG$123,G$137,FALSE)</f>
        <v>0</v>
      </c>
      <c r="H172" s="7"/>
      <c r="I172"/>
      <c r="J172"/>
      <c r="K172"/>
    </row>
    <row r="173" spans="1:11" ht="15">
      <c r="A173" s="8" t="s">
        <v>110</v>
      </c>
      <c r="B173" s="4">
        <f>VLOOKUP(Vlookup!$B138,'CDCM Volume Forecasts'!$A$27:$AG$123,B$137,FALSE)</f>
        <v>0</v>
      </c>
      <c r="C173" s="4">
        <f>VLOOKUP(Vlookup!$B138,'CDCM Volume Forecasts'!$A$27:$AG$123,C$137,FALSE)</f>
        <v>0</v>
      </c>
      <c r="D173" s="6">
        <f>VLOOKUP(Vlookup!$B138,'CDCM Volume Forecasts'!$A$27:$AG$123,D$137,FALSE)</f>
        <v>0</v>
      </c>
      <c r="E173" s="10">
        <f>VLOOKUP(Vlookup!$B138,'CDCM Volume Forecasts'!$A$27:$AG$123,E$137,FALSE)</f>
        <v>0</v>
      </c>
      <c r="F173" s="6">
        <f>VLOOKUP(Vlookup!$B138,'CDCM Volume Forecasts'!$A$27:$AG$123,F$137,FALSE)</f>
        <v>0</v>
      </c>
      <c r="G173" s="6">
        <f>VLOOKUP(Vlookup!$B138,'CDCM Volume Forecasts'!$A$27:$AG$123,G$137,FALSE)</f>
        <v>0</v>
      </c>
      <c r="H173" s="7"/>
      <c r="I173"/>
      <c r="J173"/>
      <c r="K173"/>
    </row>
    <row r="174" spans="1:11" ht="15">
      <c r="A174" s="12" t="s">
        <v>1539</v>
      </c>
      <c r="B174" s="13">
        <f>VLOOKUP(Vlookup!$B139,'CDCM Volume Forecasts'!$A$27:$AG$123,B$137,FALSE)</f>
        <v>0</v>
      </c>
      <c r="C174" s="13">
        <f>VLOOKUP(Vlookup!$B139,'CDCM Volume Forecasts'!$A$27:$AG$123,C$137,FALSE)</f>
        <v>0</v>
      </c>
      <c r="D174" s="13">
        <f>VLOOKUP(Vlookup!$B139,'CDCM Volume Forecasts'!$A$27:$AG$123,D$137,FALSE)</f>
        <v>0</v>
      </c>
      <c r="E174" s="13">
        <f>VLOOKUP(Vlookup!$B139,'CDCM Volume Forecasts'!$A$27:$AG$123,E$137,FALSE)</f>
        <v>0</v>
      </c>
      <c r="F174" s="13">
        <f>VLOOKUP(Vlookup!$B139,'CDCM Volume Forecasts'!$A$27:$AG$123,F$137,FALSE)</f>
        <v>0</v>
      </c>
      <c r="G174" s="13">
        <f>VLOOKUP(Vlookup!$B139,'CDCM Volume Forecasts'!$A$27:$AG$123,G$137,FALSE)</f>
        <v>0</v>
      </c>
      <c r="H174" s="7"/>
      <c r="I174"/>
      <c r="J174"/>
      <c r="K174"/>
    </row>
    <row r="175" spans="1:11" ht="15">
      <c r="A175" s="8" t="s">
        <v>1536</v>
      </c>
      <c r="B175" s="4">
        <f>VLOOKUP(Vlookup!$B140,'CDCM Volume Forecasts'!$A$27:$AG$123,B$137,FALSE)</f>
        <v>0</v>
      </c>
      <c r="C175" s="4">
        <f>VLOOKUP(Vlookup!$B140,'CDCM Volume Forecasts'!$A$27:$AG$123,C$137,FALSE)</f>
        <v>0</v>
      </c>
      <c r="D175" s="4">
        <f>VLOOKUP(Vlookup!$B140,'CDCM Volume Forecasts'!$A$27:$AG$123,D$137,FALSE)</f>
        <v>0</v>
      </c>
      <c r="E175" s="10">
        <f>VLOOKUP(Vlookup!$B140,'CDCM Volume Forecasts'!$A$27:$AG$123,E$137,FALSE)</f>
        <v>0</v>
      </c>
      <c r="F175" s="6">
        <f>VLOOKUP(Vlookup!$B140,'CDCM Volume Forecasts'!$A$27:$AG$123,F$137,FALSE)</f>
        <v>0</v>
      </c>
      <c r="G175" s="6">
        <f>VLOOKUP(Vlookup!$B140,'CDCM Volume Forecasts'!$A$27:$AG$123,G$137,FALSE)</f>
        <v>0</v>
      </c>
      <c r="H175" s="7"/>
      <c r="I175"/>
      <c r="J175"/>
      <c r="K175"/>
    </row>
    <row r="176" spans="1:11" ht="15">
      <c r="A176" s="8" t="s">
        <v>1533</v>
      </c>
      <c r="B176" s="4">
        <f>VLOOKUP(Vlookup!$B141,'CDCM Volume Forecasts'!$A$27:$AG$123,B$137,FALSE)</f>
        <v>0</v>
      </c>
      <c r="C176" s="4">
        <f>VLOOKUP(Vlookup!$B141,'CDCM Volume Forecasts'!$A$27:$AG$123,C$137,FALSE)</f>
        <v>0</v>
      </c>
      <c r="D176" s="4">
        <f>VLOOKUP(Vlookup!$B141,'CDCM Volume Forecasts'!$A$27:$AG$123,D$137,FALSE)</f>
        <v>0</v>
      </c>
      <c r="E176" s="10">
        <f>VLOOKUP(Vlookup!$B141,'CDCM Volume Forecasts'!$A$27:$AG$123,E$137,FALSE)</f>
        <v>0</v>
      </c>
      <c r="F176" s="6">
        <f>VLOOKUP(Vlookup!$B141,'CDCM Volume Forecasts'!$A$27:$AG$123,F$137,FALSE)</f>
        <v>0</v>
      </c>
      <c r="G176" s="6">
        <f>VLOOKUP(Vlookup!$B141,'CDCM Volume Forecasts'!$A$27:$AG$123,G$137,FALSE)</f>
        <v>0</v>
      </c>
      <c r="H176" s="7"/>
      <c r="I176"/>
      <c r="J176"/>
      <c r="K176"/>
    </row>
    <row r="177" spans="1:11" ht="15">
      <c r="A177" s="8" t="s">
        <v>1530</v>
      </c>
      <c r="B177" s="4">
        <f>VLOOKUP(Vlookup!$B142,'CDCM Volume Forecasts'!$A$27:$AG$123,B$137,FALSE)</f>
        <v>0</v>
      </c>
      <c r="C177" s="4">
        <f>VLOOKUP(Vlookup!$B142,'CDCM Volume Forecasts'!$A$27:$AG$123,C$137,FALSE)</f>
        <v>0</v>
      </c>
      <c r="D177" s="4">
        <f>VLOOKUP(Vlookup!$B142,'CDCM Volume Forecasts'!$A$27:$AG$123,D$137,FALSE)</f>
        <v>0</v>
      </c>
      <c r="E177" s="10">
        <f>VLOOKUP(Vlookup!$B142,'CDCM Volume Forecasts'!$A$27:$AG$123,E$137,FALSE)</f>
        <v>0</v>
      </c>
      <c r="F177" s="6">
        <f>VLOOKUP(Vlookup!$B142,'CDCM Volume Forecasts'!$A$27:$AG$123,F$137,FALSE)</f>
        <v>0</v>
      </c>
      <c r="G177" s="6">
        <f>VLOOKUP(Vlookup!$B142,'CDCM Volume Forecasts'!$A$27:$AG$123,G$137,FALSE)</f>
        <v>0</v>
      </c>
      <c r="H177" s="7"/>
      <c r="I177"/>
      <c r="J177"/>
      <c r="K177"/>
    </row>
    <row r="178" spans="1:11" ht="15">
      <c r="A178" s="12" t="s">
        <v>1538</v>
      </c>
      <c r="B178" s="13">
        <f>VLOOKUP(Vlookup!$B143,'CDCM Volume Forecasts'!$A$27:$AG$123,B$137,FALSE)</f>
        <v>0</v>
      </c>
      <c r="C178" s="13">
        <f>VLOOKUP(Vlookup!$B143,'CDCM Volume Forecasts'!$A$27:$AG$123,C$137,FALSE)</f>
        <v>0</v>
      </c>
      <c r="D178" s="13">
        <f>VLOOKUP(Vlookup!$B143,'CDCM Volume Forecasts'!$A$27:$AG$123,D$137,FALSE)</f>
        <v>0</v>
      </c>
      <c r="E178" s="13">
        <f>VLOOKUP(Vlookup!$B143,'CDCM Volume Forecasts'!$A$27:$AG$123,E$137,FALSE)</f>
        <v>0</v>
      </c>
      <c r="F178" s="13">
        <f>VLOOKUP(Vlookup!$B143,'CDCM Volume Forecasts'!$A$27:$AG$123,F$137,FALSE)</f>
        <v>0</v>
      </c>
      <c r="G178" s="13">
        <f>VLOOKUP(Vlookup!$B143,'CDCM Volume Forecasts'!$A$27:$AG$123,G$137,FALSE)</f>
        <v>0</v>
      </c>
      <c r="H178" s="7"/>
      <c r="I178"/>
      <c r="J178"/>
      <c r="K178"/>
    </row>
    <row r="179" spans="1:11" ht="15">
      <c r="A179" s="8" t="s">
        <v>1535</v>
      </c>
      <c r="B179" s="4">
        <f>VLOOKUP(Vlookup!$B144,'CDCM Volume Forecasts'!$A$27:$AG$123,B$137,FALSE)</f>
        <v>68262.213677721258</v>
      </c>
      <c r="C179" s="4">
        <f>VLOOKUP(Vlookup!$B144,'CDCM Volume Forecasts'!$A$27:$AG$123,C$137,FALSE)</f>
        <v>260187.85793102454</v>
      </c>
      <c r="D179" s="4">
        <f>VLOOKUP(Vlookup!$B144,'CDCM Volume Forecasts'!$A$27:$AG$123,D$137,FALSE)</f>
        <v>288797.3281930369</v>
      </c>
      <c r="E179" s="10">
        <f>VLOOKUP(Vlookup!$B144,'CDCM Volume Forecasts'!$A$27:$AG$123,E$137,FALSE)</f>
        <v>10460.824638436699</v>
      </c>
      <c r="F179" s="6">
        <f>VLOOKUP(Vlookup!$B144,'CDCM Volume Forecasts'!$A$27:$AG$123,F$137,FALSE)</f>
        <v>0</v>
      </c>
      <c r="G179" s="6">
        <f>VLOOKUP(Vlookup!$B144,'CDCM Volume Forecasts'!$A$27:$AG$123,G$137,FALSE)</f>
        <v>0</v>
      </c>
      <c r="H179" s="7"/>
      <c r="I179"/>
      <c r="J179"/>
      <c r="K179"/>
    </row>
    <row r="180" spans="1:11" ht="15">
      <c r="A180" s="8" t="s">
        <v>1532</v>
      </c>
      <c r="B180" s="4">
        <f>VLOOKUP(Vlookup!$B145,'CDCM Volume Forecasts'!$A$27:$AG$123,B$137,FALSE)</f>
        <v>75.834457148452415</v>
      </c>
      <c r="C180" s="4">
        <f>VLOOKUP(Vlookup!$B145,'CDCM Volume Forecasts'!$A$27:$AG$123,C$137,FALSE)</f>
        <v>289.05017724699985</v>
      </c>
      <c r="D180" s="4">
        <f>VLOOKUP(Vlookup!$B145,'CDCM Volume Forecasts'!$A$27:$AG$123,D$137,FALSE)</f>
        <v>368.19822955247247</v>
      </c>
      <c r="E180" s="10">
        <f>VLOOKUP(Vlookup!$B145,'CDCM Volume Forecasts'!$A$27:$AG$123,E$137,FALSE)</f>
        <v>15.9977333411589</v>
      </c>
      <c r="F180" s="6">
        <f>VLOOKUP(Vlookup!$B145,'CDCM Volume Forecasts'!$A$27:$AG$123,F$137,FALSE)</f>
        <v>0</v>
      </c>
      <c r="G180" s="6">
        <f>VLOOKUP(Vlookup!$B145,'CDCM Volume Forecasts'!$A$27:$AG$123,G$137,FALSE)</f>
        <v>0</v>
      </c>
      <c r="H180" s="7"/>
      <c r="I180"/>
      <c r="J180"/>
      <c r="K180"/>
    </row>
    <row r="181" spans="1:11" ht="15">
      <c r="A181" s="8" t="s">
        <v>1529</v>
      </c>
      <c r="B181" s="4">
        <f>VLOOKUP(Vlookup!$B146,'CDCM Volume Forecasts'!$A$27:$AG$123,B$137,FALSE)</f>
        <v>748.69722989889033</v>
      </c>
      <c r="C181" s="4">
        <f>VLOOKUP(Vlookup!$B146,'CDCM Volume Forecasts'!$A$27:$AG$123,C$137,FALSE)</f>
        <v>2853.7300212088135</v>
      </c>
      <c r="D181" s="4">
        <f>VLOOKUP(Vlookup!$B146,'CDCM Volume Forecasts'!$A$27:$AG$123,D$137,FALSE)</f>
        <v>3130.6874634209976</v>
      </c>
      <c r="E181" s="10">
        <f>VLOOKUP(Vlookup!$B146,'CDCM Volume Forecasts'!$A$27:$AG$123,E$137,FALSE)</f>
        <v>96.748196872722914</v>
      </c>
      <c r="F181" s="6">
        <f>VLOOKUP(Vlookup!$B146,'CDCM Volume Forecasts'!$A$27:$AG$123,F$137,FALSE)</f>
        <v>0</v>
      </c>
      <c r="G181" s="6">
        <f>VLOOKUP(Vlookup!$B146,'CDCM Volume Forecasts'!$A$27:$AG$123,G$137,FALSE)</f>
        <v>0</v>
      </c>
      <c r="H181" s="7"/>
      <c r="I181"/>
      <c r="J181"/>
      <c r="K181"/>
    </row>
    <row r="182" spans="1:11" ht="15">
      <c r="A182" s="12" t="s">
        <v>169</v>
      </c>
      <c r="B182" s="13">
        <f>VLOOKUP(Vlookup!$B147,'CDCM Volume Forecasts'!$A$27:$AG$123,B$137,FALSE)</f>
        <v>0</v>
      </c>
      <c r="C182" s="13">
        <f>VLOOKUP(Vlookup!$B147,'CDCM Volume Forecasts'!$A$27:$AG$123,C$137,FALSE)</f>
        <v>0</v>
      </c>
      <c r="D182" s="13">
        <f>VLOOKUP(Vlookup!$B147,'CDCM Volume Forecasts'!$A$27:$AG$123,D$137,FALSE)</f>
        <v>0</v>
      </c>
      <c r="E182" s="13">
        <f>VLOOKUP(Vlookup!$B147,'CDCM Volume Forecasts'!$A$27:$AG$123,E$137,FALSE)</f>
        <v>0</v>
      </c>
      <c r="F182" s="13">
        <f>VLOOKUP(Vlookup!$B147,'CDCM Volume Forecasts'!$A$27:$AG$123,F$137,FALSE)</f>
        <v>0</v>
      </c>
      <c r="G182" s="13">
        <f>VLOOKUP(Vlookup!$B147,'CDCM Volume Forecasts'!$A$27:$AG$123,G$137,FALSE)</f>
        <v>0</v>
      </c>
      <c r="H182" s="7"/>
      <c r="I182"/>
      <c r="J182"/>
      <c r="K182"/>
    </row>
    <row r="183" spans="1:11" ht="15">
      <c r="A183" s="8" t="s">
        <v>98</v>
      </c>
      <c r="B183" s="4">
        <f>VLOOKUP(Vlookup!$B148,'CDCM Volume Forecasts'!$A$27:$AG$123,B$137,FALSE)</f>
        <v>298957.28664096713</v>
      </c>
      <c r="C183" s="4">
        <f>VLOOKUP(Vlookup!$B148,'CDCM Volume Forecasts'!$A$27:$AG$123,C$137,FALSE)</f>
        <v>1176221.7888048878</v>
      </c>
      <c r="D183" s="4">
        <f>VLOOKUP(Vlookup!$B148,'CDCM Volume Forecasts'!$A$27:$AG$123,D$137,FALSE)</f>
        <v>1263172.6301498166</v>
      </c>
      <c r="E183" s="10">
        <f>VLOOKUP(Vlookup!$B148,'CDCM Volume Forecasts'!$A$27:$AG$123,E$137,FALSE)</f>
        <v>13816.622163023712</v>
      </c>
      <c r="F183" s="10">
        <f>VLOOKUP(Vlookup!$B148,'CDCM Volume Forecasts'!$A$27:$AG$123,F$137,FALSE)</f>
        <v>1508041.0074922552</v>
      </c>
      <c r="G183" s="4">
        <f>VLOOKUP(Vlookup!$B148,'CDCM Volume Forecasts'!$A$27:$AG$123,G$137,FALSE)</f>
        <v>196222.56397259844</v>
      </c>
      <c r="H183" s="7"/>
      <c r="I183"/>
      <c r="J183"/>
      <c r="K183"/>
    </row>
    <row r="184" spans="1:11" ht="15">
      <c r="A184" s="8" t="s">
        <v>170</v>
      </c>
      <c r="B184" s="4">
        <f>VLOOKUP(Vlookup!$B149,'CDCM Volume Forecasts'!$A$27:$AG$123,B$137,FALSE)</f>
        <v>251.49533959309412</v>
      </c>
      <c r="C184" s="4">
        <f>VLOOKUP(Vlookup!$B149,'CDCM Volume Forecasts'!$A$27:$AG$123,C$137,FALSE)</f>
        <v>979.27101968520583</v>
      </c>
      <c r="D184" s="4">
        <f>VLOOKUP(Vlookup!$B149,'CDCM Volume Forecasts'!$A$27:$AG$123,D$137,FALSE)</f>
        <v>1323.8911488702286</v>
      </c>
      <c r="E184" s="10">
        <f>VLOOKUP(Vlookup!$B149,'CDCM Volume Forecasts'!$A$27:$AG$123,E$137,FALSE)</f>
        <v>24.512815784070572</v>
      </c>
      <c r="F184" s="10">
        <f>VLOOKUP(Vlookup!$B149,'CDCM Volume Forecasts'!$A$27:$AG$123,F$137,FALSE)</f>
        <v>1849.065290221057</v>
      </c>
      <c r="G184" s="4">
        <f>VLOOKUP(Vlookup!$B149,'CDCM Volume Forecasts'!$A$27:$AG$123,G$137,FALSE)</f>
        <v>67.956077159140733</v>
      </c>
      <c r="H184" s="7"/>
      <c r="I184"/>
      <c r="J184"/>
      <c r="K184"/>
    </row>
    <row r="185" spans="1:11" ht="15">
      <c r="A185" s="8" t="s">
        <v>171</v>
      </c>
      <c r="B185" s="4">
        <f>VLOOKUP(Vlookup!$B150,'CDCM Volume Forecasts'!$A$27:$AG$123,B$137,FALSE)</f>
        <v>13537.565805386388</v>
      </c>
      <c r="C185" s="4">
        <f>VLOOKUP(Vlookup!$B150,'CDCM Volume Forecasts'!$A$27:$AG$123,C$137,FALSE)</f>
        <v>48005.548971268166</v>
      </c>
      <c r="D185" s="4">
        <f>VLOOKUP(Vlookup!$B150,'CDCM Volume Forecasts'!$A$27:$AG$123,D$137,FALSE)</f>
        <v>54720.056524480991</v>
      </c>
      <c r="E185" s="10">
        <f>VLOOKUP(Vlookup!$B150,'CDCM Volume Forecasts'!$A$27:$AG$123,E$137,FALSE)</f>
        <v>314.54566848374873</v>
      </c>
      <c r="F185" s="10">
        <f>VLOOKUP(Vlookup!$B150,'CDCM Volume Forecasts'!$A$27:$AG$123,F$137,FALSE)</f>
        <v>75425.527164949934</v>
      </c>
      <c r="G185" s="4">
        <f>VLOOKUP(Vlookup!$B150,'CDCM Volume Forecasts'!$A$27:$AG$123,G$137,FALSE)</f>
        <v>4123.9245366067507</v>
      </c>
      <c r="H185" s="7"/>
      <c r="I185"/>
      <c r="J185"/>
      <c r="K185"/>
    </row>
    <row r="186" spans="1:11" ht="15">
      <c r="A186" s="12" t="s">
        <v>172</v>
      </c>
      <c r="B186" s="13">
        <f>VLOOKUP(Vlookup!$B151,'CDCM Volume Forecasts'!$A$27:$AG$123,B$137,FALSE)</f>
        <v>0</v>
      </c>
      <c r="C186" s="13">
        <f>VLOOKUP(Vlookup!$B151,'CDCM Volume Forecasts'!$A$27:$AG$123,C$137,FALSE)</f>
        <v>0</v>
      </c>
      <c r="D186" s="13">
        <f>VLOOKUP(Vlookup!$B151,'CDCM Volume Forecasts'!$A$27:$AG$123,D$137,FALSE)</f>
        <v>0</v>
      </c>
      <c r="E186" s="13">
        <f>VLOOKUP(Vlookup!$B151,'CDCM Volume Forecasts'!$A$27:$AG$123,E$137,FALSE)</f>
        <v>0</v>
      </c>
      <c r="F186" s="13">
        <f>VLOOKUP(Vlookup!$B151,'CDCM Volume Forecasts'!$A$27:$AG$123,F$137,FALSE)</f>
        <v>0</v>
      </c>
      <c r="G186" s="13">
        <f>VLOOKUP(Vlookup!$B151,'CDCM Volume Forecasts'!$A$27:$AG$123,G$137,FALSE)</f>
        <v>0</v>
      </c>
      <c r="H186" s="7"/>
      <c r="I186"/>
      <c r="J186"/>
      <c r="K186"/>
    </row>
    <row r="187" spans="1:11" ht="15">
      <c r="A187" s="8" t="s">
        <v>99</v>
      </c>
      <c r="B187" s="4">
        <f>VLOOKUP(Vlookup!$B152,'CDCM Volume Forecasts'!$A$27:$AG$123,B$137,FALSE)</f>
        <v>7018.5351050259123</v>
      </c>
      <c r="C187" s="4">
        <f>VLOOKUP(Vlookup!$B152,'CDCM Volume Forecasts'!$A$27:$AG$123,C$137,FALSE)</f>
        <v>27672.188641821547</v>
      </c>
      <c r="D187" s="4">
        <f>VLOOKUP(Vlookup!$B152,'CDCM Volume Forecasts'!$A$27:$AG$123,D$137,FALSE)</f>
        <v>31150.176618615114</v>
      </c>
      <c r="E187" s="10">
        <f>VLOOKUP(Vlookup!$B152,'CDCM Volume Forecasts'!$A$27:$AG$123,E$137,FALSE)</f>
        <v>122.79637271053774</v>
      </c>
      <c r="F187" s="10">
        <f>VLOOKUP(Vlookup!$B152,'CDCM Volume Forecasts'!$A$27:$AG$123,F$137,FALSE)</f>
        <v>50603.075477139901</v>
      </c>
      <c r="G187" s="4">
        <f>VLOOKUP(Vlookup!$B152,'CDCM Volume Forecasts'!$A$27:$AG$123,G$137,FALSE)</f>
        <v>4784.9905027288578</v>
      </c>
      <c r="H187" s="7"/>
      <c r="I187"/>
      <c r="J187"/>
      <c r="K187"/>
    </row>
    <row r="188" spans="1:11" ht="15">
      <c r="A188" s="8" t="s">
        <v>173</v>
      </c>
      <c r="B188" s="4">
        <f>VLOOKUP(Vlookup!$B153,'CDCM Volume Forecasts'!$A$27:$AG$123,B$137,FALSE)</f>
        <v>488.20666932707184</v>
      </c>
      <c r="C188" s="4">
        <f>VLOOKUP(Vlookup!$B153,'CDCM Volume Forecasts'!$A$27:$AG$123,C$137,FALSE)</f>
        <v>2007.7503213172342</v>
      </c>
      <c r="D188" s="4">
        <f>VLOOKUP(Vlookup!$B153,'CDCM Volume Forecasts'!$A$27:$AG$123,D$137,FALSE)</f>
        <v>2764.900888767711</v>
      </c>
      <c r="E188" s="10">
        <f>VLOOKUP(Vlookup!$B153,'CDCM Volume Forecasts'!$A$27:$AG$123,E$137,FALSE)</f>
        <v>5.6400701446733876</v>
      </c>
      <c r="F188" s="10">
        <f>VLOOKUP(Vlookup!$B153,'CDCM Volume Forecasts'!$A$27:$AG$123,F$137,FALSE)</f>
        <v>3384.0420868040314</v>
      </c>
      <c r="G188" s="4">
        <f>VLOOKUP(Vlookup!$B153,'CDCM Volume Forecasts'!$A$27:$AG$123,G$137,FALSE)</f>
        <v>1576.3003402016659</v>
      </c>
      <c r="H188" s="7"/>
      <c r="I188"/>
      <c r="J188"/>
      <c r="K188"/>
    </row>
    <row r="189" spans="1:11" ht="15">
      <c r="A189" s="12" t="s">
        <v>174</v>
      </c>
      <c r="B189" s="13">
        <f>VLOOKUP(Vlookup!$B154,'CDCM Volume Forecasts'!$A$27:$AG$123,B$137,FALSE)</f>
        <v>0</v>
      </c>
      <c r="C189" s="13">
        <f>VLOOKUP(Vlookup!$B154,'CDCM Volume Forecasts'!$A$27:$AG$123,C$137,FALSE)</f>
        <v>0</v>
      </c>
      <c r="D189" s="13">
        <f>VLOOKUP(Vlookup!$B154,'CDCM Volume Forecasts'!$A$27:$AG$123,D$137,FALSE)</f>
        <v>0</v>
      </c>
      <c r="E189" s="13">
        <f>VLOOKUP(Vlookup!$B154,'CDCM Volume Forecasts'!$A$27:$AG$123,E$137,FALSE)</f>
        <v>0</v>
      </c>
      <c r="F189" s="13">
        <f>VLOOKUP(Vlookup!$B154,'CDCM Volume Forecasts'!$A$27:$AG$123,F$137,FALSE)</f>
        <v>0</v>
      </c>
      <c r="G189" s="13">
        <f>VLOOKUP(Vlookup!$B154,'CDCM Volume Forecasts'!$A$27:$AG$123,G$137,FALSE)</f>
        <v>0</v>
      </c>
      <c r="H189" s="7"/>
      <c r="I189"/>
      <c r="J189"/>
      <c r="K189"/>
    </row>
    <row r="190" spans="1:11" ht="15">
      <c r="A190" s="8" t="s">
        <v>111</v>
      </c>
      <c r="B190" s="4">
        <f>VLOOKUP(Vlookup!$B155,'CDCM Volume Forecasts'!$A$27:$AG$123,B$137,FALSE)</f>
        <v>752034.67370639404</v>
      </c>
      <c r="C190" s="4">
        <f>VLOOKUP(Vlookup!$B155,'CDCM Volume Forecasts'!$A$27:$AG$123,C$137,FALSE)</f>
        <v>3018230.4256879073</v>
      </c>
      <c r="D190" s="4">
        <f>VLOOKUP(Vlookup!$B155,'CDCM Volume Forecasts'!$A$27:$AG$123,D$137,FALSE)</f>
        <v>3913761.9505902641</v>
      </c>
      <c r="E190" s="10">
        <f>VLOOKUP(Vlookup!$B155,'CDCM Volume Forecasts'!$A$27:$AG$123,E$137,FALSE)</f>
        <v>4028.1236359637046</v>
      </c>
      <c r="F190" s="10">
        <f>VLOOKUP(Vlookup!$B155,'CDCM Volume Forecasts'!$A$27:$AG$123,F$137,FALSE)</f>
        <v>2952679.7358666793</v>
      </c>
      <c r="G190" s="4">
        <f>VLOOKUP(Vlookup!$B155,'CDCM Volume Forecasts'!$A$27:$AG$123,G$137,FALSE)</f>
        <v>1051532.8176113358</v>
      </c>
      <c r="H190" s="7"/>
      <c r="I190"/>
      <c r="J190"/>
      <c r="K190"/>
    </row>
    <row r="191" spans="1:11" ht="15">
      <c r="A191" s="8" t="s">
        <v>175</v>
      </c>
      <c r="B191" s="4">
        <f>VLOOKUP(Vlookup!$B156,'CDCM Volume Forecasts'!$A$27:$AG$123,B$137,FALSE)</f>
        <v>2780.0934522047364</v>
      </c>
      <c r="C191" s="4">
        <f>VLOOKUP(Vlookup!$B156,'CDCM Volume Forecasts'!$A$27:$AG$123,C$137,FALSE)</f>
        <v>9141.0019170260457</v>
      </c>
      <c r="D191" s="4">
        <f>VLOOKUP(Vlookup!$B156,'CDCM Volume Forecasts'!$A$27:$AG$123,D$137,FALSE)</f>
        <v>10193.081488223934</v>
      </c>
      <c r="E191" s="10">
        <f>VLOOKUP(Vlookup!$B156,'CDCM Volume Forecasts'!$A$27:$AG$123,E$137,FALSE)</f>
        <v>21.432266549758875</v>
      </c>
      <c r="F191" s="10">
        <f>VLOOKUP(Vlookup!$B156,'CDCM Volume Forecasts'!$A$27:$AG$123,F$137,FALSE)</f>
        <v>22560.280578693553</v>
      </c>
      <c r="G191" s="4">
        <f>VLOOKUP(Vlookup!$B156,'CDCM Volume Forecasts'!$A$27:$AG$123,G$137,FALSE)</f>
        <v>833.00339193336254</v>
      </c>
      <c r="H191" s="7"/>
      <c r="I191"/>
      <c r="J191"/>
      <c r="K191"/>
    </row>
    <row r="192" spans="1:11" ht="15">
      <c r="A192" s="12" t="s">
        <v>176</v>
      </c>
      <c r="B192" s="13">
        <f>VLOOKUP(Vlookup!$B157,'CDCM Volume Forecasts'!$A$27:$AG$123,B$137,FALSE)</f>
        <v>0</v>
      </c>
      <c r="C192" s="13">
        <f>VLOOKUP(Vlookup!$B157,'CDCM Volume Forecasts'!$A$27:$AG$123,C$137,FALSE)</f>
        <v>0</v>
      </c>
      <c r="D192" s="13">
        <f>VLOOKUP(Vlookup!$B157,'CDCM Volume Forecasts'!$A$27:$AG$123,D$137,FALSE)</f>
        <v>0</v>
      </c>
      <c r="E192" s="13">
        <f>VLOOKUP(Vlookup!$B157,'CDCM Volume Forecasts'!$A$27:$AG$123,E$137,FALSE)</f>
        <v>0</v>
      </c>
      <c r="F192" s="13">
        <f>VLOOKUP(Vlookup!$B157,'CDCM Volume Forecasts'!$A$27:$AG$123,F$137,FALSE)</f>
        <v>0</v>
      </c>
      <c r="G192" s="13">
        <f>VLOOKUP(Vlookup!$B157,'CDCM Volume Forecasts'!$A$27:$AG$123,G$137,FALSE)</f>
        <v>0</v>
      </c>
      <c r="H192" s="7"/>
      <c r="I192"/>
      <c r="J192"/>
      <c r="K192"/>
    </row>
    <row r="193" spans="1:11" ht="15">
      <c r="A193" s="8" t="s">
        <v>131</v>
      </c>
      <c r="B193" s="4">
        <f>VLOOKUP(Vlookup!$B158,'CDCM Volume Forecasts'!$A$27:$AG$123,B$137,FALSE)</f>
        <v>53670.276181774323</v>
      </c>
      <c r="C193" s="6">
        <f>VLOOKUP(Vlookup!$B158,'CDCM Volume Forecasts'!$A$27:$AG$123,C$137,FALSE)</f>
        <v>0</v>
      </c>
      <c r="D193" s="6">
        <f>VLOOKUP(Vlookup!$B158,'CDCM Volume Forecasts'!$A$27:$AG$123,D$137,FALSE)</f>
        <v>0</v>
      </c>
      <c r="E193" s="10">
        <f>VLOOKUP(Vlookup!$B158,'CDCM Volume Forecasts'!$A$27:$AG$123,E$137,FALSE)</f>
        <v>945.29828999676329</v>
      </c>
      <c r="F193" s="6">
        <f>VLOOKUP(Vlookup!$B158,'CDCM Volume Forecasts'!$A$27:$AG$123,F$137,FALSE)</f>
        <v>0</v>
      </c>
      <c r="G193" s="6">
        <f>VLOOKUP(Vlookup!$B158,'CDCM Volume Forecasts'!$A$27:$AG$123,G$137,FALSE)</f>
        <v>0</v>
      </c>
      <c r="H193" s="7"/>
      <c r="I193"/>
      <c r="J193"/>
      <c r="K193"/>
    </row>
    <row r="194" spans="1:11" ht="15">
      <c r="A194" s="8" t="s">
        <v>177</v>
      </c>
      <c r="B194" s="4">
        <f>VLOOKUP(Vlookup!$B159,'CDCM Volume Forecasts'!$A$27:$AG$123,B$137,FALSE)</f>
        <v>172.28035588618667</v>
      </c>
      <c r="C194" s="6">
        <f>VLOOKUP(Vlookup!$B159,'CDCM Volume Forecasts'!$A$27:$AG$123,C$137,FALSE)</f>
        <v>0</v>
      </c>
      <c r="D194" s="6">
        <f>VLOOKUP(Vlookup!$B159,'CDCM Volume Forecasts'!$A$27:$AG$123,D$137,FALSE)</f>
        <v>0</v>
      </c>
      <c r="E194" s="10">
        <f>VLOOKUP(Vlookup!$B159,'CDCM Volume Forecasts'!$A$27:$AG$123,E$137,FALSE)</f>
        <v>0</v>
      </c>
      <c r="F194" s="6">
        <f>VLOOKUP(Vlookup!$B159,'CDCM Volume Forecasts'!$A$27:$AG$123,F$137,FALSE)</f>
        <v>0</v>
      </c>
      <c r="G194" s="6">
        <f>VLOOKUP(Vlookup!$B159,'CDCM Volume Forecasts'!$A$27:$AG$123,G$137,FALSE)</f>
        <v>0</v>
      </c>
      <c r="H194" s="7"/>
      <c r="I194"/>
      <c r="J194"/>
      <c r="K194"/>
    </row>
    <row r="195" spans="1:11" ht="15">
      <c r="A195" s="8" t="s">
        <v>178</v>
      </c>
      <c r="B195" s="4">
        <f>VLOOKUP(Vlookup!$B160,'CDCM Volume Forecasts'!$A$27:$AG$123,B$137,FALSE)</f>
        <v>0</v>
      </c>
      <c r="C195" s="6">
        <f>VLOOKUP(Vlookup!$B160,'CDCM Volume Forecasts'!$A$27:$AG$123,C$137,FALSE)</f>
        <v>0</v>
      </c>
      <c r="D195" s="6">
        <f>VLOOKUP(Vlookup!$B160,'CDCM Volume Forecasts'!$A$27:$AG$123,D$137,FALSE)</f>
        <v>0</v>
      </c>
      <c r="E195" s="10">
        <f>VLOOKUP(Vlookup!$B160,'CDCM Volume Forecasts'!$A$27:$AG$123,E$137,FALSE)</f>
        <v>0</v>
      </c>
      <c r="F195" s="6">
        <f>VLOOKUP(Vlookup!$B160,'CDCM Volume Forecasts'!$A$27:$AG$123,F$137,FALSE)</f>
        <v>0</v>
      </c>
      <c r="G195" s="6">
        <f>VLOOKUP(Vlookup!$B160,'CDCM Volume Forecasts'!$A$27:$AG$123,G$137,FALSE)</f>
        <v>0</v>
      </c>
      <c r="H195" s="7"/>
      <c r="I195"/>
      <c r="J195"/>
      <c r="K195"/>
    </row>
    <row r="196" spans="1:11" ht="15">
      <c r="A196" s="12" t="s">
        <v>179</v>
      </c>
      <c r="B196" s="13">
        <f>VLOOKUP(Vlookup!$B161,'CDCM Volume Forecasts'!$A$27:$AG$123,B$137,FALSE)</f>
        <v>0</v>
      </c>
      <c r="C196" s="13">
        <f>VLOOKUP(Vlookup!$B161,'CDCM Volume Forecasts'!$A$27:$AG$123,C$137,FALSE)</f>
        <v>0</v>
      </c>
      <c r="D196" s="13">
        <f>VLOOKUP(Vlookup!$B161,'CDCM Volume Forecasts'!$A$27:$AG$123,D$137,FALSE)</f>
        <v>0</v>
      </c>
      <c r="E196" s="13">
        <f>VLOOKUP(Vlookup!$B161,'CDCM Volume Forecasts'!$A$27:$AG$123,E$137,FALSE)</f>
        <v>0</v>
      </c>
      <c r="F196" s="13">
        <f>VLOOKUP(Vlookup!$B161,'CDCM Volume Forecasts'!$A$27:$AG$123,F$137,FALSE)</f>
        <v>0</v>
      </c>
      <c r="G196" s="13">
        <f>VLOOKUP(Vlookup!$B161,'CDCM Volume Forecasts'!$A$27:$AG$123,G$137,FALSE)</f>
        <v>0</v>
      </c>
      <c r="H196" s="7"/>
      <c r="I196"/>
      <c r="J196"/>
      <c r="K196"/>
    </row>
    <row r="197" spans="1:11" ht="15">
      <c r="A197" s="8" t="s">
        <v>132</v>
      </c>
      <c r="B197" s="4">
        <f>VLOOKUP(Vlookup!$B162,'CDCM Volume Forecasts'!$A$27:$AG$123,B$137,FALSE)</f>
        <v>16146.815302762892</v>
      </c>
      <c r="C197" s="6">
        <f>VLOOKUP(Vlookup!$B162,'CDCM Volume Forecasts'!$A$27:$AG$123,C$137,FALSE)</f>
        <v>0</v>
      </c>
      <c r="D197" s="6">
        <f>VLOOKUP(Vlookup!$B162,'CDCM Volume Forecasts'!$A$27:$AG$123,D$137,FALSE)</f>
        <v>0</v>
      </c>
      <c r="E197" s="10">
        <f>VLOOKUP(Vlookup!$B162,'CDCM Volume Forecasts'!$A$27:$AG$123,E$137,FALSE)</f>
        <v>683.89747668576126</v>
      </c>
      <c r="F197" s="6">
        <f>VLOOKUP(Vlookup!$B162,'CDCM Volume Forecasts'!$A$27:$AG$123,F$137,FALSE)</f>
        <v>0</v>
      </c>
      <c r="G197" s="6">
        <f>VLOOKUP(Vlookup!$B162,'CDCM Volume Forecasts'!$A$27:$AG$123,G$137,FALSE)</f>
        <v>0</v>
      </c>
      <c r="H197" s="7"/>
      <c r="I197"/>
      <c r="J197"/>
      <c r="K197"/>
    </row>
    <row r="198" spans="1:11" ht="15">
      <c r="A198" s="8" t="s">
        <v>180</v>
      </c>
      <c r="B198" s="4">
        <f>VLOOKUP(Vlookup!$B163,'CDCM Volume Forecasts'!$A$27:$AG$123,B$137,FALSE)</f>
        <v>177.96348496274157</v>
      </c>
      <c r="C198" s="6">
        <f>VLOOKUP(Vlookup!$B163,'CDCM Volume Forecasts'!$A$27:$AG$123,C$137,FALSE)</f>
        <v>0</v>
      </c>
      <c r="D198" s="6">
        <f>VLOOKUP(Vlookup!$B163,'CDCM Volume Forecasts'!$A$27:$AG$123,D$137,FALSE)</f>
        <v>0</v>
      </c>
      <c r="E198" s="10">
        <f>VLOOKUP(Vlookup!$B163,'CDCM Volume Forecasts'!$A$27:$AG$123,E$137,FALSE)</f>
        <v>0</v>
      </c>
      <c r="F198" s="6">
        <f>VLOOKUP(Vlookup!$B163,'CDCM Volume Forecasts'!$A$27:$AG$123,F$137,FALSE)</f>
        <v>0</v>
      </c>
      <c r="G198" s="6">
        <f>VLOOKUP(Vlookup!$B163,'CDCM Volume Forecasts'!$A$27:$AG$123,G$137,FALSE)</f>
        <v>0</v>
      </c>
      <c r="H198" s="7"/>
      <c r="I198"/>
      <c r="J198"/>
      <c r="K198"/>
    </row>
    <row r="199" spans="1:11" ht="15">
      <c r="A199" s="8" t="s">
        <v>181</v>
      </c>
      <c r="B199" s="4">
        <f>VLOOKUP(Vlookup!$B164,'CDCM Volume Forecasts'!$A$27:$AG$123,B$137,FALSE)</f>
        <v>573.70856302427069</v>
      </c>
      <c r="C199" s="6">
        <f>VLOOKUP(Vlookup!$B164,'CDCM Volume Forecasts'!$A$27:$AG$123,C$137,FALSE)</f>
        <v>0</v>
      </c>
      <c r="D199" s="6">
        <f>VLOOKUP(Vlookup!$B164,'CDCM Volume Forecasts'!$A$27:$AG$123,D$137,FALSE)</f>
        <v>0</v>
      </c>
      <c r="E199" s="10">
        <f>VLOOKUP(Vlookup!$B164,'CDCM Volume Forecasts'!$A$27:$AG$123,E$137,FALSE)</f>
        <v>0</v>
      </c>
      <c r="F199" s="6">
        <f>VLOOKUP(Vlookup!$B164,'CDCM Volume Forecasts'!$A$27:$AG$123,F$137,FALSE)</f>
        <v>0</v>
      </c>
      <c r="G199" s="6">
        <f>VLOOKUP(Vlookup!$B164,'CDCM Volume Forecasts'!$A$27:$AG$123,G$137,FALSE)</f>
        <v>0</v>
      </c>
      <c r="H199" s="7"/>
      <c r="I199"/>
      <c r="J199"/>
      <c r="K199"/>
    </row>
    <row r="200" spans="1:11" ht="15">
      <c r="A200" s="12" t="s">
        <v>182</v>
      </c>
      <c r="B200" s="13">
        <f>VLOOKUP(Vlookup!$B165,'CDCM Volume Forecasts'!$A$27:$AG$123,B$137,FALSE)</f>
        <v>0</v>
      </c>
      <c r="C200" s="13">
        <f>VLOOKUP(Vlookup!$B165,'CDCM Volume Forecasts'!$A$27:$AG$123,C$137,FALSE)</f>
        <v>0</v>
      </c>
      <c r="D200" s="13">
        <f>VLOOKUP(Vlookup!$B165,'CDCM Volume Forecasts'!$A$27:$AG$123,D$137,FALSE)</f>
        <v>0</v>
      </c>
      <c r="E200" s="13">
        <f>VLOOKUP(Vlookup!$B165,'CDCM Volume Forecasts'!$A$27:$AG$123,E$137,FALSE)</f>
        <v>0</v>
      </c>
      <c r="F200" s="13">
        <f>VLOOKUP(Vlookup!$B165,'CDCM Volume Forecasts'!$A$27:$AG$123,F$137,FALSE)</f>
        <v>0</v>
      </c>
      <c r="G200" s="13">
        <f>VLOOKUP(Vlookup!$B165,'CDCM Volume Forecasts'!$A$27:$AG$123,G$137,FALSE)</f>
        <v>0</v>
      </c>
      <c r="H200" s="7"/>
      <c r="I200"/>
      <c r="J200"/>
      <c r="K200"/>
    </row>
    <row r="201" spans="1:11" ht="15">
      <c r="A201" s="8" t="s">
        <v>133</v>
      </c>
      <c r="B201" s="4">
        <f>VLOOKUP(Vlookup!$B166,'CDCM Volume Forecasts'!$A$27:$AG$123,B$137,FALSE)</f>
        <v>770.36280056434089</v>
      </c>
      <c r="C201" s="6">
        <f>VLOOKUP(Vlookup!$B166,'CDCM Volume Forecasts'!$A$27:$AG$123,C$137,FALSE)</f>
        <v>0</v>
      </c>
      <c r="D201" s="6">
        <f>VLOOKUP(Vlookup!$B166,'CDCM Volume Forecasts'!$A$27:$AG$123,D$137,FALSE)</f>
        <v>0</v>
      </c>
      <c r="E201" s="10">
        <f>VLOOKUP(Vlookup!$B166,'CDCM Volume Forecasts'!$A$27:$AG$123,E$137,FALSE)</f>
        <v>140.83222112491973</v>
      </c>
      <c r="F201" s="6">
        <f>VLOOKUP(Vlookup!$B166,'CDCM Volume Forecasts'!$A$27:$AG$123,F$137,FALSE)</f>
        <v>0</v>
      </c>
      <c r="G201" s="6">
        <f>VLOOKUP(Vlookup!$B166,'CDCM Volume Forecasts'!$A$27:$AG$123,G$137,FALSE)</f>
        <v>0</v>
      </c>
      <c r="H201" s="7"/>
      <c r="I201"/>
      <c r="J201"/>
      <c r="K201"/>
    </row>
    <row r="202" spans="1:11" ht="15">
      <c r="A202" s="8" t="s">
        <v>183</v>
      </c>
      <c r="B202" s="4">
        <f>VLOOKUP(Vlookup!$B167,'CDCM Volume Forecasts'!$A$27:$AG$123,B$137,FALSE)</f>
        <v>0</v>
      </c>
      <c r="C202" s="6">
        <f>VLOOKUP(Vlookup!$B167,'CDCM Volume Forecasts'!$A$27:$AG$123,C$137,FALSE)</f>
        <v>0</v>
      </c>
      <c r="D202" s="6">
        <f>VLOOKUP(Vlookup!$B167,'CDCM Volume Forecasts'!$A$27:$AG$123,D$137,FALSE)</f>
        <v>0</v>
      </c>
      <c r="E202" s="10">
        <f>VLOOKUP(Vlookup!$B167,'CDCM Volume Forecasts'!$A$27:$AG$123,E$137,FALSE)</f>
        <v>0</v>
      </c>
      <c r="F202" s="6">
        <f>VLOOKUP(Vlookup!$B167,'CDCM Volume Forecasts'!$A$27:$AG$123,F$137,FALSE)</f>
        <v>0</v>
      </c>
      <c r="G202" s="6">
        <f>VLOOKUP(Vlookup!$B167,'CDCM Volume Forecasts'!$A$27:$AG$123,G$137,FALSE)</f>
        <v>0</v>
      </c>
      <c r="H202" s="7"/>
      <c r="I202"/>
      <c r="J202"/>
      <c r="K202"/>
    </row>
    <row r="203" spans="1:11" ht="15">
      <c r="A203" s="8" t="s">
        <v>184</v>
      </c>
      <c r="B203" s="4">
        <f>VLOOKUP(Vlookup!$B168,'CDCM Volume Forecasts'!$A$27:$AG$123,B$137,FALSE)</f>
        <v>28.81289678085793</v>
      </c>
      <c r="C203" s="6">
        <f>VLOOKUP(Vlookup!$B168,'CDCM Volume Forecasts'!$A$27:$AG$123,C$137,FALSE)</f>
        <v>0</v>
      </c>
      <c r="D203" s="6">
        <f>VLOOKUP(Vlookup!$B168,'CDCM Volume Forecasts'!$A$27:$AG$123,D$137,FALSE)</f>
        <v>0</v>
      </c>
      <c r="E203" s="10">
        <f>VLOOKUP(Vlookup!$B168,'CDCM Volume Forecasts'!$A$27:$AG$123,E$137,FALSE)</f>
        <v>0</v>
      </c>
      <c r="F203" s="6">
        <f>VLOOKUP(Vlookup!$B168,'CDCM Volume Forecasts'!$A$27:$AG$123,F$137,FALSE)</f>
        <v>0</v>
      </c>
      <c r="G203" s="6">
        <f>VLOOKUP(Vlookup!$B168,'CDCM Volume Forecasts'!$A$27:$AG$123,G$137,FALSE)</f>
        <v>0</v>
      </c>
      <c r="H203" s="7"/>
      <c r="I203"/>
      <c r="J203"/>
      <c r="K203"/>
    </row>
    <row r="204" spans="1:11" ht="15">
      <c r="A204" s="12" t="s">
        <v>185</v>
      </c>
      <c r="B204" s="13">
        <f>VLOOKUP(Vlookup!$B169,'CDCM Volume Forecasts'!$A$27:$AG$123,B$137,FALSE)</f>
        <v>0</v>
      </c>
      <c r="C204" s="13">
        <f>VLOOKUP(Vlookup!$B169,'CDCM Volume Forecasts'!$A$27:$AG$123,C$137,FALSE)</f>
        <v>0</v>
      </c>
      <c r="D204" s="13">
        <f>VLOOKUP(Vlookup!$B169,'CDCM Volume Forecasts'!$A$27:$AG$123,D$137,FALSE)</f>
        <v>0</v>
      </c>
      <c r="E204" s="13">
        <f>VLOOKUP(Vlookup!$B169,'CDCM Volume Forecasts'!$A$27:$AG$123,E$137,FALSE)</f>
        <v>0</v>
      </c>
      <c r="F204" s="13">
        <f>VLOOKUP(Vlookup!$B169,'CDCM Volume Forecasts'!$A$27:$AG$123,F$137,FALSE)</f>
        <v>0</v>
      </c>
      <c r="G204" s="13">
        <f>VLOOKUP(Vlookup!$B169,'CDCM Volume Forecasts'!$A$27:$AG$123,G$137,FALSE)</f>
        <v>0</v>
      </c>
      <c r="H204" s="7"/>
      <c r="I204"/>
      <c r="J204"/>
      <c r="K204"/>
    </row>
    <row r="205" spans="1:11" ht="15">
      <c r="A205" s="8" t="s">
        <v>134</v>
      </c>
      <c r="B205" s="4">
        <f>VLOOKUP(Vlookup!$B170,'CDCM Volume Forecasts'!$A$27:$AG$123,B$137,FALSE)</f>
        <v>4817.2532716792102</v>
      </c>
      <c r="C205" s="6">
        <f>VLOOKUP(Vlookup!$B170,'CDCM Volume Forecasts'!$A$27:$AG$123,C$137,FALSE)</f>
        <v>0</v>
      </c>
      <c r="D205" s="6">
        <f>VLOOKUP(Vlookup!$B170,'CDCM Volume Forecasts'!$A$27:$AG$123,D$137,FALSE)</f>
        <v>0</v>
      </c>
      <c r="E205" s="10">
        <f>VLOOKUP(Vlookup!$B170,'CDCM Volume Forecasts'!$A$27:$AG$123,E$137,FALSE)</f>
        <v>40.527257877674742</v>
      </c>
      <c r="F205" s="6">
        <f>VLOOKUP(Vlookup!$B170,'CDCM Volume Forecasts'!$A$27:$AG$123,F$137,FALSE)</f>
        <v>0</v>
      </c>
      <c r="G205" s="6">
        <f>VLOOKUP(Vlookup!$B170,'CDCM Volume Forecasts'!$A$27:$AG$123,G$137,FALSE)</f>
        <v>0</v>
      </c>
      <c r="H205" s="7"/>
      <c r="I205"/>
      <c r="J205"/>
      <c r="K205"/>
    </row>
    <row r="206" spans="1:11" ht="15">
      <c r="A206" s="8" t="s">
        <v>186</v>
      </c>
      <c r="B206" s="4">
        <f>VLOOKUP(Vlookup!$B171,'CDCM Volume Forecasts'!$A$27:$AG$123,B$137,FALSE)</f>
        <v>0</v>
      </c>
      <c r="C206" s="6">
        <f>VLOOKUP(Vlookup!$B171,'CDCM Volume Forecasts'!$A$27:$AG$123,C$137,FALSE)</f>
        <v>0</v>
      </c>
      <c r="D206" s="6">
        <f>VLOOKUP(Vlookup!$B171,'CDCM Volume Forecasts'!$A$27:$AG$123,D$137,FALSE)</f>
        <v>0</v>
      </c>
      <c r="E206" s="10">
        <f>VLOOKUP(Vlookup!$B171,'CDCM Volume Forecasts'!$A$27:$AG$123,E$137,FALSE)</f>
        <v>0</v>
      </c>
      <c r="F206" s="6">
        <f>VLOOKUP(Vlookup!$B171,'CDCM Volume Forecasts'!$A$27:$AG$123,F$137,FALSE)</f>
        <v>0</v>
      </c>
      <c r="G206" s="6">
        <f>VLOOKUP(Vlookup!$B171,'CDCM Volume Forecasts'!$A$27:$AG$123,G$137,FALSE)</f>
        <v>0</v>
      </c>
      <c r="H206" s="7"/>
      <c r="I206"/>
      <c r="J206"/>
      <c r="K206"/>
    </row>
    <row r="207" spans="1:11" ht="15">
      <c r="A207" s="8" t="s">
        <v>187</v>
      </c>
      <c r="B207" s="4">
        <f>VLOOKUP(Vlookup!$B172,'CDCM Volume Forecasts'!$A$27:$AG$123,B$137,FALSE)</f>
        <v>0</v>
      </c>
      <c r="C207" s="6">
        <f>VLOOKUP(Vlookup!$B172,'CDCM Volume Forecasts'!$A$27:$AG$123,C$137,FALSE)</f>
        <v>0</v>
      </c>
      <c r="D207" s="6">
        <f>VLOOKUP(Vlookup!$B172,'CDCM Volume Forecasts'!$A$27:$AG$123,D$137,FALSE)</f>
        <v>0</v>
      </c>
      <c r="E207" s="10">
        <f>VLOOKUP(Vlookup!$B172,'CDCM Volume Forecasts'!$A$27:$AG$123,E$137,FALSE)</f>
        <v>0</v>
      </c>
      <c r="F207" s="6">
        <f>VLOOKUP(Vlookup!$B172,'CDCM Volume Forecasts'!$A$27:$AG$123,F$137,FALSE)</f>
        <v>0</v>
      </c>
      <c r="G207" s="6">
        <f>VLOOKUP(Vlookup!$B172,'CDCM Volume Forecasts'!$A$27:$AG$123,G$137,FALSE)</f>
        <v>0</v>
      </c>
      <c r="H207" s="7"/>
      <c r="I207"/>
      <c r="J207"/>
      <c r="K207"/>
    </row>
    <row r="208" spans="1:11" ht="15">
      <c r="A208" s="12" t="s">
        <v>188</v>
      </c>
      <c r="B208" s="13">
        <f>VLOOKUP(Vlookup!$B173,'CDCM Volume Forecasts'!$A$27:$AG$123,B$137,FALSE)</f>
        <v>0</v>
      </c>
      <c r="C208" s="13">
        <f>VLOOKUP(Vlookup!$B173,'CDCM Volume Forecasts'!$A$27:$AG$123,C$137,FALSE)</f>
        <v>0</v>
      </c>
      <c r="D208" s="13">
        <f>VLOOKUP(Vlookup!$B173,'CDCM Volume Forecasts'!$A$27:$AG$123,D$137,FALSE)</f>
        <v>0</v>
      </c>
      <c r="E208" s="13">
        <f>VLOOKUP(Vlookup!$B173,'CDCM Volume Forecasts'!$A$27:$AG$123,E$137,FALSE)</f>
        <v>0</v>
      </c>
      <c r="F208" s="13">
        <f>VLOOKUP(Vlookup!$B173,'CDCM Volume Forecasts'!$A$27:$AG$123,F$137,FALSE)</f>
        <v>0</v>
      </c>
      <c r="G208" s="13">
        <f>VLOOKUP(Vlookup!$B173,'CDCM Volume Forecasts'!$A$27:$AG$123,G$137,FALSE)</f>
        <v>0</v>
      </c>
      <c r="H208" s="7"/>
      <c r="I208"/>
      <c r="J208"/>
      <c r="K208"/>
    </row>
    <row r="209" spans="1:11" ht="15">
      <c r="A209" s="8" t="s">
        <v>135</v>
      </c>
      <c r="B209" s="4">
        <f>VLOOKUP(Vlookup!$B174,'CDCM Volume Forecasts'!$A$27:$AG$123,B$137,FALSE)</f>
        <v>12679.091510220966</v>
      </c>
      <c r="C209" s="4">
        <f>VLOOKUP(Vlookup!$B174,'CDCM Volume Forecasts'!$A$27:$AG$123,C$137,FALSE)</f>
        <v>30029.713146509384</v>
      </c>
      <c r="D209" s="4">
        <f>VLOOKUP(Vlookup!$B174,'CDCM Volume Forecasts'!$A$27:$AG$123,D$137,FALSE)</f>
        <v>206123.67095361077</v>
      </c>
      <c r="E209" s="10">
        <f>VLOOKUP(Vlookup!$B174,'CDCM Volume Forecasts'!$A$27:$AG$123,E$137,FALSE)</f>
        <v>20.263628938837371</v>
      </c>
      <c r="F209" s="6">
        <f>VLOOKUP(Vlookup!$B174,'CDCM Volume Forecasts'!$A$27:$AG$123,F$137,FALSE)</f>
        <v>0</v>
      </c>
      <c r="G209" s="6">
        <f>VLOOKUP(Vlookup!$B174,'CDCM Volume Forecasts'!$A$27:$AG$123,G$137,FALSE)</f>
        <v>0</v>
      </c>
      <c r="H209" s="7"/>
      <c r="I209"/>
      <c r="J209"/>
      <c r="K209"/>
    </row>
    <row r="210" spans="1:11" ht="15">
      <c r="A210" s="8" t="s">
        <v>189</v>
      </c>
      <c r="B210" s="4">
        <f>VLOOKUP(Vlookup!$B175,'CDCM Volume Forecasts'!$A$27:$AG$123,B$137,FALSE)</f>
        <v>0</v>
      </c>
      <c r="C210" s="4">
        <f>VLOOKUP(Vlookup!$B175,'CDCM Volume Forecasts'!$A$27:$AG$123,C$137,FALSE)</f>
        <v>0</v>
      </c>
      <c r="D210" s="4">
        <f>VLOOKUP(Vlookup!$B175,'CDCM Volume Forecasts'!$A$27:$AG$123,D$137,FALSE)</f>
        <v>0</v>
      </c>
      <c r="E210" s="10">
        <f>VLOOKUP(Vlookup!$B175,'CDCM Volume Forecasts'!$A$27:$AG$123,E$137,FALSE)</f>
        <v>0</v>
      </c>
      <c r="F210" s="6">
        <f>VLOOKUP(Vlookup!$B175,'CDCM Volume Forecasts'!$A$27:$AG$123,F$137,FALSE)</f>
        <v>0</v>
      </c>
      <c r="G210" s="6">
        <f>VLOOKUP(Vlookup!$B175,'CDCM Volume Forecasts'!$A$27:$AG$123,G$137,FALSE)</f>
        <v>0</v>
      </c>
      <c r="H210" s="7"/>
      <c r="I210"/>
      <c r="J210"/>
      <c r="K210"/>
    </row>
    <row r="211" spans="1:11" ht="15">
      <c r="A211" s="8" t="s">
        <v>190</v>
      </c>
      <c r="B211" s="4">
        <f>VLOOKUP(Vlookup!$B176,'CDCM Volume Forecasts'!$A$27:$AG$123,B$137,FALSE)</f>
        <v>0</v>
      </c>
      <c r="C211" s="4">
        <f>VLOOKUP(Vlookup!$B176,'CDCM Volume Forecasts'!$A$27:$AG$123,C$137,FALSE)</f>
        <v>0</v>
      </c>
      <c r="D211" s="4">
        <f>VLOOKUP(Vlookup!$B176,'CDCM Volume Forecasts'!$A$27:$AG$123,D$137,FALSE)</f>
        <v>0</v>
      </c>
      <c r="E211" s="10">
        <f>VLOOKUP(Vlookup!$B176,'CDCM Volume Forecasts'!$A$27:$AG$123,E$137,FALSE)</f>
        <v>0</v>
      </c>
      <c r="F211" s="6">
        <f>VLOOKUP(Vlookup!$B176,'CDCM Volume Forecasts'!$A$27:$AG$123,F$137,FALSE)</f>
        <v>0</v>
      </c>
      <c r="G211" s="6">
        <f>VLOOKUP(Vlookup!$B176,'CDCM Volume Forecasts'!$A$27:$AG$123,G$137,FALSE)</f>
        <v>0</v>
      </c>
      <c r="H211" s="7"/>
      <c r="I211"/>
      <c r="J211"/>
      <c r="K211"/>
    </row>
    <row r="212" spans="1:11" ht="15">
      <c r="A212" s="12" t="s">
        <v>1537</v>
      </c>
      <c r="B212" s="13">
        <f>VLOOKUP(Vlookup!$B177,'CDCM Volume Forecasts'!$A$27:$AG$123,B$137,FALSE)</f>
        <v>0</v>
      </c>
      <c r="C212" s="13">
        <f>VLOOKUP(Vlookup!$B177,'CDCM Volume Forecasts'!$A$27:$AG$123,C$137,FALSE)</f>
        <v>0</v>
      </c>
      <c r="D212" s="13">
        <f>VLOOKUP(Vlookup!$B177,'CDCM Volume Forecasts'!$A$27:$AG$123,D$137,FALSE)</f>
        <v>0</v>
      </c>
      <c r="E212" s="13">
        <f>VLOOKUP(Vlookup!$B177,'CDCM Volume Forecasts'!$A$27:$AG$123,E$137,FALSE)</f>
        <v>0</v>
      </c>
      <c r="F212" s="13">
        <f>VLOOKUP(Vlookup!$B177,'CDCM Volume Forecasts'!$A$27:$AG$123,F$137,FALSE)</f>
        <v>0</v>
      </c>
      <c r="G212" s="13">
        <f>VLOOKUP(Vlookup!$B177,'CDCM Volume Forecasts'!$A$27:$AG$123,G$137,FALSE)</f>
        <v>0</v>
      </c>
      <c r="H212" s="7"/>
      <c r="I212"/>
      <c r="J212"/>
      <c r="K212"/>
    </row>
    <row r="213" spans="1:11" ht="15">
      <c r="A213" s="8" t="s">
        <v>1534</v>
      </c>
      <c r="B213" s="4">
        <f>VLOOKUP(Vlookup!$B178,'CDCM Volume Forecasts'!$A$27:$AG$123,B$137,FALSE)</f>
        <v>1660.7170232592748</v>
      </c>
      <c r="C213" s="6">
        <f>VLOOKUP(Vlookup!$B178,'CDCM Volume Forecasts'!$A$27:$AG$123,C$137,FALSE)</f>
        <v>0</v>
      </c>
      <c r="D213" s="6">
        <f>VLOOKUP(Vlookup!$B178,'CDCM Volume Forecasts'!$A$27:$AG$123,D$137,FALSE)</f>
        <v>0</v>
      </c>
      <c r="E213" s="10">
        <f>VLOOKUP(Vlookup!$B178,'CDCM Volume Forecasts'!$A$27:$AG$123,E$137,FALSE)</f>
        <v>119.55541073914044</v>
      </c>
      <c r="F213" s="6">
        <f>VLOOKUP(Vlookup!$B178,'CDCM Volume Forecasts'!$A$27:$AG$123,F$137,FALSE)</f>
        <v>0</v>
      </c>
      <c r="G213" s="6">
        <f>VLOOKUP(Vlookup!$B178,'CDCM Volume Forecasts'!$A$27:$AG$123,G$137,FALSE)</f>
        <v>0</v>
      </c>
      <c r="H213" s="7"/>
      <c r="I213"/>
      <c r="J213"/>
      <c r="K213"/>
    </row>
    <row r="214" spans="1:11" ht="15">
      <c r="A214" s="8" t="s">
        <v>1531</v>
      </c>
      <c r="B214" s="4">
        <f>VLOOKUP(Vlookup!$B179,'CDCM Volume Forecasts'!$A$27:$AG$123,B$137,FALSE)</f>
        <v>0</v>
      </c>
      <c r="C214" s="6">
        <f>VLOOKUP(Vlookup!$B179,'CDCM Volume Forecasts'!$A$27:$AG$123,C$137,FALSE)</f>
        <v>0</v>
      </c>
      <c r="D214" s="6">
        <f>VLOOKUP(Vlookup!$B179,'CDCM Volume Forecasts'!$A$27:$AG$123,D$137,FALSE)</f>
        <v>0</v>
      </c>
      <c r="E214" s="10">
        <f>VLOOKUP(Vlookup!$B179,'CDCM Volume Forecasts'!$A$27:$AG$123,E$137,FALSE)</f>
        <v>0</v>
      </c>
      <c r="F214" s="6">
        <f>VLOOKUP(Vlookup!$B179,'CDCM Volume Forecasts'!$A$27:$AG$123,F$137,FALSE)</f>
        <v>0</v>
      </c>
      <c r="G214" s="6">
        <f>VLOOKUP(Vlookup!$B179,'CDCM Volume Forecasts'!$A$27:$AG$123,G$137,FALSE)</f>
        <v>0</v>
      </c>
      <c r="H214" s="7"/>
      <c r="I214"/>
      <c r="J214"/>
      <c r="K214"/>
    </row>
    <row r="215" spans="1:11" ht="15">
      <c r="A215" s="8" t="s">
        <v>1528</v>
      </c>
      <c r="B215" s="4">
        <f>VLOOKUP(Vlookup!$B180,'CDCM Volume Forecasts'!$A$27:$AG$123,B$137,FALSE)</f>
        <v>0</v>
      </c>
      <c r="C215" s="6">
        <f>VLOOKUP(Vlookup!$B180,'CDCM Volume Forecasts'!$A$27:$AG$123,C$137,FALSE)</f>
        <v>0</v>
      </c>
      <c r="D215" s="6">
        <f>VLOOKUP(Vlookup!$B180,'CDCM Volume Forecasts'!$A$27:$AG$123,D$137,FALSE)</f>
        <v>0</v>
      </c>
      <c r="E215" s="10">
        <f>VLOOKUP(Vlookup!$B180,'CDCM Volume Forecasts'!$A$27:$AG$123,E$137,FALSE)</f>
        <v>0</v>
      </c>
      <c r="F215" s="6">
        <f>VLOOKUP(Vlookup!$B180,'CDCM Volume Forecasts'!$A$27:$AG$123,F$137,FALSE)</f>
        <v>0</v>
      </c>
      <c r="G215" s="6">
        <f>VLOOKUP(Vlookup!$B180,'CDCM Volume Forecasts'!$A$27:$AG$123,G$137,FALSE)</f>
        <v>0</v>
      </c>
      <c r="H215" s="7"/>
      <c r="I215"/>
      <c r="J215"/>
      <c r="K215"/>
    </row>
    <row r="216" spans="1:11" ht="15">
      <c r="A216" s="12" t="s">
        <v>191</v>
      </c>
      <c r="B216" s="13">
        <f>VLOOKUP(Vlookup!$B181,'CDCM Volume Forecasts'!$A$27:$AG$123,B$137,FALSE)</f>
        <v>0</v>
      </c>
      <c r="C216" s="13">
        <f>VLOOKUP(Vlookup!$B181,'CDCM Volume Forecasts'!$A$27:$AG$123,C$137,FALSE)</f>
        <v>0</v>
      </c>
      <c r="D216" s="13">
        <f>VLOOKUP(Vlookup!$B181,'CDCM Volume Forecasts'!$A$27:$AG$123,D$137,FALSE)</f>
        <v>0</v>
      </c>
      <c r="E216" s="13">
        <f>VLOOKUP(Vlookup!$B181,'CDCM Volume Forecasts'!$A$27:$AG$123,E$137,FALSE)</f>
        <v>0</v>
      </c>
      <c r="F216" s="13">
        <f>VLOOKUP(Vlookup!$B181,'CDCM Volume Forecasts'!$A$27:$AG$123,F$137,FALSE)</f>
        <v>0</v>
      </c>
      <c r="G216" s="13">
        <f>VLOOKUP(Vlookup!$B181,'CDCM Volume Forecasts'!$A$27:$AG$123,G$137,FALSE)</f>
        <v>0</v>
      </c>
      <c r="H216" s="7"/>
      <c r="I216"/>
      <c r="J216"/>
      <c r="K216"/>
    </row>
    <row r="217" spans="1:11" ht="15">
      <c r="A217" s="8" t="s">
        <v>100</v>
      </c>
      <c r="B217" s="4">
        <f>VLOOKUP(Vlookup!$B182,'CDCM Volume Forecasts'!$A$27:$AG$123,B$137,FALSE)</f>
        <v>0</v>
      </c>
      <c r="C217" s="6">
        <f>VLOOKUP(Vlookup!$B182,'CDCM Volume Forecasts'!$A$27:$AG$123,C$137,FALSE)</f>
        <v>0</v>
      </c>
      <c r="D217" s="6">
        <f>VLOOKUP(Vlookup!$B182,'CDCM Volume Forecasts'!$A$27:$AG$123,D$137,FALSE)</f>
        <v>0</v>
      </c>
      <c r="E217" s="10">
        <f>VLOOKUP(Vlookup!$B182,'CDCM Volume Forecasts'!$A$27:$AG$123,E$137,FALSE)</f>
        <v>0</v>
      </c>
      <c r="F217" s="6">
        <f>VLOOKUP(Vlookup!$B182,'CDCM Volume Forecasts'!$A$27:$AG$123,F$137,FALSE)</f>
        <v>0</v>
      </c>
      <c r="G217" s="6">
        <f>VLOOKUP(Vlookup!$B182,'CDCM Volume Forecasts'!$A$27:$AG$123,G$137,FALSE)</f>
        <v>0</v>
      </c>
      <c r="H217" s="7"/>
      <c r="I217"/>
      <c r="J217"/>
      <c r="K217"/>
    </row>
    <row r="218" spans="1:11" ht="15">
      <c r="A218" s="8" t="s">
        <v>192</v>
      </c>
      <c r="B218" s="4">
        <f>VLOOKUP(Vlookup!$B183,'CDCM Volume Forecasts'!$A$27:$AG$123,B$137,FALSE)</f>
        <v>0</v>
      </c>
      <c r="C218" s="6">
        <f>VLOOKUP(Vlookup!$B183,'CDCM Volume Forecasts'!$A$27:$AG$123,C$137,FALSE)</f>
        <v>0</v>
      </c>
      <c r="D218" s="6">
        <f>VLOOKUP(Vlookup!$B183,'CDCM Volume Forecasts'!$A$27:$AG$123,D$137,FALSE)</f>
        <v>0</v>
      </c>
      <c r="E218" s="10">
        <f>VLOOKUP(Vlookup!$B183,'CDCM Volume Forecasts'!$A$27:$AG$123,E$137,FALSE)</f>
        <v>0</v>
      </c>
      <c r="F218" s="6">
        <f>VLOOKUP(Vlookup!$B183,'CDCM Volume Forecasts'!$A$27:$AG$123,F$137,FALSE)</f>
        <v>0</v>
      </c>
      <c r="G218" s="6">
        <f>VLOOKUP(Vlookup!$B183,'CDCM Volume Forecasts'!$A$27:$AG$123,G$137,FALSE)</f>
        <v>0</v>
      </c>
      <c r="H218" s="7"/>
      <c r="I218"/>
      <c r="J218"/>
      <c r="K218"/>
    </row>
    <row r="219" spans="1:11" ht="15">
      <c r="A219" s="12" t="s">
        <v>193</v>
      </c>
      <c r="B219" s="13">
        <f>VLOOKUP(Vlookup!$B184,'CDCM Volume Forecasts'!$A$27:$AG$123,B$137,FALSE)</f>
        <v>0</v>
      </c>
      <c r="C219" s="13">
        <f>VLOOKUP(Vlookup!$B184,'CDCM Volume Forecasts'!$A$27:$AG$123,C$137,FALSE)</f>
        <v>0</v>
      </c>
      <c r="D219" s="13">
        <f>VLOOKUP(Vlookup!$B184,'CDCM Volume Forecasts'!$A$27:$AG$123,D$137,FALSE)</f>
        <v>0</v>
      </c>
      <c r="E219" s="13">
        <f>VLOOKUP(Vlookup!$B184,'CDCM Volume Forecasts'!$A$27:$AG$123,E$137,FALSE)</f>
        <v>0</v>
      </c>
      <c r="F219" s="13">
        <f>VLOOKUP(Vlookup!$B184,'CDCM Volume Forecasts'!$A$27:$AG$123,F$137,FALSE)</f>
        <v>0</v>
      </c>
      <c r="G219" s="13">
        <f>VLOOKUP(Vlookup!$B184,'CDCM Volume Forecasts'!$A$27:$AG$123,G$137,FALSE)</f>
        <v>0</v>
      </c>
      <c r="H219" s="7"/>
      <c r="I219"/>
      <c r="J219"/>
      <c r="K219"/>
    </row>
    <row r="220" spans="1:11" ht="15">
      <c r="A220" s="8" t="s">
        <v>101</v>
      </c>
      <c r="B220" s="4">
        <f>VLOOKUP(Vlookup!$B185,'CDCM Volume Forecasts'!$A$27:$AG$123,B$137,FALSE)</f>
        <v>24996.858841456458</v>
      </c>
      <c r="C220" s="6">
        <f>VLOOKUP(Vlookup!$B185,'CDCM Volume Forecasts'!$A$27:$AG$123,C$137,FALSE)</f>
        <v>0</v>
      </c>
      <c r="D220" s="6">
        <f>VLOOKUP(Vlookup!$B185,'CDCM Volume Forecasts'!$A$27:$AG$123,D$137,FALSE)</f>
        <v>0</v>
      </c>
      <c r="E220" s="10">
        <f>VLOOKUP(Vlookup!$B185,'CDCM Volume Forecasts'!$A$27:$AG$123,E$137,FALSE)</f>
        <v>167.17493874540833</v>
      </c>
      <c r="F220" s="6">
        <f>VLOOKUP(Vlookup!$B185,'CDCM Volume Forecasts'!$A$27:$AG$123,F$137,FALSE)</f>
        <v>0</v>
      </c>
      <c r="G220" s="4">
        <f>VLOOKUP(Vlookup!$B185,'CDCM Volume Forecasts'!$A$27:$AG$123,G$137,FALSE)</f>
        <v>1833.7618341721654</v>
      </c>
      <c r="H220" s="7"/>
      <c r="I220"/>
      <c r="J220"/>
      <c r="K220"/>
    </row>
    <row r="221" spans="1:11" ht="15">
      <c r="A221" s="8" t="s">
        <v>194</v>
      </c>
      <c r="B221" s="4">
        <f>VLOOKUP(Vlookup!$B186,'CDCM Volume Forecasts'!$A$27:$AG$123,B$137,FALSE)</f>
        <v>0</v>
      </c>
      <c r="C221" s="6">
        <f>VLOOKUP(Vlookup!$B186,'CDCM Volume Forecasts'!$A$27:$AG$123,C$137,FALSE)</f>
        <v>0</v>
      </c>
      <c r="D221" s="6">
        <f>VLOOKUP(Vlookup!$B186,'CDCM Volume Forecasts'!$A$27:$AG$123,D$137,FALSE)</f>
        <v>0</v>
      </c>
      <c r="E221" s="10">
        <f>VLOOKUP(Vlookup!$B186,'CDCM Volume Forecasts'!$A$27:$AG$123,E$137,FALSE)</f>
        <v>0</v>
      </c>
      <c r="F221" s="6">
        <f>VLOOKUP(Vlookup!$B186,'CDCM Volume Forecasts'!$A$27:$AG$123,F$137,FALSE)</f>
        <v>0</v>
      </c>
      <c r="G221" s="4">
        <f>VLOOKUP(Vlookup!$B186,'CDCM Volume Forecasts'!$A$27:$AG$123,G$137,FALSE)</f>
        <v>0</v>
      </c>
      <c r="H221" s="7"/>
      <c r="I221"/>
      <c r="J221"/>
      <c r="K221"/>
    </row>
    <row r="222" spans="1:11" ht="15">
      <c r="A222" s="8" t="s">
        <v>195</v>
      </c>
      <c r="B222" s="4">
        <f>VLOOKUP(Vlookup!$B187,'CDCM Volume Forecasts'!$A$27:$AG$123,B$137,FALSE)</f>
        <v>67.449079939668152</v>
      </c>
      <c r="C222" s="6">
        <f>VLOOKUP(Vlookup!$B187,'CDCM Volume Forecasts'!$A$27:$AG$123,C$137,FALSE)</f>
        <v>0</v>
      </c>
      <c r="D222" s="6">
        <f>VLOOKUP(Vlookup!$B187,'CDCM Volume Forecasts'!$A$27:$AG$123,D$137,FALSE)</f>
        <v>0</v>
      </c>
      <c r="E222" s="10">
        <f>VLOOKUP(Vlookup!$B187,'CDCM Volume Forecasts'!$A$27:$AG$123,E$137,FALSE)</f>
        <v>0</v>
      </c>
      <c r="F222" s="6">
        <f>VLOOKUP(Vlookup!$B187,'CDCM Volume Forecasts'!$A$27:$AG$123,F$137,FALSE)</f>
        <v>0</v>
      </c>
      <c r="G222" s="4">
        <f>VLOOKUP(Vlookup!$B187,'CDCM Volume Forecasts'!$A$27:$AG$123,G$137,FALSE)</f>
        <v>40.276868917141599</v>
      </c>
      <c r="H222" s="7"/>
      <c r="I222"/>
      <c r="J222"/>
      <c r="K222"/>
    </row>
    <row r="223" spans="1:11" ht="15">
      <c r="A223" s="12" t="s">
        <v>196</v>
      </c>
      <c r="B223" s="13">
        <f>VLOOKUP(Vlookup!$B188,'CDCM Volume Forecasts'!$A$27:$AG$123,B$137,FALSE)</f>
        <v>0</v>
      </c>
      <c r="C223" s="13">
        <f>VLOOKUP(Vlookup!$B188,'CDCM Volume Forecasts'!$A$27:$AG$123,C$137,FALSE)</f>
        <v>0</v>
      </c>
      <c r="D223" s="13">
        <f>VLOOKUP(Vlookup!$B188,'CDCM Volume Forecasts'!$A$27:$AG$123,D$137,FALSE)</f>
        <v>0</v>
      </c>
      <c r="E223" s="13">
        <f>VLOOKUP(Vlookup!$B188,'CDCM Volume Forecasts'!$A$27:$AG$123,E$137,FALSE)</f>
        <v>0</v>
      </c>
      <c r="F223" s="13">
        <f>VLOOKUP(Vlookup!$B188,'CDCM Volume Forecasts'!$A$27:$AG$123,F$137,FALSE)</f>
        <v>0</v>
      </c>
      <c r="G223" s="13">
        <f>VLOOKUP(Vlookup!$B188,'CDCM Volume Forecasts'!$A$27:$AG$123,G$137,FALSE)</f>
        <v>0</v>
      </c>
      <c r="H223" s="7"/>
      <c r="I223"/>
      <c r="J223"/>
      <c r="K223"/>
    </row>
    <row r="224" spans="1:11" ht="15">
      <c r="A224" s="8" t="s">
        <v>102</v>
      </c>
      <c r="B224" s="4">
        <f>VLOOKUP(Vlookup!$B189,'CDCM Volume Forecasts'!$A$27:$AG$123,B$137,FALSE)</f>
        <v>826.92226302739937</v>
      </c>
      <c r="C224" s="4">
        <f>VLOOKUP(Vlookup!$B189,'CDCM Volume Forecasts'!$A$27:$AG$123,C$137,FALSE)</f>
        <v>3731.6613783210264</v>
      </c>
      <c r="D224" s="4">
        <f>VLOOKUP(Vlookup!$B189,'CDCM Volume Forecasts'!$A$27:$AG$123,D$137,FALSE)</f>
        <v>5008.4114190363289</v>
      </c>
      <c r="E224" s="10">
        <f>VLOOKUP(Vlookup!$B189,'CDCM Volume Forecasts'!$A$27:$AG$123,E$137,FALSE)</f>
        <v>86.120422990058827</v>
      </c>
      <c r="F224" s="6">
        <f>VLOOKUP(Vlookup!$B189,'CDCM Volume Forecasts'!$A$27:$AG$123,F$137,FALSE)</f>
        <v>0</v>
      </c>
      <c r="G224" s="4">
        <f>VLOOKUP(Vlookup!$B189,'CDCM Volume Forecasts'!$A$27:$AG$123,G$137,FALSE)</f>
        <v>497.09178617320293</v>
      </c>
      <c r="H224" s="7"/>
      <c r="I224"/>
      <c r="J224"/>
      <c r="K224"/>
    </row>
    <row r="225" spans="1:11" ht="15">
      <c r="A225" s="8" t="s">
        <v>197</v>
      </c>
      <c r="B225" s="4">
        <f>VLOOKUP(Vlookup!$B190,'CDCM Volume Forecasts'!$A$27:$AG$123,B$137,FALSE)</f>
        <v>0</v>
      </c>
      <c r="C225" s="4">
        <f>VLOOKUP(Vlookup!$B190,'CDCM Volume Forecasts'!$A$27:$AG$123,C$137,FALSE)</f>
        <v>0</v>
      </c>
      <c r="D225" s="4">
        <f>VLOOKUP(Vlookup!$B190,'CDCM Volume Forecasts'!$A$27:$AG$123,D$137,FALSE)</f>
        <v>0</v>
      </c>
      <c r="E225" s="10">
        <f>VLOOKUP(Vlookup!$B190,'CDCM Volume Forecasts'!$A$27:$AG$123,E$137,FALSE)</f>
        <v>0</v>
      </c>
      <c r="F225" s="6">
        <f>VLOOKUP(Vlookup!$B190,'CDCM Volume Forecasts'!$A$27:$AG$123,F$137,FALSE)</f>
        <v>0</v>
      </c>
      <c r="G225" s="4">
        <f>VLOOKUP(Vlookup!$B190,'CDCM Volume Forecasts'!$A$27:$AG$123,G$137,FALSE)</f>
        <v>0</v>
      </c>
      <c r="H225" s="7"/>
      <c r="I225"/>
      <c r="J225"/>
      <c r="K225"/>
    </row>
    <row r="226" spans="1:11" ht="15">
      <c r="A226" s="8" t="s">
        <v>198</v>
      </c>
      <c r="B226" s="4">
        <f>VLOOKUP(Vlookup!$B191,'CDCM Volume Forecasts'!$A$27:$AG$123,B$137,FALSE)</f>
        <v>0.3293543489190548</v>
      </c>
      <c r="C226" s="4">
        <f>VLOOKUP(Vlookup!$B191,'CDCM Volume Forecasts'!$A$27:$AG$123,C$137,FALSE)</f>
        <v>0</v>
      </c>
      <c r="D226" s="4">
        <f>VLOOKUP(Vlookup!$B191,'CDCM Volume Forecasts'!$A$27:$AG$123,D$137,FALSE)</f>
        <v>0</v>
      </c>
      <c r="E226" s="10">
        <f>VLOOKUP(Vlookup!$B191,'CDCM Volume Forecasts'!$A$27:$AG$123,E$137,FALSE)</f>
        <v>0</v>
      </c>
      <c r="F226" s="6">
        <f>VLOOKUP(Vlookup!$B191,'CDCM Volume Forecasts'!$A$27:$AG$123,F$137,FALSE)</f>
        <v>0</v>
      </c>
      <c r="G226" s="4">
        <f>VLOOKUP(Vlookup!$B191,'CDCM Volume Forecasts'!$A$27:$AG$123,G$137,FALSE)</f>
        <v>0.38239675580885579</v>
      </c>
      <c r="H226" s="7"/>
      <c r="I226"/>
      <c r="J226"/>
      <c r="K226"/>
    </row>
    <row r="227" spans="1:11" ht="15">
      <c r="A227" s="12" t="s">
        <v>199</v>
      </c>
      <c r="B227" s="13">
        <f>VLOOKUP(Vlookup!$B192,'CDCM Volume Forecasts'!$A$27:$AG$123,B$137,FALSE)</f>
        <v>0</v>
      </c>
      <c r="C227" s="13">
        <f>VLOOKUP(Vlookup!$B192,'CDCM Volume Forecasts'!$A$27:$AG$123,C$137,FALSE)</f>
        <v>0</v>
      </c>
      <c r="D227" s="13">
        <f>VLOOKUP(Vlookup!$B192,'CDCM Volume Forecasts'!$A$27:$AG$123,D$137,FALSE)</f>
        <v>0</v>
      </c>
      <c r="E227" s="13">
        <f>VLOOKUP(Vlookup!$B192,'CDCM Volume Forecasts'!$A$27:$AG$123,E$137,FALSE)</f>
        <v>0</v>
      </c>
      <c r="F227" s="13">
        <f>VLOOKUP(Vlookup!$B192,'CDCM Volume Forecasts'!$A$27:$AG$123,F$137,FALSE)</f>
        <v>0</v>
      </c>
      <c r="G227" s="13">
        <f>VLOOKUP(Vlookup!$B192,'CDCM Volume Forecasts'!$A$27:$AG$123,G$137,FALSE)</f>
        <v>0</v>
      </c>
      <c r="H227" s="7"/>
      <c r="I227"/>
      <c r="J227"/>
      <c r="K227"/>
    </row>
    <row r="228" spans="1:11" ht="15">
      <c r="A228" s="8" t="s">
        <v>103</v>
      </c>
      <c r="B228" s="4">
        <f>VLOOKUP(Vlookup!$B193,'CDCM Volume Forecasts'!$A$27:$AG$123,B$137,FALSE)</f>
        <v>1213.6794216291853</v>
      </c>
      <c r="C228" s="6">
        <f>VLOOKUP(Vlookup!$B193,'CDCM Volume Forecasts'!$A$27:$AG$123,C$137,FALSE)</f>
        <v>0</v>
      </c>
      <c r="D228" s="6">
        <f>VLOOKUP(Vlookup!$B193,'CDCM Volume Forecasts'!$A$27:$AG$123,D$137,FALSE)</f>
        <v>0</v>
      </c>
      <c r="E228" s="10">
        <f>VLOOKUP(Vlookup!$B193,'CDCM Volume Forecasts'!$A$27:$AG$123,E$137,FALSE)</f>
        <v>5.0659072347093428</v>
      </c>
      <c r="F228" s="6">
        <f>VLOOKUP(Vlookup!$B193,'CDCM Volume Forecasts'!$A$27:$AG$123,F$137,FALSE)</f>
        <v>0</v>
      </c>
      <c r="G228" s="4">
        <f>VLOOKUP(Vlookup!$B193,'CDCM Volume Forecasts'!$A$27:$AG$123,G$137,FALSE)</f>
        <v>124.64962312250731</v>
      </c>
      <c r="H228" s="7"/>
      <c r="I228"/>
      <c r="J228"/>
      <c r="K228"/>
    </row>
    <row r="229" spans="1:11" ht="15">
      <c r="A229" s="8" t="s">
        <v>200</v>
      </c>
      <c r="B229" s="4">
        <f>VLOOKUP(Vlookup!$B194,'CDCM Volume Forecasts'!$A$27:$AG$123,B$137,FALSE)</f>
        <v>0</v>
      </c>
      <c r="C229" s="6">
        <f>VLOOKUP(Vlookup!$B194,'CDCM Volume Forecasts'!$A$27:$AG$123,C$137,FALSE)</f>
        <v>0</v>
      </c>
      <c r="D229" s="6">
        <f>VLOOKUP(Vlookup!$B194,'CDCM Volume Forecasts'!$A$27:$AG$123,D$137,FALSE)</f>
        <v>0</v>
      </c>
      <c r="E229" s="10">
        <f>VLOOKUP(Vlookup!$B194,'CDCM Volume Forecasts'!$A$27:$AG$123,E$137,FALSE)</f>
        <v>0</v>
      </c>
      <c r="F229" s="6">
        <f>VLOOKUP(Vlookup!$B194,'CDCM Volume Forecasts'!$A$27:$AG$123,F$137,FALSE)</f>
        <v>0</v>
      </c>
      <c r="G229" s="4">
        <f>VLOOKUP(Vlookup!$B194,'CDCM Volume Forecasts'!$A$27:$AG$123,G$137,FALSE)</f>
        <v>0</v>
      </c>
      <c r="H229" s="7"/>
      <c r="I229"/>
      <c r="J229"/>
      <c r="K229"/>
    </row>
    <row r="230" spans="1:11" ht="15">
      <c r="A230" s="12" t="s">
        <v>201</v>
      </c>
      <c r="B230" s="13">
        <f>VLOOKUP(Vlookup!$B195,'CDCM Volume Forecasts'!$A$27:$AG$123,B$137,FALSE)</f>
        <v>0</v>
      </c>
      <c r="C230" s="13">
        <f>VLOOKUP(Vlookup!$B195,'CDCM Volume Forecasts'!$A$27:$AG$123,C$137,FALSE)</f>
        <v>0</v>
      </c>
      <c r="D230" s="13">
        <f>VLOOKUP(Vlookup!$B195,'CDCM Volume Forecasts'!$A$27:$AG$123,D$137,FALSE)</f>
        <v>0</v>
      </c>
      <c r="E230" s="13">
        <f>VLOOKUP(Vlookup!$B195,'CDCM Volume Forecasts'!$A$27:$AG$123,E$137,FALSE)</f>
        <v>0</v>
      </c>
      <c r="F230" s="13">
        <f>VLOOKUP(Vlookup!$B195,'CDCM Volume Forecasts'!$A$27:$AG$123,F$137,FALSE)</f>
        <v>0</v>
      </c>
      <c r="G230" s="13">
        <f>VLOOKUP(Vlookup!$B195,'CDCM Volume Forecasts'!$A$27:$AG$123,G$137,FALSE)</f>
        <v>0</v>
      </c>
      <c r="H230" s="7"/>
      <c r="I230"/>
      <c r="J230"/>
      <c r="K230"/>
    </row>
    <row r="231" spans="1:11" ht="15">
      <c r="A231" s="8" t="s">
        <v>104</v>
      </c>
      <c r="B231" s="4">
        <f>VLOOKUP(Vlookup!$B196,'CDCM Volume Forecasts'!$A$27:$AG$123,B$137,FALSE)</f>
        <v>1398.4642496253416</v>
      </c>
      <c r="C231" s="4">
        <f>VLOOKUP(Vlookup!$B196,'CDCM Volume Forecasts'!$A$27:$AG$123,C$137,FALSE)</f>
        <v>3179.9868408000002</v>
      </c>
      <c r="D231" s="4">
        <f>VLOOKUP(Vlookup!$B196,'CDCM Volume Forecasts'!$A$27:$AG$123,D$137,FALSE)</f>
        <v>6128.1571032000011</v>
      </c>
      <c r="E231" s="10">
        <f>VLOOKUP(Vlookup!$B196,'CDCM Volume Forecasts'!$A$27:$AG$123,E$137,FALSE)</f>
        <v>4.0527257877674732</v>
      </c>
      <c r="F231" s="6">
        <f>VLOOKUP(Vlookup!$B196,'CDCM Volume Forecasts'!$A$27:$AG$123,F$137,FALSE)</f>
        <v>0</v>
      </c>
      <c r="G231" s="4">
        <f>VLOOKUP(Vlookup!$B196,'CDCM Volume Forecasts'!$A$27:$AG$123,G$137,FALSE)</f>
        <v>8.8798433495988469</v>
      </c>
      <c r="H231" s="7"/>
      <c r="I231"/>
      <c r="J231"/>
      <c r="K231"/>
    </row>
    <row r="232" spans="1:11" ht="15">
      <c r="A232" s="8" t="s">
        <v>202</v>
      </c>
      <c r="B232" s="4">
        <f>VLOOKUP(Vlookup!$B197,'CDCM Volume Forecasts'!$A$27:$AG$123,B$137,FALSE)</f>
        <v>0</v>
      </c>
      <c r="C232" s="4">
        <f>VLOOKUP(Vlookup!$B197,'CDCM Volume Forecasts'!$A$27:$AG$123,C$137,FALSE)</f>
        <v>0</v>
      </c>
      <c r="D232" s="4">
        <f>VLOOKUP(Vlookup!$B197,'CDCM Volume Forecasts'!$A$27:$AG$123,D$137,FALSE)</f>
        <v>0</v>
      </c>
      <c r="E232" s="10">
        <f>VLOOKUP(Vlookup!$B197,'CDCM Volume Forecasts'!$A$27:$AG$123,E$137,FALSE)</f>
        <v>0</v>
      </c>
      <c r="F232" s="6">
        <f>VLOOKUP(Vlookup!$B197,'CDCM Volume Forecasts'!$A$27:$AG$123,F$137,FALSE)</f>
        <v>0</v>
      </c>
      <c r="G232" s="4">
        <f>VLOOKUP(Vlookup!$B197,'CDCM Volume Forecasts'!$A$27:$AG$123,G$137,FALSE)</f>
        <v>0</v>
      </c>
      <c r="H232" s="7"/>
      <c r="I232"/>
      <c r="J232"/>
      <c r="K232"/>
    </row>
    <row r="233" spans="1:11" ht="15">
      <c r="A233" s="12" t="s">
        <v>203</v>
      </c>
      <c r="B233" s="13">
        <f>VLOOKUP(Vlookup!$B198,'CDCM Volume Forecasts'!$A$27:$AG$123,B$137,FALSE)</f>
        <v>0</v>
      </c>
      <c r="C233" s="13">
        <f>VLOOKUP(Vlookup!$B198,'CDCM Volume Forecasts'!$A$27:$AG$123,C$137,FALSE)</f>
        <v>0</v>
      </c>
      <c r="D233" s="13">
        <f>VLOOKUP(Vlookup!$B198,'CDCM Volume Forecasts'!$A$27:$AG$123,D$137,FALSE)</f>
        <v>0</v>
      </c>
      <c r="E233" s="13">
        <f>VLOOKUP(Vlookup!$B198,'CDCM Volume Forecasts'!$A$27:$AG$123,E$137,FALSE)</f>
        <v>0</v>
      </c>
      <c r="F233" s="13">
        <f>VLOOKUP(Vlookup!$B198,'CDCM Volume Forecasts'!$A$27:$AG$123,F$137,FALSE)</f>
        <v>0</v>
      </c>
      <c r="G233" s="13">
        <f>VLOOKUP(Vlookup!$B198,'CDCM Volume Forecasts'!$A$27:$AG$123,G$137,FALSE)</f>
        <v>0</v>
      </c>
      <c r="H233" s="7"/>
      <c r="I233"/>
      <c r="J233"/>
      <c r="K233"/>
    </row>
    <row r="234" spans="1:11" ht="15">
      <c r="A234" s="8" t="s">
        <v>112</v>
      </c>
      <c r="B234" s="4">
        <f>VLOOKUP(Vlookup!$B199,'CDCM Volume Forecasts'!$A$27:$AG$123,B$137,FALSE)</f>
        <v>95543.871083999999</v>
      </c>
      <c r="C234" s="6">
        <f>VLOOKUP(Vlookup!$B199,'CDCM Volume Forecasts'!$A$27:$AG$123,C$137,FALSE)</f>
        <v>0</v>
      </c>
      <c r="D234" s="6">
        <f>VLOOKUP(Vlookup!$B199,'CDCM Volume Forecasts'!$A$27:$AG$123,D$137,FALSE)</f>
        <v>0</v>
      </c>
      <c r="E234" s="10">
        <f>VLOOKUP(Vlookup!$B199,'CDCM Volume Forecasts'!$A$27:$AG$123,E$137,FALSE)</f>
        <v>55.359020484258814</v>
      </c>
      <c r="F234" s="6">
        <f>VLOOKUP(Vlookup!$B199,'CDCM Volume Forecasts'!$A$27:$AG$123,F$137,FALSE)</f>
        <v>0</v>
      </c>
      <c r="G234" s="4">
        <f>VLOOKUP(Vlookup!$B199,'CDCM Volume Forecasts'!$A$27:$AG$123,G$137,FALSE)</f>
        <v>3144.8579734229206</v>
      </c>
      <c r="H234" s="7"/>
      <c r="I234"/>
      <c r="J234"/>
      <c r="K234"/>
    </row>
    <row r="235" spans="1:11" ht="15">
      <c r="A235" s="8" t="s">
        <v>204</v>
      </c>
      <c r="B235" s="4">
        <f>VLOOKUP(Vlookup!$B200,'CDCM Volume Forecasts'!$A$27:$AG$123,B$137,FALSE)</f>
        <v>0</v>
      </c>
      <c r="C235" s="6">
        <f>VLOOKUP(Vlookup!$B200,'CDCM Volume Forecasts'!$A$27:$AG$123,C$137,FALSE)</f>
        <v>0</v>
      </c>
      <c r="D235" s="6">
        <f>VLOOKUP(Vlookup!$B200,'CDCM Volume Forecasts'!$A$27:$AG$123,D$137,FALSE)</f>
        <v>0</v>
      </c>
      <c r="E235" s="10">
        <f>VLOOKUP(Vlookup!$B200,'CDCM Volume Forecasts'!$A$27:$AG$123,E$137,FALSE)</f>
        <v>0</v>
      </c>
      <c r="F235" s="6">
        <f>VLOOKUP(Vlookup!$B200,'CDCM Volume Forecasts'!$A$27:$AG$123,F$137,FALSE)</f>
        <v>0</v>
      </c>
      <c r="G235" s="4">
        <f>VLOOKUP(Vlookup!$B200,'CDCM Volume Forecasts'!$A$27:$AG$123,G$137,FALSE)</f>
        <v>0</v>
      </c>
      <c r="H235" s="7"/>
      <c r="I235"/>
      <c r="J235"/>
      <c r="K235"/>
    </row>
    <row r="236" spans="1:11" ht="15">
      <c r="A236" s="12" t="s">
        <v>205</v>
      </c>
      <c r="B236" s="13">
        <f>VLOOKUP(Vlookup!$B201,'CDCM Volume Forecasts'!$A$27:$AG$123,B$137,FALSE)</f>
        <v>0</v>
      </c>
      <c r="C236" s="13">
        <f>VLOOKUP(Vlookup!$B201,'CDCM Volume Forecasts'!$A$27:$AG$123,C$137,FALSE)</f>
        <v>0</v>
      </c>
      <c r="D236" s="13">
        <f>VLOOKUP(Vlookup!$B201,'CDCM Volume Forecasts'!$A$27:$AG$123,D$137,FALSE)</f>
        <v>0</v>
      </c>
      <c r="E236" s="13">
        <f>VLOOKUP(Vlookup!$B201,'CDCM Volume Forecasts'!$A$27:$AG$123,E$137,FALSE)</f>
        <v>0</v>
      </c>
      <c r="F236" s="13">
        <f>VLOOKUP(Vlookup!$B201,'CDCM Volume Forecasts'!$A$27:$AG$123,F$137,FALSE)</f>
        <v>0</v>
      </c>
      <c r="G236" s="13">
        <f>VLOOKUP(Vlookup!$B201,'CDCM Volume Forecasts'!$A$27:$AG$123,G$137,FALSE)</f>
        <v>0</v>
      </c>
      <c r="H236" s="7"/>
      <c r="I236"/>
      <c r="J236"/>
      <c r="K236"/>
    </row>
    <row r="237" spans="1:11" ht="15">
      <c r="A237" s="8" t="s">
        <v>113</v>
      </c>
      <c r="B237" s="4">
        <f>VLOOKUP(Vlookup!$B202,'CDCM Volume Forecasts'!$A$27:$AG$123,B$137,FALSE)</f>
        <v>65104.786809687452</v>
      </c>
      <c r="C237" s="4">
        <f>VLOOKUP(Vlookup!$B202,'CDCM Volume Forecasts'!$A$27:$AG$123,C$137,FALSE)</f>
        <v>202236.73285292476</v>
      </c>
      <c r="D237" s="4">
        <f>VLOOKUP(Vlookup!$B202,'CDCM Volume Forecasts'!$A$27:$AG$123,D$137,FALSE)</f>
        <v>389530.18598588731</v>
      </c>
      <c r="E237" s="10">
        <f>VLOOKUP(Vlookup!$B202,'CDCM Volume Forecasts'!$A$27:$AG$123,E$137,FALSE)</f>
        <v>115.75067919435931</v>
      </c>
      <c r="F237" s="6">
        <f>VLOOKUP(Vlookup!$B202,'CDCM Volume Forecasts'!$A$27:$AG$123,F$137,FALSE)</f>
        <v>0</v>
      </c>
      <c r="G237" s="4">
        <f>VLOOKUP(Vlookup!$B202,'CDCM Volume Forecasts'!$A$27:$AG$123,G$137,FALSE)</f>
        <v>7784.0578486942413</v>
      </c>
      <c r="H237" s="7"/>
      <c r="I237"/>
      <c r="J237"/>
      <c r="K237"/>
    </row>
    <row r="238" spans="1:11" ht="15">
      <c r="A238" s="8" t="s">
        <v>206</v>
      </c>
      <c r="B238" s="4">
        <f>VLOOKUP(Vlookup!$B203,'CDCM Volume Forecasts'!$A$27:$AG$123,B$137,FALSE)</f>
        <v>0</v>
      </c>
      <c r="C238" s="4">
        <f>VLOOKUP(Vlookup!$B203,'CDCM Volume Forecasts'!$A$27:$AG$123,C$137,FALSE)</f>
        <v>0</v>
      </c>
      <c r="D238" s="4">
        <f>VLOOKUP(Vlookup!$B203,'CDCM Volume Forecasts'!$A$27:$AG$123,D$137,FALSE)</f>
        <v>0</v>
      </c>
      <c r="E238" s="10">
        <f>VLOOKUP(Vlookup!$B203,'CDCM Volume Forecasts'!$A$27:$AG$123,E$137,FALSE)</f>
        <v>0</v>
      </c>
      <c r="F238" s="6">
        <f>VLOOKUP(Vlookup!$B203,'CDCM Volume Forecasts'!$A$27:$AG$123,F$137,FALSE)</f>
        <v>0</v>
      </c>
      <c r="G238" s="4">
        <f>VLOOKUP(Vlookup!$B203,'CDCM Volume Forecasts'!$A$27:$AG$123,G$137,FALSE)</f>
        <v>0</v>
      </c>
      <c r="H238" s="7"/>
      <c r="I238"/>
      <c r="J238"/>
      <c r="K238"/>
    </row>
    <row r="239" spans="1:11" ht="15">
      <c r="A239"/>
      <c r="B239"/>
      <c r="C239"/>
      <c r="D239"/>
      <c r="E239"/>
      <c r="F239"/>
      <c r="G239"/>
      <c r="H239"/>
      <c r="I239"/>
      <c r="J239"/>
      <c r="K239"/>
    </row>
    <row r="240" spans="1:11" ht="19.5">
      <c r="A240" s="1" t="s">
        <v>207</v>
      </c>
      <c r="B240"/>
      <c r="C240"/>
      <c r="D240"/>
      <c r="E240"/>
      <c r="F240"/>
      <c r="G240"/>
      <c r="H240"/>
      <c r="I240"/>
      <c r="J240"/>
      <c r="K240"/>
    </row>
    <row r="241" spans="1:11" ht="15">
      <c r="A241" s="2" t="s">
        <v>262</v>
      </c>
      <c r="B241"/>
      <c r="C241"/>
      <c r="D241"/>
      <c r="E241"/>
      <c r="F241"/>
      <c r="G241"/>
      <c r="H241"/>
      <c r="I241"/>
      <c r="J241"/>
      <c r="K241"/>
    </row>
    <row r="242" spans="1:11" ht="15">
      <c r="A242" t="s">
        <v>137</v>
      </c>
      <c r="B242"/>
      <c r="C242"/>
      <c r="D242"/>
      <c r="E242"/>
      <c r="F242"/>
      <c r="G242"/>
      <c r="H242"/>
      <c r="I242"/>
      <c r="J242"/>
      <c r="K242"/>
    </row>
    <row r="243" spans="1:11" ht="30">
      <c r="A243"/>
      <c r="B243" s="3" t="s">
        <v>208</v>
      </c>
      <c r="C243"/>
      <c r="D243"/>
      <c r="E243"/>
      <c r="F243"/>
      <c r="G243"/>
      <c r="H243"/>
      <c r="I243"/>
      <c r="J243"/>
      <c r="K243"/>
    </row>
    <row r="244" spans="1:11" ht="15">
      <c r="A244" s="8" t="s">
        <v>209</v>
      </c>
      <c r="B244" s="10">
        <f>VLOOKUP(Vlookup!B209,'CDCM Forecast Data'!$A$14:$I$271,8,FALSE)</f>
        <v>14662114.7228802</v>
      </c>
      <c r="C244" s="7" t="s">
        <v>262</v>
      </c>
      <c r="D244"/>
      <c r="E244"/>
      <c r="F244"/>
      <c r="G244"/>
      <c r="H244"/>
      <c r="I244"/>
      <c r="J244"/>
      <c r="K244"/>
    </row>
    <row r="245" spans="1:11" ht="15">
      <c r="A245"/>
      <c r="B245"/>
      <c r="C245"/>
      <c r="D245"/>
      <c r="E245"/>
      <c r="F245"/>
      <c r="G245"/>
      <c r="H245"/>
      <c r="I245"/>
      <c r="J245"/>
      <c r="K245"/>
    </row>
    <row r="246" spans="1:11" ht="19.5">
      <c r="A246" s="1" t="s">
        <v>210</v>
      </c>
      <c r="B246"/>
      <c r="C246"/>
      <c r="D246"/>
      <c r="E246"/>
      <c r="F246"/>
      <c r="G246"/>
      <c r="H246"/>
      <c r="I246"/>
      <c r="J246"/>
      <c r="K246"/>
    </row>
    <row r="247" spans="1:11" ht="15">
      <c r="A247" t="s">
        <v>262</v>
      </c>
      <c r="B247"/>
      <c r="C247"/>
      <c r="D247"/>
      <c r="E247"/>
      <c r="F247"/>
      <c r="G247"/>
      <c r="H247"/>
      <c r="I247"/>
      <c r="J247"/>
      <c r="K247"/>
    </row>
    <row r="248" spans="1:11" ht="30">
      <c r="A248"/>
      <c r="B248" s="3" t="s">
        <v>211</v>
      </c>
      <c r="C248" s="3" t="s">
        <v>212</v>
      </c>
      <c r="D248" s="3" t="s">
        <v>213</v>
      </c>
      <c r="E248" s="3" t="s">
        <v>214</v>
      </c>
      <c r="F248"/>
      <c r="G248"/>
      <c r="H248"/>
      <c r="I248"/>
      <c r="J248"/>
      <c r="K248"/>
    </row>
    <row r="249" spans="1:11" ht="15">
      <c r="A249" s="8" t="s">
        <v>215</v>
      </c>
      <c r="B249" s="10">
        <f>VLOOKUP(Vlookup!B214,'CDCM Forecast Data'!$A$14:$I$271,8,FALSE)</f>
        <v>28478149.082999185</v>
      </c>
      <c r="C249" s="10">
        <f>VLOOKUP(Vlookup!C214,'CDCM Forecast Data'!$A$14:$I$271,8,FALSE)</f>
        <v>118743797.12505515</v>
      </c>
      <c r="D249" s="11">
        <f>VLOOKUP(Vlookup!D214,'CDCM Forecast Data'!$A$14:$I$271,8,FALSE)</f>
        <v>0.6</v>
      </c>
      <c r="E249" s="10">
        <f>VLOOKUP(Vlookup!E214,'CDCM Forecast Data'!$A$14:$I$271,8,FALSE)</f>
        <v>49616483</v>
      </c>
      <c r="F249" s="7" t="s">
        <v>262</v>
      </c>
      <c r="G249"/>
      <c r="H249"/>
      <c r="I249"/>
      <c r="J249"/>
      <c r="K249"/>
    </row>
    <row r="250" spans="1:11" ht="15">
      <c r="A250"/>
      <c r="B250"/>
      <c r="C250"/>
      <c r="D250"/>
      <c r="E250"/>
      <c r="F250"/>
      <c r="G250"/>
      <c r="H250"/>
      <c r="I250"/>
      <c r="J250"/>
      <c r="K250"/>
    </row>
    <row r="251" spans="1:11" ht="19.5">
      <c r="A251" s="1" t="s">
        <v>216</v>
      </c>
      <c r="B251"/>
      <c r="C251"/>
      <c r="D251"/>
      <c r="E251"/>
      <c r="F251"/>
      <c r="G251"/>
      <c r="H251"/>
      <c r="I251"/>
      <c r="J251"/>
      <c r="K251"/>
    </row>
    <row r="252" spans="1:11" ht="15">
      <c r="A252" s="2"/>
      <c r="B252"/>
      <c r="C252"/>
      <c r="D252"/>
      <c r="E252"/>
      <c r="F252"/>
      <c r="G252"/>
      <c r="H252"/>
      <c r="I252"/>
      <c r="J252"/>
      <c r="K252"/>
    </row>
    <row r="253" spans="1:11" ht="15">
      <c r="A253" s="2" t="s">
        <v>217</v>
      </c>
      <c r="B253"/>
      <c r="C253"/>
      <c r="D253"/>
      <c r="E253"/>
      <c r="F253"/>
      <c r="G253"/>
      <c r="H253"/>
      <c r="I253"/>
      <c r="J253"/>
      <c r="K253"/>
    </row>
    <row r="254" spans="1:11" ht="15">
      <c r="A254" s="2" t="s">
        <v>218</v>
      </c>
      <c r="B254"/>
      <c r="C254"/>
      <c r="D254"/>
      <c r="E254"/>
      <c r="F254"/>
      <c r="G254"/>
      <c r="H254"/>
      <c r="I254"/>
      <c r="J254"/>
      <c r="K254"/>
    </row>
    <row r="255" spans="1:11" ht="15">
      <c r="A255" t="s">
        <v>219</v>
      </c>
      <c r="B255"/>
      <c r="C255"/>
      <c r="D255"/>
      <c r="E255"/>
      <c r="F255"/>
      <c r="G255"/>
      <c r="H255"/>
      <c r="I255"/>
      <c r="J255"/>
      <c r="K255"/>
    </row>
    <row r="256" spans="1:11" ht="30">
      <c r="A256"/>
      <c r="B256" s="3" t="s">
        <v>220</v>
      </c>
      <c r="C256" s="3" t="s">
        <v>221</v>
      </c>
      <c r="D256" s="3" t="s">
        <v>222</v>
      </c>
      <c r="E256" s="3" t="s">
        <v>223</v>
      </c>
      <c r="F256" s="3" t="s">
        <v>224</v>
      </c>
      <c r="G256" s="3" t="s">
        <v>225</v>
      </c>
      <c r="H256" s="3" t="s">
        <v>226</v>
      </c>
      <c r="I256" s="3" t="s">
        <v>227</v>
      </c>
      <c r="J256"/>
      <c r="K256"/>
    </row>
    <row r="257" spans="1:11" ht="15">
      <c r="A257" s="8" t="s">
        <v>228</v>
      </c>
      <c r="B257" s="11">
        <f>VLOOKUP(Vlookup!B222,'CDCM Forecast Data'!$A$14:$I$271,8,FALSE)</f>
        <v>0</v>
      </c>
      <c r="C257" s="11">
        <f>VLOOKUP(Vlookup!C222,'CDCM Forecast Data'!$A$14:$I$271,8,FALSE)</f>
        <v>0</v>
      </c>
      <c r="D257" s="11">
        <f>VLOOKUP(Vlookup!D222,'CDCM Forecast Data'!$A$14:$I$271,8,FALSE)</f>
        <v>0</v>
      </c>
      <c r="E257" s="11">
        <f>VLOOKUP(Vlookup!E222,'CDCM Forecast Data'!$A$14:$I$271,8,FALSE)</f>
        <v>0</v>
      </c>
      <c r="F257" s="11">
        <f>VLOOKUP(Vlookup!F222,'CDCM Forecast Data'!$A$14:$I$271,8,FALSE)</f>
        <v>0</v>
      </c>
      <c r="G257" s="11">
        <f>VLOOKUP(Vlookup!G222,'CDCM Forecast Data'!$A$14:$I$271,8,FALSE)</f>
        <v>0.38684969697494365</v>
      </c>
      <c r="H257" s="11">
        <f>VLOOKUP(Vlookup!H222,'CDCM Forecast Data'!$A$14:$I$271,8,FALSE)</f>
        <v>0.64124825573068889</v>
      </c>
      <c r="I257" s="11">
        <f>VLOOKUP(Vlookup!I222,'CDCM Forecast Data'!$A$14:$I$271,8,FALSE)</f>
        <v>0.89564681448643413</v>
      </c>
      <c r="J257" s="7" t="s">
        <v>262</v>
      </c>
      <c r="K257"/>
    </row>
    <row r="258" spans="1:11" ht="15">
      <c r="A258" s="8" t="s">
        <v>229</v>
      </c>
      <c r="B258" s="11">
        <f>VLOOKUP(Vlookup!B223,'CDCM Forecast Data'!$A$14:$I$271,8,FALSE)</f>
        <v>0</v>
      </c>
      <c r="C258" s="11">
        <f>VLOOKUP(Vlookup!C223,'CDCM Forecast Data'!$A$14:$I$271,8,FALSE)</f>
        <v>0</v>
      </c>
      <c r="D258" s="11">
        <f>VLOOKUP(Vlookup!D223,'CDCM Forecast Data'!$A$14:$I$271,8,FALSE)</f>
        <v>0</v>
      </c>
      <c r="E258" s="11">
        <f>VLOOKUP(Vlookup!E223,'CDCM Forecast Data'!$A$14:$I$271,8,FALSE)</f>
        <v>0</v>
      </c>
      <c r="F258" s="11">
        <f>VLOOKUP(Vlookup!F223,'CDCM Forecast Data'!$A$14:$I$271,8,FALSE)</f>
        <v>0</v>
      </c>
      <c r="G258" s="11">
        <f>VLOOKUP(Vlookup!G223,'CDCM Forecast Data'!$A$14:$I$271,8,FALSE)</f>
        <v>0.38684969697494365</v>
      </c>
      <c r="H258" s="11">
        <f>VLOOKUP(Vlookup!H223,'CDCM Forecast Data'!$A$14:$I$271,8,FALSE)</f>
        <v>0.64124825573068889</v>
      </c>
      <c r="I258" s="6"/>
      <c r="J258" s="7" t="s">
        <v>262</v>
      </c>
      <c r="K258"/>
    </row>
    <row r="259" spans="1:11" ht="15">
      <c r="A259" s="8" t="s">
        <v>230</v>
      </c>
      <c r="B259" s="11">
        <f>VLOOKUP(Vlookup!B224,'CDCM Forecast Data'!$A$14:$I$271,8,FALSE)</f>
        <v>0</v>
      </c>
      <c r="C259" s="11">
        <f>VLOOKUP(Vlookup!C224,'CDCM Forecast Data'!$A$14:$I$271,8,FALSE)</f>
        <v>0</v>
      </c>
      <c r="D259" s="11">
        <f>VLOOKUP(Vlookup!D224,'CDCM Forecast Data'!$A$14:$I$271,8,FALSE)</f>
        <v>0</v>
      </c>
      <c r="E259" s="11">
        <f>VLOOKUP(Vlookup!E224,'CDCM Forecast Data'!$A$14:$I$271,8,FALSE)</f>
        <v>0.25764106948138837</v>
      </c>
      <c r="F259" s="11">
        <f>VLOOKUP(Vlookup!F224,'CDCM Forecast Data'!$A$14:$I$271,8,FALSE)</f>
        <v>0.25764106948138837</v>
      </c>
      <c r="G259" s="11">
        <f>VLOOKUP(Vlookup!G224,'CDCM Forecast Data'!$A$14:$I$271,8,FALSE)</f>
        <v>0.51528213896277675</v>
      </c>
      <c r="H259" s="6"/>
      <c r="I259" s="6"/>
      <c r="J259" s="7" t="s">
        <v>262</v>
      </c>
      <c r="K259"/>
    </row>
    <row r="260" spans="1:11" ht="15">
      <c r="A260" s="8" t="s">
        <v>231</v>
      </c>
      <c r="B260" s="11">
        <f>VLOOKUP(Vlookup!B225,'CDCM Forecast Data'!$A$14:$I$271,8,FALSE)</f>
        <v>0</v>
      </c>
      <c r="C260" s="11">
        <f>VLOOKUP(Vlookup!C225,'CDCM Forecast Data'!$A$14:$I$271,8,FALSE)</f>
        <v>0</v>
      </c>
      <c r="D260" s="11">
        <f>VLOOKUP(Vlookup!D225,'CDCM Forecast Data'!$A$14:$I$271,8,FALSE)</f>
        <v>0</v>
      </c>
      <c r="E260" s="11">
        <f>VLOOKUP(Vlookup!E225,'CDCM Forecast Data'!$A$14:$I$271,8,FALSE)</f>
        <v>0.25764106948138837</v>
      </c>
      <c r="F260" s="6"/>
      <c r="G260" s="6"/>
      <c r="H260" s="6"/>
      <c r="I260" s="6"/>
      <c r="J260" s="7" t="s">
        <v>262</v>
      </c>
      <c r="K260"/>
    </row>
    <row r="261" spans="1:11" ht="15">
      <c r="A261"/>
      <c r="B261"/>
      <c r="C261"/>
      <c r="D261"/>
      <c r="E261"/>
      <c r="F261"/>
      <c r="G261"/>
      <c r="H261"/>
      <c r="I261"/>
      <c r="J261"/>
      <c r="K261"/>
    </row>
    <row r="262" spans="1:11" ht="19.5">
      <c r="A262" s="1" t="s">
        <v>232</v>
      </c>
      <c r="B262"/>
      <c r="C262"/>
      <c r="D262"/>
      <c r="E262"/>
      <c r="F262"/>
      <c r="G262"/>
      <c r="H262"/>
      <c r="I262"/>
      <c r="J262"/>
      <c r="K262"/>
    </row>
    <row r="263" spans="1:11" ht="15">
      <c r="A263"/>
      <c r="B263"/>
      <c r="C263"/>
      <c r="D263"/>
      <c r="E263"/>
      <c r="F263"/>
      <c r="G263"/>
      <c r="H263"/>
      <c r="I263"/>
      <c r="J263"/>
      <c r="K263"/>
    </row>
    <row r="264" spans="1:11" ht="15">
      <c r="A264"/>
      <c r="B264" s="3" t="s">
        <v>233</v>
      </c>
      <c r="C264" s="3" t="s">
        <v>234</v>
      </c>
      <c r="D264" s="3" t="s">
        <v>235</v>
      </c>
      <c r="E264"/>
      <c r="F264"/>
      <c r="G264"/>
      <c r="H264"/>
      <c r="I264"/>
      <c r="J264"/>
      <c r="K264"/>
    </row>
    <row r="265" spans="1:11" ht="15">
      <c r="A265" s="8" t="s">
        <v>92</v>
      </c>
      <c r="B265" s="11">
        <f>VLOOKUP(Vlookup!B235,'CDCM Forecast Data'!$A$14:$I$271,5,FALSE)</f>
        <v>0.15163735853906232</v>
      </c>
      <c r="C265" s="11">
        <f>VLOOKUP(Vlookup!C235,'CDCM Forecast Data'!$A$14:$I$271,5,FALSE)</f>
        <v>0.41909005511697384</v>
      </c>
      <c r="D265" s="11">
        <f>VLOOKUP(Vlookup!D235,'CDCM Forecast Data'!$A$14:$I$271,5,FALSE)</f>
        <v>0.42927258634396387</v>
      </c>
      <c r="E265" s="7" t="s">
        <v>262</v>
      </c>
      <c r="F265"/>
      <c r="G265"/>
      <c r="H265"/>
      <c r="I265"/>
      <c r="J265"/>
      <c r="K265"/>
    </row>
    <row r="266" spans="1:11" ht="15">
      <c r="A266" s="8" t="s">
        <v>93</v>
      </c>
      <c r="B266" s="11">
        <f>VLOOKUP(Vlookup!B236,'CDCM Forecast Data'!$A$14:$I$271,5,FALSE)</f>
        <v>0.14794456993942195</v>
      </c>
      <c r="C266" s="11">
        <f>VLOOKUP(Vlookup!C236,'CDCM Forecast Data'!$A$14:$I$271,5,FALSE)</f>
        <v>0.41591847408405047</v>
      </c>
      <c r="D266" s="11">
        <f>VLOOKUP(Vlookup!D236,'CDCM Forecast Data'!$A$14:$I$271,5,FALSE)</f>
        <v>0.43613695597652757</v>
      </c>
      <c r="E266" s="7" t="s">
        <v>262</v>
      </c>
      <c r="F266"/>
      <c r="G266"/>
      <c r="H266"/>
      <c r="I266"/>
      <c r="J266"/>
      <c r="K266"/>
    </row>
    <row r="267" spans="1:11" ht="15">
      <c r="A267" s="8" t="s">
        <v>129</v>
      </c>
      <c r="B267" s="11">
        <f>VLOOKUP(Vlookup!B237,'CDCM Forecast Data'!$A$14:$I$271,5,FALSE)</f>
        <v>2.8213273611215495E-3</v>
      </c>
      <c r="C267" s="11">
        <f>VLOOKUP(Vlookup!C237,'CDCM Forecast Data'!$A$14:$I$271,5,FALSE)</f>
        <v>0.20906851428116469</v>
      </c>
      <c r="D267" s="11">
        <f>VLOOKUP(Vlookup!D237,'CDCM Forecast Data'!$A$14:$I$271,5,FALSE)</f>
        <v>0.78811015835771381</v>
      </c>
      <c r="E267" s="7"/>
      <c r="F267"/>
      <c r="G267"/>
      <c r="H267"/>
      <c r="I267"/>
      <c r="J267"/>
      <c r="K267"/>
    </row>
    <row r="268" spans="1:11" ht="15">
      <c r="A268" s="8" t="s">
        <v>94</v>
      </c>
      <c r="B268" s="11">
        <f>VLOOKUP(Vlookup!B238,'CDCM Forecast Data'!$A$14:$I$271,5,FALSE)</f>
        <v>0.13166491281892173</v>
      </c>
      <c r="C268" s="11">
        <f>VLOOKUP(Vlookup!C238,'CDCM Forecast Data'!$A$14:$I$271,5,FALSE)</f>
        <v>0.58418150754710119</v>
      </c>
      <c r="D268" s="11">
        <f>VLOOKUP(Vlookup!D238,'CDCM Forecast Data'!$A$14:$I$271,5,FALSE)</f>
        <v>0.28415357963397708</v>
      </c>
      <c r="E268" s="7"/>
      <c r="F268"/>
      <c r="G268"/>
      <c r="H268"/>
      <c r="I268"/>
      <c r="J268"/>
      <c r="K268"/>
    </row>
    <row r="269" spans="1:11" ht="15">
      <c r="A269" s="8" t="s">
        <v>95</v>
      </c>
      <c r="B269" s="11">
        <f>VLOOKUP(Vlookup!B239,'CDCM Forecast Data'!$A$14:$I$271,5,FALSE)</f>
        <v>0.13097267676429289</v>
      </c>
      <c r="C269" s="11">
        <f>VLOOKUP(Vlookup!C239,'CDCM Forecast Data'!$A$14:$I$271,5,FALSE)</f>
        <v>0.53624987448173789</v>
      </c>
      <c r="D269" s="11">
        <f>VLOOKUP(Vlookup!D239,'CDCM Forecast Data'!$A$14:$I$271,5,FALSE)</f>
        <v>0.33277744875396925</v>
      </c>
      <c r="E269" s="7" t="s">
        <v>262</v>
      </c>
      <c r="F269"/>
      <c r="G269"/>
      <c r="H269"/>
      <c r="I269"/>
      <c r="J269"/>
      <c r="K269"/>
    </row>
    <row r="270" spans="1:11" ht="15">
      <c r="A270" s="8" t="s">
        <v>130</v>
      </c>
      <c r="B270" s="11">
        <f>VLOOKUP(Vlookup!B240,'CDCM Forecast Data'!$A$14:$I$271,5,FALSE)</f>
        <v>2.1180943708626887E-2</v>
      </c>
      <c r="C270" s="11">
        <f>VLOOKUP(Vlookup!C240,'CDCM Forecast Data'!$A$14:$I$271,5,FALSE)</f>
        <v>0.17461755756654385</v>
      </c>
      <c r="D270" s="11">
        <f>VLOOKUP(Vlookup!D240,'CDCM Forecast Data'!$A$14:$I$271,5,FALSE)</f>
        <v>0.80420149872482938</v>
      </c>
      <c r="E270" s="7" t="s">
        <v>262</v>
      </c>
      <c r="F270"/>
      <c r="G270"/>
      <c r="H270"/>
      <c r="I270"/>
      <c r="J270"/>
      <c r="K270"/>
    </row>
    <row r="271" spans="1:11" ht="15">
      <c r="A271" s="8" t="s">
        <v>96</v>
      </c>
      <c r="B271" s="11">
        <f>VLOOKUP(Vlookup!B241,'CDCM Forecast Data'!$A$14:$I$271,5,FALSE)</f>
        <v>0.13675751648464302</v>
      </c>
      <c r="C271" s="11">
        <f>VLOOKUP(Vlookup!C241,'CDCM Forecast Data'!$A$14:$I$271,5,FALSE)</f>
        <v>0.52643299691979983</v>
      </c>
      <c r="D271" s="11">
        <f>VLOOKUP(Vlookup!D241,'CDCM Forecast Data'!$A$14:$I$271,5,FALSE)</f>
        <v>0.33680948659555715</v>
      </c>
      <c r="E271" s="7" t="s">
        <v>262</v>
      </c>
      <c r="F271"/>
      <c r="G271"/>
      <c r="H271"/>
      <c r="I271"/>
      <c r="J271"/>
      <c r="K271"/>
    </row>
    <row r="272" spans="1:11" ht="15">
      <c r="A272" s="8" t="s">
        <v>97</v>
      </c>
      <c r="B272" s="11">
        <f>VLOOKUP(Vlookup!B242,'CDCM Forecast Data'!$A$14:$I$271,5,FALSE)</f>
        <v>0.13246682554357336</v>
      </c>
      <c r="C272" s="11">
        <f>VLOOKUP(Vlookup!C242,'CDCM Forecast Data'!$A$14:$I$271,5,FALSE)</f>
        <v>0.5419021330055962</v>
      </c>
      <c r="D272" s="11">
        <f>VLOOKUP(Vlookup!D242,'CDCM Forecast Data'!$A$14:$I$271,5,FALSE)</f>
        <v>0.32563104145083038</v>
      </c>
      <c r="E272" s="7" t="s">
        <v>262</v>
      </c>
      <c r="F272"/>
      <c r="G272"/>
      <c r="H272"/>
      <c r="I272"/>
      <c r="J272"/>
      <c r="K272"/>
    </row>
    <row r="273" spans="1:11" ht="15">
      <c r="A273" s="8" t="s">
        <v>110</v>
      </c>
      <c r="B273" s="11">
        <f>VLOOKUP(Vlookup!B243,'CDCM Forecast Data'!$A$14:$I$271,5,FALSE)</f>
        <v>0.13067404581003325</v>
      </c>
      <c r="C273" s="11">
        <f>VLOOKUP(Vlookup!C243,'CDCM Forecast Data'!$A$14:$I$271,5,FALSE)</f>
        <v>0.55375454532068635</v>
      </c>
      <c r="D273" s="11">
        <f>VLOOKUP(Vlookup!D243,'CDCM Forecast Data'!$A$14:$I$271,5,FALSE)</f>
        <v>0.31557140886928042</v>
      </c>
      <c r="E273" s="7" t="s">
        <v>262</v>
      </c>
      <c r="F273"/>
      <c r="G273"/>
      <c r="H273"/>
      <c r="I273"/>
      <c r="J273"/>
      <c r="K273"/>
    </row>
    <row r="274" spans="1:11" ht="15">
      <c r="A274"/>
      <c r="B274"/>
      <c r="C274"/>
      <c r="D274"/>
      <c r="E274"/>
      <c r="F274"/>
      <c r="G274"/>
      <c r="H274"/>
      <c r="I274"/>
      <c r="J274"/>
      <c r="K274"/>
    </row>
    <row r="275" spans="1:11" ht="19.5">
      <c r="A275" s="1" t="s">
        <v>236</v>
      </c>
      <c r="B275"/>
      <c r="C275"/>
      <c r="D275"/>
      <c r="E275"/>
      <c r="F275"/>
      <c r="G275"/>
      <c r="H275"/>
      <c r="I275"/>
      <c r="J275"/>
      <c r="K275"/>
    </row>
    <row r="276" spans="1:11" ht="15">
      <c r="A276"/>
      <c r="B276"/>
      <c r="C276"/>
      <c r="D276"/>
      <c r="E276"/>
      <c r="F276"/>
      <c r="G276"/>
      <c r="H276"/>
      <c r="I276"/>
      <c r="J276"/>
      <c r="K276"/>
    </row>
    <row r="277" spans="1:11" ht="15">
      <c r="A277"/>
      <c r="B277" s="3" t="s">
        <v>233</v>
      </c>
      <c r="C277" s="3" t="s">
        <v>234</v>
      </c>
      <c r="D277" s="3" t="s">
        <v>235</v>
      </c>
      <c r="E277"/>
      <c r="F277"/>
      <c r="G277"/>
      <c r="H277"/>
      <c r="I277"/>
      <c r="J277"/>
      <c r="K277"/>
    </row>
    <row r="278" spans="1:11" ht="15">
      <c r="A278" s="8" t="s">
        <v>93</v>
      </c>
      <c r="B278" s="11">
        <f>VLOOKUP(Vlookup!B251,'CDCM Forecast Data'!$A$14:$I$271,8,FALSE)</f>
        <v>0</v>
      </c>
      <c r="C278" s="11">
        <f>VLOOKUP(Vlookup!C251,'CDCM Forecast Data'!$A$14:$I$271,8,FALSE)</f>
        <v>0</v>
      </c>
      <c r="D278" s="11">
        <f>VLOOKUP(Vlookup!D251,'CDCM Forecast Data'!$A$14:$I$271,8,FALSE)</f>
        <v>1</v>
      </c>
      <c r="E278" s="7" t="s">
        <v>262</v>
      </c>
      <c r="F278"/>
      <c r="G278"/>
      <c r="H278"/>
      <c r="I278"/>
      <c r="J278"/>
      <c r="K278"/>
    </row>
    <row r="279" spans="1:11" ht="15">
      <c r="A279" s="8" t="s">
        <v>95</v>
      </c>
      <c r="B279" s="11">
        <f>VLOOKUP(Vlookup!B252,'CDCM Forecast Data'!$A$14:$I$271,8,FALSE)</f>
        <v>0</v>
      </c>
      <c r="C279" s="11">
        <f>VLOOKUP(Vlookup!C252,'CDCM Forecast Data'!$A$14:$I$271,8,FALSE)</f>
        <v>0</v>
      </c>
      <c r="D279" s="11">
        <f>VLOOKUP(Vlookup!D252,'CDCM Forecast Data'!$A$14:$I$271,8,FALSE)</f>
        <v>1</v>
      </c>
      <c r="E279" s="7" t="s">
        <v>262</v>
      </c>
      <c r="F279"/>
      <c r="G279"/>
      <c r="H279"/>
      <c r="I279"/>
      <c r="J279"/>
      <c r="K279"/>
    </row>
    <row r="280" spans="1:11" ht="15">
      <c r="A280" s="8" t="s">
        <v>96</v>
      </c>
      <c r="B280" s="11">
        <f>VLOOKUP(Vlookup!B253,'CDCM Forecast Data'!$A$14:$I$271,8,FALSE)</f>
        <v>0</v>
      </c>
      <c r="C280" s="11">
        <f>VLOOKUP(Vlookup!C253,'CDCM Forecast Data'!$A$14:$I$271,8,FALSE)</f>
        <v>0</v>
      </c>
      <c r="D280" s="11">
        <f>VLOOKUP(Vlookup!D253,'CDCM Forecast Data'!$A$14:$I$271,8,FALSE)</f>
        <v>1</v>
      </c>
      <c r="E280" s="7" t="s">
        <v>262</v>
      </c>
      <c r="F280"/>
      <c r="G280"/>
      <c r="H280"/>
      <c r="I280"/>
      <c r="J280"/>
      <c r="K280"/>
    </row>
    <row r="281" spans="1:11" ht="15">
      <c r="A281" s="8" t="s">
        <v>97</v>
      </c>
      <c r="B281" s="11">
        <f>VLOOKUP(Vlookup!B254,'CDCM Forecast Data'!$A$14:$I$271,8,FALSE)</f>
        <v>0</v>
      </c>
      <c r="C281" s="11">
        <f>VLOOKUP(Vlookup!C254,'CDCM Forecast Data'!$A$14:$I$271,8,FALSE)</f>
        <v>0</v>
      </c>
      <c r="D281" s="11">
        <f>VLOOKUP(Vlookup!D254,'CDCM Forecast Data'!$A$14:$I$271,8,FALSE)</f>
        <v>1</v>
      </c>
      <c r="E281" s="7" t="s">
        <v>262</v>
      </c>
      <c r="F281"/>
      <c r="G281"/>
      <c r="H281"/>
      <c r="I281"/>
      <c r="J281"/>
      <c r="K281"/>
    </row>
    <row r="282" spans="1:11" ht="15">
      <c r="A282" s="8" t="s">
        <v>110</v>
      </c>
      <c r="B282" s="11">
        <f>VLOOKUP(Vlookup!B255,'CDCM Forecast Data'!$A$14:$I$271,8,FALSE)</f>
        <v>0</v>
      </c>
      <c r="C282" s="11">
        <f>VLOOKUP(Vlookup!C255,'CDCM Forecast Data'!$A$14:$I$271,8,FALSE)</f>
        <v>0</v>
      </c>
      <c r="D282" s="11">
        <f>VLOOKUP(Vlookup!D255,'CDCM Forecast Data'!$A$14:$I$271,8,FALSE)</f>
        <v>1</v>
      </c>
      <c r="E282" s="7" t="s">
        <v>262</v>
      </c>
      <c r="F282"/>
      <c r="G282"/>
      <c r="H282"/>
      <c r="I282"/>
      <c r="J282"/>
      <c r="K282"/>
    </row>
    <row r="283" spans="1:11" ht="15">
      <c r="A283"/>
      <c r="B283"/>
      <c r="C283"/>
      <c r="D283"/>
      <c r="E283"/>
      <c r="F283"/>
      <c r="G283"/>
      <c r="H283"/>
      <c r="I283"/>
      <c r="J283"/>
      <c r="K283"/>
    </row>
    <row r="284" spans="1:11" ht="19.5">
      <c r="A284" s="1" t="s">
        <v>237</v>
      </c>
      <c r="B284"/>
      <c r="C284"/>
      <c r="D284"/>
      <c r="E284"/>
      <c r="F284"/>
      <c r="G284"/>
      <c r="H284"/>
      <c r="I284"/>
      <c r="J284"/>
      <c r="K284"/>
    </row>
    <row r="285" spans="1:11" ht="15">
      <c r="A285"/>
      <c r="B285"/>
      <c r="C285"/>
      <c r="D285"/>
      <c r="E285"/>
      <c r="F285"/>
      <c r="G285"/>
      <c r="H285"/>
      <c r="I285"/>
      <c r="J285"/>
      <c r="K285"/>
    </row>
    <row r="286" spans="1:11" ht="15">
      <c r="A286"/>
      <c r="B286" s="3" t="s">
        <v>233</v>
      </c>
      <c r="C286" s="3" t="s">
        <v>234</v>
      </c>
      <c r="D286" s="3" t="s">
        <v>235</v>
      </c>
      <c r="E286" t="s">
        <v>262</v>
      </c>
      <c r="F286"/>
      <c r="G286"/>
      <c r="H286"/>
      <c r="I286"/>
      <c r="J286"/>
      <c r="K286"/>
    </row>
    <row r="287" spans="1:11" ht="15">
      <c r="A287" s="8" t="s">
        <v>131</v>
      </c>
      <c r="B287" s="11">
        <f>VLOOKUP(Vlookup!B260,'CDCM Forecast Data'!$A$14:$I$271,8,FALSE)</f>
        <v>2.9337899543378995E-2</v>
      </c>
      <c r="C287" s="11">
        <f>VLOOKUP(Vlookup!C260,'CDCM Forecast Data'!$A$14:$I$271,8,FALSE)</f>
        <v>0.37237442922374431</v>
      </c>
      <c r="D287" s="11">
        <f>VLOOKUP(Vlookup!D260,'CDCM Forecast Data'!$A$14:$I$271,8,FALSE)</f>
        <v>0.59828767123287674</v>
      </c>
      <c r="E287" s="7" t="s">
        <v>262</v>
      </c>
      <c r="F287"/>
      <c r="G287"/>
      <c r="H287"/>
      <c r="I287"/>
      <c r="J287"/>
      <c r="K287"/>
    </row>
    <row r="288" spans="1:11" ht="15">
      <c r="A288" s="8" t="s">
        <v>132</v>
      </c>
      <c r="B288" s="11">
        <f>VLOOKUP(Vlookup!B261,'CDCM Forecast Data'!$A$14:$I$271,8,FALSE)</f>
        <v>4.891355254087474E-2</v>
      </c>
      <c r="C288" s="11">
        <f>VLOOKUP(Vlookup!C261,'CDCM Forecast Data'!$A$14:$I$271,8,FALSE)</f>
        <v>8.8639017251141775E-2</v>
      </c>
      <c r="D288" s="11">
        <f>VLOOKUP(Vlookup!D261,'CDCM Forecast Data'!$A$14:$I$271,8,FALSE)</f>
        <v>0.86244743020798342</v>
      </c>
      <c r="E288" s="7" t="s">
        <v>262</v>
      </c>
      <c r="F288"/>
      <c r="G288"/>
      <c r="H288"/>
      <c r="I288"/>
      <c r="J288"/>
      <c r="K288"/>
    </row>
    <row r="289" spans="1:11" ht="15">
      <c r="A289" s="8" t="s">
        <v>133</v>
      </c>
      <c r="B289" s="11">
        <f>VLOOKUP(Vlookup!B262,'CDCM Forecast Data'!$A$14:$I$271,8,FALSE)</f>
        <v>8.9373751938750981E-2</v>
      </c>
      <c r="C289" s="11">
        <f>VLOOKUP(Vlookup!C262,'CDCM Forecast Data'!$A$14:$I$271,8,FALSE)</f>
        <v>0.1511733177646977</v>
      </c>
      <c r="D289" s="11">
        <f>VLOOKUP(Vlookup!D262,'CDCM Forecast Data'!$A$14:$I$271,8,FALSE)</f>
        <v>0.75945293029655137</v>
      </c>
      <c r="E289" s="7" t="s">
        <v>262</v>
      </c>
      <c r="F289"/>
      <c r="G289"/>
      <c r="H289"/>
      <c r="I289"/>
      <c r="J289"/>
      <c r="K289"/>
    </row>
    <row r="290" spans="1:11" ht="15">
      <c r="A290" s="8" t="s">
        <v>134</v>
      </c>
      <c r="B290" s="11">
        <f>VLOOKUP(Vlookup!B263,'CDCM Forecast Data'!$A$14:$I$271,8,FALSE)</f>
        <v>9.8662176030754195E-3</v>
      </c>
      <c r="C290" s="11">
        <f>VLOOKUP(Vlookup!C263,'CDCM Forecast Data'!$A$14:$I$271,8,FALSE)</f>
        <v>0.63526803788016351</v>
      </c>
      <c r="D290" s="11">
        <f>VLOOKUP(Vlookup!D263,'CDCM Forecast Data'!$A$14:$I$271,8,FALSE)</f>
        <v>0.35486574451676106</v>
      </c>
      <c r="E290" s="7" t="s">
        <v>262</v>
      </c>
      <c r="F290"/>
      <c r="G290"/>
      <c r="H290"/>
      <c r="I290"/>
      <c r="J290"/>
      <c r="K290"/>
    </row>
    <row r="291" spans="1:11" ht="15">
      <c r="A291"/>
      <c r="B291"/>
      <c r="C291"/>
      <c r="D291"/>
      <c r="E291"/>
      <c r="F291"/>
      <c r="G291"/>
      <c r="H291"/>
      <c r="I291"/>
      <c r="J291"/>
      <c r="K291"/>
    </row>
    <row r="292" spans="1:11" ht="19.5">
      <c r="A292" s="1" t="s">
        <v>240</v>
      </c>
      <c r="B292"/>
      <c r="C292"/>
      <c r="D292"/>
      <c r="E292"/>
      <c r="F292"/>
      <c r="G292"/>
      <c r="H292"/>
      <c r="I292"/>
      <c r="J292"/>
      <c r="K292"/>
    </row>
    <row r="293" spans="1:11" ht="15">
      <c r="A293" s="2" t="s">
        <v>241</v>
      </c>
      <c r="B293"/>
      <c r="C293"/>
      <c r="D293"/>
      <c r="E293"/>
      <c r="F293"/>
      <c r="G293"/>
      <c r="H293"/>
      <c r="I293"/>
      <c r="J293"/>
      <c r="K293"/>
    </row>
    <row r="294" spans="1:11" ht="15">
      <c r="A294" s="2" t="s">
        <v>242</v>
      </c>
      <c r="B294"/>
      <c r="C294"/>
      <c r="D294"/>
      <c r="E294"/>
      <c r="F294"/>
      <c r="G294"/>
      <c r="H294"/>
      <c r="I294"/>
      <c r="J294"/>
      <c r="K294"/>
    </row>
    <row r="295" spans="1:11" ht="15">
      <c r="A295"/>
      <c r="B295"/>
      <c r="C295"/>
      <c r="D295"/>
      <c r="E295"/>
      <c r="F295"/>
      <c r="G295"/>
      <c r="H295"/>
      <c r="I295"/>
      <c r="J295"/>
      <c r="K295"/>
    </row>
    <row r="296" spans="1:11" ht="15">
      <c r="A296"/>
      <c r="B296" s="3" t="s">
        <v>233</v>
      </c>
      <c r="C296" s="3" t="s">
        <v>234</v>
      </c>
      <c r="D296" s="3" t="s">
        <v>235</v>
      </c>
      <c r="E296"/>
      <c r="F296"/>
      <c r="G296"/>
      <c r="H296"/>
      <c r="I296"/>
      <c r="J296"/>
      <c r="K296"/>
    </row>
    <row r="297" spans="1:11" ht="15">
      <c r="A297" s="8" t="s">
        <v>243</v>
      </c>
      <c r="B297" s="14">
        <f>VLOOKUP(Vlookup!B270,'CDCM Forecast Data'!$A$14:$I$271,8,FALSE)</f>
        <v>255</v>
      </c>
      <c r="C297" s="14">
        <f>VLOOKUP(Vlookup!C270,'CDCM Forecast Data'!$A$14:$I$271,8,FALSE)</f>
        <v>3268.5</v>
      </c>
      <c r="D297" s="14">
        <f>VLOOKUP(Vlookup!D270,'CDCM Forecast Data'!$A$14:$I$271,8,FALSE)</f>
        <v>5236.5</v>
      </c>
      <c r="E297" s="7" t="s">
        <v>262</v>
      </c>
      <c r="F297"/>
      <c r="G297"/>
      <c r="H297"/>
      <c r="I297"/>
      <c r="J297"/>
      <c r="K297"/>
    </row>
    <row r="298" spans="1:11" ht="15">
      <c r="A298"/>
      <c r="B298"/>
      <c r="C298"/>
      <c r="D298"/>
      <c r="E298"/>
      <c r="F298"/>
      <c r="G298"/>
      <c r="H298"/>
      <c r="I298"/>
      <c r="J298"/>
      <c r="K298"/>
    </row>
    <row r="299" spans="1:11" ht="19.5">
      <c r="A299" s="1" t="s">
        <v>244</v>
      </c>
      <c r="B299"/>
      <c r="C299"/>
      <c r="D299"/>
      <c r="E299"/>
      <c r="F299"/>
      <c r="G299"/>
      <c r="H299"/>
      <c r="I299"/>
      <c r="J299"/>
      <c r="K299"/>
    </row>
    <row r="300" spans="1:11" ht="15">
      <c r="A300" s="2"/>
      <c r="B300"/>
      <c r="C300"/>
      <c r="D300"/>
      <c r="E300"/>
      <c r="F300"/>
      <c r="G300"/>
      <c r="H300"/>
      <c r="I300"/>
      <c r="J300"/>
      <c r="K300"/>
    </row>
    <row r="301" spans="1:11" ht="15">
      <c r="A301" s="2" t="s">
        <v>241</v>
      </c>
      <c r="B301"/>
      <c r="C301"/>
      <c r="D301"/>
      <c r="E301"/>
      <c r="F301"/>
      <c r="G301"/>
      <c r="H301"/>
      <c r="I301"/>
      <c r="J301"/>
      <c r="K301"/>
    </row>
    <row r="302" spans="1:11" ht="15">
      <c r="A302" t="s">
        <v>242</v>
      </c>
      <c r="B302"/>
      <c r="C302"/>
      <c r="D302"/>
      <c r="E302"/>
      <c r="F302"/>
      <c r="G302"/>
      <c r="H302"/>
      <c r="I302"/>
      <c r="J302"/>
      <c r="K302"/>
    </row>
    <row r="303" spans="1:11" ht="15">
      <c r="A303"/>
      <c r="B303" s="3" t="s">
        <v>233</v>
      </c>
      <c r="C303" s="3" t="s">
        <v>234</v>
      </c>
      <c r="D303" s="3" t="s">
        <v>235</v>
      </c>
      <c r="E303"/>
      <c r="F303"/>
      <c r="G303"/>
      <c r="H303"/>
      <c r="I303"/>
      <c r="J303"/>
      <c r="K303"/>
    </row>
    <row r="304" spans="1:11" ht="15">
      <c r="A304" s="8" t="s">
        <v>243</v>
      </c>
      <c r="B304" s="14">
        <f>VLOOKUP(Vlookup!B277,'CDCM Forecast Data'!$A$14:$I$271,8,FALSE)</f>
        <v>783</v>
      </c>
      <c r="C304" s="14">
        <f>VLOOKUP(Vlookup!C277,'CDCM Forecast Data'!$A$14:$I$271,8,FALSE)</f>
        <v>2740.5</v>
      </c>
      <c r="D304" s="14">
        <f>VLOOKUP(Vlookup!D277,'CDCM Forecast Data'!$A$14:$I$271,8,FALSE)</f>
        <v>5236.5</v>
      </c>
      <c r="E304" s="7" t="s">
        <v>262</v>
      </c>
      <c r="F304"/>
      <c r="G304"/>
      <c r="H304"/>
      <c r="I304"/>
      <c r="J304"/>
      <c r="K304"/>
    </row>
    <row r="305" spans="1:11" ht="15">
      <c r="A305"/>
      <c r="B305"/>
      <c r="C305"/>
      <c r="D305"/>
      <c r="E305"/>
      <c r="F305"/>
      <c r="G305"/>
      <c r="H305"/>
      <c r="I305"/>
      <c r="J305"/>
      <c r="K305"/>
    </row>
    <row r="306" spans="1:11" ht="19.5">
      <c r="A306" s="1" t="s">
        <v>245</v>
      </c>
      <c r="B306"/>
      <c r="C306"/>
      <c r="D306"/>
      <c r="E306"/>
      <c r="F306"/>
      <c r="G306"/>
      <c r="H306"/>
      <c r="I306"/>
      <c r="J306"/>
      <c r="K306"/>
    </row>
    <row r="307" spans="1:11" ht="15">
      <c r="A307" s="2"/>
      <c r="B307"/>
      <c r="C307"/>
      <c r="D307"/>
      <c r="E307"/>
      <c r="F307"/>
      <c r="G307"/>
      <c r="H307"/>
      <c r="I307"/>
      <c r="J307"/>
      <c r="K307"/>
    </row>
    <row r="308" spans="1:11" ht="15">
      <c r="A308"/>
      <c r="B308"/>
      <c r="C308"/>
      <c r="D308"/>
      <c r="E308"/>
      <c r="F308"/>
      <c r="G308"/>
      <c r="H308"/>
      <c r="I308"/>
      <c r="J308"/>
      <c r="K308"/>
    </row>
    <row r="309" spans="1:11" ht="15">
      <c r="A309" t="s">
        <v>246</v>
      </c>
      <c r="B309" s="15"/>
      <c r="C309" s="15"/>
      <c r="D309" s="15"/>
      <c r="E309"/>
      <c r="F309"/>
      <c r="G309"/>
      <c r="H309"/>
      <c r="I309"/>
      <c r="J309"/>
      <c r="K309"/>
    </row>
    <row r="310" spans="1:11" ht="15">
      <c r="A310"/>
      <c r="B310" s="3" t="s">
        <v>233</v>
      </c>
      <c r="C310" s="3" t="s">
        <v>234</v>
      </c>
      <c r="D310" s="3" t="s">
        <v>235</v>
      </c>
      <c r="E310" s="3" t="s">
        <v>238</v>
      </c>
      <c r="F310"/>
      <c r="G310"/>
      <c r="H310"/>
      <c r="I310"/>
      <c r="J310"/>
      <c r="K310"/>
    </row>
    <row r="311" spans="1:11" ht="15">
      <c r="A311" s="8" t="s">
        <v>60</v>
      </c>
      <c r="B311" s="11">
        <f>VLOOKUP(Vlookup!B283,'CDCM Forecast Data'!$A$14:$I$271,8,FALSE)</f>
        <v>0.85470794540392048</v>
      </c>
      <c r="C311" s="11">
        <f>VLOOKUP(Vlookup!C283,'CDCM Forecast Data'!$A$14:$I$271,8,FALSE)</f>
        <v>0.14529205459607944</v>
      </c>
      <c r="D311" s="11">
        <f>VLOOKUP(Vlookup!D283,'CDCM Forecast Data'!$A$14:$I$271,8,FALSE)</f>
        <v>0</v>
      </c>
      <c r="E311" s="11">
        <f>VLOOKUP(Vlookup!E283,'CDCM Forecast Data'!$A$14:$I$271,8,FALSE)</f>
        <v>0.84810150959791342</v>
      </c>
      <c r="F311" s="7" t="s">
        <v>262</v>
      </c>
      <c r="G311"/>
      <c r="H311"/>
      <c r="I311"/>
      <c r="J311"/>
      <c r="K311"/>
    </row>
    <row r="312" spans="1:11" ht="15">
      <c r="A312" s="8" t="s">
        <v>61</v>
      </c>
      <c r="B312" s="11">
        <f>VLOOKUP(Vlookup!B284,'CDCM Forecast Data'!$A$14:$I$271,8,FALSE)</f>
        <v>0.73347807576361312</v>
      </c>
      <c r="C312" s="11">
        <f>VLOOKUP(Vlookup!C284,'CDCM Forecast Data'!$A$14:$I$271,8,FALSE)</f>
        <v>0.23785008473510372</v>
      </c>
      <c r="D312" s="11">
        <f>VLOOKUP(Vlookup!D284,'CDCM Forecast Data'!$A$14:$I$271,8,FALSE)</f>
        <v>2.8671839501283092E-2</v>
      </c>
      <c r="E312" s="11">
        <f>VLOOKUP(Vlookup!E284,'CDCM Forecast Data'!$A$14:$I$271,8,FALSE)</f>
        <v>0.72115228218186689</v>
      </c>
      <c r="F312" s="7" t="s">
        <v>262</v>
      </c>
      <c r="G312"/>
      <c r="H312"/>
      <c r="I312"/>
      <c r="J312"/>
      <c r="K312"/>
    </row>
    <row r="313" spans="1:11" ht="15">
      <c r="A313" s="8" t="s">
        <v>62</v>
      </c>
      <c r="B313" s="11">
        <f>VLOOKUP(Vlookup!B285,'CDCM Forecast Data'!$A$14:$I$271,8,FALSE)</f>
        <v>0.73347807576361312</v>
      </c>
      <c r="C313" s="11">
        <f>VLOOKUP(Vlookup!C285,'CDCM Forecast Data'!$A$14:$I$271,8,FALSE)</f>
        <v>0.23785008473510372</v>
      </c>
      <c r="D313" s="11">
        <f>VLOOKUP(Vlookup!D285,'CDCM Forecast Data'!$A$14:$I$271,8,FALSE)</f>
        <v>2.8671839501283092E-2</v>
      </c>
      <c r="E313" s="11">
        <f>VLOOKUP(Vlookup!E285,'CDCM Forecast Data'!$A$14:$I$271,8,FALSE)</f>
        <v>0.72115228218186689</v>
      </c>
      <c r="F313" s="7" t="s">
        <v>262</v>
      </c>
      <c r="G313"/>
      <c r="H313"/>
      <c r="I313"/>
      <c r="J313"/>
      <c r="K313"/>
    </row>
    <row r="314" spans="1:11" ht="15">
      <c r="A314" s="8" t="s">
        <v>63</v>
      </c>
      <c r="B314" s="11">
        <f>VLOOKUP(Vlookup!B286,'CDCM Forecast Data'!$A$14:$I$271,8,FALSE)</f>
        <v>0.74849318073591797</v>
      </c>
      <c r="C314" s="11">
        <f>VLOOKUP(Vlookup!C286,'CDCM Forecast Data'!$A$14:$I$271,8,FALSE)</f>
        <v>0.18814792948012682</v>
      </c>
      <c r="D314" s="11">
        <f>VLOOKUP(Vlookup!D286,'CDCM Forecast Data'!$A$14:$I$271,8,FALSE)</f>
        <v>6.3358889783955152E-2</v>
      </c>
      <c r="E314" s="11">
        <f>VLOOKUP(Vlookup!E286,'CDCM Forecast Data'!$A$14:$I$271,8,FALSE)</f>
        <v>0.7448691829953189</v>
      </c>
      <c r="F314" s="7" t="s">
        <v>262</v>
      </c>
      <c r="G314"/>
      <c r="H314"/>
      <c r="I314"/>
      <c r="J314"/>
      <c r="K314"/>
    </row>
    <row r="315" spans="1:11" ht="15">
      <c r="A315" s="8" t="s">
        <v>64</v>
      </c>
      <c r="B315" s="11">
        <f>VLOOKUP(Vlookup!B287,'CDCM Forecast Data'!$A$14:$I$271,8,FALSE)</f>
        <v>0.74849318073591797</v>
      </c>
      <c r="C315" s="11">
        <f>VLOOKUP(Vlookup!C287,'CDCM Forecast Data'!$A$14:$I$271,8,FALSE)</f>
        <v>0.18814792948012682</v>
      </c>
      <c r="D315" s="11">
        <f>VLOOKUP(Vlookup!D287,'CDCM Forecast Data'!$A$14:$I$271,8,FALSE)</f>
        <v>6.3358889783955152E-2</v>
      </c>
      <c r="E315" s="11">
        <f>VLOOKUP(Vlookup!E287,'CDCM Forecast Data'!$A$14:$I$271,8,FALSE)</f>
        <v>0.7448691829953189</v>
      </c>
      <c r="F315" s="7" t="s">
        <v>262</v>
      </c>
      <c r="G315"/>
      <c r="H315"/>
      <c r="I315"/>
      <c r="J315"/>
      <c r="K315"/>
    </row>
    <row r="316" spans="1:11" ht="15">
      <c r="A316" s="8" t="s">
        <v>69</v>
      </c>
      <c r="B316" s="11">
        <f>VLOOKUP(Vlookup!B288,'CDCM Forecast Data'!$A$14:$I$271,8,FALSE)</f>
        <v>0.73347807576361312</v>
      </c>
      <c r="C316" s="11">
        <f>VLOOKUP(Vlookup!C288,'CDCM Forecast Data'!$A$14:$I$271,8,FALSE)</f>
        <v>0.23785008473510372</v>
      </c>
      <c r="D316" s="11">
        <f>VLOOKUP(Vlookup!D288,'CDCM Forecast Data'!$A$14:$I$271,8,FALSE)</f>
        <v>2.8671839501283092E-2</v>
      </c>
      <c r="E316" s="11">
        <f>VLOOKUP(Vlookup!E288,'CDCM Forecast Data'!$A$14:$I$271,8,FALSE)</f>
        <v>0.72115228218186689</v>
      </c>
      <c r="F316" s="7" t="s">
        <v>262</v>
      </c>
      <c r="G316"/>
      <c r="H316"/>
      <c r="I316"/>
      <c r="J316"/>
      <c r="K316"/>
    </row>
    <row r="317" spans="1:11" ht="15">
      <c r="A317" s="8" t="s">
        <v>65</v>
      </c>
      <c r="B317" s="11">
        <f>VLOOKUP(Vlookup!B289,'CDCM Forecast Data'!$A$14:$I$271,8,FALSE)</f>
        <v>0.74849318073591797</v>
      </c>
      <c r="C317" s="11">
        <f>VLOOKUP(Vlookup!C289,'CDCM Forecast Data'!$A$14:$I$271,8,FALSE)</f>
        <v>0.18814792948012682</v>
      </c>
      <c r="D317" s="11">
        <f>VLOOKUP(Vlookup!D289,'CDCM Forecast Data'!$A$14:$I$271,8,FALSE)</f>
        <v>6.3358889783955152E-2</v>
      </c>
      <c r="E317" s="11">
        <f>VLOOKUP(Vlookup!E289,'CDCM Forecast Data'!$A$14:$I$271,8,FALSE)</f>
        <v>0.7448691829953189</v>
      </c>
      <c r="F317" s="7" t="s">
        <v>262</v>
      </c>
      <c r="G317"/>
      <c r="H317"/>
      <c r="I317"/>
      <c r="J317"/>
      <c r="K317"/>
    </row>
    <row r="318" spans="1:11" ht="15">
      <c r="A318" s="8" t="s">
        <v>66</v>
      </c>
      <c r="B318" s="11">
        <f>VLOOKUP(Vlookup!B290,'CDCM Forecast Data'!$A$14:$I$271,8,FALSE)</f>
        <v>0.74849318073591797</v>
      </c>
      <c r="C318" s="11">
        <f>VLOOKUP(Vlookup!C290,'CDCM Forecast Data'!$A$14:$I$271,8,FALSE)</f>
        <v>0.18814792948012682</v>
      </c>
      <c r="D318" s="11">
        <f>VLOOKUP(Vlookup!D290,'CDCM Forecast Data'!$A$14:$I$271,8,FALSE)</f>
        <v>6.3358889783955152E-2</v>
      </c>
      <c r="E318" s="11">
        <f>VLOOKUP(Vlookup!E290,'CDCM Forecast Data'!$A$14:$I$271,8,FALSE)</f>
        <v>0.7448691829953189</v>
      </c>
      <c r="F318" s="7" t="s">
        <v>262</v>
      </c>
      <c r="G318"/>
      <c r="H318"/>
      <c r="I318"/>
      <c r="J318"/>
      <c r="K318"/>
    </row>
    <row r="319" spans="1:11" ht="15">
      <c r="A319" s="8" t="s">
        <v>67</v>
      </c>
      <c r="B319" s="11">
        <f>VLOOKUP(Vlookup!B291,'CDCM Forecast Data'!$A$14:$I$271,8,FALSE)</f>
        <v>0.74849318073591797</v>
      </c>
      <c r="C319" s="11">
        <f>VLOOKUP(Vlookup!C291,'CDCM Forecast Data'!$A$14:$I$271,8,FALSE)</f>
        <v>0.18814792948012682</v>
      </c>
      <c r="D319" s="11">
        <f>VLOOKUP(Vlookup!D291,'CDCM Forecast Data'!$A$14:$I$271,8,FALSE)</f>
        <v>6.3358889783955152E-2</v>
      </c>
      <c r="E319" s="11">
        <f>VLOOKUP(Vlookup!E291,'CDCM Forecast Data'!$A$14:$I$271,8,FALSE)</f>
        <v>0.7448691829953189</v>
      </c>
      <c r="F319" s="7" t="s">
        <v>262</v>
      </c>
      <c r="G319"/>
      <c r="H319"/>
      <c r="I319"/>
      <c r="J319"/>
      <c r="K319"/>
    </row>
    <row r="320" spans="1:11" ht="15">
      <c r="A320"/>
      <c r="B320"/>
      <c r="C320"/>
      <c r="D320"/>
      <c r="E320"/>
      <c r="F320"/>
      <c r="G320"/>
      <c r="H320"/>
      <c r="I320"/>
      <c r="J320"/>
      <c r="K320"/>
    </row>
    <row r="321" spans="1:11" ht="19.5">
      <c r="A321" s="1" t="s">
        <v>1524</v>
      </c>
      <c r="B321"/>
      <c r="C321"/>
      <c r="D321"/>
      <c r="E321"/>
      <c r="F321"/>
      <c r="G321"/>
      <c r="H321"/>
      <c r="I321"/>
      <c r="J321"/>
      <c r="K321"/>
    </row>
    <row r="322" spans="1:11" ht="15">
      <c r="A322" s="2" t="s">
        <v>1523</v>
      </c>
      <c r="B322"/>
      <c r="C322"/>
      <c r="D322"/>
      <c r="E322"/>
      <c r="F322"/>
      <c r="G322"/>
      <c r="H322"/>
      <c r="I322"/>
      <c r="J322"/>
      <c r="K322"/>
    </row>
    <row r="323" spans="1:11" ht="15">
      <c r="A323"/>
      <c r="B323"/>
      <c r="C323"/>
      <c r="D323"/>
      <c r="E323"/>
      <c r="F323"/>
      <c r="G323"/>
      <c r="H323"/>
      <c r="I323"/>
      <c r="J323"/>
      <c r="K323"/>
    </row>
    <row r="324" spans="1:11" ht="30">
      <c r="A324"/>
      <c r="B324" s="3" t="s">
        <v>1522</v>
      </c>
      <c r="C324"/>
      <c r="D324"/>
      <c r="E324"/>
      <c r="F324"/>
      <c r="G324"/>
      <c r="H324"/>
      <c r="I324"/>
      <c r="J324"/>
      <c r="K324"/>
    </row>
    <row r="325" spans="1:11" ht="15">
      <c r="A325" s="8" t="s">
        <v>1522</v>
      </c>
      <c r="B325" s="10">
        <f>1000000*'Table 1'!I47</f>
        <v>512385190.07736433</v>
      </c>
      <c r="C325" s="7"/>
      <c r="D325"/>
      <c r="E325"/>
      <c r="F325"/>
      <c r="G325"/>
      <c r="H325"/>
      <c r="I325"/>
      <c r="J325"/>
      <c r="K325"/>
    </row>
    <row r="326" spans="1:11" ht="15">
      <c r="A326"/>
      <c r="B326"/>
      <c r="C326"/>
      <c r="D326"/>
      <c r="E326"/>
      <c r="F326"/>
      <c r="G326"/>
      <c r="H326"/>
      <c r="I326"/>
      <c r="J326"/>
      <c r="K326"/>
    </row>
    <row r="327" spans="1:11" ht="19.5">
      <c r="A327" s="1" t="s">
        <v>248</v>
      </c>
      <c r="B327"/>
      <c r="C327"/>
      <c r="D327"/>
      <c r="E327"/>
      <c r="F327"/>
      <c r="G327"/>
      <c r="H327"/>
      <c r="I327"/>
      <c r="J327"/>
      <c r="K327"/>
    </row>
    <row r="328" spans="1:11" ht="15">
      <c r="A328" s="2" t="s">
        <v>262</v>
      </c>
      <c r="B328"/>
      <c r="C328"/>
      <c r="D328"/>
      <c r="E328"/>
      <c r="F328"/>
      <c r="G328"/>
      <c r="H328"/>
      <c r="I328"/>
      <c r="J328"/>
      <c r="K328"/>
    </row>
    <row r="329" spans="1:11" ht="15">
      <c r="A329" s="2" t="s">
        <v>249</v>
      </c>
      <c r="B329"/>
      <c r="C329"/>
      <c r="D329"/>
      <c r="E329"/>
      <c r="F329"/>
      <c r="G329"/>
      <c r="H329"/>
      <c r="I329"/>
      <c r="J329"/>
      <c r="K329"/>
    </row>
    <row r="330" spans="1:11" ht="15">
      <c r="A330" t="s">
        <v>250</v>
      </c>
      <c r="B330"/>
      <c r="C330"/>
      <c r="D330"/>
      <c r="E330"/>
      <c r="F330"/>
      <c r="G330"/>
      <c r="H330"/>
      <c r="I330"/>
      <c r="J330"/>
      <c r="K330"/>
    </row>
    <row r="331" spans="1:11" ht="15">
      <c r="A331"/>
      <c r="B331" s="3" t="s">
        <v>60</v>
      </c>
      <c r="C331" s="3" t="s">
        <v>61</v>
      </c>
      <c r="D331" s="3" t="s">
        <v>62</v>
      </c>
      <c r="E331" s="3" t="s">
        <v>63</v>
      </c>
      <c r="F331" s="3" t="s">
        <v>64</v>
      </c>
      <c r="G331" s="3" t="s">
        <v>69</v>
      </c>
      <c r="H331" s="3" t="s">
        <v>65</v>
      </c>
      <c r="I331" s="3" t="s">
        <v>66</v>
      </c>
      <c r="J331" s="3" t="s">
        <v>67</v>
      </c>
      <c r="K331"/>
    </row>
    <row r="332" spans="1:11" ht="15">
      <c r="A332" s="8" t="s">
        <v>251</v>
      </c>
      <c r="B332" s="4">
        <f>VLOOKUP(Vlookup!B298,'CDCM Forecast Data'!$A$14:$I$271,8,FALSE)</f>
        <v>0.2810621222726124</v>
      </c>
      <c r="C332" s="4">
        <f>VLOOKUP(Vlookup!C298,'CDCM Forecast Data'!$A$14:$I$271,8,FALSE)</f>
        <v>0.2810621222726124</v>
      </c>
      <c r="D332" s="4">
        <f>VLOOKUP(Vlookup!D298,'CDCM Forecast Data'!$A$14:$I$271,8,FALSE)</f>
        <v>0.2810621222726124</v>
      </c>
      <c r="E332" s="4">
        <f>VLOOKUP(Vlookup!E298,'CDCM Forecast Data'!$A$14:$I$271,8,FALSE)</f>
        <v>0.2810621222726124</v>
      </c>
      <c r="F332" s="4">
        <f>VLOOKUP(Vlookup!F298,'CDCM Forecast Data'!$A$14:$I$271,8,FALSE)</f>
        <v>0.2810621222726124</v>
      </c>
      <c r="G332" s="4">
        <f>VLOOKUP(Vlookup!G298,'CDCM Forecast Data'!$A$14:$I$271,8,FALSE)</f>
        <v>0.2810621222726124</v>
      </c>
      <c r="H332" s="4">
        <f>VLOOKUP(Vlookup!H298,'CDCM Forecast Data'!$A$14:$I$271,8,FALSE)</f>
        <v>0.2810621222726124</v>
      </c>
      <c r="I332" s="4">
        <f>VLOOKUP(Vlookup!I298,'CDCM Forecast Data'!$A$14:$I$271,8,FALSE)</f>
        <v>0.2810621222726124</v>
      </c>
      <c r="J332" s="4">
        <f>VLOOKUP(Vlookup!J298,'CDCM Forecast Data'!$A$14:$I$271,8,FALSE)</f>
        <v>0.2810621222726124</v>
      </c>
      <c r="K332" s="7" t="s">
        <v>262</v>
      </c>
    </row>
  </sheetData>
  <dataValidations count="7">
    <dataValidation type="decimal" allowBlank="1" showInputMessage="1" showErrorMessage="1" error="The number in this cell must be between 0% and 100%." sqref="B90:I90 B95:F98 B68:I83">
      <formula1>0</formula1>
      <formula2>1</formula2>
    </dataValidation>
    <dataValidation type="decimal" allowBlank="1" showInputMessage="1" showErrorMessage="1" error="The LDNO discount must be between 0% and 100%." sqref="B110">
      <formula1>0</formula1>
      <formula2>1</formula2>
    </dataValidation>
    <dataValidation type="decimal" allowBlank="1" showInputMessage="1" showErrorMessage="1" error="The coincidence factor must be between 0% and 100%." sqref="B118 B121">
      <formula1>0</formula1>
      <formula2>1</formula2>
    </dataValidation>
    <dataValidation type="textLength" operator="equal" allowBlank="1" showInputMessage="1" showErrorMessage="1" error="This cell should remain blank." sqref="B172:G172 B174:G174 B178:G178 B181:G181 B142:G142 B146:G146 B150:G150 B154:G154 B158:G158 B162:G162 B166:G166 B170:G170 B200:G200 B196:G196 B192:G192 B184:G184 B188:G188 B204:G204 B208:G208 B211:G211 B215:G215 B219:G219 B222:G222 B225:G225 B234:G234 B231:G231 B228:G228 B237:G237">
      <formula1>0</formula1>
    </dataValidation>
    <dataValidation type="decimal" allowBlank="1" showInputMessage="1" showErrorMessage="1" errorTitle="Invalid customer contribution" error="The customer contribution must be a non-negative percentage value." sqref="I258:I260 F260:G260 H259:H260">
      <formula1>0</formula1>
      <formula2>4</formula2>
    </dataValidation>
    <dataValidation type="decimal" operator="greaterThanOrEqual" allowBlank="1" showInputMessage="1" showErrorMessage="1" errorTitle="Volume data error" error="The volume must be a non-negative number." sqref="B171:G171 B167:G169 B179:G180 B182:G183 B175:G177 B143:G145 B173:G173 B147:G149 B151:G153 B155:G157 B159:G161 B163:G165 B223:G224 B189:G191 B212:G214 B197:G199 B185:G187 B201:G203 B193:G195 B205:G207 B209:G210 B216:G218 B235:G236 B220:G221 B226:G227 B232:G233 B229:G230 B238:G238">
      <formula1>0</formula1>
    </dataValidation>
    <dataValidation type="decimal" operator="greaterThanOrEqual" allowBlank="1" showInputMessage="1" showErrorMessage="1" sqref="B325">
      <formula1>0</formula1>
    </dataValidation>
  </dataValidation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K332"/>
  <sheetViews>
    <sheetView showGridLines="0" workbookViewId="0">
      <selection activeCell="A4" sqref="A4:K332"/>
    </sheetView>
  </sheetViews>
  <sheetFormatPr defaultColWidth="8.85546875" defaultRowHeight="12.75"/>
  <cols>
    <col min="1" max="1" width="50.7109375" style="26" customWidth="1"/>
    <col min="2" max="251" width="20.7109375" style="26" customWidth="1"/>
    <col min="252" max="16384" width="8.85546875" style="26"/>
  </cols>
  <sheetData>
    <row r="1" spans="1:11" ht="19.5">
      <c r="A1" s="1" t="s">
        <v>1480</v>
      </c>
      <c r="B1"/>
      <c r="C1"/>
      <c r="D1"/>
      <c r="E1"/>
      <c r="F1"/>
      <c r="G1"/>
      <c r="H1"/>
      <c r="I1"/>
      <c r="J1"/>
      <c r="K1"/>
    </row>
    <row r="2" spans="1:11" ht="15">
      <c r="A2" s="2"/>
      <c r="B2"/>
      <c r="C2"/>
      <c r="D2"/>
      <c r="E2"/>
      <c r="F2"/>
      <c r="G2"/>
      <c r="H2"/>
      <c r="I2"/>
      <c r="J2"/>
      <c r="K2"/>
    </row>
    <row r="3" spans="1:11" ht="15">
      <c r="A3"/>
      <c r="B3"/>
      <c r="C3"/>
      <c r="D3"/>
      <c r="E3"/>
      <c r="F3"/>
      <c r="G3"/>
      <c r="H3"/>
      <c r="I3"/>
      <c r="J3"/>
      <c r="K3"/>
    </row>
    <row r="4" spans="1:11" ht="19.5">
      <c r="A4" s="1" t="s">
        <v>0</v>
      </c>
      <c r="B4"/>
      <c r="C4"/>
      <c r="D4"/>
      <c r="E4"/>
      <c r="F4"/>
      <c r="G4"/>
      <c r="H4"/>
      <c r="I4"/>
      <c r="J4"/>
      <c r="K4"/>
    </row>
    <row r="5" spans="1:11" ht="15">
      <c r="A5" t="s">
        <v>262</v>
      </c>
      <c r="B5"/>
      <c r="C5"/>
      <c r="D5"/>
      <c r="E5"/>
      <c r="F5"/>
      <c r="G5"/>
      <c r="H5"/>
      <c r="I5"/>
      <c r="J5"/>
      <c r="K5"/>
    </row>
    <row r="6" spans="1:11" ht="15">
      <c r="A6"/>
      <c r="B6" s="3" t="s">
        <v>1</v>
      </c>
      <c r="C6" s="3" t="s">
        <v>2</v>
      </c>
      <c r="D6" s="3" t="s">
        <v>3</v>
      </c>
      <c r="E6"/>
      <c r="F6"/>
      <c r="G6"/>
      <c r="H6"/>
      <c r="I6"/>
      <c r="J6"/>
      <c r="K6"/>
    </row>
    <row r="7" spans="1:11" ht="15">
      <c r="A7" s="8" t="s">
        <v>4</v>
      </c>
      <c r="B7" s="9" t="str">
        <f>VLOOKUP(Vlookup!B7,'CDCM Forecast Data'!$A$14:$I$271,9,FALSE)</f>
        <v>West Mids</v>
      </c>
      <c r="C7" s="9">
        <f>VLOOKUP(Vlookup!C7,'CDCM Forecast Data'!$A$14:$I$271,9,FALSE)</f>
        <v>0</v>
      </c>
      <c r="D7" s="9" t="str">
        <f>VLOOKUP(Vlookup!D7,'CDCM Forecast Data'!$A$14:$I$271,9,FALSE)</f>
        <v>Forecast</v>
      </c>
      <c r="E7" s="7" t="s">
        <v>262</v>
      </c>
      <c r="F7"/>
      <c r="G7"/>
      <c r="H7"/>
      <c r="I7"/>
      <c r="J7"/>
      <c r="K7"/>
    </row>
    <row r="8" spans="1:11" ht="15">
      <c r="A8"/>
      <c r="B8"/>
      <c r="C8"/>
      <c r="D8"/>
      <c r="E8"/>
      <c r="F8"/>
      <c r="G8"/>
      <c r="H8"/>
      <c r="I8"/>
      <c r="J8"/>
      <c r="K8"/>
    </row>
    <row r="9" spans="1:11" ht="19.5">
      <c r="A9" s="1" t="s">
        <v>45</v>
      </c>
      <c r="B9"/>
      <c r="C9"/>
      <c r="D9"/>
      <c r="E9"/>
      <c r="F9"/>
      <c r="G9"/>
      <c r="H9"/>
      <c r="I9"/>
      <c r="J9"/>
      <c r="K9"/>
    </row>
    <row r="10" spans="1:11" ht="15">
      <c r="A10" s="2"/>
      <c r="B10"/>
      <c r="C10"/>
      <c r="D10"/>
      <c r="E10"/>
      <c r="F10"/>
      <c r="G10"/>
      <c r="H10"/>
      <c r="I10"/>
      <c r="J10"/>
      <c r="K10"/>
    </row>
    <row r="11" spans="1:11" ht="15">
      <c r="A11" s="2" t="s">
        <v>46</v>
      </c>
      <c r="B11"/>
      <c r="C11"/>
      <c r="D11"/>
      <c r="E11"/>
      <c r="F11"/>
      <c r="G11"/>
      <c r="H11"/>
      <c r="I11"/>
      <c r="J11"/>
      <c r="K11"/>
    </row>
    <row r="12" spans="1:11" ht="15">
      <c r="A12" t="s">
        <v>47</v>
      </c>
      <c r="B12"/>
      <c r="C12"/>
      <c r="D12"/>
      <c r="E12"/>
      <c r="F12"/>
      <c r="G12"/>
      <c r="H12"/>
      <c r="I12"/>
      <c r="J12"/>
      <c r="K12"/>
    </row>
    <row r="13" spans="1:11" ht="45">
      <c r="A13"/>
      <c r="B13" s="3" t="s">
        <v>48</v>
      </c>
      <c r="C13" s="3" t="s">
        <v>49</v>
      </c>
      <c r="D13" s="3" t="s">
        <v>50</v>
      </c>
      <c r="E13" s="3" t="s">
        <v>51</v>
      </c>
      <c r="F13" s="3" t="s">
        <v>1398</v>
      </c>
      <c r="G13"/>
      <c r="H13"/>
      <c r="I13"/>
      <c r="J13"/>
      <c r="K13"/>
    </row>
    <row r="14" spans="1:11" ht="15">
      <c r="A14" s="8" t="s">
        <v>52</v>
      </c>
      <c r="B14" s="11">
        <f>VLOOKUP(Vlookup!B14,'CDCM Forecast Data'!$A$14:$I$271,9,FALSE)</f>
        <v>4.3099999999999999E-2</v>
      </c>
      <c r="C14" s="10">
        <f>VLOOKUP(Vlookup!C14,'CDCM Forecast Data'!$A$14:$I$271,9,FALSE)</f>
        <v>40</v>
      </c>
      <c r="D14" s="5"/>
      <c r="E14" s="4">
        <f>VLOOKUP(Vlookup!E14,'CDCM Forecast Data'!$A$14:$I$271,9,FALSE)</f>
        <v>0.95</v>
      </c>
      <c r="F14" s="10">
        <f>VLOOKUP(Vlookup!F14,'CDCM Forecast Data'!$A$14:$I$271,9,FALSE)</f>
        <v>365</v>
      </c>
      <c r="G14" s="7" t="s">
        <v>262</v>
      </c>
      <c r="H14"/>
      <c r="I14"/>
      <c r="J14"/>
      <c r="K14"/>
    </row>
    <row r="15" spans="1:11" ht="15">
      <c r="A15"/>
      <c r="B15"/>
      <c r="C15"/>
      <c r="D15"/>
      <c r="E15"/>
      <c r="F15"/>
      <c r="G15"/>
      <c r="H15"/>
      <c r="I15"/>
      <c r="J15"/>
      <c r="K15"/>
    </row>
    <row r="16" spans="1:11" ht="19.5">
      <c r="A16" s="1" t="s">
        <v>53</v>
      </c>
      <c r="B16"/>
      <c r="C16"/>
      <c r="D16"/>
      <c r="E16"/>
      <c r="F16"/>
      <c r="G16"/>
      <c r="H16"/>
      <c r="I16"/>
      <c r="J16"/>
      <c r="K16"/>
    </row>
    <row r="17" spans="1:11" ht="15">
      <c r="A17" s="2"/>
      <c r="B17"/>
      <c r="C17"/>
      <c r="D17"/>
      <c r="E17"/>
      <c r="F17"/>
      <c r="G17"/>
      <c r="H17"/>
      <c r="I17"/>
      <c r="J17"/>
      <c r="K17"/>
    </row>
    <row r="18" spans="1:11" ht="15">
      <c r="A18" s="2" t="s">
        <v>54</v>
      </c>
      <c r="B18"/>
      <c r="C18"/>
      <c r="D18"/>
      <c r="E18"/>
      <c r="F18"/>
      <c r="G18"/>
      <c r="H18"/>
      <c r="I18"/>
      <c r="J18"/>
      <c r="K18"/>
    </row>
    <row r="19" spans="1:11" ht="15">
      <c r="A19" s="2" t="s">
        <v>55</v>
      </c>
      <c r="B19"/>
      <c r="C19"/>
      <c r="D19"/>
      <c r="E19"/>
      <c r="F19"/>
      <c r="G19"/>
      <c r="H19"/>
      <c r="I19"/>
      <c r="J19"/>
      <c r="K19"/>
    </row>
    <row r="20" spans="1:11" ht="15">
      <c r="A20" s="2" t="s">
        <v>56</v>
      </c>
      <c r="B20"/>
      <c r="C20"/>
      <c r="D20"/>
      <c r="E20"/>
      <c r="F20"/>
      <c r="G20"/>
      <c r="H20"/>
      <c r="I20"/>
      <c r="J20"/>
      <c r="K20"/>
    </row>
    <row r="21" spans="1:11" ht="15">
      <c r="A21" s="2" t="s">
        <v>57</v>
      </c>
      <c r="B21"/>
      <c r="C21"/>
      <c r="D21"/>
      <c r="E21"/>
      <c r="F21"/>
      <c r="G21"/>
      <c r="H21"/>
      <c r="I21"/>
      <c r="J21"/>
      <c r="K21"/>
    </row>
    <row r="22" spans="1:11" ht="15">
      <c r="A22" t="s">
        <v>58</v>
      </c>
      <c r="B22"/>
      <c r="C22"/>
      <c r="D22"/>
      <c r="E22"/>
      <c r="F22"/>
      <c r="G22"/>
      <c r="H22"/>
      <c r="I22"/>
      <c r="J22"/>
      <c r="K22"/>
    </row>
    <row r="23" spans="1:11" ht="60">
      <c r="A23"/>
      <c r="B23" s="3" t="s">
        <v>59</v>
      </c>
      <c r="C23"/>
      <c r="D23"/>
      <c r="E23"/>
      <c r="F23"/>
      <c r="G23"/>
      <c r="H23"/>
      <c r="I23"/>
      <c r="J23"/>
      <c r="K23"/>
    </row>
    <row r="24" spans="1:11" ht="15">
      <c r="A24" s="8" t="s">
        <v>60</v>
      </c>
      <c r="B24" s="11">
        <f>VLOOKUP(Vlookup!B24,'CDCM Forecast Data'!$A$14:$I$271,9,FALSE)</f>
        <v>5.649040831841079E-2</v>
      </c>
      <c r="C24" s="7" t="s">
        <v>262</v>
      </c>
      <c r="D24"/>
      <c r="E24"/>
      <c r="F24"/>
      <c r="G24"/>
      <c r="H24"/>
      <c r="I24"/>
      <c r="J24"/>
      <c r="K24"/>
    </row>
    <row r="25" spans="1:11" ht="15">
      <c r="A25" s="8" t="s">
        <v>61</v>
      </c>
      <c r="B25" s="11">
        <f>VLOOKUP(Vlookup!B25,'CDCM Forecast Data'!$A$14:$I$271,9,FALSE)</f>
        <v>2.5568682496299511E-2</v>
      </c>
      <c r="C25" s="7" t="s">
        <v>262</v>
      </c>
      <c r="D25"/>
      <c r="E25"/>
      <c r="F25"/>
      <c r="G25"/>
      <c r="H25"/>
      <c r="I25"/>
      <c r="J25"/>
      <c r="K25"/>
    </row>
    <row r="26" spans="1:11" ht="15">
      <c r="A26" s="8" t="s">
        <v>62</v>
      </c>
      <c r="B26" s="6"/>
      <c r="C26" s="7" t="s">
        <v>262</v>
      </c>
      <c r="D26"/>
      <c r="E26"/>
      <c r="F26"/>
      <c r="G26"/>
      <c r="H26"/>
      <c r="I26"/>
      <c r="J26"/>
      <c r="K26"/>
    </row>
    <row r="27" spans="1:11" ht="15">
      <c r="A27" s="8" t="s">
        <v>63</v>
      </c>
      <c r="B27" s="11">
        <f>VLOOKUP(Vlookup!B27,'CDCM Forecast Data'!$A$14:$I$271,9,FALSE)</f>
        <v>2.6631596666738533E-2</v>
      </c>
      <c r="C27" s="7" t="s">
        <v>262</v>
      </c>
      <c r="D27"/>
      <c r="E27"/>
      <c r="F27"/>
      <c r="G27"/>
      <c r="H27"/>
      <c r="I27"/>
      <c r="J27"/>
      <c r="K27"/>
    </row>
    <row r="28" spans="1:11" ht="15">
      <c r="A28" s="8" t="s">
        <v>64</v>
      </c>
      <c r="B28" s="6"/>
      <c r="C28" s="7" t="s">
        <v>262</v>
      </c>
      <c r="D28"/>
      <c r="E28"/>
      <c r="F28"/>
      <c r="G28"/>
      <c r="H28"/>
      <c r="I28"/>
      <c r="J28"/>
      <c r="K28"/>
    </row>
    <row r="29" spans="1:11" ht="15">
      <c r="A29" s="8" t="s">
        <v>65</v>
      </c>
      <c r="B29" s="11">
        <f>VLOOKUP(Vlookup!B29,'CDCM Forecast Data'!$A$14:$I$271,9,FALSE)</f>
        <v>0.34000000000000008</v>
      </c>
      <c r="C29" s="7" t="s">
        <v>262</v>
      </c>
      <c r="D29"/>
      <c r="E29"/>
      <c r="F29"/>
      <c r="G29"/>
      <c r="H29"/>
      <c r="I29"/>
      <c r="J29"/>
      <c r="K29"/>
    </row>
    <row r="30" spans="1:11" ht="15">
      <c r="A30" s="8" t="s">
        <v>66</v>
      </c>
      <c r="B30" s="6"/>
      <c r="C30" s="7" t="s">
        <v>262</v>
      </c>
      <c r="D30"/>
      <c r="E30"/>
      <c r="F30"/>
      <c r="G30"/>
      <c r="H30"/>
      <c r="I30"/>
      <c r="J30"/>
      <c r="K30"/>
    </row>
    <row r="31" spans="1:11" ht="15">
      <c r="A31" s="8" t="s">
        <v>67</v>
      </c>
      <c r="B31" s="6"/>
      <c r="C31" s="7" t="s">
        <v>262</v>
      </c>
      <c r="D31"/>
      <c r="E31"/>
      <c r="F31"/>
      <c r="G31"/>
      <c r="H31"/>
      <c r="I31"/>
      <c r="J31"/>
      <c r="K31"/>
    </row>
    <row r="32" spans="1:11" ht="15">
      <c r="A32"/>
      <c r="B32"/>
      <c r="C32"/>
      <c r="D32"/>
      <c r="E32"/>
      <c r="F32"/>
      <c r="G32"/>
      <c r="H32"/>
      <c r="I32"/>
      <c r="J32"/>
      <c r="K32"/>
    </row>
    <row r="33" spans="1:11" ht="19.5">
      <c r="A33" s="1" t="s">
        <v>68</v>
      </c>
      <c r="B33"/>
      <c r="C33"/>
      <c r="D33"/>
      <c r="E33"/>
      <c r="F33"/>
      <c r="G33"/>
      <c r="H33"/>
      <c r="I33"/>
      <c r="J33"/>
      <c r="K33"/>
    </row>
    <row r="34" spans="1:11" ht="15">
      <c r="A34" t="s">
        <v>262</v>
      </c>
      <c r="B34"/>
      <c r="C34"/>
      <c r="D34"/>
      <c r="E34"/>
      <c r="F34"/>
      <c r="G34"/>
      <c r="H34"/>
      <c r="I34"/>
      <c r="J34"/>
      <c r="K34"/>
    </row>
    <row r="35" spans="1:11" ht="15">
      <c r="A35"/>
      <c r="B35" s="3" t="s">
        <v>69</v>
      </c>
      <c r="C35"/>
      <c r="D35"/>
      <c r="E35"/>
      <c r="F35"/>
      <c r="G35"/>
      <c r="H35"/>
      <c r="I35"/>
      <c r="J35"/>
      <c r="K35"/>
    </row>
    <row r="36" spans="1:11" ht="15">
      <c r="A36" s="8" t="s">
        <v>64</v>
      </c>
      <c r="B36" s="11">
        <f>VLOOKUP(Vlookup!B36,'CDCM Forecast Data'!$A$14:$I$271,9,FALSE)</f>
        <v>0.69256562916818787</v>
      </c>
      <c r="C36" s="7" t="s">
        <v>262</v>
      </c>
      <c r="D36"/>
      <c r="E36"/>
      <c r="F36"/>
      <c r="G36"/>
      <c r="H36"/>
      <c r="I36"/>
      <c r="J36"/>
      <c r="K36"/>
    </row>
    <row r="37" spans="1:11" ht="15">
      <c r="A37"/>
      <c r="B37"/>
      <c r="C37"/>
      <c r="D37"/>
      <c r="E37"/>
      <c r="F37"/>
      <c r="G37"/>
      <c r="H37"/>
      <c r="I37"/>
      <c r="J37"/>
      <c r="K37"/>
    </row>
    <row r="38" spans="1:11" ht="19.5">
      <c r="A38" s="1" t="s">
        <v>70</v>
      </c>
      <c r="B38"/>
      <c r="C38"/>
      <c r="D38"/>
      <c r="E38"/>
      <c r="F38"/>
      <c r="G38"/>
      <c r="H38"/>
      <c r="I38"/>
      <c r="J38"/>
      <c r="K38"/>
    </row>
    <row r="39" spans="1:11" ht="15">
      <c r="A39"/>
      <c r="B39"/>
      <c r="C39"/>
      <c r="D39"/>
      <c r="E39"/>
      <c r="F39"/>
      <c r="G39"/>
      <c r="H39"/>
      <c r="I39"/>
      <c r="J39"/>
      <c r="K39"/>
    </row>
    <row r="40" spans="1:11" ht="30">
      <c r="A40"/>
      <c r="B40" s="3" t="s">
        <v>71</v>
      </c>
      <c r="C40"/>
      <c r="D40"/>
      <c r="E40"/>
      <c r="F40"/>
      <c r="G40"/>
      <c r="H40"/>
      <c r="I40"/>
      <c r="J40"/>
      <c r="K40"/>
    </row>
    <row r="41" spans="1:11" ht="15">
      <c r="A41" s="8" t="s">
        <v>71</v>
      </c>
      <c r="B41" s="10">
        <f>VLOOKUP(Vlookup!B41,'CDCM Forecast Data'!$A$14:$I$271,9,FALSE)</f>
        <v>500</v>
      </c>
      <c r="C41" s="7" t="s">
        <v>262</v>
      </c>
      <c r="D41"/>
      <c r="E41"/>
      <c r="F41"/>
      <c r="G41"/>
      <c r="H41"/>
      <c r="I41"/>
      <c r="J41"/>
      <c r="K41"/>
    </row>
    <row r="42" spans="1:11" ht="15">
      <c r="A42"/>
      <c r="B42"/>
      <c r="C42"/>
      <c r="D42"/>
      <c r="E42"/>
      <c r="F42"/>
      <c r="G42"/>
      <c r="H42"/>
      <c r="I42"/>
      <c r="J42"/>
      <c r="K42"/>
    </row>
    <row r="43" spans="1:11" ht="19.5">
      <c r="A43" s="1" t="s">
        <v>72</v>
      </c>
      <c r="B43"/>
      <c r="C43"/>
      <c r="D43"/>
      <c r="E43"/>
      <c r="F43"/>
      <c r="G43"/>
      <c r="H43"/>
      <c r="I43"/>
      <c r="J43"/>
      <c r="K43"/>
    </row>
    <row r="44" spans="1:11" ht="15">
      <c r="A44"/>
      <c r="B44"/>
      <c r="C44"/>
      <c r="D44"/>
      <c r="E44"/>
      <c r="F44"/>
      <c r="G44"/>
      <c r="H44"/>
      <c r="I44"/>
      <c r="J44"/>
      <c r="K44"/>
    </row>
    <row r="45" spans="1:11" ht="15">
      <c r="A45"/>
      <c r="B45" s="3" t="s">
        <v>73</v>
      </c>
      <c r="C45"/>
      <c r="D45"/>
      <c r="E45"/>
      <c r="F45"/>
      <c r="G45"/>
      <c r="H45"/>
      <c r="I45"/>
      <c r="J45"/>
      <c r="K45"/>
    </row>
    <row r="46" spans="1:11" ht="15">
      <c r="A46" s="8" t="s">
        <v>61</v>
      </c>
      <c r="B46" s="10">
        <f>VLOOKUP(Vlookup!B46,'CDCM Forecast Data'!$A$14:$I$271,9,FALSE)</f>
        <v>55391619.774586372</v>
      </c>
      <c r="C46" s="7" t="s">
        <v>262</v>
      </c>
      <c r="D46"/>
      <c r="E46"/>
      <c r="F46"/>
      <c r="G46"/>
      <c r="H46"/>
      <c r="I46"/>
      <c r="J46"/>
      <c r="K46"/>
    </row>
    <row r="47" spans="1:11" ht="15">
      <c r="A47" s="8" t="s">
        <v>62</v>
      </c>
      <c r="B47" s="10">
        <f>VLOOKUP(Vlookup!B47,'CDCM Forecast Data'!$A$14:$I$271,9,FALSE)</f>
        <v>12679909.620302562</v>
      </c>
      <c r="C47" s="7" t="s">
        <v>262</v>
      </c>
      <c r="D47"/>
      <c r="E47"/>
      <c r="F47"/>
      <c r="G47"/>
      <c r="H47"/>
      <c r="I47"/>
      <c r="J47"/>
      <c r="K47"/>
    </row>
    <row r="48" spans="1:11" ht="15">
      <c r="A48" s="8" t="s">
        <v>63</v>
      </c>
      <c r="B48" s="10">
        <f>VLOOKUP(Vlookup!B48,'CDCM Forecast Data'!$A$14:$I$271,9,FALSE)</f>
        <v>13065706.704609253</v>
      </c>
      <c r="C48" s="7" t="s">
        <v>262</v>
      </c>
      <c r="D48"/>
      <c r="E48"/>
      <c r="F48"/>
      <c r="G48"/>
      <c r="H48"/>
      <c r="I48"/>
      <c r="J48"/>
      <c r="K48"/>
    </row>
    <row r="49" spans="1:11" ht="15">
      <c r="A49" s="8" t="s">
        <v>64</v>
      </c>
      <c r="B49" s="10">
        <f>VLOOKUP(Vlookup!B49,'CDCM Forecast Data'!$A$14:$I$271,9,FALSE)</f>
        <v>24690431.495695189</v>
      </c>
      <c r="C49" s="7" t="s">
        <v>262</v>
      </c>
      <c r="D49"/>
      <c r="E49"/>
      <c r="F49"/>
      <c r="G49"/>
      <c r="H49"/>
      <c r="I49"/>
      <c r="J49"/>
      <c r="K49"/>
    </row>
    <row r="50" spans="1:11" ht="15">
      <c r="A50" s="8" t="s">
        <v>69</v>
      </c>
      <c r="B50" s="10">
        <f>VLOOKUP(Vlookup!B50,'CDCM Forecast Data'!$A$14:$I$271,9,FALSE)</f>
        <v>26321318.145701502</v>
      </c>
      <c r="C50" s="7" t="s">
        <v>262</v>
      </c>
      <c r="D50"/>
      <c r="E50"/>
      <c r="F50"/>
      <c r="G50"/>
      <c r="H50"/>
      <c r="I50"/>
      <c r="J50"/>
      <c r="K50"/>
    </row>
    <row r="51" spans="1:11" ht="15">
      <c r="A51" s="8" t="s">
        <v>65</v>
      </c>
      <c r="B51" s="10">
        <f>VLOOKUP(Vlookup!B51,'CDCM Forecast Data'!$A$14:$I$271,9,FALSE)</f>
        <v>170919264.75316527</v>
      </c>
      <c r="C51" s="7" t="s">
        <v>262</v>
      </c>
      <c r="D51"/>
      <c r="E51"/>
      <c r="F51"/>
      <c r="G51"/>
      <c r="H51"/>
      <c r="I51"/>
      <c r="J51"/>
      <c r="K51"/>
    </row>
    <row r="52" spans="1:11" ht="15">
      <c r="A52" s="8" t="s">
        <v>66</v>
      </c>
      <c r="B52" s="10">
        <f>VLOOKUP(Vlookup!B52,'CDCM Forecast Data'!$A$14:$I$271,9,FALSE)</f>
        <v>77120315.903109625</v>
      </c>
      <c r="C52" s="7" t="s">
        <v>262</v>
      </c>
      <c r="D52"/>
      <c r="E52"/>
      <c r="F52"/>
      <c r="G52"/>
      <c r="H52"/>
      <c r="I52"/>
      <c r="J52"/>
      <c r="K52"/>
    </row>
    <row r="53" spans="1:11" ht="15">
      <c r="A53" s="8" t="s">
        <v>67</v>
      </c>
      <c r="B53" s="10">
        <f>VLOOKUP(Vlookup!B53,'CDCM Forecast Data'!$A$14:$I$271,9,FALSE)</f>
        <v>175725081.20068204</v>
      </c>
      <c r="C53" s="7" t="s">
        <v>262</v>
      </c>
      <c r="D53"/>
      <c r="E53"/>
      <c r="F53"/>
      <c r="G53"/>
      <c r="H53"/>
      <c r="I53"/>
      <c r="J53"/>
      <c r="K53"/>
    </row>
    <row r="54" spans="1:11" ht="15">
      <c r="A54"/>
      <c r="B54"/>
      <c r="C54"/>
      <c r="D54"/>
      <c r="E54"/>
      <c r="F54"/>
      <c r="G54"/>
      <c r="H54"/>
      <c r="I54"/>
      <c r="J54"/>
      <c r="K54"/>
    </row>
    <row r="55" spans="1:11" ht="19.5">
      <c r="A55" s="1" t="s">
        <v>74</v>
      </c>
      <c r="B55"/>
      <c r="C55"/>
      <c r="D55"/>
      <c r="E55"/>
      <c r="F55"/>
      <c r="G55"/>
      <c r="H55"/>
      <c r="I55"/>
      <c r="J55"/>
      <c r="K55"/>
    </row>
    <row r="56" spans="1:11" ht="15">
      <c r="A56"/>
      <c r="B56"/>
      <c r="C56"/>
      <c r="D56"/>
      <c r="E56"/>
      <c r="F56"/>
      <c r="G56"/>
      <c r="H56"/>
      <c r="I56"/>
      <c r="J56"/>
      <c r="K56"/>
    </row>
    <row r="57" spans="1:11" ht="15">
      <c r="A57"/>
      <c r="B57" s="3" t="s">
        <v>75</v>
      </c>
      <c r="C57" s="3" t="s">
        <v>76</v>
      </c>
      <c r="D57" s="3" t="s">
        <v>77</v>
      </c>
      <c r="E57" s="3" t="s">
        <v>78</v>
      </c>
      <c r="F57" s="3" t="s">
        <v>79</v>
      </c>
      <c r="G57" s="3" t="s">
        <v>80</v>
      </c>
      <c r="H57" s="3" t="s">
        <v>81</v>
      </c>
      <c r="I57" s="3" t="s">
        <v>82</v>
      </c>
      <c r="J57"/>
      <c r="K57"/>
    </row>
    <row r="58" spans="1:11" ht="15">
      <c r="A58" s="8" t="s">
        <v>83</v>
      </c>
      <c r="B58" s="10">
        <f>VLOOKUP(Vlookup!B58,'CDCM Forecast Data'!$A$14:$I$271,9,FALSE)</f>
        <v>5922.6084572471354</v>
      </c>
      <c r="C58" s="10">
        <f>VLOOKUP(Vlookup!C58,'CDCM Forecast Data'!$A$14:$I$271,9,FALSE)</f>
        <v>666.23423784695512</v>
      </c>
      <c r="D58" s="10">
        <f>VLOOKUP(Vlookup!D58,'CDCM Forecast Data'!$A$14:$I$271,9,FALSE)</f>
        <v>811.1354380130341</v>
      </c>
      <c r="E58" s="10">
        <f>VLOOKUP(Vlookup!E58,'CDCM Forecast Data'!$A$14:$I$271,9,FALSE)</f>
        <v>601.55423712008644</v>
      </c>
      <c r="F58" s="10">
        <f>VLOOKUP(Vlookup!F58,'CDCM Forecast Data'!$A$14:$I$271,9,FALSE)</f>
        <v>1367.4666525823041</v>
      </c>
      <c r="G58" s="10">
        <f>VLOOKUP(Vlookup!G58,'CDCM Forecast Data'!$A$14:$I$271,9,FALSE)</f>
        <v>1053.2407152251476</v>
      </c>
      <c r="H58" s="10">
        <f>VLOOKUP(Vlookup!H58,'CDCM Forecast Data'!$A$14:$I$271,9,FALSE)</f>
        <v>0</v>
      </c>
      <c r="I58" s="10">
        <f>VLOOKUP(Vlookup!I58,'CDCM Forecast Data'!$A$14:$I$271,9,FALSE)</f>
        <v>550.85103890725816</v>
      </c>
      <c r="J58" s="7" t="s">
        <v>262</v>
      </c>
      <c r="K58"/>
    </row>
    <row r="59" spans="1:11" ht="15">
      <c r="A59"/>
      <c r="B59"/>
      <c r="C59"/>
      <c r="D59"/>
      <c r="E59"/>
      <c r="F59"/>
      <c r="G59"/>
      <c r="H59"/>
      <c r="I59"/>
      <c r="J59"/>
      <c r="K59"/>
    </row>
    <row r="60" spans="1:11" ht="19.5">
      <c r="A60" s="1" t="s">
        <v>84</v>
      </c>
      <c r="B60"/>
      <c r="C60"/>
      <c r="D60"/>
      <c r="E60"/>
      <c r="F60"/>
      <c r="G60"/>
      <c r="H60"/>
      <c r="I60"/>
      <c r="J60"/>
      <c r="K60"/>
    </row>
    <row r="61" spans="1:11" ht="15">
      <c r="A61"/>
      <c r="B61"/>
      <c r="C61"/>
      <c r="D61"/>
      <c r="E61"/>
      <c r="F61"/>
      <c r="G61"/>
      <c r="H61"/>
      <c r="I61"/>
      <c r="J61"/>
      <c r="K61"/>
    </row>
    <row r="62" spans="1:11" ht="15">
      <c r="A62"/>
      <c r="B62" s="3" t="s">
        <v>85</v>
      </c>
      <c r="C62" s="3" t="s">
        <v>86</v>
      </c>
      <c r="D62" s="3" t="s">
        <v>87</v>
      </c>
      <c r="E62" s="3" t="s">
        <v>88</v>
      </c>
      <c r="F62" s="3" t="s">
        <v>89</v>
      </c>
      <c r="G62"/>
      <c r="H62"/>
      <c r="I62"/>
      <c r="J62"/>
      <c r="K62"/>
    </row>
    <row r="63" spans="1:11" ht="15">
      <c r="A63" s="8" t="s">
        <v>90</v>
      </c>
      <c r="B63" s="10">
        <f>VLOOKUP(Vlookup!B63,'CDCM Forecast Data'!$A$14:$I$271,9,FALSE)</f>
        <v>10449.370039655318</v>
      </c>
      <c r="C63" s="10">
        <f>VLOOKUP(Vlookup!C63,'CDCM Forecast Data'!$A$14:$I$271,9,FALSE)</f>
        <v>5037.9942875934403</v>
      </c>
      <c r="D63" s="10">
        <f>VLOOKUP(Vlookup!D63,'CDCM Forecast Data'!$A$14:$I$271,9,FALSE)</f>
        <v>0</v>
      </c>
      <c r="E63" s="10">
        <f>VLOOKUP(Vlookup!E63,'CDCM Forecast Data'!$A$14:$I$271,9,FALSE)</f>
        <v>0</v>
      </c>
      <c r="F63" s="10">
        <f>VLOOKUP(Vlookup!F63,'CDCM Forecast Data'!$A$14:$I$271,9,FALSE)</f>
        <v>0</v>
      </c>
      <c r="G63" s="7" t="s">
        <v>262</v>
      </c>
      <c r="H63"/>
      <c r="I63"/>
      <c r="J63"/>
      <c r="K63"/>
    </row>
    <row r="64" spans="1:11" ht="15">
      <c r="A64"/>
      <c r="B64"/>
      <c r="C64"/>
      <c r="D64"/>
      <c r="E64"/>
      <c r="F64"/>
      <c r="G64"/>
      <c r="H64"/>
      <c r="I64"/>
      <c r="J64"/>
      <c r="K64"/>
    </row>
    <row r="65" spans="1:11" ht="19.5">
      <c r="A65" s="1" t="s">
        <v>91</v>
      </c>
      <c r="B65"/>
      <c r="C65"/>
      <c r="D65"/>
      <c r="E65"/>
      <c r="F65"/>
      <c r="G65"/>
      <c r="H65"/>
      <c r="I65"/>
      <c r="J65"/>
      <c r="K65"/>
    </row>
    <row r="66" spans="1:11" ht="15">
      <c r="A66"/>
      <c r="B66">
        <v>34</v>
      </c>
      <c r="C66">
        <f t="shared" ref="C66:I66" si="0">B66+1</f>
        <v>35</v>
      </c>
      <c r="D66">
        <f t="shared" si="0"/>
        <v>36</v>
      </c>
      <c r="E66">
        <f t="shared" si="0"/>
        <v>37</v>
      </c>
      <c r="F66">
        <f t="shared" si="0"/>
        <v>38</v>
      </c>
      <c r="G66">
        <f t="shared" si="0"/>
        <v>39</v>
      </c>
      <c r="H66">
        <f t="shared" si="0"/>
        <v>40</v>
      </c>
      <c r="I66">
        <f t="shared" si="0"/>
        <v>41</v>
      </c>
      <c r="J66"/>
      <c r="K66"/>
    </row>
    <row r="67" spans="1:11" ht="15">
      <c r="A67"/>
      <c r="B67" s="3" t="s">
        <v>75</v>
      </c>
      <c r="C67" s="3" t="s">
        <v>76</v>
      </c>
      <c r="D67" s="3" t="s">
        <v>77</v>
      </c>
      <c r="E67" s="3" t="s">
        <v>78</v>
      </c>
      <c r="F67" s="3" t="s">
        <v>79</v>
      </c>
      <c r="G67" s="3" t="s">
        <v>80</v>
      </c>
      <c r="H67" s="3" t="s">
        <v>81</v>
      </c>
      <c r="I67" s="3" t="s">
        <v>82</v>
      </c>
      <c r="J67"/>
      <c r="K67"/>
    </row>
    <row r="68" spans="1:11" ht="15">
      <c r="A68" s="8" t="s">
        <v>92</v>
      </c>
      <c r="B68" s="11">
        <f>VLOOKUP($A68,'Mat of App'!$B$7:$AP$37,B$66,FALSE)</f>
        <v>0.05</v>
      </c>
      <c r="C68" s="11">
        <f>VLOOKUP($A68,'Mat of App'!$B$7:$AP$37,C$66,FALSE)</f>
        <v>0</v>
      </c>
      <c r="D68" s="11">
        <f>VLOOKUP($A68,'Mat of App'!$B$7:$AP$37,D$66,FALSE)</f>
        <v>0</v>
      </c>
      <c r="E68" s="11">
        <f>VLOOKUP($A68,'Mat of App'!$B$7:$AP$37,E$66,FALSE)</f>
        <v>0</v>
      </c>
      <c r="F68" s="11">
        <f>VLOOKUP($A68,'Mat of App'!$B$7:$AP$37,F$66,FALSE)</f>
        <v>0</v>
      </c>
      <c r="G68" s="11">
        <f>VLOOKUP($A68,'Mat of App'!$B$7:$AP$37,G$66,FALSE)</f>
        <v>0</v>
      </c>
      <c r="H68" s="11">
        <f>VLOOKUP($A68,'Mat of App'!$B$7:$AP$37,H$66,FALSE)</f>
        <v>0</v>
      </c>
      <c r="I68" s="11">
        <f>VLOOKUP($A68,'Mat of App'!$B$7:$AP$37,I$66,FALSE)</f>
        <v>0</v>
      </c>
      <c r="J68" s="7" t="s">
        <v>262</v>
      </c>
      <c r="K68"/>
    </row>
    <row r="69" spans="1:11" ht="15">
      <c r="A69" s="8" t="s">
        <v>93</v>
      </c>
      <c r="B69" s="11">
        <f>VLOOKUP($A69,'Mat of App'!$B$7:$AP$37,B$66,FALSE)</f>
        <v>0.05</v>
      </c>
      <c r="C69" s="11">
        <f>VLOOKUP($A69,'Mat of App'!$B$7:$AP$37,C$66,FALSE)</f>
        <v>0</v>
      </c>
      <c r="D69" s="11">
        <f>VLOOKUP($A69,'Mat of App'!$B$7:$AP$37,D$66,FALSE)</f>
        <v>0</v>
      </c>
      <c r="E69" s="11">
        <f>VLOOKUP($A69,'Mat of App'!$B$7:$AP$37,E$66,FALSE)</f>
        <v>0</v>
      </c>
      <c r="F69" s="11">
        <f>VLOOKUP($A69,'Mat of App'!$B$7:$AP$37,F$66,FALSE)</f>
        <v>0</v>
      </c>
      <c r="G69" s="11">
        <f>VLOOKUP($A69,'Mat of App'!$B$7:$AP$37,G$66,FALSE)</f>
        <v>0</v>
      </c>
      <c r="H69" s="11">
        <f>VLOOKUP($A69,'Mat of App'!$B$7:$AP$37,H$66,FALSE)</f>
        <v>0</v>
      </c>
      <c r="I69" s="11">
        <f>VLOOKUP($A69,'Mat of App'!$B$7:$AP$37,I$66,FALSE)</f>
        <v>0</v>
      </c>
      <c r="J69" s="7" t="s">
        <v>262</v>
      </c>
      <c r="K69"/>
    </row>
    <row r="70" spans="1:11" ht="15">
      <c r="A70" s="8" t="s">
        <v>94</v>
      </c>
      <c r="B70" s="11">
        <f>VLOOKUP($A70,'Mat of App'!$B$7:$AP$37,B$66,FALSE)</f>
        <v>0</v>
      </c>
      <c r="C70" s="11">
        <f>VLOOKUP($A70,'Mat of App'!$B$7:$AP$37,C$66,FALSE)</f>
        <v>1</v>
      </c>
      <c r="D70" s="11">
        <f>VLOOKUP($A70,'Mat of App'!$B$7:$AP$37,D$66,FALSE)</f>
        <v>0</v>
      </c>
      <c r="E70" s="11">
        <f>VLOOKUP($A70,'Mat of App'!$B$7:$AP$37,E$66,FALSE)</f>
        <v>0</v>
      </c>
      <c r="F70" s="11">
        <f>VLOOKUP($A70,'Mat of App'!$B$7:$AP$37,F$66,FALSE)</f>
        <v>0</v>
      </c>
      <c r="G70" s="11">
        <f>VLOOKUP($A70,'Mat of App'!$B$7:$AP$37,G$66,FALSE)</f>
        <v>0</v>
      </c>
      <c r="H70" s="11">
        <f>VLOOKUP($A70,'Mat of App'!$B$7:$AP$37,H$66,FALSE)</f>
        <v>0</v>
      </c>
      <c r="I70" s="11">
        <f>VLOOKUP($A70,'Mat of App'!$B$7:$AP$37,I$66,FALSE)</f>
        <v>0</v>
      </c>
      <c r="J70" s="7" t="s">
        <v>262</v>
      </c>
      <c r="K70"/>
    </row>
    <row r="71" spans="1:11" ht="15">
      <c r="A71" s="8" t="s">
        <v>95</v>
      </c>
      <c r="B71" s="11">
        <f>VLOOKUP($A71,'Mat of App'!$B$7:$AP$37,B$66,FALSE)</f>
        <v>0</v>
      </c>
      <c r="C71" s="11">
        <f>VLOOKUP($A71,'Mat of App'!$B$7:$AP$37,C$66,FALSE)</f>
        <v>1</v>
      </c>
      <c r="D71" s="11">
        <f>VLOOKUP($A71,'Mat of App'!$B$7:$AP$37,D$66,FALSE)</f>
        <v>0</v>
      </c>
      <c r="E71" s="11">
        <f>VLOOKUP($A71,'Mat of App'!$B$7:$AP$37,E$66,FALSE)</f>
        <v>0</v>
      </c>
      <c r="F71" s="11">
        <f>VLOOKUP($A71,'Mat of App'!$B$7:$AP$37,F$66,FALSE)</f>
        <v>0</v>
      </c>
      <c r="G71" s="11">
        <f>VLOOKUP($A71,'Mat of App'!$B$7:$AP$37,G$66,FALSE)</f>
        <v>0</v>
      </c>
      <c r="H71" s="11">
        <f>VLOOKUP($A71,'Mat of App'!$B$7:$AP$37,H$66,FALSE)</f>
        <v>0</v>
      </c>
      <c r="I71" s="11">
        <f>VLOOKUP($A71,'Mat of App'!$B$7:$AP$37,I$66,FALSE)</f>
        <v>0</v>
      </c>
      <c r="J71" s="7" t="s">
        <v>262</v>
      </c>
      <c r="K71"/>
    </row>
    <row r="72" spans="1:11" ht="15">
      <c r="A72" s="8" t="s">
        <v>96</v>
      </c>
      <c r="B72" s="11">
        <f>VLOOKUP($A72,'Mat of App'!$B$7:$AP$37,B$66,FALSE)</f>
        <v>0</v>
      </c>
      <c r="C72" s="11">
        <f>VLOOKUP($A72,'Mat of App'!$B$7:$AP$37,C$66,FALSE)</f>
        <v>0</v>
      </c>
      <c r="D72" s="11">
        <f>VLOOKUP($A72,'Mat of App'!$B$7:$AP$37,D$66,FALSE)</f>
        <v>1</v>
      </c>
      <c r="E72" s="11">
        <f>VLOOKUP($A72,'Mat of App'!$B$7:$AP$37,E$66,FALSE)</f>
        <v>0</v>
      </c>
      <c r="F72" s="11">
        <f>VLOOKUP($A72,'Mat of App'!$B$7:$AP$37,F$66,FALSE)</f>
        <v>0</v>
      </c>
      <c r="G72" s="11">
        <f>VLOOKUP($A72,'Mat of App'!$B$7:$AP$37,G$66,FALSE)</f>
        <v>0</v>
      </c>
      <c r="H72" s="11">
        <f>VLOOKUP($A72,'Mat of App'!$B$7:$AP$37,H$66,FALSE)</f>
        <v>0</v>
      </c>
      <c r="I72" s="11">
        <f>VLOOKUP($A72,'Mat of App'!$B$7:$AP$37,I$66,FALSE)</f>
        <v>0</v>
      </c>
      <c r="J72" s="7"/>
      <c r="K72"/>
    </row>
    <row r="73" spans="1:11" ht="15">
      <c r="A73" s="8" t="s">
        <v>97</v>
      </c>
      <c r="B73" s="11">
        <f>VLOOKUP($A73,'Mat of App'!$B$7:$AP$37,B$66,FALSE)</f>
        <v>0</v>
      </c>
      <c r="C73" s="11">
        <f>VLOOKUP($A73,'Mat of App'!$B$7:$AP$37,C$66,FALSE)</f>
        <v>0</v>
      </c>
      <c r="D73" s="11">
        <f>VLOOKUP($A73,'Mat of App'!$B$7:$AP$37,D$66,FALSE)</f>
        <v>0</v>
      </c>
      <c r="E73" s="11">
        <f>VLOOKUP($A73,'Mat of App'!$B$7:$AP$37,E$66,FALSE)</f>
        <v>1</v>
      </c>
      <c r="F73" s="11">
        <f>VLOOKUP($A73,'Mat of App'!$B$7:$AP$37,F$66,FALSE)</f>
        <v>0</v>
      </c>
      <c r="G73" s="11">
        <f>VLOOKUP($A73,'Mat of App'!$B$7:$AP$37,G$66,FALSE)</f>
        <v>0</v>
      </c>
      <c r="H73" s="11">
        <f>VLOOKUP($A73,'Mat of App'!$B$7:$AP$37,H$66,FALSE)</f>
        <v>0</v>
      </c>
      <c r="I73" s="11">
        <f>VLOOKUP($A73,'Mat of App'!$B$7:$AP$37,I$66,FALSE)</f>
        <v>0</v>
      </c>
      <c r="J73" s="7"/>
      <c r="K73"/>
    </row>
    <row r="74" spans="1:11" ht="15">
      <c r="A74" s="8" t="s">
        <v>1536</v>
      </c>
      <c r="B74" s="11">
        <f>VLOOKUP($A74,'Mat of App'!$B$7:$AP$37,B$66,FALSE)</f>
        <v>0.05</v>
      </c>
      <c r="C74" s="11">
        <f>VLOOKUP($A74,'Mat of App'!$B$7:$AP$37,C$66,FALSE)</f>
        <v>0</v>
      </c>
      <c r="D74" s="11">
        <f>VLOOKUP($A74,'Mat of App'!$B$7:$AP$37,D$66,FALSE)</f>
        <v>0</v>
      </c>
      <c r="E74" s="11">
        <f>VLOOKUP($A74,'Mat of App'!$B$7:$AP$37,E$66,FALSE)</f>
        <v>0</v>
      </c>
      <c r="F74" s="11">
        <f>VLOOKUP($A74,'Mat of App'!$B$7:$AP$37,F$66,FALSE)</f>
        <v>0</v>
      </c>
      <c r="G74" s="11">
        <f>VLOOKUP($A74,'Mat of App'!$B$7:$AP$37,G$66,FALSE)</f>
        <v>0</v>
      </c>
      <c r="H74" s="11">
        <f>VLOOKUP($A74,'Mat of App'!$B$7:$AP$37,H$66,FALSE)</f>
        <v>0</v>
      </c>
      <c r="I74" s="11">
        <f>VLOOKUP($A74,'Mat of App'!$B$7:$AP$37,I$66,FALSE)</f>
        <v>0</v>
      </c>
      <c r="J74" s="7" t="s">
        <v>262</v>
      </c>
      <c r="K74"/>
    </row>
    <row r="75" spans="1:11" ht="15">
      <c r="A75" s="8" t="s">
        <v>1535</v>
      </c>
      <c r="B75" s="11">
        <f>VLOOKUP($A75,'Mat of App'!$B$7:$AP$37,B$66,FALSE)</f>
        <v>0</v>
      </c>
      <c r="C75" s="11">
        <f>VLOOKUP($A75,'Mat of App'!$B$7:$AP$37,C$66,FALSE)</f>
        <v>1</v>
      </c>
      <c r="D75" s="11">
        <f>VLOOKUP($A75,'Mat of App'!$B$7:$AP$37,D$66,FALSE)</f>
        <v>0</v>
      </c>
      <c r="E75" s="11">
        <f>VLOOKUP($A75,'Mat of App'!$B$7:$AP$37,E$66,FALSE)</f>
        <v>0</v>
      </c>
      <c r="F75" s="11">
        <f>VLOOKUP($A75,'Mat of App'!$B$7:$AP$37,F$66,FALSE)</f>
        <v>0</v>
      </c>
      <c r="G75" s="11">
        <f>VLOOKUP($A75,'Mat of App'!$B$7:$AP$37,G$66,FALSE)</f>
        <v>0</v>
      </c>
      <c r="H75" s="11">
        <f>VLOOKUP($A75,'Mat of App'!$B$7:$AP$37,H$66,FALSE)</f>
        <v>0</v>
      </c>
      <c r="I75" s="11">
        <f>VLOOKUP($A75,'Mat of App'!$B$7:$AP$37,I$66,FALSE)</f>
        <v>0</v>
      </c>
      <c r="J75" s="7" t="s">
        <v>262</v>
      </c>
      <c r="K75"/>
    </row>
    <row r="76" spans="1:11" ht="15">
      <c r="A76" s="8" t="s">
        <v>98</v>
      </c>
      <c r="B76" s="11">
        <f>VLOOKUP($A76,'Mat of App'!$B$7:$AP$37,B$66,FALSE)</f>
        <v>0</v>
      </c>
      <c r="C76" s="11">
        <f>VLOOKUP($A76,'Mat of App'!$B$7:$AP$37,C$66,FALSE)</f>
        <v>0</v>
      </c>
      <c r="D76" s="11">
        <f>VLOOKUP($A76,'Mat of App'!$B$7:$AP$37,D$66,FALSE)</f>
        <v>0</v>
      </c>
      <c r="E76" s="11">
        <f>VLOOKUP($A76,'Mat of App'!$B$7:$AP$37,E$66,FALSE)</f>
        <v>0</v>
      </c>
      <c r="F76" s="11">
        <f>VLOOKUP($A76,'Mat of App'!$B$7:$AP$37,F$66,FALSE)</f>
        <v>1</v>
      </c>
      <c r="G76" s="11">
        <f>VLOOKUP($A76,'Mat of App'!$B$7:$AP$37,G$66,FALSE)</f>
        <v>0</v>
      </c>
      <c r="H76" s="11">
        <f>VLOOKUP($A76,'Mat of App'!$B$7:$AP$37,H$66,FALSE)</f>
        <v>0</v>
      </c>
      <c r="I76" s="11">
        <f>VLOOKUP($A76,'Mat of App'!$B$7:$AP$37,I$66,FALSE)</f>
        <v>0</v>
      </c>
      <c r="J76" s="7" t="s">
        <v>262</v>
      </c>
      <c r="K76"/>
    </row>
    <row r="77" spans="1:11" ht="15">
      <c r="A77" s="8" t="s">
        <v>99</v>
      </c>
      <c r="B77" s="11">
        <f>VLOOKUP($A77,'Mat of App'!$B$7:$AP$37,B$66,FALSE)</f>
        <v>0</v>
      </c>
      <c r="C77" s="11">
        <f>VLOOKUP($A77,'Mat of App'!$B$7:$AP$37,C$66,FALSE)</f>
        <v>0</v>
      </c>
      <c r="D77" s="11">
        <f>VLOOKUP($A77,'Mat of App'!$B$7:$AP$37,D$66,FALSE)</f>
        <v>0</v>
      </c>
      <c r="E77" s="11">
        <f>VLOOKUP($A77,'Mat of App'!$B$7:$AP$37,E$66,FALSE)</f>
        <v>0</v>
      </c>
      <c r="F77" s="11">
        <f>VLOOKUP($A77,'Mat of App'!$B$7:$AP$37,F$66,FALSE)</f>
        <v>0</v>
      </c>
      <c r="G77" s="11">
        <f>VLOOKUP($A77,'Mat of App'!$B$7:$AP$37,G$66,FALSE)</f>
        <v>1</v>
      </c>
      <c r="H77" s="11">
        <f>VLOOKUP($A77,'Mat of App'!$B$7:$AP$37,H$66,FALSE)</f>
        <v>0</v>
      </c>
      <c r="I77" s="11">
        <f>VLOOKUP($A77,'Mat of App'!$B$7:$AP$37,I$66,FALSE)</f>
        <v>0</v>
      </c>
      <c r="J77" s="7" t="s">
        <v>262</v>
      </c>
      <c r="K77"/>
    </row>
    <row r="78" spans="1:11" ht="15">
      <c r="A78" s="8" t="s">
        <v>1534</v>
      </c>
      <c r="B78" s="11">
        <f>VLOOKUP($A78,'Mat of App'!$B$7:$AP$37,B$66,FALSE)</f>
        <v>0</v>
      </c>
      <c r="C78" s="11">
        <f>VLOOKUP($A78,'Mat of App'!$B$7:$AP$37,C$66,FALSE)</f>
        <v>0</v>
      </c>
      <c r="D78" s="11">
        <f>VLOOKUP($A78,'Mat of App'!$B$7:$AP$37,D$66,FALSE)</f>
        <v>0</v>
      </c>
      <c r="E78" s="11">
        <f>VLOOKUP($A78,'Mat of App'!$B$7:$AP$37,E$66,FALSE)</f>
        <v>0</v>
      </c>
      <c r="F78" s="11">
        <f>VLOOKUP($A78,'Mat of App'!$B$7:$AP$37,F$66,FALSE)</f>
        <v>0</v>
      </c>
      <c r="G78" s="11">
        <f>VLOOKUP($A78,'Mat of App'!$B$7:$AP$37,G$66,FALSE)</f>
        <v>0</v>
      </c>
      <c r="H78" s="11">
        <f>VLOOKUP($A78,'Mat of App'!$B$7:$AP$37,H$66,FALSE)</f>
        <v>1</v>
      </c>
      <c r="I78" s="11">
        <f>VLOOKUP($A78,'Mat of App'!$B$7:$AP$37,I$66,FALSE)</f>
        <v>0</v>
      </c>
      <c r="J78" s="7" t="s">
        <v>262</v>
      </c>
      <c r="K78"/>
    </row>
    <row r="79" spans="1:11" ht="15">
      <c r="A79" s="8" t="s">
        <v>100</v>
      </c>
      <c r="B79" s="11">
        <f>VLOOKUP($A79,'Mat of App'!$B$7:$AP$37,B$66,FALSE)</f>
        <v>0</v>
      </c>
      <c r="C79" s="11">
        <f>VLOOKUP($A79,'Mat of App'!$B$7:$AP$37,C$66,FALSE)</f>
        <v>0</v>
      </c>
      <c r="D79" s="11">
        <f>VLOOKUP($A79,'Mat of App'!$B$7:$AP$37,D$66,FALSE)</f>
        <v>0</v>
      </c>
      <c r="E79" s="11">
        <f>VLOOKUP($A79,'Mat of App'!$B$7:$AP$37,E$66,FALSE)</f>
        <v>0</v>
      </c>
      <c r="F79" s="11">
        <f>VLOOKUP($A79,'Mat of App'!$B$7:$AP$37,F$66,FALSE)</f>
        <v>0</v>
      </c>
      <c r="G79" s="11">
        <f>VLOOKUP($A79,'Mat of App'!$B$7:$AP$37,G$66,FALSE)</f>
        <v>0</v>
      </c>
      <c r="H79" s="11">
        <f>VLOOKUP($A79,'Mat of App'!$B$7:$AP$37,H$66,FALSE)</f>
        <v>1</v>
      </c>
      <c r="I79" s="11">
        <f>VLOOKUP($A79,'Mat of App'!$B$7:$AP$37,I$66,FALSE)</f>
        <v>0</v>
      </c>
      <c r="J79" s="7" t="s">
        <v>262</v>
      </c>
      <c r="K79"/>
    </row>
    <row r="80" spans="1:11" ht="15">
      <c r="A80" s="8" t="s">
        <v>101</v>
      </c>
      <c r="B80" s="11">
        <f>VLOOKUP($A80,'Mat of App'!$B$7:$AP$37,B$66,FALSE)</f>
        <v>0</v>
      </c>
      <c r="C80" s="11">
        <f>VLOOKUP($A80,'Mat of App'!$B$7:$AP$37,C$66,FALSE)</f>
        <v>0</v>
      </c>
      <c r="D80" s="11">
        <f>VLOOKUP($A80,'Mat of App'!$B$7:$AP$37,D$66,FALSE)</f>
        <v>0</v>
      </c>
      <c r="E80" s="11">
        <f>VLOOKUP($A80,'Mat of App'!$B$7:$AP$37,E$66,FALSE)</f>
        <v>0</v>
      </c>
      <c r="F80" s="11">
        <f>VLOOKUP($A80,'Mat of App'!$B$7:$AP$37,F$66,FALSE)</f>
        <v>0</v>
      </c>
      <c r="G80" s="11">
        <f>VLOOKUP($A80,'Mat of App'!$B$7:$AP$37,G$66,FALSE)</f>
        <v>0</v>
      </c>
      <c r="H80" s="11">
        <f>VLOOKUP($A80,'Mat of App'!$B$7:$AP$37,H$66,FALSE)</f>
        <v>1</v>
      </c>
      <c r="I80" s="11">
        <f>VLOOKUP($A80,'Mat of App'!$B$7:$AP$37,I$66,FALSE)</f>
        <v>0</v>
      </c>
      <c r="J80" s="7" t="s">
        <v>262</v>
      </c>
      <c r="K80"/>
    </row>
    <row r="81" spans="1:11" ht="15">
      <c r="A81" s="8" t="s">
        <v>102</v>
      </c>
      <c r="B81" s="11">
        <f>VLOOKUP($A81,'Mat of App'!$B$7:$AP$37,B$66,FALSE)</f>
        <v>0</v>
      </c>
      <c r="C81" s="11">
        <f>VLOOKUP($A81,'Mat of App'!$B$7:$AP$37,C$66,FALSE)</f>
        <v>0</v>
      </c>
      <c r="D81" s="11">
        <f>VLOOKUP($A81,'Mat of App'!$B$7:$AP$37,D$66,FALSE)</f>
        <v>0</v>
      </c>
      <c r="E81" s="11">
        <f>VLOOKUP($A81,'Mat of App'!$B$7:$AP$37,E$66,FALSE)</f>
        <v>0</v>
      </c>
      <c r="F81" s="11">
        <f>VLOOKUP($A81,'Mat of App'!$B$7:$AP$37,F$66,FALSE)</f>
        <v>0</v>
      </c>
      <c r="G81" s="11">
        <f>VLOOKUP($A81,'Mat of App'!$B$7:$AP$37,G$66,FALSE)</f>
        <v>0</v>
      </c>
      <c r="H81" s="11">
        <f>VLOOKUP($A81,'Mat of App'!$B$7:$AP$37,H$66,FALSE)</f>
        <v>0</v>
      </c>
      <c r="I81" s="11">
        <f>VLOOKUP($A81,'Mat of App'!$B$7:$AP$37,I$66,FALSE)</f>
        <v>0</v>
      </c>
      <c r="J81" s="7" t="s">
        <v>262</v>
      </c>
      <c r="K81"/>
    </row>
    <row r="82" spans="1:11" ht="15">
      <c r="A82" s="8" t="s">
        <v>103</v>
      </c>
      <c r="B82" s="11">
        <f>VLOOKUP($A82,'Mat of App'!$B$7:$AP$37,B$66,FALSE)</f>
        <v>0</v>
      </c>
      <c r="C82" s="11">
        <f>VLOOKUP($A82,'Mat of App'!$B$7:$AP$37,C$66,FALSE)</f>
        <v>0</v>
      </c>
      <c r="D82" s="11">
        <f>VLOOKUP($A82,'Mat of App'!$B$7:$AP$37,D$66,FALSE)</f>
        <v>0</v>
      </c>
      <c r="E82" s="11">
        <f>VLOOKUP($A82,'Mat of App'!$B$7:$AP$37,E$66,FALSE)</f>
        <v>0</v>
      </c>
      <c r="F82" s="11">
        <f>VLOOKUP($A82,'Mat of App'!$B$7:$AP$37,F$66,FALSE)</f>
        <v>0</v>
      </c>
      <c r="G82" s="11">
        <f>VLOOKUP($A82,'Mat of App'!$B$7:$AP$37,G$66,FALSE)</f>
        <v>0</v>
      </c>
      <c r="H82" s="11">
        <f>VLOOKUP($A82,'Mat of App'!$B$7:$AP$37,H$66,FALSE)</f>
        <v>0</v>
      </c>
      <c r="I82" s="11">
        <f>VLOOKUP($A82,'Mat of App'!$B$7:$AP$37,I$66,FALSE)</f>
        <v>0</v>
      </c>
      <c r="J82" s="7" t="s">
        <v>262</v>
      </c>
      <c r="K82"/>
    </row>
    <row r="83" spans="1:11" ht="15">
      <c r="A83" s="8" t="s">
        <v>104</v>
      </c>
      <c r="B83" s="11">
        <f>VLOOKUP($A83,'Mat of App'!$B$7:$AP$37,B$66,FALSE)</f>
        <v>0</v>
      </c>
      <c r="C83" s="11">
        <f>VLOOKUP($A83,'Mat of App'!$B$7:$AP$37,C$66,FALSE)</f>
        <v>0</v>
      </c>
      <c r="D83" s="11">
        <f>VLOOKUP($A83,'Mat of App'!$B$7:$AP$37,D$66,FALSE)</f>
        <v>0</v>
      </c>
      <c r="E83" s="11">
        <f>VLOOKUP($A83,'Mat of App'!$B$7:$AP$37,E$66,FALSE)</f>
        <v>0</v>
      </c>
      <c r="F83" s="11">
        <f>VLOOKUP($A83,'Mat of App'!$B$7:$AP$37,F$66,FALSE)</f>
        <v>0</v>
      </c>
      <c r="G83" s="11">
        <f>VLOOKUP($A83,'Mat of App'!$B$7:$AP$37,G$66,FALSE)</f>
        <v>0</v>
      </c>
      <c r="H83" s="11">
        <f>VLOOKUP($A83,'Mat of App'!$B$7:$AP$37,H$66,FALSE)</f>
        <v>0</v>
      </c>
      <c r="I83" s="11">
        <f>VLOOKUP($A83,'Mat of App'!$B$7:$AP$37,I$66,FALSE)</f>
        <v>0</v>
      </c>
      <c r="J83" s="7" t="s">
        <v>262</v>
      </c>
      <c r="K83"/>
    </row>
    <row r="84" spans="1:11" ht="15">
      <c r="A84"/>
      <c r="B84"/>
      <c r="C84"/>
      <c r="D84"/>
      <c r="E84"/>
      <c r="F84"/>
      <c r="G84"/>
      <c r="H84"/>
      <c r="I84"/>
      <c r="J84"/>
      <c r="K84"/>
    </row>
    <row r="85" spans="1:11" ht="19.5">
      <c r="A85" s="1" t="s">
        <v>105</v>
      </c>
      <c r="B85"/>
      <c r="C85"/>
      <c r="D85"/>
      <c r="E85"/>
      <c r="F85"/>
      <c r="G85"/>
      <c r="H85"/>
      <c r="I85"/>
      <c r="J85"/>
      <c r="K85"/>
    </row>
    <row r="86" spans="1:11" ht="15">
      <c r="A86" s="2"/>
      <c r="B86"/>
      <c r="C86"/>
      <c r="D86"/>
      <c r="E86"/>
      <c r="F86"/>
      <c r="G86"/>
      <c r="H86"/>
      <c r="I86"/>
      <c r="J86"/>
      <c r="K86"/>
    </row>
    <row r="87" spans="1:11" ht="15">
      <c r="A87" s="2" t="s">
        <v>106</v>
      </c>
      <c r="B87"/>
      <c r="C87"/>
      <c r="D87"/>
      <c r="E87"/>
      <c r="F87"/>
      <c r="G87"/>
      <c r="H87"/>
      <c r="I87"/>
      <c r="J87"/>
      <c r="K87"/>
    </row>
    <row r="88" spans="1:11" ht="15">
      <c r="A88" t="s">
        <v>107</v>
      </c>
      <c r="B88"/>
      <c r="C88"/>
      <c r="D88"/>
      <c r="E88"/>
      <c r="F88"/>
      <c r="G88"/>
      <c r="H88"/>
      <c r="I88"/>
      <c r="J88"/>
      <c r="K88"/>
    </row>
    <row r="89" spans="1:11" ht="15">
      <c r="A89"/>
      <c r="B89" s="3" t="s">
        <v>75</v>
      </c>
      <c r="C89" s="3" t="s">
        <v>76</v>
      </c>
      <c r="D89" s="3" t="s">
        <v>77</v>
      </c>
      <c r="E89" s="3" t="s">
        <v>78</v>
      </c>
      <c r="F89" s="3" t="s">
        <v>79</v>
      </c>
      <c r="G89" s="3" t="s">
        <v>80</v>
      </c>
      <c r="H89" s="3" t="s">
        <v>81</v>
      </c>
      <c r="I89" s="3" t="s">
        <v>82</v>
      </c>
      <c r="J89"/>
      <c r="K89"/>
    </row>
    <row r="90" spans="1:11" ht="15">
      <c r="A90" s="8" t="s">
        <v>108</v>
      </c>
      <c r="B90" s="4">
        <f>VLOOKUP($A90,'Mat of App'!$B$7:$AP$37,B$66,FALSE)</f>
        <v>0</v>
      </c>
      <c r="C90" s="4">
        <f>VLOOKUP($A90,'Mat of App'!$B$7:$AP$37,C$66,FALSE)</f>
        <v>0</v>
      </c>
      <c r="D90" s="4">
        <f>VLOOKUP($A90,'Mat of App'!$B$7:$AP$37,D$66,FALSE)</f>
        <v>0</v>
      </c>
      <c r="E90" s="4">
        <f>VLOOKUP($A90,'Mat of App'!$B$7:$AP$37,E$66,FALSE)</f>
        <v>0</v>
      </c>
      <c r="F90" s="4">
        <f>VLOOKUP($A90,'Mat of App'!$B$7:$AP$37,F$66,FALSE)</f>
        <v>0</v>
      </c>
      <c r="G90" s="4">
        <f>VLOOKUP($A90,'Mat of App'!$B$7:$AP$37,G$66,FALSE)</f>
        <v>0</v>
      </c>
      <c r="H90" s="4">
        <f>VLOOKUP($A90,'Mat of App'!$B$7:$AP$37,H$66,FALSE)</f>
        <v>0</v>
      </c>
      <c r="I90" s="4">
        <f>VLOOKUP($A90,'Mat of App'!$B$7:$AP$37,I$66,FALSE)</f>
        <v>0.48799999999999999</v>
      </c>
      <c r="J90" s="7" t="s">
        <v>262</v>
      </c>
      <c r="K90"/>
    </row>
    <row r="91" spans="1:11" ht="15">
      <c r="A91"/>
      <c r="B91"/>
      <c r="C91"/>
      <c r="D91"/>
      <c r="E91"/>
      <c r="F91"/>
      <c r="G91"/>
      <c r="H91"/>
      <c r="I91"/>
      <c r="J91"/>
      <c r="K91"/>
    </row>
    <row r="92" spans="1:11" ht="19.5">
      <c r="A92" s="1" t="s">
        <v>109</v>
      </c>
      <c r="B92"/>
      <c r="C92"/>
      <c r="D92"/>
      <c r="E92"/>
      <c r="F92"/>
      <c r="G92"/>
      <c r="H92"/>
      <c r="I92"/>
      <c r="J92"/>
      <c r="K92"/>
    </row>
    <row r="93" spans="1:11" ht="15">
      <c r="A93"/>
      <c r="B93">
        <v>22</v>
      </c>
      <c r="C93">
        <f>B93+1</f>
        <v>23</v>
      </c>
      <c r="D93">
        <f>C93+1</f>
        <v>24</v>
      </c>
      <c r="E93">
        <f>D93+1</f>
        <v>25</v>
      </c>
      <c r="F93">
        <f>E93+1</f>
        <v>26</v>
      </c>
      <c r="G93"/>
      <c r="H93"/>
      <c r="I93"/>
      <c r="J93"/>
      <c r="K93"/>
    </row>
    <row r="94" spans="1:11" ht="15">
      <c r="A94"/>
      <c r="B94" s="3" t="s">
        <v>85</v>
      </c>
      <c r="C94" s="3" t="s">
        <v>86</v>
      </c>
      <c r="D94" s="3" t="s">
        <v>87</v>
      </c>
      <c r="E94" s="3" t="s">
        <v>88</v>
      </c>
      <c r="F94" s="3" t="s">
        <v>89</v>
      </c>
      <c r="G94"/>
      <c r="H94"/>
      <c r="I94"/>
      <c r="J94"/>
      <c r="K94"/>
    </row>
    <row r="95" spans="1:11" ht="15">
      <c r="A95" s="8" t="s">
        <v>110</v>
      </c>
      <c r="B95" s="11">
        <f>VLOOKUP($A95,'Mat of App'!$B$7:$AP$37,B$93,FALSE)</f>
        <v>1</v>
      </c>
      <c r="C95" s="11">
        <f>VLOOKUP($A95,'Mat of App'!$B$7:$AP$37,C$93,FALSE)</f>
        <v>0</v>
      </c>
      <c r="D95" s="11">
        <f>VLOOKUP($A95,'Mat of App'!$B$7:$AP$37,D$93,FALSE)</f>
        <v>0</v>
      </c>
      <c r="E95" s="11">
        <f>VLOOKUP($A95,'Mat of App'!$B$7:$AP$37,E$93,FALSE)</f>
        <v>0</v>
      </c>
      <c r="F95" s="11">
        <f>VLOOKUP($A95,'Mat of App'!$B$7:$AP$37,F$93,FALSE)</f>
        <v>0</v>
      </c>
      <c r="G95" s="7" t="s">
        <v>262</v>
      </c>
      <c r="H95"/>
      <c r="I95"/>
      <c r="J95"/>
      <c r="K95"/>
    </row>
    <row r="96" spans="1:11" ht="15">
      <c r="A96" s="8" t="s">
        <v>111</v>
      </c>
      <c r="B96" s="11">
        <f>VLOOKUP($A96,'Mat of App'!$B$7:$AP$37,B$93,FALSE)</f>
        <v>1</v>
      </c>
      <c r="C96" s="11">
        <f>VLOOKUP($A96,'Mat of App'!$B$7:$AP$37,C$93,FALSE)</f>
        <v>0</v>
      </c>
      <c r="D96" s="11">
        <f>VLOOKUP($A96,'Mat of App'!$B$7:$AP$37,D$93,FALSE)</f>
        <v>0</v>
      </c>
      <c r="E96" s="11">
        <f>VLOOKUP($A96,'Mat of App'!$B$7:$AP$37,E$93,FALSE)</f>
        <v>0</v>
      </c>
      <c r="F96" s="11">
        <f>VLOOKUP($A96,'Mat of App'!$B$7:$AP$37,F$93,FALSE)</f>
        <v>0</v>
      </c>
      <c r="G96" s="7" t="s">
        <v>262</v>
      </c>
      <c r="H96"/>
      <c r="I96"/>
      <c r="J96"/>
      <c r="K96"/>
    </row>
    <row r="97" spans="1:11" customFormat="1" ht="15">
      <c r="A97" s="8" t="s">
        <v>112</v>
      </c>
      <c r="B97" s="11">
        <f>VLOOKUP($A97,'Mat of App'!$B$7:$AP$37,B$93,FALSE)</f>
        <v>0</v>
      </c>
      <c r="C97" s="11">
        <f>VLOOKUP($A97,'Mat of App'!$B$7:$AP$37,C$93,FALSE)</f>
        <v>1</v>
      </c>
      <c r="D97" s="11">
        <f>VLOOKUP($A97,'Mat of App'!$B$7:$AP$37,D$93,FALSE)</f>
        <v>0</v>
      </c>
      <c r="E97" s="11">
        <f>VLOOKUP($A97,'Mat of App'!$B$7:$AP$37,E$93,FALSE)</f>
        <v>0</v>
      </c>
      <c r="F97" s="11">
        <f>VLOOKUP($A97,'Mat of App'!$B$7:$AP$37,F$93,FALSE)</f>
        <v>0</v>
      </c>
      <c r="G97" s="7"/>
    </row>
    <row r="98" spans="1:11" customFormat="1" ht="15">
      <c r="A98" s="8" t="s">
        <v>113</v>
      </c>
      <c r="B98" s="11">
        <f>VLOOKUP($A98,'Mat of App'!$B$7:$AP$37,B$93,FALSE)</f>
        <v>0</v>
      </c>
      <c r="C98" s="11">
        <f>VLOOKUP($A98,'Mat of App'!$B$7:$AP$37,C$93,FALSE)</f>
        <v>1</v>
      </c>
      <c r="D98" s="11">
        <f>VLOOKUP($A98,'Mat of App'!$B$7:$AP$37,D$93,FALSE)</f>
        <v>0</v>
      </c>
      <c r="E98" s="11">
        <f>VLOOKUP($A98,'Mat of App'!$B$7:$AP$37,E$93,FALSE)</f>
        <v>0</v>
      </c>
      <c r="F98" s="11">
        <f>VLOOKUP($A98,'Mat of App'!$B$7:$AP$37,F$93,FALSE)</f>
        <v>0</v>
      </c>
      <c r="G98" s="7"/>
    </row>
    <row r="99" spans="1:11" ht="15">
      <c r="A99"/>
      <c r="B99"/>
      <c r="C99"/>
      <c r="D99"/>
      <c r="E99"/>
      <c r="F99"/>
      <c r="G99"/>
      <c r="H99"/>
      <c r="I99"/>
      <c r="J99"/>
      <c r="K99"/>
    </row>
    <row r="100" spans="1:11" ht="19.5">
      <c r="A100" s="1" t="s">
        <v>114</v>
      </c>
      <c r="B100"/>
      <c r="C100"/>
      <c r="D100"/>
      <c r="E100"/>
      <c r="F100"/>
      <c r="G100"/>
      <c r="H100"/>
      <c r="I100"/>
      <c r="J100"/>
      <c r="K100"/>
    </row>
    <row r="101" spans="1:11" ht="15">
      <c r="A101" s="2" t="s">
        <v>262</v>
      </c>
      <c r="B101"/>
      <c r="C101"/>
      <c r="D101"/>
      <c r="E101"/>
      <c r="F101"/>
      <c r="G101"/>
      <c r="H101"/>
      <c r="I101"/>
      <c r="J101"/>
      <c r="K101"/>
    </row>
    <row r="102" spans="1:11" ht="15">
      <c r="A102" t="s">
        <v>115</v>
      </c>
      <c r="B102"/>
      <c r="C102"/>
      <c r="D102"/>
      <c r="E102"/>
      <c r="F102"/>
      <c r="G102"/>
      <c r="H102"/>
      <c r="I102"/>
      <c r="J102"/>
      <c r="K102"/>
    </row>
    <row r="103" spans="1:11" ht="15">
      <c r="A103"/>
      <c r="B103" s="3" t="s">
        <v>61</v>
      </c>
      <c r="C103" s="3" t="s">
        <v>62</v>
      </c>
      <c r="D103" s="3" t="s">
        <v>63</v>
      </c>
      <c r="E103" s="3" t="s">
        <v>64</v>
      </c>
      <c r="F103" s="3" t="s">
        <v>65</v>
      </c>
      <c r="G103" s="3" t="s">
        <v>66</v>
      </c>
      <c r="H103" s="3" t="s">
        <v>67</v>
      </c>
      <c r="I103"/>
      <c r="J103"/>
      <c r="K103"/>
    </row>
    <row r="104" spans="1:11" ht="15">
      <c r="A104" s="8" t="s">
        <v>116</v>
      </c>
      <c r="B104" s="4">
        <f>VLOOKUP(Vlookup!B69,'CDCM Forecast Data'!$A$14:$I$271,9,FALSE)</f>
        <v>1.002</v>
      </c>
      <c r="C104" s="4">
        <f>VLOOKUP(Vlookup!C69,'CDCM Forecast Data'!$A$14:$I$271,9,FALSE)</f>
        <v>1.0069999999999999</v>
      </c>
      <c r="D104" s="4">
        <f>VLOOKUP(Vlookup!D69,'CDCM Forecast Data'!$A$14:$I$271,9,FALSE)</f>
        <v>1.016</v>
      </c>
      <c r="E104" s="4">
        <f>VLOOKUP(Vlookup!E69,'CDCM Forecast Data'!$A$14:$I$271,9,FALSE)</f>
        <v>1.0229999999999999</v>
      </c>
      <c r="F104" s="4">
        <f>VLOOKUP(Vlookup!F69,'CDCM Forecast Data'!$A$14:$I$271,9,FALSE)</f>
        <v>1.0509999999999999</v>
      </c>
      <c r="G104" s="4">
        <f>VLOOKUP(Vlookup!G69,'CDCM Forecast Data'!$A$14:$I$271,9,FALSE)</f>
        <v>1.07</v>
      </c>
      <c r="H104" s="4">
        <f>VLOOKUP(Vlookup!H69,'CDCM Forecast Data'!$A$14:$I$271,9,FALSE)</f>
        <v>1.087</v>
      </c>
      <c r="I104" s="7" t="s">
        <v>262</v>
      </c>
      <c r="J104"/>
      <c r="K104"/>
    </row>
    <row r="105" spans="1:11" ht="15">
      <c r="A105"/>
      <c r="B105"/>
      <c r="C105"/>
      <c r="D105"/>
      <c r="E105"/>
      <c r="F105"/>
      <c r="G105"/>
      <c r="H105"/>
      <c r="I105"/>
      <c r="J105"/>
      <c r="K105"/>
    </row>
    <row r="106" spans="1:11" ht="19.5">
      <c r="A106" s="1" t="s">
        <v>117</v>
      </c>
      <c r="B106"/>
      <c r="C106"/>
      <c r="D106"/>
      <c r="E106"/>
      <c r="F106"/>
      <c r="G106"/>
      <c r="H106"/>
      <c r="I106"/>
      <c r="J106"/>
      <c r="K106"/>
    </row>
    <row r="107" spans="1:11" ht="15">
      <c r="A107" s="2" t="s">
        <v>262</v>
      </c>
      <c r="B107"/>
      <c r="C107"/>
      <c r="D107"/>
      <c r="E107"/>
      <c r="F107"/>
      <c r="G107"/>
      <c r="H107"/>
      <c r="I107"/>
      <c r="J107"/>
      <c r="K107"/>
    </row>
    <row r="108" spans="1:11" ht="15">
      <c r="A108" t="s">
        <v>118</v>
      </c>
      <c r="B108"/>
      <c r="C108"/>
      <c r="D108"/>
      <c r="E108"/>
      <c r="F108"/>
      <c r="G108"/>
      <c r="H108"/>
      <c r="I108"/>
      <c r="J108"/>
      <c r="K108"/>
    </row>
    <row r="109" spans="1:11" ht="15">
      <c r="A109"/>
      <c r="B109" s="3" t="s">
        <v>119</v>
      </c>
      <c r="C109" s="3" t="s">
        <v>120</v>
      </c>
      <c r="D109" s="3" t="s">
        <v>121</v>
      </c>
      <c r="E109" s="3" t="s">
        <v>122</v>
      </c>
      <c r="F109" s="3" t="s">
        <v>123</v>
      </c>
      <c r="G109"/>
      <c r="H109"/>
      <c r="I109"/>
      <c r="J109"/>
      <c r="K109"/>
    </row>
    <row r="110" spans="1:11" ht="15">
      <c r="A110" s="8" t="s">
        <v>124</v>
      </c>
      <c r="B110" s="6"/>
      <c r="C110" s="11">
        <f>VLOOKUP(Vlookup!C75,'CDCM Forecast Data'!$A$14:$I$271,9,FALSE)</f>
        <v>0.33064254054995224</v>
      </c>
      <c r="D110" s="11">
        <f>VLOOKUP(Vlookup!D75,'CDCM Forecast Data'!$A$14:$I$271,9,FALSE)</f>
        <v>0.51417010196128798</v>
      </c>
      <c r="E110" s="11">
        <f>VLOOKUP(Vlookup!E75,'CDCM Forecast Data'!$A$14:$I$271,9,FALSE)</f>
        <v>0.25833648748307197</v>
      </c>
      <c r="F110" s="11">
        <f>VLOOKUP(Vlookup!F75,'CDCM Forecast Data'!$A$14:$I$271,9,FALSE)</f>
        <v>0.15078510117655297</v>
      </c>
      <c r="G110" s="7" t="s">
        <v>262</v>
      </c>
      <c r="H110"/>
      <c r="I110"/>
      <c r="J110"/>
      <c r="K110"/>
    </row>
    <row r="111" spans="1:11" ht="15">
      <c r="A111"/>
      <c r="B111"/>
      <c r="C111"/>
      <c r="D111"/>
      <c r="E111"/>
      <c r="F111"/>
      <c r="G111"/>
      <c r="H111"/>
      <c r="I111"/>
      <c r="J111"/>
      <c r="K111"/>
    </row>
    <row r="112" spans="1:11" ht="19.5">
      <c r="A112" s="1" t="s">
        <v>125</v>
      </c>
      <c r="B112"/>
      <c r="C112"/>
      <c r="D112"/>
      <c r="E112"/>
      <c r="F112"/>
      <c r="G112"/>
      <c r="H112"/>
      <c r="I112"/>
      <c r="J112"/>
      <c r="K112"/>
    </row>
    <row r="113" spans="1:11" ht="15">
      <c r="A113" s="2"/>
      <c r="B113"/>
      <c r="C113"/>
      <c r="D113"/>
      <c r="E113"/>
      <c r="F113"/>
      <c r="G113"/>
      <c r="H113"/>
      <c r="I113"/>
      <c r="J113"/>
      <c r="K113"/>
    </row>
    <row r="114" spans="1:11" ht="15">
      <c r="A114" t="s">
        <v>126</v>
      </c>
      <c r="B114"/>
      <c r="C114"/>
      <c r="D114"/>
      <c r="E114"/>
      <c r="F114"/>
      <c r="G114"/>
      <c r="H114"/>
      <c r="I114"/>
      <c r="J114"/>
      <c r="K114"/>
    </row>
    <row r="115" spans="1:11" ht="15">
      <c r="A115"/>
      <c r="B115" s="3" t="s">
        <v>127</v>
      </c>
      <c r="C115" s="3" t="s">
        <v>128</v>
      </c>
      <c r="D115"/>
      <c r="E115"/>
      <c r="F115"/>
      <c r="G115"/>
      <c r="H115"/>
      <c r="I115"/>
      <c r="J115"/>
      <c r="K115"/>
    </row>
    <row r="116" spans="1:11" ht="15">
      <c r="A116" s="8" t="s">
        <v>92</v>
      </c>
      <c r="B116" s="4">
        <f>VLOOKUP(Vlookup!B81,'CDCM Forecast Data'!$A$14:$I$271,6,FALSE)</f>
        <v>0.89738819736502429</v>
      </c>
      <c r="C116" s="4">
        <f>VLOOKUP(Vlookup!C81,'CDCM Forecast Data'!$A$14:$I$271,6,FALSE)</f>
        <v>0.43411076877330973</v>
      </c>
      <c r="D116" s="7" t="s">
        <v>262</v>
      </c>
      <c r="E116"/>
      <c r="F116"/>
      <c r="G116"/>
      <c r="H116"/>
      <c r="I116"/>
      <c r="J116"/>
      <c r="K116"/>
    </row>
    <row r="117" spans="1:11" ht="15">
      <c r="A117" s="8" t="s">
        <v>93</v>
      </c>
      <c r="B117" s="4">
        <f>VLOOKUP(Vlookup!B82,'CDCM Forecast Data'!$A$14:$I$271,6,FALSE)</f>
        <v>0.41597516714124932</v>
      </c>
      <c r="C117" s="4">
        <f>VLOOKUP(Vlookup!C82,'CDCM Forecast Data'!$A$14:$I$271,6,FALSE)</f>
        <v>0.30069751871841721</v>
      </c>
      <c r="D117" s="7" t="s">
        <v>262</v>
      </c>
      <c r="E117"/>
      <c r="F117"/>
      <c r="G117"/>
      <c r="H117"/>
      <c r="I117"/>
      <c r="J117"/>
      <c r="K117"/>
    </row>
    <row r="118" spans="1:11" ht="15">
      <c r="A118" s="8" t="s">
        <v>129</v>
      </c>
      <c r="B118" s="6"/>
      <c r="C118" s="4">
        <f>VLOOKUP(Vlookup!C83,'CDCM Forecast Data'!$A$14:$I$271,6,FALSE)</f>
        <v>0.17961939605399557</v>
      </c>
      <c r="D118" s="7" t="s">
        <v>262</v>
      </c>
      <c r="E118"/>
      <c r="F118"/>
      <c r="G118"/>
      <c r="H118"/>
      <c r="I118"/>
      <c r="J118"/>
      <c r="K118"/>
    </row>
    <row r="119" spans="1:11" ht="15">
      <c r="A119" s="8" t="s">
        <v>94</v>
      </c>
      <c r="B119" s="4">
        <f>VLOOKUP(Vlookup!B84,'CDCM Forecast Data'!$A$14:$I$271,6,FALSE)</f>
        <v>0.69492206140680768</v>
      </c>
      <c r="C119" s="4">
        <f>VLOOKUP(Vlookup!C84,'CDCM Forecast Data'!$A$14:$I$271,6,FALSE)</f>
        <v>0.39797534499698228</v>
      </c>
      <c r="D119" s="7" t="s">
        <v>262</v>
      </c>
      <c r="E119"/>
      <c r="F119"/>
      <c r="G119"/>
      <c r="H119"/>
      <c r="I119"/>
      <c r="J119"/>
      <c r="K119"/>
    </row>
    <row r="120" spans="1:11" ht="15">
      <c r="A120" s="8" t="s">
        <v>95</v>
      </c>
      <c r="B120" s="4">
        <f>VLOOKUP(Vlookup!B85,'CDCM Forecast Data'!$A$14:$I$271,6,FALSE)</f>
        <v>0.74846447157386065</v>
      </c>
      <c r="C120" s="4">
        <f>VLOOKUP(Vlookup!C85,'CDCM Forecast Data'!$A$14:$I$271,6,FALSE)</f>
        <v>0.52024521708825189</v>
      </c>
      <c r="D120" s="7" t="s">
        <v>262</v>
      </c>
      <c r="E120"/>
      <c r="F120"/>
      <c r="G120"/>
      <c r="H120"/>
      <c r="I120"/>
      <c r="J120"/>
      <c r="K120"/>
    </row>
    <row r="121" spans="1:11" ht="15">
      <c r="A121" s="8" t="s">
        <v>130</v>
      </c>
      <c r="B121" s="6"/>
      <c r="C121" s="4">
        <f>VLOOKUP(Vlookup!C86,'CDCM Forecast Data'!$A$14:$I$271,6,FALSE)</f>
        <v>0.21120992364816046</v>
      </c>
      <c r="D121" s="7" t="s">
        <v>262</v>
      </c>
      <c r="E121"/>
      <c r="F121"/>
      <c r="G121"/>
      <c r="H121"/>
      <c r="I121"/>
      <c r="J121"/>
      <c r="K121"/>
    </row>
    <row r="122" spans="1:11" ht="15">
      <c r="A122" s="8" t="s">
        <v>96</v>
      </c>
      <c r="B122" s="4">
        <f>VLOOKUP(Vlookup!B87,'CDCM Forecast Data'!$A$14:$I$271,6,FALSE)</f>
        <v>0.83801012339332381</v>
      </c>
      <c r="C122" s="4">
        <f>VLOOKUP(Vlookup!C87,'CDCM Forecast Data'!$A$14:$I$271,6,FALSE)</f>
        <v>0.53574416845541439</v>
      </c>
      <c r="D122" s="7" t="s">
        <v>262</v>
      </c>
      <c r="E122"/>
      <c r="F122"/>
      <c r="G122"/>
      <c r="H122"/>
      <c r="I122"/>
      <c r="J122"/>
      <c r="K122"/>
    </row>
    <row r="123" spans="1:11" ht="15">
      <c r="A123" s="8" t="s">
        <v>97</v>
      </c>
      <c r="B123" s="4">
        <f>VLOOKUP(Vlookup!B88,'CDCM Forecast Data'!$A$14:$I$271,6,FALSE)</f>
        <v>0.83801012339332381</v>
      </c>
      <c r="C123" s="4">
        <f>VLOOKUP(Vlookup!C88,'CDCM Forecast Data'!$A$14:$I$271,6,FALSE)</f>
        <v>0.53574416845541439</v>
      </c>
      <c r="D123" s="7" t="s">
        <v>262</v>
      </c>
      <c r="E123"/>
      <c r="F123"/>
      <c r="G123"/>
      <c r="H123"/>
      <c r="I123"/>
      <c r="J123"/>
      <c r="K123"/>
    </row>
    <row r="124" spans="1:11" ht="15">
      <c r="A124" s="8" t="s">
        <v>110</v>
      </c>
      <c r="B124" s="4">
        <f>VLOOKUP(Vlookup!B89,'CDCM Forecast Data'!$A$14:$I$271,6,FALSE)</f>
        <v>0.64043929029771907</v>
      </c>
      <c r="C124" s="4">
        <f>VLOOKUP(Vlookup!C89,'CDCM Forecast Data'!$A$14:$I$271,6,FALSE)</f>
        <v>0.43446675238274496</v>
      </c>
      <c r="D124" s="7" t="s">
        <v>262</v>
      </c>
      <c r="E124"/>
      <c r="F124"/>
      <c r="G124"/>
      <c r="H124"/>
      <c r="I124"/>
      <c r="J124"/>
      <c r="K124"/>
    </row>
    <row r="125" spans="1:11" ht="15">
      <c r="A125" s="8" t="s">
        <v>1536</v>
      </c>
      <c r="B125" s="4">
        <f>VLOOKUP(Vlookup!B90,'CDCM Forecast Data'!$A$14:$I$271,6,FALSE)</f>
        <v>0.83273040302787538</v>
      </c>
      <c r="C125" s="4">
        <f>VLOOKUP(Vlookup!C90,'CDCM Forecast Data'!$A$14:$I$271,6,FALSE)</f>
        <v>0.41510669865444888</v>
      </c>
      <c r="D125" s="7" t="s">
        <v>262</v>
      </c>
      <c r="E125"/>
      <c r="F125"/>
      <c r="G125"/>
      <c r="H125"/>
      <c r="I125"/>
      <c r="J125"/>
      <c r="K125"/>
    </row>
    <row r="126" spans="1:11" ht="15">
      <c r="A126" s="8" t="s">
        <v>1535</v>
      </c>
      <c r="B126" s="4">
        <f>VLOOKUP(Vlookup!B91,'CDCM Forecast Data'!$A$14:$I$271,6,FALSE)</f>
        <v>0.70542255324747616</v>
      </c>
      <c r="C126" s="4">
        <f>VLOOKUP(Vlookup!C91,'CDCM Forecast Data'!$A$14:$I$271,6,FALSE)</f>
        <v>0.42086756514790613</v>
      </c>
      <c r="D126" s="7" t="s">
        <v>262</v>
      </c>
      <c r="E126"/>
      <c r="F126"/>
      <c r="G126"/>
      <c r="H126"/>
      <c r="I126"/>
      <c r="J126"/>
      <c r="K126"/>
    </row>
    <row r="127" spans="1:11" ht="15">
      <c r="A127" s="8" t="s">
        <v>98</v>
      </c>
      <c r="B127" s="4">
        <f>VLOOKUP(Vlookup!B92,'CDCM Forecast Data'!$A$14:$I$271,6,FALSE)</f>
        <v>0.79385686220007168</v>
      </c>
      <c r="C127" s="4">
        <f>VLOOKUP(Vlookup!C92,'CDCM Forecast Data'!$A$14:$I$271,6,FALSE)</f>
        <v>0.53736458823526412</v>
      </c>
      <c r="D127" s="7" t="s">
        <v>262</v>
      </c>
      <c r="E127"/>
      <c r="F127"/>
      <c r="G127"/>
      <c r="H127"/>
      <c r="I127"/>
      <c r="J127"/>
      <c r="K127"/>
    </row>
    <row r="128" spans="1:11" ht="15">
      <c r="A128" s="8" t="s">
        <v>99</v>
      </c>
      <c r="B128" s="4">
        <f>VLOOKUP(Vlookup!B93,'CDCM Forecast Data'!$A$14:$I$271,6,FALSE)</f>
        <v>0.80793779849955216</v>
      </c>
      <c r="C128" s="4">
        <f>VLOOKUP(Vlookup!C93,'CDCM Forecast Data'!$A$14:$I$271,6,FALSE)</f>
        <v>0.52702405279759323</v>
      </c>
      <c r="D128" s="7"/>
      <c r="E128"/>
      <c r="F128"/>
      <c r="G128"/>
      <c r="H128"/>
      <c r="I128"/>
      <c r="J128"/>
      <c r="K128"/>
    </row>
    <row r="129" spans="1:11" ht="15">
      <c r="A129" s="8" t="s">
        <v>111</v>
      </c>
      <c r="B129" s="4">
        <f>VLOOKUP(Vlookup!B94,'CDCM Forecast Data'!$A$14:$I$271,6,FALSE)</f>
        <v>0.78892978454231644</v>
      </c>
      <c r="C129" s="4">
        <f>VLOOKUP(Vlookup!C94,'CDCM Forecast Data'!$A$14:$I$271,6,FALSE)</f>
        <v>0.66158319064179105</v>
      </c>
      <c r="D129" s="7"/>
      <c r="E129"/>
      <c r="F129"/>
      <c r="G129"/>
      <c r="H129"/>
      <c r="I129"/>
      <c r="J129"/>
      <c r="K129"/>
    </row>
    <row r="130" spans="1:11" ht="15">
      <c r="A130" s="8" t="s">
        <v>131</v>
      </c>
      <c r="B130" s="4">
        <f>VLOOKUP(Vlookup!B95,'CDCM Forecast Data'!$A$14:$I$271,6,FALSE)</f>
        <v>1</v>
      </c>
      <c r="C130" s="4">
        <f>VLOOKUP(Vlookup!C95,'CDCM Forecast Data'!$A$14:$I$271,6,FALSE)</f>
        <v>1</v>
      </c>
      <c r="D130" s="7" t="s">
        <v>262</v>
      </c>
      <c r="E130"/>
      <c r="F130"/>
      <c r="G130"/>
      <c r="H130"/>
      <c r="I130"/>
      <c r="J130"/>
      <c r="K130"/>
    </row>
    <row r="131" spans="1:11" ht="15">
      <c r="A131" s="8" t="s">
        <v>132</v>
      </c>
      <c r="B131" s="4">
        <f>VLOOKUP(Vlookup!B96,'CDCM Forecast Data'!$A$14:$I$271,6,FALSE)</f>
        <v>0.99301420785685035</v>
      </c>
      <c r="C131" s="4">
        <f>VLOOKUP(Vlookup!C96,'CDCM Forecast Data'!$A$14:$I$271,6,FALSE)</f>
        <v>0.46960080865953691</v>
      </c>
      <c r="D131" s="7"/>
      <c r="E131"/>
      <c r="F131"/>
      <c r="G131"/>
      <c r="H131"/>
      <c r="I131"/>
      <c r="J131"/>
      <c r="K131"/>
    </row>
    <row r="132" spans="1:11" ht="15">
      <c r="A132" s="8" t="s">
        <v>133</v>
      </c>
      <c r="B132" s="4">
        <f>VLOOKUP(Vlookup!B97,'CDCM Forecast Data'!$A$14:$I$271,6,FALSE)</f>
        <v>0.95213478843576482</v>
      </c>
      <c r="C132" s="4">
        <f>VLOOKUP(Vlookup!C97,'CDCM Forecast Data'!$A$14:$I$271,6,FALSE)</f>
        <v>0.25417039627197974</v>
      </c>
      <c r="D132" s="7"/>
      <c r="E132"/>
      <c r="F132"/>
      <c r="G132"/>
      <c r="H132"/>
      <c r="I132"/>
      <c r="J132"/>
      <c r="K132"/>
    </row>
    <row r="133" spans="1:11" ht="15">
      <c r="A133" s="8" t="s">
        <v>134</v>
      </c>
      <c r="B133" s="4">
        <f>VLOOKUP(Vlookup!B98,'CDCM Forecast Data'!$A$14:$I$271,6,FALSE)</f>
        <v>0</v>
      </c>
      <c r="C133" s="4">
        <f>VLOOKUP(Vlookup!C98,'CDCM Forecast Data'!$A$14:$I$271,6,FALSE)</f>
        <v>0.51587229987729666</v>
      </c>
      <c r="D133" s="7"/>
      <c r="E133"/>
      <c r="F133"/>
      <c r="G133"/>
      <c r="H133"/>
      <c r="I133"/>
      <c r="J133"/>
      <c r="K133"/>
    </row>
    <row r="134" spans="1:11" ht="15">
      <c r="A134" s="8" t="s">
        <v>135</v>
      </c>
      <c r="B134" s="4">
        <f>VLOOKUP(Vlookup!B99,'CDCM Forecast Data'!$A$14:$I$271,6,FALSE)</f>
        <v>0.94398062288314322</v>
      </c>
      <c r="C134" s="4">
        <f>VLOOKUP(Vlookup!C99,'CDCM Forecast Data'!$A$14:$I$271,6,FALSE)</f>
        <v>0.47630128718610992</v>
      </c>
      <c r="D134" s="7" t="s">
        <v>262</v>
      </c>
      <c r="E134"/>
      <c r="F134"/>
      <c r="G134"/>
      <c r="H134"/>
      <c r="I134"/>
      <c r="J134"/>
      <c r="K134"/>
    </row>
    <row r="135" spans="1:11" ht="15">
      <c r="A135"/>
      <c r="B135"/>
      <c r="C135"/>
      <c r="D135"/>
      <c r="E135"/>
      <c r="F135"/>
      <c r="G135"/>
      <c r="H135"/>
      <c r="I135"/>
      <c r="J135"/>
      <c r="K135"/>
    </row>
    <row r="136" spans="1:11" ht="19.5">
      <c r="A136" s="1" t="s">
        <v>136</v>
      </c>
      <c r="B136"/>
      <c r="C136"/>
      <c r="D136"/>
      <c r="E136"/>
      <c r="F136"/>
      <c r="G136"/>
      <c r="H136"/>
      <c r="I136"/>
      <c r="J136"/>
      <c r="K136"/>
    </row>
    <row r="137" spans="1:11" ht="15">
      <c r="A137" s="2" t="s">
        <v>262</v>
      </c>
      <c r="B137">
        <v>28</v>
      </c>
      <c r="C137">
        <v>29</v>
      </c>
      <c r="D137">
        <v>30</v>
      </c>
      <c r="E137">
        <v>31</v>
      </c>
      <c r="F137">
        <v>32</v>
      </c>
      <c r="G137">
        <v>33</v>
      </c>
      <c r="H137"/>
      <c r="I137"/>
      <c r="J137"/>
      <c r="K137"/>
    </row>
    <row r="138" spans="1:11" ht="15">
      <c r="A138" s="2" t="s">
        <v>137</v>
      </c>
      <c r="B138"/>
      <c r="C138"/>
      <c r="D138"/>
      <c r="E138"/>
      <c r="F138"/>
      <c r="G138"/>
      <c r="H138"/>
      <c r="I138"/>
      <c r="J138"/>
      <c r="K138"/>
    </row>
    <row r="139" spans="1:11" ht="15">
      <c r="A139" s="2" t="s">
        <v>138</v>
      </c>
      <c r="B139"/>
      <c r="C139"/>
      <c r="D139"/>
      <c r="E139"/>
      <c r="F139"/>
      <c r="G139"/>
      <c r="H139"/>
      <c r="I139"/>
      <c r="J139"/>
      <c r="K139"/>
    </row>
    <row r="140" spans="1:11" ht="15">
      <c r="A140" t="s">
        <v>139</v>
      </c>
      <c r="B140"/>
      <c r="C140"/>
      <c r="D140"/>
      <c r="E140"/>
      <c r="F140"/>
      <c r="G140"/>
      <c r="H140"/>
      <c r="I140"/>
      <c r="J140"/>
      <c r="K140"/>
    </row>
    <row r="141" spans="1:11" ht="30">
      <c r="A141"/>
      <c r="B141" s="3" t="s">
        <v>140</v>
      </c>
      <c r="C141" s="3" t="s">
        <v>141</v>
      </c>
      <c r="D141" s="3" t="s">
        <v>142</v>
      </c>
      <c r="E141" s="3" t="s">
        <v>143</v>
      </c>
      <c r="F141" s="3" t="s">
        <v>144</v>
      </c>
      <c r="G141" s="3" t="s">
        <v>145</v>
      </c>
      <c r="H141"/>
      <c r="I141"/>
      <c r="J141"/>
      <c r="K141"/>
    </row>
    <row r="142" spans="1:11" ht="15">
      <c r="A142" s="12" t="s">
        <v>146</v>
      </c>
      <c r="B142" s="13">
        <f>VLOOKUP(Vlookup!$B107,'CDCM Volume Forecasts'!$A$27:$AG$123,B$137,FALSE)</f>
        <v>0</v>
      </c>
      <c r="C142" s="13">
        <f>VLOOKUP(Vlookup!$B107,'CDCM Volume Forecasts'!$A$27:$AG$123,C$137,FALSE)</f>
        <v>0</v>
      </c>
      <c r="D142" s="13">
        <f>VLOOKUP(Vlookup!$B107,'CDCM Volume Forecasts'!$A$27:$AG$123,D$137,FALSE)</f>
        <v>0</v>
      </c>
      <c r="E142" s="13">
        <f>VLOOKUP(Vlookup!$B107,'CDCM Volume Forecasts'!$A$27:$AG$123,E$137,FALSE)</f>
        <v>0</v>
      </c>
      <c r="F142" s="13">
        <f>VLOOKUP(Vlookup!$B107,'CDCM Volume Forecasts'!$A$27:$AG$123,F$137,FALSE)</f>
        <v>0</v>
      </c>
      <c r="G142" s="13">
        <f>VLOOKUP(Vlookup!$B107,'CDCM Volume Forecasts'!$A$27:$AG$123,G$137,FALSE)</f>
        <v>0</v>
      </c>
      <c r="H142" s="7"/>
      <c r="I142"/>
      <c r="J142"/>
      <c r="K142"/>
    </row>
    <row r="143" spans="1:11" ht="15">
      <c r="A143" s="8" t="s">
        <v>92</v>
      </c>
      <c r="B143" s="4">
        <f>VLOOKUP(Vlookup!$B108,'CDCM Volume Forecasts'!$A$27:$AG$123,B$137,FALSE)</f>
        <v>7006599.2032143781</v>
      </c>
      <c r="C143" s="6">
        <f>VLOOKUP(Vlookup!$B108,'CDCM Volume Forecasts'!$A$27:$AG$123,C$137,FALSE)</f>
        <v>0</v>
      </c>
      <c r="D143" s="6">
        <f>VLOOKUP(Vlookup!$B108,'CDCM Volume Forecasts'!$A$27:$AG$123,D$137,FALSE)</f>
        <v>0</v>
      </c>
      <c r="E143" s="10">
        <f>VLOOKUP(Vlookup!$B108,'CDCM Volume Forecasts'!$A$27:$AG$123,E$137,FALSE)</f>
        <v>1967400.2028794924</v>
      </c>
      <c r="F143" s="6">
        <f>VLOOKUP(Vlookup!$B108,'CDCM Volume Forecasts'!$A$27:$AG$123,F$137,FALSE)</f>
        <v>0</v>
      </c>
      <c r="G143" s="6">
        <f>VLOOKUP(Vlookup!$B108,'CDCM Volume Forecasts'!$A$27:$AG$123,G$137,FALSE)</f>
        <v>0</v>
      </c>
      <c r="H143" s="7"/>
      <c r="I143"/>
      <c r="J143"/>
      <c r="K143"/>
    </row>
    <row r="144" spans="1:11" ht="15">
      <c r="A144" s="8" t="s">
        <v>147</v>
      </c>
      <c r="B144" s="4">
        <f>VLOOKUP(Vlookup!$B109,'CDCM Volume Forecasts'!$A$27:$AG$123,B$137,FALSE)</f>
        <v>41568.678990041961</v>
      </c>
      <c r="C144" s="6">
        <f>VLOOKUP(Vlookup!$B109,'CDCM Volume Forecasts'!$A$27:$AG$123,C$137,FALSE)</f>
        <v>0</v>
      </c>
      <c r="D144" s="6">
        <f>VLOOKUP(Vlookup!$B109,'CDCM Volume Forecasts'!$A$27:$AG$123,D$137,FALSE)</f>
        <v>0</v>
      </c>
      <c r="E144" s="10">
        <f>VLOOKUP(Vlookup!$B109,'CDCM Volume Forecasts'!$A$27:$AG$123,E$137,FALSE)</f>
        <v>13963.737782751579</v>
      </c>
      <c r="F144" s="6">
        <f>VLOOKUP(Vlookup!$B109,'CDCM Volume Forecasts'!$A$27:$AG$123,F$137,FALSE)</f>
        <v>0</v>
      </c>
      <c r="G144" s="6">
        <f>VLOOKUP(Vlookup!$B109,'CDCM Volume Forecasts'!$A$27:$AG$123,G$137,FALSE)</f>
        <v>0</v>
      </c>
      <c r="H144" s="7"/>
      <c r="I144"/>
      <c r="J144"/>
      <c r="K144"/>
    </row>
    <row r="145" spans="1:11" ht="15">
      <c r="A145" s="8" t="s">
        <v>148</v>
      </c>
      <c r="B145" s="4">
        <f>VLOOKUP(Vlookup!$B110,'CDCM Volume Forecasts'!$A$27:$AG$123,B$137,FALSE)</f>
        <v>74118.188048410288</v>
      </c>
      <c r="C145" s="6">
        <f>VLOOKUP(Vlookup!$B110,'CDCM Volume Forecasts'!$A$27:$AG$123,C$137,FALSE)</f>
        <v>0</v>
      </c>
      <c r="D145" s="6">
        <f>VLOOKUP(Vlookup!$B110,'CDCM Volume Forecasts'!$A$27:$AG$123,D$137,FALSE)</f>
        <v>0</v>
      </c>
      <c r="E145" s="10">
        <f>VLOOKUP(Vlookup!$B110,'CDCM Volume Forecasts'!$A$27:$AG$123,E$137,FALSE)</f>
        <v>24598.066280902651</v>
      </c>
      <c r="F145" s="6">
        <f>VLOOKUP(Vlookup!$B110,'CDCM Volume Forecasts'!$A$27:$AG$123,F$137,FALSE)</f>
        <v>0</v>
      </c>
      <c r="G145" s="6">
        <f>VLOOKUP(Vlookup!$B110,'CDCM Volume Forecasts'!$A$27:$AG$123,G$137,FALSE)</f>
        <v>0</v>
      </c>
      <c r="H145" s="7"/>
      <c r="I145"/>
      <c r="J145"/>
      <c r="K145"/>
    </row>
    <row r="146" spans="1:11" ht="15">
      <c r="A146" s="12" t="s">
        <v>149</v>
      </c>
      <c r="B146" s="13">
        <f>VLOOKUP(Vlookup!$B111,'CDCM Volume Forecasts'!$A$27:$AG$123,B$137,FALSE)</f>
        <v>0</v>
      </c>
      <c r="C146" s="13">
        <f>VLOOKUP(Vlookup!$B111,'CDCM Volume Forecasts'!$A$27:$AG$123,C$137,FALSE)</f>
        <v>0</v>
      </c>
      <c r="D146" s="13">
        <f>VLOOKUP(Vlookup!$B111,'CDCM Volume Forecasts'!$A$27:$AG$123,D$137,FALSE)</f>
        <v>0</v>
      </c>
      <c r="E146" s="13">
        <f>VLOOKUP(Vlookup!$B111,'CDCM Volume Forecasts'!$A$27:$AG$123,E$137,FALSE)</f>
        <v>0</v>
      </c>
      <c r="F146" s="13">
        <f>VLOOKUP(Vlookup!$B111,'CDCM Volume Forecasts'!$A$27:$AG$123,F$137,FALSE)</f>
        <v>0</v>
      </c>
      <c r="G146" s="13">
        <f>VLOOKUP(Vlookup!$B111,'CDCM Volume Forecasts'!$A$27:$AG$123,G$137,FALSE)</f>
        <v>0</v>
      </c>
      <c r="H146" s="7"/>
      <c r="I146"/>
      <c r="J146"/>
      <c r="K146"/>
    </row>
    <row r="147" spans="1:11" ht="15">
      <c r="A147" s="8" t="s">
        <v>93</v>
      </c>
      <c r="B147" s="4">
        <f>VLOOKUP(Vlookup!$B112,'CDCM Volume Forecasts'!$A$27:$AG$123,B$137,FALSE)</f>
        <v>932948.80360757222</v>
      </c>
      <c r="C147" s="4">
        <f>VLOOKUP(Vlookup!$B112,'CDCM Volume Forecasts'!$A$27:$AG$123,C$137,FALSE)</f>
        <v>720595.7844260158</v>
      </c>
      <c r="D147" s="6">
        <f>VLOOKUP(Vlookup!$B112,'CDCM Volume Forecasts'!$A$27:$AG$123,D$137,FALSE)</f>
        <v>0</v>
      </c>
      <c r="E147" s="10">
        <f>VLOOKUP(Vlookup!$B112,'CDCM Volume Forecasts'!$A$27:$AG$123,E$137,FALSE)</f>
        <v>300314.63390594267</v>
      </c>
      <c r="F147" s="6">
        <f>VLOOKUP(Vlookup!$B112,'CDCM Volume Forecasts'!$A$27:$AG$123,F$137,FALSE)</f>
        <v>0</v>
      </c>
      <c r="G147" s="6">
        <f>VLOOKUP(Vlookup!$B112,'CDCM Volume Forecasts'!$A$27:$AG$123,G$137,FALSE)</f>
        <v>0</v>
      </c>
      <c r="H147" s="7"/>
      <c r="I147"/>
      <c r="J147"/>
      <c r="K147"/>
    </row>
    <row r="148" spans="1:11" ht="15">
      <c r="A148" s="8" t="s">
        <v>150</v>
      </c>
      <c r="B148" s="4">
        <f>VLOOKUP(Vlookup!$B113,'CDCM Volume Forecasts'!$A$27:$AG$123,B$137,FALSE)</f>
        <v>2626.7913722264775</v>
      </c>
      <c r="C148" s="4">
        <f>VLOOKUP(Vlookup!$B113,'CDCM Volume Forecasts'!$A$27:$AG$123,C$137,FALSE)</f>
        <v>918.3510283071206</v>
      </c>
      <c r="D148" s="6">
        <f>VLOOKUP(Vlookup!$B113,'CDCM Volume Forecasts'!$A$27:$AG$123,D$137,FALSE)</f>
        <v>0</v>
      </c>
      <c r="E148" s="10">
        <f>VLOOKUP(Vlookup!$B113,'CDCM Volume Forecasts'!$A$27:$AG$123,E$137,FALSE)</f>
        <v>1003.190066077544</v>
      </c>
      <c r="F148" s="6">
        <f>VLOOKUP(Vlookup!$B113,'CDCM Volume Forecasts'!$A$27:$AG$123,F$137,FALSE)</f>
        <v>0</v>
      </c>
      <c r="G148" s="6">
        <f>VLOOKUP(Vlookup!$B113,'CDCM Volume Forecasts'!$A$27:$AG$123,G$137,FALSE)</f>
        <v>0</v>
      </c>
      <c r="H148" s="7"/>
      <c r="I148"/>
      <c r="J148"/>
      <c r="K148"/>
    </row>
    <row r="149" spans="1:11" ht="15">
      <c r="A149" s="8" t="s">
        <v>151</v>
      </c>
      <c r="B149" s="4">
        <f>VLOOKUP(Vlookup!$B114,'CDCM Volume Forecasts'!$A$27:$AG$123,B$137,FALSE)</f>
        <v>4076.7631681946186</v>
      </c>
      <c r="C149" s="4">
        <f>VLOOKUP(Vlookup!$B114,'CDCM Volume Forecasts'!$A$27:$AG$123,C$137,FALSE)</f>
        <v>1583.897915112062</v>
      </c>
      <c r="D149" s="6">
        <f>VLOOKUP(Vlookup!$B114,'CDCM Volume Forecasts'!$A$27:$AG$123,D$137,FALSE)</f>
        <v>0</v>
      </c>
      <c r="E149" s="10">
        <f>VLOOKUP(Vlookup!$B114,'CDCM Volume Forecasts'!$A$27:$AG$123,E$137,FALSE)</f>
        <v>1260.0889306300521</v>
      </c>
      <c r="F149" s="6">
        <f>VLOOKUP(Vlookup!$B114,'CDCM Volume Forecasts'!$A$27:$AG$123,F$137,FALSE)</f>
        <v>0</v>
      </c>
      <c r="G149" s="6">
        <f>VLOOKUP(Vlookup!$B114,'CDCM Volume Forecasts'!$A$27:$AG$123,G$137,FALSE)</f>
        <v>0</v>
      </c>
      <c r="H149" s="7"/>
      <c r="I149"/>
      <c r="J149"/>
      <c r="K149"/>
    </row>
    <row r="150" spans="1:11" ht="15">
      <c r="A150" s="12" t="s">
        <v>152</v>
      </c>
      <c r="B150" s="13">
        <f>VLOOKUP(Vlookup!$B115,'CDCM Volume Forecasts'!$A$27:$AG$123,B$137,FALSE)</f>
        <v>0</v>
      </c>
      <c r="C150" s="13">
        <f>VLOOKUP(Vlookup!$B115,'CDCM Volume Forecasts'!$A$27:$AG$123,C$137,FALSE)</f>
        <v>0</v>
      </c>
      <c r="D150" s="13">
        <f>VLOOKUP(Vlookup!$B115,'CDCM Volume Forecasts'!$A$27:$AG$123,D$137,FALSE)</f>
        <v>0</v>
      </c>
      <c r="E150" s="13">
        <f>VLOOKUP(Vlookup!$B115,'CDCM Volume Forecasts'!$A$27:$AG$123,E$137,FALSE)</f>
        <v>0</v>
      </c>
      <c r="F150" s="13">
        <f>VLOOKUP(Vlookup!$B115,'CDCM Volume Forecasts'!$A$27:$AG$123,F$137,FALSE)</f>
        <v>0</v>
      </c>
      <c r="G150" s="13">
        <f>VLOOKUP(Vlookup!$B115,'CDCM Volume Forecasts'!$A$27:$AG$123,G$137,FALSE)</f>
        <v>0</v>
      </c>
      <c r="H150" s="7"/>
      <c r="I150"/>
      <c r="J150"/>
      <c r="K150"/>
    </row>
    <row r="151" spans="1:11" ht="15">
      <c r="A151" s="8" t="s">
        <v>129</v>
      </c>
      <c r="B151" s="4">
        <f>VLOOKUP(Vlookup!$B116,'CDCM Volume Forecasts'!$A$27:$AG$123,B$137,FALSE)</f>
        <v>36106.46318967735</v>
      </c>
      <c r="C151" s="6">
        <f>VLOOKUP(Vlookup!$B116,'CDCM Volume Forecasts'!$A$27:$AG$123,C$137,FALSE)</f>
        <v>0</v>
      </c>
      <c r="D151" s="6">
        <f>VLOOKUP(Vlookup!$B116,'CDCM Volume Forecasts'!$A$27:$AG$123,D$137,FALSE)</f>
        <v>0</v>
      </c>
      <c r="E151" s="10">
        <f>VLOOKUP(Vlookup!$B116,'CDCM Volume Forecasts'!$A$27:$AG$123,E$137,FALSE)</f>
        <v>0</v>
      </c>
      <c r="F151" s="6">
        <f>VLOOKUP(Vlookup!$B116,'CDCM Volume Forecasts'!$A$27:$AG$123,F$137,FALSE)</f>
        <v>0</v>
      </c>
      <c r="G151" s="6">
        <f>VLOOKUP(Vlookup!$B116,'CDCM Volume Forecasts'!$A$27:$AG$123,G$137,FALSE)</f>
        <v>0</v>
      </c>
      <c r="H151" s="7"/>
      <c r="I151"/>
      <c r="J151"/>
      <c r="K151"/>
    </row>
    <row r="152" spans="1:11" ht="15">
      <c r="A152" s="8" t="s">
        <v>153</v>
      </c>
      <c r="B152" s="4">
        <f>VLOOKUP(Vlookup!$B117,'CDCM Volume Forecasts'!$A$27:$AG$123,B$137,FALSE)</f>
        <v>0</v>
      </c>
      <c r="C152" s="6">
        <f>VLOOKUP(Vlookup!$B117,'CDCM Volume Forecasts'!$A$27:$AG$123,C$137,FALSE)</f>
        <v>0</v>
      </c>
      <c r="D152" s="6">
        <f>VLOOKUP(Vlookup!$B117,'CDCM Volume Forecasts'!$A$27:$AG$123,D$137,FALSE)</f>
        <v>0</v>
      </c>
      <c r="E152" s="10">
        <f>VLOOKUP(Vlookup!$B117,'CDCM Volume Forecasts'!$A$27:$AG$123,E$137,FALSE)</f>
        <v>0</v>
      </c>
      <c r="F152" s="6">
        <f>VLOOKUP(Vlookup!$B117,'CDCM Volume Forecasts'!$A$27:$AG$123,F$137,FALSE)</f>
        <v>0</v>
      </c>
      <c r="G152" s="6">
        <f>VLOOKUP(Vlookup!$B117,'CDCM Volume Forecasts'!$A$27:$AG$123,G$137,FALSE)</f>
        <v>0</v>
      </c>
      <c r="H152" s="7"/>
      <c r="I152"/>
      <c r="J152"/>
      <c r="K152"/>
    </row>
    <row r="153" spans="1:11" ht="15">
      <c r="A153" s="8" t="s">
        <v>154</v>
      </c>
      <c r="B153" s="4">
        <f>VLOOKUP(Vlookup!$B118,'CDCM Volume Forecasts'!$A$27:$AG$123,B$137,FALSE)</f>
        <v>0</v>
      </c>
      <c r="C153" s="6">
        <f>VLOOKUP(Vlookup!$B118,'CDCM Volume Forecasts'!$A$27:$AG$123,C$137,FALSE)</f>
        <v>0</v>
      </c>
      <c r="D153" s="6">
        <f>VLOOKUP(Vlookup!$B118,'CDCM Volume Forecasts'!$A$27:$AG$123,D$137,FALSE)</f>
        <v>0</v>
      </c>
      <c r="E153" s="10">
        <f>VLOOKUP(Vlookup!$B118,'CDCM Volume Forecasts'!$A$27:$AG$123,E$137,FALSE)</f>
        <v>0</v>
      </c>
      <c r="F153" s="6">
        <f>VLOOKUP(Vlookup!$B118,'CDCM Volume Forecasts'!$A$27:$AG$123,F$137,FALSE)</f>
        <v>0</v>
      </c>
      <c r="G153" s="6">
        <f>VLOOKUP(Vlookup!$B118,'CDCM Volume Forecasts'!$A$27:$AG$123,G$137,FALSE)</f>
        <v>0</v>
      </c>
      <c r="H153" s="7"/>
      <c r="I153"/>
      <c r="J153"/>
      <c r="K153"/>
    </row>
    <row r="154" spans="1:11" ht="15">
      <c r="A154" s="12" t="s">
        <v>155</v>
      </c>
      <c r="B154" s="13">
        <f>VLOOKUP(Vlookup!$B119,'CDCM Volume Forecasts'!$A$27:$AG$123,B$137,FALSE)</f>
        <v>0</v>
      </c>
      <c r="C154" s="13">
        <f>VLOOKUP(Vlookup!$B119,'CDCM Volume Forecasts'!$A$27:$AG$123,C$137,FALSE)</f>
        <v>0</v>
      </c>
      <c r="D154" s="13">
        <f>VLOOKUP(Vlookup!$B119,'CDCM Volume Forecasts'!$A$27:$AG$123,D$137,FALSE)</f>
        <v>0</v>
      </c>
      <c r="E154" s="13">
        <f>VLOOKUP(Vlookup!$B119,'CDCM Volume Forecasts'!$A$27:$AG$123,E$137,FALSE)</f>
        <v>0</v>
      </c>
      <c r="F154" s="13">
        <f>VLOOKUP(Vlookup!$B119,'CDCM Volume Forecasts'!$A$27:$AG$123,F$137,FALSE)</f>
        <v>0</v>
      </c>
      <c r="G154" s="13">
        <f>VLOOKUP(Vlookup!$B119,'CDCM Volume Forecasts'!$A$27:$AG$123,G$137,FALSE)</f>
        <v>0</v>
      </c>
      <c r="H154" s="7"/>
      <c r="I154"/>
      <c r="J154"/>
      <c r="K154"/>
    </row>
    <row r="155" spans="1:11" ht="15">
      <c r="A155" s="8" t="s">
        <v>94</v>
      </c>
      <c r="B155" s="4">
        <f>VLOOKUP(Vlookup!$B120,'CDCM Volume Forecasts'!$A$27:$AG$123,B$137,FALSE)</f>
        <v>1619655.6585213088</v>
      </c>
      <c r="C155" s="6">
        <f>VLOOKUP(Vlookup!$B120,'CDCM Volume Forecasts'!$A$27:$AG$123,C$137,FALSE)</f>
        <v>0</v>
      </c>
      <c r="D155" s="6">
        <f>VLOOKUP(Vlookup!$B120,'CDCM Volume Forecasts'!$A$27:$AG$123,D$137,FALSE)</f>
        <v>0</v>
      </c>
      <c r="E155" s="10">
        <f>VLOOKUP(Vlookup!$B120,'CDCM Volume Forecasts'!$A$27:$AG$123,E$137,FALSE)</f>
        <v>135679.92656869252</v>
      </c>
      <c r="F155" s="6">
        <f>VLOOKUP(Vlookup!$B120,'CDCM Volume Forecasts'!$A$27:$AG$123,F$137,FALSE)</f>
        <v>0</v>
      </c>
      <c r="G155" s="6">
        <f>VLOOKUP(Vlookup!$B120,'CDCM Volume Forecasts'!$A$27:$AG$123,G$137,FALSE)</f>
        <v>0</v>
      </c>
      <c r="H155" s="7"/>
      <c r="I155"/>
      <c r="J155"/>
      <c r="K155"/>
    </row>
    <row r="156" spans="1:11" ht="15">
      <c r="A156" s="8" t="s">
        <v>156</v>
      </c>
      <c r="B156" s="4">
        <f>VLOOKUP(Vlookup!$B121,'CDCM Volume Forecasts'!$A$27:$AG$123,B$137,FALSE)</f>
        <v>2891.2734624687741</v>
      </c>
      <c r="C156" s="6">
        <f>VLOOKUP(Vlookup!$B121,'CDCM Volume Forecasts'!$A$27:$AG$123,C$137,FALSE)</f>
        <v>0</v>
      </c>
      <c r="D156" s="6">
        <f>VLOOKUP(Vlookup!$B121,'CDCM Volume Forecasts'!$A$27:$AG$123,D$137,FALSE)</f>
        <v>0</v>
      </c>
      <c r="E156" s="10">
        <f>VLOOKUP(Vlookup!$B121,'CDCM Volume Forecasts'!$A$27:$AG$123,E$137,FALSE)</f>
        <v>8156.5389495421296</v>
      </c>
      <c r="F156" s="6">
        <f>VLOOKUP(Vlookup!$B121,'CDCM Volume Forecasts'!$A$27:$AG$123,F$137,FALSE)</f>
        <v>0</v>
      </c>
      <c r="G156" s="6">
        <f>VLOOKUP(Vlookup!$B121,'CDCM Volume Forecasts'!$A$27:$AG$123,G$137,FALSE)</f>
        <v>0</v>
      </c>
      <c r="H156" s="7"/>
      <c r="I156"/>
      <c r="J156"/>
      <c r="K156"/>
    </row>
    <row r="157" spans="1:11" ht="15">
      <c r="A157" s="8" t="s">
        <v>157</v>
      </c>
      <c r="B157" s="4">
        <f>VLOOKUP(Vlookup!$B122,'CDCM Volume Forecasts'!$A$27:$AG$123,B$137,FALSE)</f>
        <v>15215.334512820744</v>
      </c>
      <c r="C157" s="6">
        <f>VLOOKUP(Vlookup!$B122,'CDCM Volume Forecasts'!$A$27:$AG$123,C$137,FALSE)</f>
        <v>0</v>
      </c>
      <c r="D157" s="6">
        <f>VLOOKUP(Vlookup!$B122,'CDCM Volume Forecasts'!$A$27:$AG$123,D$137,FALSE)</f>
        <v>0</v>
      </c>
      <c r="E157" s="10">
        <f>VLOOKUP(Vlookup!$B122,'CDCM Volume Forecasts'!$A$27:$AG$123,E$137,FALSE)</f>
        <v>894.00804864272811</v>
      </c>
      <c r="F157" s="6">
        <f>VLOOKUP(Vlookup!$B122,'CDCM Volume Forecasts'!$A$27:$AG$123,F$137,FALSE)</f>
        <v>0</v>
      </c>
      <c r="G157" s="6">
        <f>VLOOKUP(Vlookup!$B122,'CDCM Volume Forecasts'!$A$27:$AG$123,G$137,FALSE)</f>
        <v>0</v>
      </c>
      <c r="H157" s="7"/>
      <c r="I157"/>
      <c r="J157"/>
      <c r="K157"/>
    </row>
    <row r="158" spans="1:11" ht="15">
      <c r="A158" s="12" t="s">
        <v>158</v>
      </c>
      <c r="B158" s="13">
        <f>VLOOKUP(Vlookup!$B123,'CDCM Volume Forecasts'!$A$27:$AG$123,B$137,FALSE)</f>
        <v>0</v>
      </c>
      <c r="C158" s="13">
        <f>VLOOKUP(Vlookup!$B123,'CDCM Volume Forecasts'!$A$27:$AG$123,C$137,FALSE)</f>
        <v>0</v>
      </c>
      <c r="D158" s="13">
        <f>VLOOKUP(Vlookup!$B123,'CDCM Volume Forecasts'!$A$27:$AG$123,D$137,FALSE)</f>
        <v>0</v>
      </c>
      <c r="E158" s="13">
        <f>VLOOKUP(Vlookup!$B123,'CDCM Volume Forecasts'!$A$27:$AG$123,E$137,FALSE)</f>
        <v>0</v>
      </c>
      <c r="F158" s="13">
        <f>VLOOKUP(Vlookup!$B123,'CDCM Volume Forecasts'!$A$27:$AG$123,F$137,FALSE)</f>
        <v>0</v>
      </c>
      <c r="G158" s="13">
        <f>VLOOKUP(Vlookup!$B123,'CDCM Volume Forecasts'!$A$27:$AG$123,G$137,FALSE)</f>
        <v>0</v>
      </c>
      <c r="H158" s="7"/>
      <c r="I158"/>
      <c r="J158"/>
      <c r="K158"/>
    </row>
    <row r="159" spans="1:11" ht="15">
      <c r="A159" s="8" t="s">
        <v>95</v>
      </c>
      <c r="B159" s="4">
        <f>VLOOKUP(Vlookup!$B124,'CDCM Volume Forecasts'!$A$27:$AG$123,B$137,FALSE)</f>
        <v>505281.77147158369</v>
      </c>
      <c r="C159" s="4">
        <f>VLOOKUP(Vlookup!$B124,'CDCM Volume Forecasts'!$A$27:$AG$123,C$137,FALSE)</f>
        <v>208404.41119819321</v>
      </c>
      <c r="D159" s="6">
        <f>VLOOKUP(Vlookup!$B124,'CDCM Volume Forecasts'!$A$27:$AG$123,D$137,FALSE)</f>
        <v>0</v>
      </c>
      <c r="E159" s="10">
        <f>VLOOKUP(Vlookup!$B124,'CDCM Volume Forecasts'!$A$27:$AG$123,E$137,FALSE)</f>
        <v>34491.689344628736</v>
      </c>
      <c r="F159" s="6">
        <f>VLOOKUP(Vlookup!$B124,'CDCM Volume Forecasts'!$A$27:$AG$123,F$137,FALSE)</f>
        <v>0</v>
      </c>
      <c r="G159" s="6">
        <f>VLOOKUP(Vlookup!$B124,'CDCM Volume Forecasts'!$A$27:$AG$123,G$137,FALSE)</f>
        <v>0</v>
      </c>
      <c r="H159" s="7"/>
      <c r="I159"/>
      <c r="J159"/>
      <c r="K159"/>
    </row>
    <row r="160" spans="1:11" ht="15">
      <c r="A160" s="8" t="s">
        <v>159</v>
      </c>
      <c r="B160" s="4">
        <f>VLOOKUP(Vlookup!$B125,'CDCM Volume Forecasts'!$A$27:$AG$123,B$137,FALSE)</f>
        <v>879.40978502704854</v>
      </c>
      <c r="C160" s="4">
        <f>VLOOKUP(Vlookup!$B125,'CDCM Volume Forecasts'!$A$27:$AG$123,C$137,FALSE)</f>
        <v>325.90755796918535</v>
      </c>
      <c r="D160" s="6">
        <f>VLOOKUP(Vlookup!$B125,'CDCM Volume Forecasts'!$A$27:$AG$123,D$137,FALSE)</f>
        <v>0</v>
      </c>
      <c r="E160" s="10">
        <f>VLOOKUP(Vlookup!$B125,'CDCM Volume Forecasts'!$A$27:$AG$123,E$137,FALSE)</f>
        <v>17.982920518675567</v>
      </c>
      <c r="F160" s="6">
        <f>VLOOKUP(Vlookup!$B125,'CDCM Volume Forecasts'!$A$27:$AG$123,F$137,FALSE)</f>
        <v>0</v>
      </c>
      <c r="G160" s="6">
        <f>VLOOKUP(Vlookup!$B125,'CDCM Volume Forecasts'!$A$27:$AG$123,G$137,FALSE)</f>
        <v>0</v>
      </c>
      <c r="H160" s="7"/>
      <c r="I160"/>
      <c r="J160"/>
      <c r="K160"/>
    </row>
    <row r="161" spans="1:11" ht="15">
      <c r="A161" s="8" t="s">
        <v>160</v>
      </c>
      <c r="B161" s="4">
        <f>VLOOKUP(Vlookup!$B126,'CDCM Volume Forecasts'!$A$27:$AG$123,B$137,FALSE)</f>
        <v>3693.9572983147759</v>
      </c>
      <c r="C161" s="4">
        <f>VLOOKUP(Vlookup!$B126,'CDCM Volume Forecasts'!$A$27:$AG$123,C$137,FALSE)</f>
        <v>1053.731561149656</v>
      </c>
      <c r="D161" s="6">
        <f>VLOOKUP(Vlookup!$B126,'CDCM Volume Forecasts'!$A$27:$AG$123,D$137,FALSE)</f>
        <v>0</v>
      </c>
      <c r="E161" s="10">
        <f>VLOOKUP(Vlookup!$B126,'CDCM Volume Forecasts'!$A$27:$AG$123,E$137,FALSE)</f>
        <v>77.069659365752401</v>
      </c>
      <c r="F161" s="6">
        <f>VLOOKUP(Vlookup!$B126,'CDCM Volume Forecasts'!$A$27:$AG$123,F$137,FALSE)</f>
        <v>0</v>
      </c>
      <c r="G161" s="6">
        <f>VLOOKUP(Vlookup!$B126,'CDCM Volume Forecasts'!$A$27:$AG$123,G$137,FALSE)</f>
        <v>0</v>
      </c>
      <c r="H161" s="7"/>
      <c r="I161"/>
      <c r="J161"/>
      <c r="K161"/>
    </row>
    <row r="162" spans="1:11" ht="15">
      <c r="A162" s="12" t="s">
        <v>161</v>
      </c>
      <c r="B162" s="13">
        <f>VLOOKUP(Vlookup!$B127,'CDCM Volume Forecasts'!$A$27:$AG$123,B$137,FALSE)</f>
        <v>0</v>
      </c>
      <c r="C162" s="13">
        <f>VLOOKUP(Vlookup!$B127,'CDCM Volume Forecasts'!$A$27:$AG$123,C$137,FALSE)</f>
        <v>0</v>
      </c>
      <c r="D162" s="13">
        <f>VLOOKUP(Vlookup!$B127,'CDCM Volume Forecasts'!$A$27:$AG$123,D$137,FALSE)</f>
        <v>0</v>
      </c>
      <c r="E162" s="13">
        <f>VLOOKUP(Vlookup!$B127,'CDCM Volume Forecasts'!$A$27:$AG$123,E$137,FALSE)</f>
        <v>0</v>
      </c>
      <c r="F162" s="13">
        <f>VLOOKUP(Vlookup!$B127,'CDCM Volume Forecasts'!$A$27:$AG$123,F$137,FALSE)</f>
        <v>0</v>
      </c>
      <c r="G162" s="13">
        <f>VLOOKUP(Vlookup!$B127,'CDCM Volume Forecasts'!$A$27:$AG$123,G$137,FALSE)</f>
        <v>0</v>
      </c>
      <c r="H162" s="7"/>
      <c r="I162"/>
      <c r="J162"/>
      <c r="K162"/>
    </row>
    <row r="163" spans="1:11" ht="15">
      <c r="A163" s="8" t="s">
        <v>130</v>
      </c>
      <c r="B163" s="4">
        <f>VLOOKUP(Vlookup!$B128,'CDCM Volume Forecasts'!$A$27:$AG$123,B$137,FALSE)</f>
        <v>6654.8554381718086</v>
      </c>
      <c r="C163" s="6">
        <f>VLOOKUP(Vlookup!$B128,'CDCM Volume Forecasts'!$A$27:$AG$123,C$137,FALSE)</f>
        <v>0</v>
      </c>
      <c r="D163" s="6">
        <f>VLOOKUP(Vlookup!$B128,'CDCM Volume Forecasts'!$A$27:$AG$123,D$137,FALSE)</f>
        <v>0</v>
      </c>
      <c r="E163" s="10">
        <f>VLOOKUP(Vlookup!$B128,'CDCM Volume Forecasts'!$A$27:$AG$123,E$137,FALSE)</f>
        <v>0</v>
      </c>
      <c r="F163" s="6">
        <f>VLOOKUP(Vlookup!$B128,'CDCM Volume Forecasts'!$A$27:$AG$123,F$137,FALSE)</f>
        <v>0</v>
      </c>
      <c r="G163" s="6">
        <f>VLOOKUP(Vlookup!$B128,'CDCM Volume Forecasts'!$A$27:$AG$123,G$137,FALSE)</f>
        <v>0</v>
      </c>
      <c r="H163" s="7"/>
      <c r="I163"/>
      <c r="J163"/>
      <c r="K163"/>
    </row>
    <row r="164" spans="1:11" ht="30">
      <c r="A164" s="8" t="s">
        <v>162</v>
      </c>
      <c r="B164" s="4">
        <f>VLOOKUP(Vlookup!$B129,'CDCM Volume Forecasts'!$A$27:$AG$123,B$137,FALSE)</f>
        <v>0</v>
      </c>
      <c r="C164" s="6">
        <f>VLOOKUP(Vlookup!$B129,'CDCM Volume Forecasts'!$A$27:$AG$123,C$137,FALSE)</f>
        <v>0</v>
      </c>
      <c r="D164" s="6">
        <f>VLOOKUP(Vlookup!$B129,'CDCM Volume Forecasts'!$A$27:$AG$123,D$137,FALSE)</f>
        <v>0</v>
      </c>
      <c r="E164" s="10">
        <f>VLOOKUP(Vlookup!$B129,'CDCM Volume Forecasts'!$A$27:$AG$123,E$137,FALSE)</f>
        <v>0</v>
      </c>
      <c r="F164" s="6">
        <f>VLOOKUP(Vlookup!$B129,'CDCM Volume Forecasts'!$A$27:$AG$123,F$137,FALSE)</f>
        <v>0</v>
      </c>
      <c r="G164" s="6">
        <f>VLOOKUP(Vlookup!$B129,'CDCM Volume Forecasts'!$A$27:$AG$123,G$137,FALSE)</f>
        <v>0</v>
      </c>
      <c r="H164" s="7"/>
      <c r="I164"/>
      <c r="J164"/>
      <c r="K164"/>
    </row>
    <row r="165" spans="1:11" ht="30">
      <c r="A165" s="8" t="s">
        <v>163</v>
      </c>
      <c r="B165" s="4">
        <f>VLOOKUP(Vlookup!$B130,'CDCM Volume Forecasts'!$A$27:$AG$123,B$137,FALSE)</f>
        <v>0</v>
      </c>
      <c r="C165" s="6">
        <f>VLOOKUP(Vlookup!$B130,'CDCM Volume Forecasts'!$A$27:$AG$123,C$137,FALSE)</f>
        <v>0</v>
      </c>
      <c r="D165" s="6">
        <f>VLOOKUP(Vlookup!$B130,'CDCM Volume Forecasts'!$A$27:$AG$123,D$137,FALSE)</f>
        <v>0</v>
      </c>
      <c r="E165" s="10">
        <f>VLOOKUP(Vlookup!$B130,'CDCM Volume Forecasts'!$A$27:$AG$123,E$137,FALSE)</f>
        <v>0</v>
      </c>
      <c r="F165" s="6">
        <f>VLOOKUP(Vlookup!$B130,'CDCM Volume Forecasts'!$A$27:$AG$123,F$137,FALSE)</f>
        <v>0</v>
      </c>
      <c r="G165" s="6">
        <f>VLOOKUP(Vlookup!$B130,'CDCM Volume Forecasts'!$A$27:$AG$123,G$137,FALSE)</f>
        <v>0</v>
      </c>
      <c r="H165" s="7"/>
      <c r="I165"/>
      <c r="J165"/>
      <c r="K165"/>
    </row>
    <row r="166" spans="1:11" ht="15">
      <c r="A166" s="12" t="s">
        <v>164</v>
      </c>
      <c r="B166" s="13">
        <f>VLOOKUP(Vlookup!$B131,'CDCM Volume Forecasts'!$A$27:$AG$123,B$137,FALSE)</f>
        <v>0</v>
      </c>
      <c r="C166" s="13">
        <f>VLOOKUP(Vlookup!$B131,'CDCM Volume Forecasts'!$A$27:$AG$123,C$137,FALSE)</f>
        <v>0</v>
      </c>
      <c r="D166" s="13">
        <f>VLOOKUP(Vlookup!$B131,'CDCM Volume Forecasts'!$A$27:$AG$123,D$137,FALSE)</f>
        <v>0</v>
      </c>
      <c r="E166" s="13">
        <f>VLOOKUP(Vlookup!$B131,'CDCM Volume Forecasts'!$A$27:$AG$123,E$137,FALSE)</f>
        <v>0</v>
      </c>
      <c r="F166" s="13">
        <f>VLOOKUP(Vlookup!$B131,'CDCM Volume Forecasts'!$A$27:$AG$123,F$137,FALSE)</f>
        <v>0</v>
      </c>
      <c r="G166" s="13">
        <f>VLOOKUP(Vlookup!$B131,'CDCM Volume Forecasts'!$A$27:$AG$123,G$137,FALSE)</f>
        <v>0</v>
      </c>
      <c r="H166" s="7"/>
      <c r="I166"/>
      <c r="J166"/>
      <c r="K166"/>
    </row>
    <row r="167" spans="1:11" ht="15">
      <c r="A167" s="8" t="s">
        <v>96</v>
      </c>
      <c r="B167" s="4">
        <f>VLOOKUP(Vlookup!$B132,'CDCM Volume Forecasts'!$A$27:$AG$123,B$137,FALSE)</f>
        <v>0</v>
      </c>
      <c r="C167" s="4">
        <f>VLOOKUP(Vlookup!$B132,'CDCM Volume Forecasts'!$A$27:$AG$123,C$137,FALSE)</f>
        <v>0</v>
      </c>
      <c r="D167" s="6">
        <f>VLOOKUP(Vlookup!$B132,'CDCM Volume Forecasts'!$A$27:$AG$123,D$137,FALSE)</f>
        <v>0</v>
      </c>
      <c r="E167" s="10">
        <f>VLOOKUP(Vlookup!$B132,'CDCM Volume Forecasts'!$A$27:$AG$123,E$137,FALSE)</f>
        <v>0</v>
      </c>
      <c r="F167" s="6">
        <f>VLOOKUP(Vlookup!$B132,'CDCM Volume Forecasts'!$A$27:$AG$123,F$137,FALSE)</f>
        <v>0</v>
      </c>
      <c r="G167" s="6">
        <f>VLOOKUP(Vlookup!$B132,'CDCM Volume Forecasts'!$A$27:$AG$123,G$137,FALSE)</f>
        <v>0</v>
      </c>
      <c r="H167" s="7"/>
      <c r="I167"/>
      <c r="J167"/>
      <c r="K167"/>
    </row>
    <row r="168" spans="1:11" ht="15">
      <c r="A168" s="8" t="s">
        <v>165</v>
      </c>
      <c r="B168" s="4">
        <f>VLOOKUP(Vlookup!$B133,'CDCM Volume Forecasts'!$A$27:$AG$123,B$137,FALSE)</f>
        <v>0</v>
      </c>
      <c r="C168" s="4">
        <f>VLOOKUP(Vlookup!$B133,'CDCM Volume Forecasts'!$A$27:$AG$123,C$137,FALSE)</f>
        <v>0</v>
      </c>
      <c r="D168" s="6">
        <f>VLOOKUP(Vlookup!$B133,'CDCM Volume Forecasts'!$A$27:$AG$123,D$137,FALSE)</f>
        <v>0</v>
      </c>
      <c r="E168" s="10">
        <f>VLOOKUP(Vlookup!$B133,'CDCM Volume Forecasts'!$A$27:$AG$123,E$137,FALSE)</f>
        <v>0</v>
      </c>
      <c r="F168" s="6">
        <f>VLOOKUP(Vlookup!$B133,'CDCM Volume Forecasts'!$A$27:$AG$123,F$137,FALSE)</f>
        <v>0</v>
      </c>
      <c r="G168" s="6">
        <f>VLOOKUP(Vlookup!$B133,'CDCM Volume Forecasts'!$A$27:$AG$123,G$137,FALSE)</f>
        <v>0</v>
      </c>
      <c r="H168" s="7"/>
      <c r="I168"/>
      <c r="J168"/>
      <c r="K168"/>
    </row>
    <row r="169" spans="1:11" ht="15">
      <c r="A169" s="8" t="s">
        <v>166</v>
      </c>
      <c r="B169" s="4">
        <f>VLOOKUP(Vlookup!$B134,'CDCM Volume Forecasts'!$A$27:$AG$123,B$137,FALSE)</f>
        <v>0</v>
      </c>
      <c r="C169" s="4">
        <f>VLOOKUP(Vlookup!$B134,'CDCM Volume Forecasts'!$A$27:$AG$123,C$137,FALSE)</f>
        <v>0</v>
      </c>
      <c r="D169" s="6">
        <f>VLOOKUP(Vlookup!$B134,'CDCM Volume Forecasts'!$A$27:$AG$123,D$137,FALSE)</f>
        <v>0</v>
      </c>
      <c r="E169" s="10">
        <f>VLOOKUP(Vlookup!$B134,'CDCM Volume Forecasts'!$A$27:$AG$123,E$137,FALSE)</f>
        <v>0</v>
      </c>
      <c r="F169" s="6">
        <f>VLOOKUP(Vlookup!$B134,'CDCM Volume Forecasts'!$A$27:$AG$123,F$137,FALSE)</f>
        <v>0</v>
      </c>
      <c r="G169" s="6">
        <f>VLOOKUP(Vlookup!$B134,'CDCM Volume Forecasts'!$A$27:$AG$123,G$137,FALSE)</f>
        <v>0</v>
      </c>
      <c r="H169" s="7"/>
      <c r="I169"/>
      <c r="J169"/>
      <c r="K169"/>
    </row>
    <row r="170" spans="1:11" ht="15">
      <c r="A170" s="12" t="s">
        <v>167</v>
      </c>
      <c r="B170" s="13">
        <f>VLOOKUP(Vlookup!$B135,'CDCM Volume Forecasts'!$A$27:$AG$123,B$137,FALSE)</f>
        <v>0</v>
      </c>
      <c r="C170" s="13">
        <f>VLOOKUP(Vlookup!$B135,'CDCM Volume Forecasts'!$A$27:$AG$123,C$137,FALSE)</f>
        <v>0</v>
      </c>
      <c r="D170" s="13">
        <f>VLOOKUP(Vlookup!$B135,'CDCM Volume Forecasts'!$A$27:$AG$123,D$137,FALSE)</f>
        <v>0</v>
      </c>
      <c r="E170" s="13">
        <f>VLOOKUP(Vlookup!$B135,'CDCM Volume Forecasts'!$A$27:$AG$123,E$137,FALSE)</f>
        <v>0</v>
      </c>
      <c r="F170" s="13">
        <f>VLOOKUP(Vlookup!$B135,'CDCM Volume Forecasts'!$A$27:$AG$123,F$137,FALSE)</f>
        <v>0</v>
      </c>
      <c r="G170" s="13">
        <f>VLOOKUP(Vlookup!$B135,'CDCM Volume Forecasts'!$A$27:$AG$123,G$137,FALSE)</f>
        <v>0</v>
      </c>
      <c r="H170" s="7"/>
      <c r="I170"/>
      <c r="J170"/>
      <c r="K170"/>
    </row>
    <row r="171" spans="1:11" ht="15">
      <c r="A171" s="8" t="s">
        <v>97</v>
      </c>
      <c r="B171" s="4">
        <f>VLOOKUP(Vlookup!$B136,'CDCM Volume Forecasts'!$A$27:$AG$123,B$137,FALSE)</f>
        <v>0</v>
      </c>
      <c r="C171" s="4">
        <f>VLOOKUP(Vlookup!$B136,'CDCM Volume Forecasts'!$A$27:$AG$123,C$137,FALSE)</f>
        <v>0</v>
      </c>
      <c r="D171" s="6">
        <f>VLOOKUP(Vlookup!$B136,'CDCM Volume Forecasts'!$A$27:$AG$123,D$137,FALSE)</f>
        <v>0</v>
      </c>
      <c r="E171" s="10">
        <f>VLOOKUP(Vlookup!$B136,'CDCM Volume Forecasts'!$A$27:$AG$123,E$137,FALSE)</f>
        <v>0</v>
      </c>
      <c r="F171" s="6">
        <f>VLOOKUP(Vlookup!$B136,'CDCM Volume Forecasts'!$A$27:$AG$123,F$137,FALSE)</f>
        <v>0</v>
      </c>
      <c r="G171" s="6">
        <f>VLOOKUP(Vlookup!$B136,'CDCM Volume Forecasts'!$A$27:$AG$123,G$137,FALSE)</f>
        <v>0</v>
      </c>
      <c r="H171" s="7"/>
      <c r="I171"/>
      <c r="J171"/>
      <c r="K171"/>
    </row>
    <row r="172" spans="1:11" ht="15">
      <c r="A172" s="12" t="s">
        <v>168</v>
      </c>
      <c r="B172" s="13">
        <f>VLOOKUP(Vlookup!$B137,'CDCM Volume Forecasts'!$A$27:$AG$123,B$137,FALSE)</f>
        <v>0</v>
      </c>
      <c r="C172" s="13">
        <f>VLOOKUP(Vlookup!$B137,'CDCM Volume Forecasts'!$A$27:$AG$123,C$137,FALSE)</f>
        <v>0</v>
      </c>
      <c r="D172" s="13">
        <f>VLOOKUP(Vlookup!$B137,'CDCM Volume Forecasts'!$A$27:$AG$123,D$137,FALSE)</f>
        <v>0</v>
      </c>
      <c r="E172" s="13">
        <f>VLOOKUP(Vlookup!$B137,'CDCM Volume Forecasts'!$A$27:$AG$123,E$137,FALSE)</f>
        <v>0</v>
      </c>
      <c r="F172" s="13">
        <f>VLOOKUP(Vlookup!$B137,'CDCM Volume Forecasts'!$A$27:$AG$123,F$137,FALSE)</f>
        <v>0</v>
      </c>
      <c r="G172" s="13">
        <f>VLOOKUP(Vlookup!$B137,'CDCM Volume Forecasts'!$A$27:$AG$123,G$137,FALSE)</f>
        <v>0</v>
      </c>
      <c r="H172" s="7"/>
      <c r="I172"/>
      <c r="J172"/>
      <c r="K172"/>
    </row>
    <row r="173" spans="1:11" ht="15">
      <c r="A173" s="8" t="s">
        <v>110</v>
      </c>
      <c r="B173" s="4">
        <f>VLOOKUP(Vlookup!$B138,'CDCM Volume Forecasts'!$A$27:$AG$123,B$137,FALSE)</f>
        <v>0</v>
      </c>
      <c r="C173" s="4">
        <f>VLOOKUP(Vlookup!$B138,'CDCM Volume Forecasts'!$A$27:$AG$123,C$137,FALSE)</f>
        <v>0</v>
      </c>
      <c r="D173" s="6">
        <f>VLOOKUP(Vlookup!$B138,'CDCM Volume Forecasts'!$A$27:$AG$123,D$137,FALSE)</f>
        <v>0</v>
      </c>
      <c r="E173" s="10">
        <f>VLOOKUP(Vlookup!$B138,'CDCM Volume Forecasts'!$A$27:$AG$123,E$137,FALSE)</f>
        <v>0</v>
      </c>
      <c r="F173" s="6">
        <f>VLOOKUP(Vlookup!$B138,'CDCM Volume Forecasts'!$A$27:$AG$123,F$137,FALSE)</f>
        <v>0</v>
      </c>
      <c r="G173" s="6">
        <f>VLOOKUP(Vlookup!$B138,'CDCM Volume Forecasts'!$A$27:$AG$123,G$137,FALSE)</f>
        <v>0</v>
      </c>
      <c r="H173" s="7"/>
      <c r="I173"/>
      <c r="J173"/>
      <c r="K173"/>
    </row>
    <row r="174" spans="1:11" ht="15">
      <c r="A174" s="12" t="s">
        <v>1539</v>
      </c>
      <c r="B174" s="13">
        <f>VLOOKUP(Vlookup!$B139,'CDCM Volume Forecasts'!$A$27:$AG$123,B$137,FALSE)</f>
        <v>0</v>
      </c>
      <c r="C174" s="13">
        <f>VLOOKUP(Vlookup!$B139,'CDCM Volume Forecasts'!$A$27:$AG$123,C$137,FALSE)</f>
        <v>0</v>
      </c>
      <c r="D174" s="13">
        <f>VLOOKUP(Vlookup!$B139,'CDCM Volume Forecasts'!$A$27:$AG$123,D$137,FALSE)</f>
        <v>0</v>
      </c>
      <c r="E174" s="13">
        <f>VLOOKUP(Vlookup!$B139,'CDCM Volume Forecasts'!$A$27:$AG$123,E$137,FALSE)</f>
        <v>0</v>
      </c>
      <c r="F174" s="13">
        <f>VLOOKUP(Vlookup!$B139,'CDCM Volume Forecasts'!$A$27:$AG$123,F$137,FALSE)</f>
        <v>0</v>
      </c>
      <c r="G174" s="13">
        <f>VLOOKUP(Vlookup!$B139,'CDCM Volume Forecasts'!$A$27:$AG$123,G$137,FALSE)</f>
        <v>0</v>
      </c>
      <c r="H174" s="7"/>
      <c r="I174"/>
      <c r="J174"/>
      <c r="K174"/>
    </row>
    <row r="175" spans="1:11" ht="15">
      <c r="A175" s="8" t="s">
        <v>1536</v>
      </c>
      <c r="B175" s="4">
        <f>VLOOKUP(Vlookup!$B140,'CDCM Volume Forecasts'!$A$27:$AG$123,B$137,FALSE)</f>
        <v>0</v>
      </c>
      <c r="C175" s="4">
        <f>VLOOKUP(Vlookup!$B140,'CDCM Volume Forecasts'!$A$27:$AG$123,C$137,FALSE)</f>
        <v>0</v>
      </c>
      <c r="D175" s="4">
        <f>VLOOKUP(Vlookup!$B140,'CDCM Volume Forecasts'!$A$27:$AG$123,D$137,FALSE)</f>
        <v>0</v>
      </c>
      <c r="E175" s="10">
        <f>VLOOKUP(Vlookup!$B140,'CDCM Volume Forecasts'!$A$27:$AG$123,E$137,FALSE)</f>
        <v>0</v>
      </c>
      <c r="F175" s="6">
        <f>VLOOKUP(Vlookup!$B140,'CDCM Volume Forecasts'!$A$27:$AG$123,F$137,FALSE)</f>
        <v>0</v>
      </c>
      <c r="G175" s="6">
        <f>VLOOKUP(Vlookup!$B140,'CDCM Volume Forecasts'!$A$27:$AG$123,G$137,FALSE)</f>
        <v>0</v>
      </c>
      <c r="H175" s="7"/>
      <c r="I175"/>
      <c r="J175"/>
      <c r="K175"/>
    </row>
    <row r="176" spans="1:11" ht="15">
      <c r="A176" s="8" t="s">
        <v>1533</v>
      </c>
      <c r="B176" s="4">
        <f>VLOOKUP(Vlookup!$B141,'CDCM Volume Forecasts'!$A$27:$AG$123,B$137,FALSE)</f>
        <v>0</v>
      </c>
      <c r="C176" s="4">
        <f>VLOOKUP(Vlookup!$B141,'CDCM Volume Forecasts'!$A$27:$AG$123,C$137,FALSE)</f>
        <v>0</v>
      </c>
      <c r="D176" s="4">
        <f>VLOOKUP(Vlookup!$B141,'CDCM Volume Forecasts'!$A$27:$AG$123,D$137,FALSE)</f>
        <v>0</v>
      </c>
      <c r="E176" s="10">
        <f>VLOOKUP(Vlookup!$B141,'CDCM Volume Forecasts'!$A$27:$AG$123,E$137,FALSE)</f>
        <v>0</v>
      </c>
      <c r="F176" s="6">
        <f>VLOOKUP(Vlookup!$B141,'CDCM Volume Forecasts'!$A$27:$AG$123,F$137,FALSE)</f>
        <v>0</v>
      </c>
      <c r="G176" s="6">
        <f>VLOOKUP(Vlookup!$B141,'CDCM Volume Forecasts'!$A$27:$AG$123,G$137,FALSE)</f>
        <v>0</v>
      </c>
      <c r="H176" s="7"/>
      <c r="I176"/>
      <c r="J176"/>
      <c r="K176"/>
    </row>
    <row r="177" spans="1:11" ht="15">
      <c r="A177" s="8" t="s">
        <v>1530</v>
      </c>
      <c r="B177" s="4">
        <f>VLOOKUP(Vlookup!$B142,'CDCM Volume Forecasts'!$A$27:$AG$123,B$137,FALSE)</f>
        <v>0</v>
      </c>
      <c r="C177" s="4">
        <f>VLOOKUP(Vlookup!$B142,'CDCM Volume Forecasts'!$A$27:$AG$123,C$137,FALSE)</f>
        <v>0</v>
      </c>
      <c r="D177" s="4">
        <f>VLOOKUP(Vlookup!$B142,'CDCM Volume Forecasts'!$A$27:$AG$123,D$137,FALSE)</f>
        <v>0</v>
      </c>
      <c r="E177" s="10">
        <f>VLOOKUP(Vlookup!$B142,'CDCM Volume Forecasts'!$A$27:$AG$123,E$137,FALSE)</f>
        <v>0</v>
      </c>
      <c r="F177" s="6">
        <f>VLOOKUP(Vlookup!$B142,'CDCM Volume Forecasts'!$A$27:$AG$123,F$137,FALSE)</f>
        <v>0</v>
      </c>
      <c r="G177" s="6">
        <f>VLOOKUP(Vlookup!$B142,'CDCM Volume Forecasts'!$A$27:$AG$123,G$137,FALSE)</f>
        <v>0</v>
      </c>
      <c r="H177" s="7"/>
      <c r="I177"/>
      <c r="J177"/>
      <c r="K177"/>
    </row>
    <row r="178" spans="1:11" ht="15">
      <c r="A178" s="12" t="s">
        <v>1538</v>
      </c>
      <c r="B178" s="13">
        <f>VLOOKUP(Vlookup!$B143,'CDCM Volume Forecasts'!$A$27:$AG$123,B$137,FALSE)</f>
        <v>0</v>
      </c>
      <c r="C178" s="13">
        <f>VLOOKUP(Vlookup!$B143,'CDCM Volume Forecasts'!$A$27:$AG$123,C$137,FALSE)</f>
        <v>0</v>
      </c>
      <c r="D178" s="13">
        <f>VLOOKUP(Vlookup!$B143,'CDCM Volume Forecasts'!$A$27:$AG$123,D$137,FALSE)</f>
        <v>0</v>
      </c>
      <c r="E178" s="13">
        <f>VLOOKUP(Vlookup!$B143,'CDCM Volume Forecasts'!$A$27:$AG$123,E$137,FALSE)</f>
        <v>0</v>
      </c>
      <c r="F178" s="13">
        <f>VLOOKUP(Vlookup!$B143,'CDCM Volume Forecasts'!$A$27:$AG$123,F$137,FALSE)</f>
        <v>0</v>
      </c>
      <c r="G178" s="13">
        <f>VLOOKUP(Vlookup!$B143,'CDCM Volume Forecasts'!$A$27:$AG$123,G$137,FALSE)</f>
        <v>0</v>
      </c>
      <c r="H178" s="7"/>
      <c r="I178"/>
      <c r="J178"/>
      <c r="K178"/>
    </row>
    <row r="179" spans="1:11" ht="15">
      <c r="A179" s="8" t="s">
        <v>1535</v>
      </c>
      <c r="B179" s="4">
        <f>VLOOKUP(Vlookup!$B144,'CDCM Volume Forecasts'!$A$27:$AG$123,B$137,FALSE)</f>
        <v>68262.213677721258</v>
      </c>
      <c r="C179" s="4">
        <f>VLOOKUP(Vlookup!$B144,'CDCM Volume Forecasts'!$A$27:$AG$123,C$137,FALSE)</f>
        <v>260187.85793102454</v>
      </c>
      <c r="D179" s="4">
        <f>VLOOKUP(Vlookup!$B144,'CDCM Volume Forecasts'!$A$27:$AG$123,D$137,FALSE)</f>
        <v>288797.3281930369</v>
      </c>
      <c r="E179" s="10">
        <f>VLOOKUP(Vlookup!$B144,'CDCM Volume Forecasts'!$A$27:$AG$123,E$137,FALSE)</f>
        <v>10460.824638436699</v>
      </c>
      <c r="F179" s="6">
        <f>VLOOKUP(Vlookup!$B144,'CDCM Volume Forecasts'!$A$27:$AG$123,F$137,FALSE)</f>
        <v>0</v>
      </c>
      <c r="G179" s="6">
        <f>VLOOKUP(Vlookup!$B144,'CDCM Volume Forecasts'!$A$27:$AG$123,G$137,FALSE)</f>
        <v>0</v>
      </c>
      <c r="H179" s="7"/>
      <c r="I179"/>
      <c r="J179"/>
      <c r="K179"/>
    </row>
    <row r="180" spans="1:11" ht="15">
      <c r="A180" s="8" t="s">
        <v>1532</v>
      </c>
      <c r="B180" s="4">
        <f>VLOOKUP(Vlookup!$B145,'CDCM Volume Forecasts'!$A$27:$AG$123,B$137,FALSE)</f>
        <v>75.834457148452415</v>
      </c>
      <c r="C180" s="4">
        <f>VLOOKUP(Vlookup!$B145,'CDCM Volume Forecasts'!$A$27:$AG$123,C$137,FALSE)</f>
        <v>289.05017724699985</v>
      </c>
      <c r="D180" s="4">
        <f>VLOOKUP(Vlookup!$B145,'CDCM Volume Forecasts'!$A$27:$AG$123,D$137,FALSE)</f>
        <v>368.19822955247247</v>
      </c>
      <c r="E180" s="10">
        <f>VLOOKUP(Vlookup!$B145,'CDCM Volume Forecasts'!$A$27:$AG$123,E$137,FALSE)</f>
        <v>15.9977333411589</v>
      </c>
      <c r="F180" s="6">
        <f>VLOOKUP(Vlookup!$B145,'CDCM Volume Forecasts'!$A$27:$AG$123,F$137,FALSE)</f>
        <v>0</v>
      </c>
      <c r="G180" s="6">
        <f>VLOOKUP(Vlookup!$B145,'CDCM Volume Forecasts'!$A$27:$AG$123,G$137,FALSE)</f>
        <v>0</v>
      </c>
      <c r="H180" s="7"/>
      <c r="I180"/>
      <c r="J180"/>
      <c r="K180"/>
    </row>
    <row r="181" spans="1:11" ht="15">
      <c r="A181" s="8" t="s">
        <v>1529</v>
      </c>
      <c r="B181" s="4">
        <f>VLOOKUP(Vlookup!$B146,'CDCM Volume Forecasts'!$A$27:$AG$123,B$137,FALSE)</f>
        <v>748.69722989889033</v>
      </c>
      <c r="C181" s="4">
        <f>VLOOKUP(Vlookup!$B146,'CDCM Volume Forecasts'!$A$27:$AG$123,C$137,FALSE)</f>
        <v>2853.7300212088135</v>
      </c>
      <c r="D181" s="4">
        <f>VLOOKUP(Vlookup!$B146,'CDCM Volume Forecasts'!$A$27:$AG$123,D$137,FALSE)</f>
        <v>3130.6874634209976</v>
      </c>
      <c r="E181" s="10">
        <f>VLOOKUP(Vlookup!$B146,'CDCM Volume Forecasts'!$A$27:$AG$123,E$137,FALSE)</f>
        <v>96.748196872722914</v>
      </c>
      <c r="F181" s="6">
        <f>VLOOKUP(Vlookup!$B146,'CDCM Volume Forecasts'!$A$27:$AG$123,F$137,FALSE)</f>
        <v>0</v>
      </c>
      <c r="G181" s="6">
        <f>VLOOKUP(Vlookup!$B146,'CDCM Volume Forecasts'!$A$27:$AG$123,G$137,FALSE)</f>
        <v>0</v>
      </c>
      <c r="H181" s="7"/>
      <c r="I181"/>
      <c r="J181"/>
      <c r="K181"/>
    </row>
    <row r="182" spans="1:11" ht="15">
      <c r="A182" s="12" t="s">
        <v>169</v>
      </c>
      <c r="B182" s="13">
        <f>VLOOKUP(Vlookup!$B147,'CDCM Volume Forecasts'!$A$27:$AG$123,B$137,FALSE)</f>
        <v>0</v>
      </c>
      <c r="C182" s="13">
        <f>VLOOKUP(Vlookup!$B147,'CDCM Volume Forecasts'!$A$27:$AG$123,C$137,FALSE)</f>
        <v>0</v>
      </c>
      <c r="D182" s="13">
        <f>VLOOKUP(Vlookup!$B147,'CDCM Volume Forecasts'!$A$27:$AG$123,D$137,FALSE)</f>
        <v>0</v>
      </c>
      <c r="E182" s="13">
        <f>VLOOKUP(Vlookup!$B147,'CDCM Volume Forecasts'!$A$27:$AG$123,E$137,FALSE)</f>
        <v>0</v>
      </c>
      <c r="F182" s="13">
        <f>VLOOKUP(Vlookup!$B147,'CDCM Volume Forecasts'!$A$27:$AG$123,F$137,FALSE)</f>
        <v>0</v>
      </c>
      <c r="G182" s="13">
        <f>VLOOKUP(Vlookup!$B147,'CDCM Volume Forecasts'!$A$27:$AG$123,G$137,FALSE)</f>
        <v>0</v>
      </c>
      <c r="H182" s="7"/>
      <c r="I182"/>
      <c r="J182"/>
      <c r="K182"/>
    </row>
    <row r="183" spans="1:11" ht="15">
      <c r="A183" s="8" t="s">
        <v>98</v>
      </c>
      <c r="B183" s="4">
        <f>VLOOKUP(Vlookup!$B148,'CDCM Volume Forecasts'!$A$27:$AG$123,B$137,FALSE)</f>
        <v>298957.28664096713</v>
      </c>
      <c r="C183" s="4">
        <f>VLOOKUP(Vlookup!$B148,'CDCM Volume Forecasts'!$A$27:$AG$123,C$137,FALSE)</f>
        <v>1176221.7888048878</v>
      </c>
      <c r="D183" s="4">
        <f>VLOOKUP(Vlookup!$B148,'CDCM Volume Forecasts'!$A$27:$AG$123,D$137,FALSE)</f>
        <v>1263172.6301498166</v>
      </c>
      <c r="E183" s="10">
        <f>VLOOKUP(Vlookup!$B148,'CDCM Volume Forecasts'!$A$27:$AG$123,E$137,FALSE)</f>
        <v>13816.622163023712</v>
      </c>
      <c r="F183" s="10">
        <f>VLOOKUP(Vlookup!$B148,'CDCM Volume Forecasts'!$A$27:$AG$123,F$137,FALSE)</f>
        <v>1508041.0074922552</v>
      </c>
      <c r="G183" s="4">
        <f>VLOOKUP(Vlookup!$B148,'CDCM Volume Forecasts'!$A$27:$AG$123,G$137,FALSE)</f>
        <v>196222.56397259844</v>
      </c>
      <c r="H183" s="7"/>
      <c r="I183"/>
      <c r="J183"/>
      <c r="K183"/>
    </row>
    <row r="184" spans="1:11" ht="15">
      <c r="A184" s="8" t="s">
        <v>170</v>
      </c>
      <c r="B184" s="4">
        <f>VLOOKUP(Vlookup!$B149,'CDCM Volume Forecasts'!$A$27:$AG$123,B$137,FALSE)</f>
        <v>251.49533959309412</v>
      </c>
      <c r="C184" s="4">
        <f>VLOOKUP(Vlookup!$B149,'CDCM Volume Forecasts'!$A$27:$AG$123,C$137,FALSE)</f>
        <v>979.27101968520583</v>
      </c>
      <c r="D184" s="4">
        <f>VLOOKUP(Vlookup!$B149,'CDCM Volume Forecasts'!$A$27:$AG$123,D$137,FALSE)</f>
        <v>1323.8911488702286</v>
      </c>
      <c r="E184" s="10">
        <f>VLOOKUP(Vlookup!$B149,'CDCM Volume Forecasts'!$A$27:$AG$123,E$137,FALSE)</f>
        <v>24.512815784070572</v>
      </c>
      <c r="F184" s="10">
        <f>VLOOKUP(Vlookup!$B149,'CDCM Volume Forecasts'!$A$27:$AG$123,F$137,FALSE)</f>
        <v>1849.065290221057</v>
      </c>
      <c r="G184" s="4">
        <f>VLOOKUP(Vlookup!$B149,'CDCM Volume Forecasts'!$A$27:$AG$123,G$137,FALSE)</f>
        <v>67.956077159140733</v>
      </c>
      <c r="H184" s="7"/>
      <c r="I184"/>
      <c r="J184"/>
      <c r="K184"/>
    </row>
    <row r="185" spans="1:11" ht="15">
      <c r="A185" s="8" t="s">
        <v>171</v>
      </c>
      <c r="B185" s="4">
        <f>VLOOKUP(Vlookup!$B150,'CDCM Volume Forecasts'!$A$27:$AG$123,B$137,FALSE)</f>
        <v>13537.565805386388</v>
      </c>
      <c r="C185" s="4">
        <f>VLOOKUP(Vlookup!$B150,'CDCM Volume Forecasts'!$A$27:$AG$123,C$137,FALSE)</f>
        <v>48005.548971268166</v>
      </c>
      <c r="D185" s="4">
        <f>VLOOKUP(Vlookup!$B150,'CDCM Volume Forecasts'!$A$27:$AG$123,D$137,FALSE)</f>
        <v>54720.056524480991</v>
      </c>
      <c r="E185" s="10">
        <f>VLOOKUP(Vlookup!$B150,'CDCM Volume Forecasts'!$A$27:$AG$123,E$137,FALSE)</f>
        <v>314.54566848374873</v>
      </c>
      <c r="F185" s="10">
        <f>VLOOKUP(Vlookup!$B150,'CDCM Volume Forecasts'!$A$27:$AG$123,F$137,FALSE)</f>
        <v>75425.527164949934</v>
      </c>
      <c r="G185" s="4">
        <f>VLOOKUP(Vlookup!$B150,'CDCM Volume Forecasts'!$A$27:$AG$123,G$137,FALSE)</f>
        <v>4123.9245366067507</v>
      </c>
      <c r="H185" s="7"/>
      <c r="I185"/>
      <c r="J185"/>
      <c r="K185"/>
    </row>
    <row r="186" spans="1:11" ht="15">
      <c r="A186" s="12" t="s">
        <v>172</v>
      </c>
      <c r="B186" s="13">
        <f>VLOOKUP(Vlookup!$B151,'CDCM Volume Forecasts'!$A$27:$AG$123,B$137,FALSE)</f>
        <v>0</v>
      </c>
      <c r="C186" s="13">
        <f>VLOOKUP(Vlookup!$B151,'CDCM Volume Forecasts'!$A$27:$AG$123,C$137,FALSE)</f>
        <v>0</v>
      </c>
      <c r="D186" s="13">
        <f>VLOOKUP(Vlookup!$B151,'CDCM Volume Forecasts'!$A$27:$AG$123,D$137,FALSE)</f>
        <v>0</v>
      </c>
      <c r="E186" s="13">
        <f>VLOOKUP(Vlookup!$B151,'CDCM Volume Forecasts'!$A$27:$AG$123,E$137,FALSE)</f>
        <v>0</v>
      </c>
      <c r="F186" s="13">
        <f>VLOOKUP(Vlookup!$B151,'CDCM Volume Forecasts'!$A$27:$AG$123,F$137,FALSE)</f>
        <v>0</v>
      </c>
      <c r="G186" s="13">
        <f>VLOOKUP(Vlookup!$B151,'CDCM Volume Forecasts'!$A$27:$AG$123,G$137,FALSE)</f>
        <v>0</v>
      </c>
      <c r="H186" s="7"/>
      <c r="I186"/>
      <c r="J186"/>
      <c r="K186"/>
    </row>
    <row r="187" spans="1:11" ht="15">
      <c r="A187" s="8" t="s">
        <v>99</v>
      </c>
      <c r="B187" s="4">
        <f>VLOOKUP(Vlookup!$B152,'CDCM Volume Forecasts'!$A$27:$AG$123,B$137,FALSE)</f>
        <v>7018.5351050259123</v>
      </c>
      <c r="C187" s="4">
        <f>VLOOKUP(Vlookup!$B152,'CDCM Volume Forecasts'!$A$27:$AG$123,C$137,FALSE)</f>
        <v>27672.188641821547</v>
      </c>
      <c r="D187" s="4">
        <f>VLOOKUP(Vlookup!$B152,'CDCM Volume Forecasts'!$A$27:$AG$123,D$137,FALSE)</f>
        <v>31150.176618615114</v>
      </c>
      <c r="E187" s="10">
        <f>VLOOKUP(Vlookup!$B152,'CDCM Volume Forecasts'!$A$27:$AG$123,E$137,FALSE)</f>
        <v>122.79637271053774</v>
      </c>
      <c r="F187" s="10">
        <f>VLOOKUP(Vlookup!$B152,'CDCM Volume Forecasts'!$A$27:$AG$123,F$137,FALSE)</f>
        <v>50603.075477139901</v>
      </c>
      <c r="G187" s="4">
        <f>VLOOKUP(Vlookup!$B152,'CDCM Volume Forecasts'!$A$27:$AG$123,G$137,FALSE)</f>
        <v>4784.9905027288578</v>
      </c>
      <c r="H187" s="7"/>
      <c r="I187"/>
      <c r="J187"/>
      <c r="K187"/>
    </row>
    <row r="188" spans="1:11" ht="15">
      <c r="A188" s="8" t="s">
        <v>173</v>
      </c>
      <c r="B188" s="4">
        <f>VLOOKUP(Vlookup!$B153,'CDCM Volume Forecasts'!$A$27:$AG$123,B$137,FALSE)</f>
        <v>488.20666932707184</v>
      </c>
      <c r="C188" s="4">
        <f>VLOOKUP(Vlookup!$B153,'CDCM Volume Forecasts'!$A$27:$AG$123,C$137,FALSE)</f>
        <v>2007.7503213172342</v>
      </c>
      <c r="D188" s="4">
        <f>VLOOKUP(Vlookup!$B153,'CDCM Volume Forecasts'!$A$27:$AG$123,D$137,FALSE)</f>
        <v>2764.900888767711</v>
      </c>
      <c r="E188" s="10">
        <f>VLOOKUP(Vlookup!$B153,'CDCM Volume Forecasts'!$A$27:$AG$123,E$137,FALSE)</f>
        <v>5.6400701446733876</v>
      </c>
      <c r="F188" s="10">
        <f>VLOOKUP(Vlookup!$B153,'CDCM Volume Forecasts'!$A$27:$AG$123,F$137,FALSE)</f>
        <v>3384.0420868040314</v>
      </c>
      <c r="G188" s="4">
        <f>VLOOKUP(Vlookup!$B153,'CDCM Volume Forecasts'!$A$27:$AG$123,G$137,FALSE)</f>
        <v>1576.3003402016659</v>
      </c>
      <c r="H188" s="7"/>
      <c r="I188"/>
      <c r="J188"/>
      <c r="K188"/>
    </row>
    <row r="189" spans="1:11" ht="15">
      <c r="A189" s="12" t="s">
        <v>174</v>
      </c>
      <c r="B189" s="13">
        <f>VLOOKUP(Vlookup!$B154,'CDCM Volume Forecasts'!$A$27:$AG$123,B$137,FALSE)</f>
        <v>0</v>
      </c>
      <c r="C189" s="13">
        <f>VLOOKUP(Vlookup!$B154,'CDCM Volume Forecasts'!$A$27:$AG$123,C$137,FALSE)</f>
        <v>0</v>
      </c>
      <c r="D189" s="13">
        <f>VLOOKUP(Vlookup!$B154,'CDCM Volume Forecasts'!$A$27:$AG$123,D$137,FALSE)</f>
        <v>0</v>
      </c>
      <c r="E189" s="13">
        <f>VLOOKUP(Vlookup!$B154,'CDCM Volume Forecasts'!$A$27:$AG$123,E$137,FALSE)</f>
        <v>0</v>
      </c>
      <c r="F189" s="13">
        <f>VLOOKUP(Vlookup!$B154,'CDCM Volume Forecasts'!$A$27:$AG$123,F$137,FALSE)</f>
        <v>0</v>
      </c>
      <c r="G189" s="13">
        <f>VLOOKUP(Vlookup!$B154,'CDCM Volume Forecasts'!$A$27:$AG$123,G$137,FALSE)</f>
        <v>0</v>
      </c>
      <c r="H189" s="7"/>
      <c r="I189"/>
      <c r="J189"/>
      <c r="K189"/>
    </row>
    <row r="190" spans="1:11" ht="15">
      <c r="A190" s="8" t="s">
        <v>111</v>
      </c>
      <c r="B190" s="4">
        <f>VLOOKUP(Vlookup!$B155,'CDCM Volume Forecasts'!$A$27:$AG$123,B$137,FALSE)</f>
        <v>752034.67370639404</v>
      </c>
      <c r="C190" s="4">
        <f>VLOOKUP(Vlookup!$B155,'CDCM Volume Forecasts'!$A$27:$AG$123,C$137,FALSE)</f>
        <v>3018230.4256879073</v>
      </c>
      <c r="D190" s="4">
        <f>VLOOKUP(Vlookup!$B155,'CDCM Volume Forecasts'!$A$27:$AG$123,D$137,FALSE)</f>
        <v>3913761.9505902641</v>
      </c>
      <c r="E190" s="10">
        <f>VLOOKUP(Vlookup!$B155,'CDCM Volume Forecasts'!$A$27:$AG$123,E$137,FALSE)</f>
        <v>4028.1236359637046</v>
      </c>
      <c r="F190" s="10">
        <f>VLOOKUP(Vlookup!$B155,'CDCM Volume Forecasts'!$A$27:$AG$123,F$137,FALSE)</f>
        <v>2952679.7358666793</v>
      </c>
      <c r="G190" s="4">
        <f>VLOOKUP(Vlookup!$B155,'CDCM Volume Forecasts'!$A$27:$AG$123,G$137,FALSE)</f>
        <v>1051532.8176113358</v>
      </c>
      <c r="H190" s="7"/>
      <c r="I190"/>
      <c r="J190"/>
      <c r="K190"/>
    </row>
    <row r="191" spans="1:11" ht="15">
      <c r="A191" s="8" t="s">
        <v>175</v>
      </c>
      <c r="B191" s="4">
        <f>VLOOKUP(Vlookup!$B156,'CDCM Volume Forecasts'!$A$27:$AG$123,B$137,FALSE)</f>
        <v>2780.0934522047364</v>
      </c>
      <c r="C191" s="4">
        <f>VLOOKUP(Vlookup!$B156,'CDCM Volume Forecasts'!$A$27:$AG$123,C$137,FALSE)</f>
        <v>9141.0019170260457</v>
      </c>
      <c r="D191" s="4">
        <f>VLOOKUP(Vlookup!$B156,'CDCM Volume Forecasts'!$A$27:$AG$123,D$137,FALSE)</f>
        <v>10193.081488223934</v>
      </c>
      <c r="E191" s="10">
        <f>VLOOKUP(Vlookup!$B156,'CDCM Volume Forecasts'!$A$27:$AG$123,E$137,FALSE)</f>
        <v>21.432266549758875</v>
      </c>
      <c r="F191" s="10">
        <f>VLOOKUP(Vlookup!$B156,'CDCM Volume Forecasts'!$A$27:$AG$123,F$137,FALSE)</f>
        <v>22560.280578693553</v>
      </c>
      <c r="G191" s="4">
        <f>VLOOKUP(Vlookup!$B156,'CDCM Volume Forecasts'!$A$27:$AG$123,G$137,FALSE)</f>
        <v>833.00339193336254</v>
      </c>
      <c r="H191" s="7"/>
      <c r="I191"/>
      <c r="J191"/>
      <c r="K191"/>
    </row>
    <row r="192" spans="1:11" ht="15">
      <c r="A192" s="12" t="s">
        <v>176</v>
      </c>
      <c r="B192" s="13">
        <f>VLOOKUP(Vlookup!$B157,'CDCM Volume Forecasts'!$A$27:$AG$123,B$137,FALSE)</f>
        <v>0</v>
      </c>
      <c r="C192" s="13">
        <f>VLOOKUP(Vlookup!$B157,'CDCM Volume Forecasts'!$A$27:$AG$123,C$137,FALSE)</f>
        <v>0</v>
      </c>
      <c r="D192" s="13">
        <f>VLOOKUP(Vlookup!$B157,'CDCM Volume Forecasts'!$A$27:$AG$123,D$137,FALSE)</f>
        <v>0</v>
      </c>
      <c r="E192" s="13">
        <f>VLOOKUP(Vlookup!$B157,'CDCM Volume Forecasts'!$A$27:$AG$123,E$137,FALSE)</f>
        <v>0</v>
      </c>
      <c r="F192" s="13">
        <f>VLOOKUP(Vlookup!$B157,'CDCM Volume Forecasts'!$A$27:$AG$123,F$137,FALSE)</f>
        <v>0</v>
      </c>
      <c r="G192" s="13">
        <f>VLOOKUP(Vlookup!$B157,'CDCM Volume Forecasts'!$A$27:$AG$123,G$137,FALSE)</f>
        <v>0</v>
      </c>
      <c r="H192" s="7"/>
      <c r="I192"/>
      <c r="J192"/>
      <c r="K192"/>
    </row>
    <row r="193" spans="1:11" ht="15">
      <c r="A193" s="8" t="s">
        <v>131</v>
      </c>
      <c r="B193" s="4">
        <f>VLOOKUP(Vlookup!$B158,'CDCM Volume Forecasts'!$A$27:$AG$123,B$137,FALSE)</f>
        <v>53670.276181774323</v>
      </c>
      <c r="C193" s="6">
        <f>VLOOKUP(Vlookup!$B158,'CDCM Volume Forecasts'!$A$27:$AG$123,C$137,FALSE)</f>
        <v>0</v>
      </c>
      <c r="D193" s="6">
        <f>VLOOKUP(Vlookup!$B158,'CDCM Volume Forecasts'!$A$27:$AG$123,D$137,FALSE)</f>
        <v>0</v>
      </c>
      <c r="E193" s="10">
        <f>VLOOKUP(Vlookup!$B158,'CDCM Volume Forecasts'!$A$27:$AG$123,E$137,FALSE)</f>
        <v>945.29828999676329</v>
      </c>
      <c r="F193" s="6">
        <f>VLOOKUP(Vlookup!$B158,'CDCM Volume Forecasts'!$A$27:$AG$123,F$137,FALSE)</f>
        <v>0</v>
      </c>
      <c r="G193" s="6">
        <f>VLOOKUP(Vlookup!$B158,'CDCM Volume Forecasts'!$A$27:$AG$123,G$137,FALSE)</f>
        <v>0</v>
      </c>
      <c r="H193" s="7"/>
      <c r="I193"/>
      <c r="J193"/>
      <c r="K193"/>
    </row>
    <row r="194" spans="1:11" ht="15">
      <c r="A194" s="8" t="s">
        <v>177</v>
      </c>
      <c r="B194" s="4">
        <f>VLOOKUP(Vlookup!$B159,'CDCM Volume Forecasts'!$A$27:$AG$123,B$137,FALSE)</f>
        <v>172.28035588618667</v>
      </c>
      <c r="C194" s="6">
        <f>VLOOKUP(Vlookup!$B159,'CDCM Volume Forecasts'!$A$27:$AG$123,C$137,FALSE)</f>
        <v>0</v>
      </c>
      <c r="D194" s="6">
        <f>VLOOKUP(Vlookup!$B159,'CDCM Volume Forecasts'!$A$27:$AG$123,D$137,FALSE)</f>
        <v>0</v>
      </c>
      <c r="E194" s="10">
        <f>VLOOKUP(Vlookup!$B159,'CDCM Volume Forecasts'!$A$27:$AG$123,E$137,FALSE)</f>
        <v>0</v>
      </c>
      <c r="F194" s="6">
        <f>VLOOKUP(Vlookup!$B159,'CDCM Volume Forecasts'!$A$27:$AG$123,F$137,FALSE)</f>
        <v>0</v>
      </c>
      <c r="G194" s="6">
        <f>VLOOKUP(Vlookup!$B159,'CDCM Volume Forecasts'!$A$27:$AG$123,G$137,FALSE)</f>
        <v>0</v>
      </c>
      <c r="H194" s="7"/>
      <c r="I194"/>
      <c r="J194"/>
      <c r="K194"/>
    </row>
    <row r="195" spans="1:11" ht="15">
      <c r="A195" s="8" t="s">
        <v>178</v>
      </c>
      <c r="B195" s="4">
        <f>VLOOKUP(Vlookup!$B160,'CDCM Volume Forecasts'!$A$27:$AG$123,B$137,FALSE)</f>
        <v>0</v>
      </c>
      <c r="C195" s="6">
        <f>VLOOKUP(Vlookup!$B160,'CDCM Volume Forecasts'!$A$27:$AG$123,C$137,FALSE)</f>
        <v>0</v>
      </c>
      <c r="D195" s="6">
        <f>VLOOKUP(Vlookup!$B160,'CDCM Volume Forecasts'!$A$27:$AG$123,D$137,FALSE)</f>
        <v>0</v>
      </c>
      <c r="E195" s="10">
        <f>VLOOKUP(Vlookup!$B160,'CDCM Volume Forecasts'!$A$27:$AG$123,E$137,FALSE)</f>
        <v>0</v>
      </c>
      <c r="F195" s="6">
        <f>VLOOKUP(Vlookup!$B160,'CDCM Volume Forecasts'!$A$27:$AG$123,F$137,FALSE)</f>
        <v>0</v>
      </c>
      <c r="G195" s="6">
        <f>VLOOKUP(Vlookup!$B160,'CDCM Volume Forecasts'!$A$27:$AG$123,G$137,FALSE)</f>
        <v>0</v>
      </c>
      <c r="H195" s="7"/>
      <c r="I195"/>
      <c r="J195"/>
      <c r="K195"/>
    </row>
    <row r="196" spans="1:11" ht="15">
      <c r="A196" s="12" t="s">
        <v>179</v>
      </c>
      <c r="B196" s="13">
        <f>VLOOKUP(Vlookup!$B161,'CDCM Volume Forecasts'!$A$27:$AG$123,B$137,FALSE)</f>
        <v>0</v>
      </c>
      <c r="C196" s="13">
        <f>VLOOKUP(Vlookup!$B161,'CDCM Volume Forecasts'!$A$27:$AG$123,C$137,FALSE)</f>
        <v>0</v>
      </c>
      <c r="D196" s="13">
        <f>VLOOKUP(Vlookup!$B161,'CDCM Volume Forecasts'!$A$27:$AG$123,D$137,FALSE)</f>
        <v>0</v>
      </c>
      <c r="E196" s="13">
        <f>VLOOKUP(Vlookup!$B161,'CDCM Volume Forecasts'!$A$27:$AG$123,E$137,FALSE)</f>
        <v>0</v>
      </c>
      <c r="F196" s="13">
        <f>VLOOKUP(Vlookup!$B161,'CDCM Volume Forecasts'!$A$27:$AG$123,F$137,FALSE)</f>
        <v>0</v>
      </c>
      <c r="G196" s="13">
        <f>VLOOKUP(Vlookup!$B161,'CDCM Volume Forecasts'!$A$27:$AG$123,G$137,FALSE)</f>
        <v>0</v>
      </c>
      <c r="H196" s="7"/>
      <c r="I196"/>
      <c r="J196"/>
      <c r="K196"/>
    </row>
    <row r="197" spans="1:11" ht="15">
      <c r="A197" s="8" t="s">
        <v>132</v>
      </c>
      <c r="B197" s="4">
        <f>VLOOKUP(Vlookup!$B162,'CDCM Volume Forecasts'!$A$27:$AG$123,B$137,FALSE)</f>
        <v>16146.815302762892</v>
      </c>
      <c r="C197" s="6">
        <f>VLOOKUP(Vlookup!$B162,'CDCM Volume Forecasts'!$A$27:$AG$123,C$137,FALSE)</f>
        <v>0</v>
      </c>
      <c r="D197" s="6">
        <f>VLOOKUP(Vlookup!$B162,'CDCM Volume Forecasts'!$A$27:$AG$123,D$137,FALSE)</f>
        <v>0</v>
      </c>
      <c r="E197" s="10">
        <f>VLOOKUP(Vlookup!$B162,'CDCM Volume Forecasts'!$A$27:$AG$123,E$137,FALSE)</f>
        <v>683.89747668576126</v>
      </c>
      <c r="F197" s="6">
        <f>VLOOKUP(Vlookup!$B162,'CDCM Volume Forecasts'!$A$27:$AG$123,F$137,FALSE)</f>
        <v>0</v>
      </c>
      <c r="G197" s="6">
        <f>VLOOKUP(Vlookup!$B162,'CDCM Volume Forecasts'!$A$27:$AG$123,G$137,FALSE)</f>
        <v>0</v>
      </c>
      <c r="H197" s="7"/>
      <c r="I197"/>
      <c r="J197"/>
      <c r="K197"/>
    </row>
    <row r="198" spans="1:11" ht="15">
      <c r="A198" s="8" t="s">
        <v>180</v>
      </c>
      <c r="B198" s="4">
        <f>VLOOKUP(Vlookup!$B163,'CDCM Volume Forecasts'!$A$27:$AG$123,B$137,FALSE)</f>
        <v>177.96348496274157</v>
      </c>
      <c r="C198" s="6">
        <f>VLOOKUP(Vlookup!$B163,'CDCM Volume Forecasts'!$A$27:$AG$123,C$137,FALSE)</f>
        <v>0</v>
      </c>
      <c r="D198" s="6">
        <f>VLOOKUP(Vlookup!$B163,'CDCM Volume Forecasts'!$A$27:$AG$123,D$137,FALSE)</f>
        <v>0</v>
      </c>
      <c r="E198" s="10">
        <f>VLOOKUP(Vlookup!$B163,'CDCM Volume Forecasts'!$A$27:$AG$123,E$137,FALSE)</f>
        <v>0</v>
      </c>
      <c r="F198" s="6">
        <f>VLOOKUP(Vlookup!$B163,'CDCM Volume Forecasts'!$A$27:$AG$123,F$137,FALSE)</f>
        <v>0</v>
      </c>
      <c r="G198" s="6">
        <f>VLOOKUP(Vlookup!$B163,'CDCM Volume Forecasts'!$A$27:$AG$123,G$137,FALSE)</f>
        <v>0</v>
      </c>
      <c r="H198" s="7"/>
      <c r="I198"/>
      <c r="J198"/>
      <c r="K198"/>
    </row>
    <row r="199" spans="1:11" ht="15">
      <c r="A199" s="8" t="s">
        <v>181</v>
      </c>
      <c r="B199" s="4">
        <f>VLOOKUP(Vlookup!$B164,'CDCM Volume Forecasts'!$A$27:$AG$123,B$137,FALSE)</f>
        <v>573.70856302427069</v>
      </c>
      <c r="C199" s="6">
        <f>VLOOKUP(Vlookup!$B164,'CDCM Volume Forecasts'!$A$27:$AG$123,C$137,FALSE)</f>
        <v>0</v>
      </c>
      <c r="D199" s="6">
        <f>VLOOKUP(Vlookup!$B164,'CDCM Volume Forecasts'!$A$27:$AG$123,D$137,FALSE)</f>
        <v>0</v>
      </c>
      <c r="E199" s="10">
        <f>VLOOKUP(Vlookup!$B164,'CDCM Volume Forecasts'!$A$27:$AG$123,E$137,FALSE)</f>
        <v>0</v>
      </c>
      <c r="F199" s="6">
        <f>VLOOKUP(Vlookup!$B164,'CDCM Volume Forecasts'!$A$27:$AG$123,F$137,FALSE)</f>
        <v>0</v>
      </c>
      <c r="G199" s="6">
        <f>VLOOKUP(Vlookup!$B164,'CDCM Volume Forecasts'!$A$27:$AG$123,G$137,FALSE)</f>
        <v>0</v>
      </c>
      <c r="H199" s="7"/>
      <c r="I199"/>
      <c r="J199"/>
      <c r="K199"/>
    </row>
    <row r="200" spans="1:11" ht="15">
      <c r="A200" s="12" t="s">
        <v>182</v>
      </c>
      <c r="B200" s="13">
        <f>VLOOKUP(Vlookup!$B165,'CDCM Volume Forecasts'!$A$27:$AG$123,B$137,FALSE)</f>
        <v>0</v>
      </c>
      <c r="C200" s="13">
        <f>VLOOKUP(Vlookup!$B165,'CDCM Volume Forecasts'!$A$27:$AG$123,C$137,FALSE)</f>
        <v>0</v>
      </c>
      <c r="D200" s="13">
        <f>VLOOKUP(Vlookup!$B165,'CDCM Volume Forecasts'!$A$27:$AG$123,D$137,FALSE)</f>
        <v>0</v>
      </c>
      <c r="E200" s="13">
        <f>VLOOKUP(Vlookup!$B165,'CDCM Volume Forecasts'!$A$27:$AG$123,E$137,FALSE)</f>
        <v>0</v>
      </c>
      <c r="F200" s="13">
        <f>VLOOKUP(Vlookup!$B165,'CDCM Volume Forecasts'!$A$27:$AG$123,F$137,FALSE)</f>
        <v>0</v>
      </c>
      <c r="G200" s="13">
        <f>VLOOKUP(Vlookup!$B165,'CDCM Volume Forecasts'!$A$27:$AG$123,G$137,FALSE)</f>
        <v>0</v>
      </c>
      <c r="H200" s="7"/>
      <c r="I200"/>
      <c r="J200"/>
      <c r="K200"/>
    </row>
    <row r="201" spans="1:11" ht="15">
      <c r="A201" s="8" t="s">
        <v>133</v>
      </c>
      <c r="B201" s="4">
        <f>VLOOKUP(Vlookup!$B166,'CDCM Volume Forecasts'!$A$27:$AG$123,B$137,FALSE)</f>
        <v>770.36280056434089</v>
      </c>
      <c r="C201" s="6">
        <f>VLOOKUP(Vlookup!$B166,'CDCM Volume Forecasts'!$A$27:$AG$123,C$137,FALSE)</f>
        <v>0</v>
      </c>
      <c r="D201" s="6">
        <f>VLOOKUP(Vlookup!$B166,'CDCM Volume Forecasts'!$A$27:$AG$123,D$137,FALSE)</f>
        <v>0</v>
      </c>
      <c r="E201" s="10">
        <f>VLOOKUP(Vlookup!$B166,'CDCM Volume Forecasts'!$A$27:$AG$123,E$137,FALSE)</f>
        <v>140.83222112491973</v>
      </c>
      <c r="F201" s="6">
        <f>VLOOKUP(Vlookup!$B166,'CDCM Volume Forecasts'!$A$27:$AG$123,F$137,FALSE)</f>
        <v>0</v>
      </c>
      <c r="G201" s="6">
        <f>VLOOKUP(Vlookup!$B166,'CDCM Volume Forecasts'!$A$27:$AG$123,G$137,FALSE)</f>
        <v>0</v>
      </c>
      <c r="H201" s="7"/>
      <c r="I201"/>
      <c r="J201"/>
      <c r="K201"/>
    </row>
    <row r="202" spans="1:11" ht="15">
      <c r="A202" s="8" t="s">
        <v>183</v>
      </c>
      <c r="B202" s="4">
        <f>VLOOKUP(Vlookup!$B167,'CDCM Volume Forecasts'!$A$27:$AG$123,B$137,FALSE)</f>
        <v>0</v>
      </c>
      <c r="C202" s="6">
        <f>VLOOKUP(Vlookup!$B167,'CDCM Volume Forecasts'!$A$27:$AG$123,C$137,FALSE)</f>
        <v>0</v>
      </c>
      <c r="D202" s="6">
        <f>VLOOKUP(Vlookup!$B167,'CDCM Volume Forecasts'!$A$27:$AG$123,D$137,FALSE)</f>
        <v>0</v>
      </c>
      <c r="E202" s="10">
        <f>VLOOKUP(Vlookup!$B167,'CDCM Volume Forecasts'!$A$27:$AG$123,E$137,FALSE)</f>
        <v>0</v>
      </c>
      <c r="F202" s="6">
        <f>VLOOKUP(Vlookup!$B167,'CDCM Volume Forecasts'!$A$27:$AG$123,F$137,FALSE)</f>
        <v>0</v>
      </c>
      <c r="G202" s="6">
        <f>VLOOKUP(Vlookup!$B167,'CDCM Volume Forecasts'!$A$27:$AG$123,G$137,FALSE)</f>
        <v>0</v>
      </c>
      <c r="H202" s="7"/>
      <c r="I202"/>
      <c r="J202"/>
      <c r="K202"/>
    </row>
    <row r="203" spans="1:11" ht="15">
      <c r="A203" s="8" t="s">
        <v>184</v>
      </c>
      <c r="B203" s="4">
        <f>VLOOKUP(Vlookup!$B168,'CDCM Volume Forecasts'!$A$27:$AG$123,B$137,FALSE)</f>
        <v>28.81289678085793</v>
      </c>
      <c r="C203" s="6">
        <f>VLOOKUP(Vlookup!$B168,'CDCM Volume Forecasts'!$A$27:$AG$123,C$137,FALSE)</f>
        <v>0</v>
      </c>
      <c r="D203" s="6">
        <f>VLOOKUP(Vlookup!$B168,'CDCM Volume Forecasts'!$A$27:$AG$123,D$137,FALSE)</f>
        <v>0</v>
      </c>
      <c r="E203" s="10">
        <f>VLOOKUP(Vlookup!$B168,'CDCM Volume Forecasts'!$A$27:$AG$123,E$137,FALSE)</f>
        <v>0</v>
      </c>
      <c r="F203" s="6">
        <f>VLOOKUP(Vlookup!$B168,'CDCM Volume Forecasts'!$A$27:$AG$123,F$137,FALSE)</f>
        <v>0</v>
      </c>
      <c r="G203" s="6">
        <f>VLOOKUP(Vlookup!$B168,'CDCM Volume Forecasts'!$A$27:$AG$123,G$137,FALSE)</f>
        <v>0</v>
      </c>
      <c r="H203" s="7"/>
      <c r="I203"/>
      <c r="J203"/>
      <c r="K203"/>
    </row>
    <row r="204" spans="1:11" ht="15">
      <c r="A204" s="12" t="s">
        <v>185</v>
      </c>
      <c r="B204" s="13">
        <f>VLOOKUP(Vlookup!$B169,'CDCM Volume Forecasts'!$A$27:$AG$123,B$137,FALSE)</f>
        <v>0</v>
      </c>
      <c r="C204" s="13">
        <f>VLOOKUP(Vlookup!$B169,'CDCM Volume Forecasts'!$A$27:$AG$123,C$137,FALSE)</f>
        <v>0</v>
      </c>
      <c r="D204" s="13">
        <f>VLOOKUP(Vlookup!$B169,'CDCM Volume Forecasts'!$A$27:$AG$123,D$137,FALSE)</f>
        <v>0</v>
      </c>
      <c r="E204" s="13">
        <f>VLOOKUP(Vlookup!$B169,'CDCM Volume Forecasts'!$A$27:$AG$123,E$137,FALSE)</f>
        <v>0</v>
      </c>
      <c r="F204" s="13">
        <f>VLOOKUP(Vlookup!$B169,'CDCM Volume Forecasts'!$A$27:$AG$123,F$137,FALSE)</f>
        <v>0</v>
      </c>
      <c r="G204" s="13">
        <f>VLOOKUP(Vlookup!$B169,'CDCM Volume Forecasts'!$A$27:$AG$123,G$137,FALSE)</f>
        <v>0</v>
      </c>
      <c r="H204" s="7"/>
      <c r="I204"/>
      <c r="J204"/>
      <c r="K204"/>
    </row>
    <row r="205" spans="1:11" ht="15">
      <c r="A205" s="8" t="s">
        <v>134</v>
      </c>
      <c r="B205" s="4">
        <f>VLOOKUP(Vlookup!$B170,'CDCM Volume Forecasts'!$A$27:$AG$123,B$137,FALSE)</f>
        <v>4817.2532716792102</v>
      </c>
      <c r="C205" s="6">
        <f>VLOOKUP(Vlookup!$B170,'CDCM Volume Forecasts'!$A$27:$AG$123,C$137,FALSE)</f>
        <v>0</v>
      </c>
      <c r="D205" s="6">
        <f>VLOOKUP(Vlookup!$B170,'CDCM Volume Forecasts'!$A$27:$AG$123,D$137,FALSE)</f>
        <v>0</v>
      </c>
      <c r="E205" s="10">
        <f>VLOOKUP(Vlookup!$B170,'CDCM Volume Forecasts'!$A$27:$AG$123,E$137,FALSE)</f>
        <v>40.527257877674742</v>
      </c>
      <c r="F205" s="6">
        <f>VLOOKUP(Vlookup!$B170,'CDCM Volume Forecasts'!$A$27:$AG$123,F$137,FALSE)</f>
        <v>0</v>
      </c>
      <c r="G205" s="6">
        <f>VLOOKUP(Vlookup!$B170,'CDCM Volume Forecasts'!$A$27:$AG$123,G$137,FALSE)</f>
        <v>0</v>
      </c>
      <c r="H205" s="7"/>
      <c r="I205"/>
      <c r="J205"/>
      <c r="K205"/>
    </row>
    <row r="206" spans="1:11" ht="15">
      <c r="A206" s="8" t="s">
        <v>186</v>
      </c>
      <c r="B206" s="4">
        <f>VLOOKUP(Vlookup!$B171,'CDCM Volume Forecasts'!$A$27:$AG$123,B$137,FALSE)</f>
        <v>0</v>
      </c>
      <c r="C206" s="6">
        <f>VLOOKUP(Vlookup!$B171,'CDCM Volume Forecasts'!$A$27:$AG$123,C$137,FALSE)</f>
        <v>0</v>
      </c>
      <c r="D206" s="6">
        <f>VLOOKUP(Vlookup!$B171,'CDCM Volume Forecasts'!$A$27:$AG$123,D$137,FALSE)</f>
        <v>0</v>
      </c>
      <c r="E206" s="10">
        <f>VLOOKUP(Vlookup!$B171,'CDCM Volume Forecasts'!$A$27:$AG$123,E$137,FALSE)</f>
        <v>0</v>
      </c>
      <c r="F206" s="6">
        <f>VLOOKUP(Vlookup!$B171,'CDCM Volume Forecasts'!$A$27:$AG$123,F$137,FALSE)</f>
        <v>0</v>
      </c>
      <c r="G206" s="6">
        <f>VLOOKUP(Vlookup!$B171,'CDCM Volume Forecasts'!$A$27:$AG$123,G$137,FALSE)</f>
        <v>0</v>
      </c>
      <c r="H206" s="7"/>
      <c r="I206"/>
      <c r="J206"/>
      <c r="K206"/>
    </row>
    <row r="207" spans="1:11" ht="15">
      <c r="A207" s="8" t="s">
        <v>187</v>
      </c>
      <c r="B207" s="4">
        <f>VLOOKUP(Vlookup!$B172,'CDCM Volume Forecasts'!$A$27:$AG$123,B$137,FALSE)</f>
        <v>0</v>
      </c>
      <c r="C207" s="6">
        <f>VLOOKUP(Vlookup!$B172,'CDCM Volume Forecasts'!$A$27:$AG$123,C$137,FALSE)</f>
        <v>0</v>
      </c>
      <c r="D207" s="6">
        <f>VLOOKUP(Vlookup!$B172,'CDCM Volume Forecasts'!$A$27:$AG$123,D$137,FALSE)</f>
        <v>0</v>
      </c>
      <c r="E207" s="10">
        <f>VLOOKUP(Vlookup!$B172,'CDCM Volume Forecasts'!$A$27:$AG$123,E$137,FALSE)</f>
        <v>0</v>
      </c>
      <c r="F207" s="6">
        <f>VLOOKUP(Vlookup!$B172,'CDCM Volume Forecasts'!$A$27:$AG$123,F$137,FALSE)</f>
        <v>0</v>
      </c>
      <c r="G207" s="6">
        <f>VLOOKUP(Vlookup!$B172,'CDCM Volume Forecasts'!$A$27:$AG$123,G$137,FALSE)</f>
        <v>0</v>
      </c>
      <c r="H207" s="7"/>
      <c r="I207"/>
      <c r="J207"/>
      <c r="K207"/>
    </row>
    <row r="208" spans="1:11" ht="15">
      <c r="A208" s="12" t="s">
        <v>188</v>
      </c>
      <c r="B208" s="13">
        <f>VLOOKUP(Vlookup!$B173,'CDCM Volume Forecasts'!$A$27:$AG$123,B$137,FALSE)</f>
        <v>0</v>
      </c>
      <c r="C208" s="13">
        <f>VLOOKUP(Vlookup!$B173,'CDCM Volume Forecasts'!$A$27:$AG$123,C$137,FALSE)</f>
        <v>0</v>
      </c>
      <c r="D208" s="13">
        <f>VLOOKUP(Vlookup!$B173,'CDCM Volume Forecasts'!$A$27:$AG$123,D$137,FALSE)</f>
        <v>0</v>
      </c>
      <c r="E208" s="13">
        <f>VLOOKUP(Vlookup!$B173,'CDCM Volume Forecasts'!$A$27:$AG$123,E$137,FALSE)</f>
        <v>0</v>
      </c>
      <c r="F208" s="13">
        <f>VLOOKUP(Vlookup!$B173,'CDCM Volume Forecasts'!$A$27:$AG$123,F$137,FALSE)</f>
        <v>0</v>
      </c>
      <c r="G208" s="13">
        <f>VLOOKUP(Vlookup!$B173,'CDCM Volume Forecasts'!$A$27:$AG$123,G$137,FALSE)</f>
        <v>0</v>
      </c>
      <c r="H208" s="7"/>
      <c r="I208"/>
      <c r="J208"/>
      <c r="K208"/>
    </row>
    <row r="209" spans="1:11" ht="15">
      <c r="A209" s="8" t="s">
        <v>135</v>
      </c>
      <c r="B209" s="4">
        <f>VLOOKUP(Vlookup!$B174,'CDCM Volume Forecasts'!$A$27:$AG$123,B$137,FALSE)</f>
        <v>12679.091510220966</v>
      </c>
      <c r="C209" s="4">
        <f>VLOOKUP(Vlookup!$B174,'CDCM Volume Forecasts'!$A$27:$AG$123,C$137,FALSE)</f>
        <v>30029.713146509384</v>
      </c>
      <c r="D209" s="4">
        <f>VLOOKUP(Vlookup!$B174,'CDCM Volume Forecasts'!$A$27:$AG$123,D$137,FALSE)</f>
        <v>206123.67095361077</v>
      </c>
      <c r="E209" s="10">
        <f>VLOOKUP(Vlookup!$B174,'CDCM Volume Forecasts'!$A$27:$AG$123,E$137,FALSE)</f>
        <v>20.263628938837371</v>
      </c>
      <c r="F209" s="6">
        <f>VLOOKUP(Vlookup!$B174,'CDCM Volume Forecasts'!$A$27:$AG$123,F$137,FALSE)</f>
        <v>0</v>
      </c>
      <c r="G209" s="6">
        <f>VLOOKUP(Vlookup!$B174,'CDCM Volume Forecasts'!$A$27:$AG$123,G$137,FALSE)</f>
        <v>0</v>
      </c>
      <c r="H209" s="7"/>
      <c r="I209"/>
      <c r="J209"/>
      <c r="K209"/>
    </row>
    <row r="210" spans="1:11" ht="15">
      <c r="A210" s="8" t="s">
        <v>189</v>
      </c>
      <c r="B210" s="4">
        <f>VLOOKUP(Vlookup!$B175,'CDCM Volume Forecasts'!$A$27:$AG$123,B$137,FALSE)</f>
        <v>0</v>
      </c>
      <c r="C210" s="4">
        <f>VLOOKUP(Vlookup!$B175,'CDCM Volume Forecasts'!$A$27:$AG$123,C$137,FALSE)</f>
        <v>0</v>
      </c>
      <c r="D210" s="4">
        <f>VLOOKUP(Vlookup!$B175,'CDCM Volume Forecasts'!$A$27:$AG$123,D$137,FALSE)</f>
        <v>0</v>
      </c>
      <c r="E210" s="10">
        <f>VLOOKUP(Vlookup!$B175,'CDCM Volume Forecasts'!$A$27:$AG$123,E$137,FALSE)</f>
        <v>0</v>
      </c>
      <c r="F210" s="6">
        <f>VLOOKUP(Vlookup!$B175,'CDCM Volume Forecasts'!$A$27:$AG$123,F$137,FALSE)</f>
        <v>0</v>
      </c>
      <c r="G210" s="6">
        <f>VLOOKUP(Vlookup!$B175,'CDCM Volume Forecasts'!$A$27:$AG$123,G$137,FALSE)</f>
        <v>0</v>
      </c>
      <c r="H210" s="7"/>
      <c r="I210"/>
      <c r="J210"/>
      <c r="K210"/>
    </row>
    <row r="211" spans="1:11" ht="15">
      <c r="A211" s="8" t="s">
        <v>190</v>
      </c>
      <c r="B211" s="4">
        <f>VLOOKUP(Vlookup!$B176,'CDCM Volume Forecasts'!$A$27:$AG$123,B$137,FALSE)</f>
        <v>0</v>
      </c>
      <c r="C211" s="4">
        <f>VLOOKUP(Vlookup!$B176,'CDCM Volume Forecasts'!$A$27:$AG$123,C$137,FALSE)</f>
        <v>0</v>
      </c>
      <c r="D211" s="4">
        <f>VLOOKUP(Vlookup!$B176,'CDCM Volume Forecasts'!$A$27:$AG$123,D$137,FALSE)</f>
        <v>0</v>
      </c>
      <c r="E211" s="10">
        <f>VLOOKUP(Vlookup!$B176,'CDCM Volume Forecasts'!$A$27:$AG$123,E$137,FALSE)</f>
        <v>0</v>
      </c>
      <c r="F211" s="6">
        <f>VLOOKUP(Vlookup!$B176,'CDCM Volume Forecasts'!$A$27:$AG$123,F$137,FALSE)</f>
        <v>0</v>
      </c>
      <c r="G211" s="6">
        <f>VLOOKUP(Vlookup!$B176,'CDCM Volume Forecasts'!$A$27:$AG$123,G$137,FALSE)</f>
        <v>0</v>
      </c>
      <c r="H211" s="7"/>
      <c r="I211"/>
      <c r="J211"/>
      <c r="K211"/>
    </row>
    <row r="212" spans="1:11" ht="15">
      <c r="A212" s="12" t="s">
        <v>1537</v>
      </c>
      <c r="B212" s="13">
        <f>VLOOKUP(Vlookup!$B177,'CDCM Volume Forecasts'!$A$27:$AG$123,B$137,FALSE)</f>
        <v>0</v>
      </c>
      <c r="C212" s="13">
        <f>VLOOKUP(Vlookup!$B177,'CDCM Volume Forecasts'!$A$27:$AG$123,C$137,FALSE)</f>
        <v>0</v>
      </c>
      <c r="D212" s="13">
        <f>VLOOKUP(Vlookup!$B177,'CDCM Volume Forecasts'!$A$27:$AG$123,D$137,FALSE)</f>
        <v>0</v>
      </c>
      <c r="E212" s="13">
        <f>VLOOKUP(Vlookup!$B177,'CDCM Volume Forecasts'!$A$27:$AG$123,E$137,FALSE)</f>
        <v>0</v>
      </c>
      <c r="F212" s="13">
        <f>VLOOKUP(Vlookup!$B177,'CDCM Volume Forecasts'!$A$27:$AG$123,F$137,FALSE)</f>
        <v>0</v>
      </c>
      <c r="G212" s="13">
        <f>VLOOKUP(Vlookup!$B177,'CDCM Volume Forecasts'!$A$27:$AG$123,G$137,FALSE)</f>
        <v>0</v>
      </c>
      <c r="H212" s="7"/>
      <c r="I212"/>
      <c r="J212"/>
      <c r="K212"/>
    </row>
    <row r="213" spans="1:11" ht="15">
      <c r="A213" s="8" t="s">
        <v>1534</v>
      </c>
      <c r="B213" s="4">
        <f>VLOOKUP(Vlookup!$B178,'CDCM Volume Forecasts'!$A$27:$AG$123,B$137,FALSE)</f>
        <v>1660.7170232592748</v>
      </c>
      <c r="C213" s="6">
        <f>VLOOKUP(Vlookup!$B178,'CDCM Volume Forecasts'!$A$27:$AG$123,C$137,FALSE)</f>
        <v>0</v>
      </c>
      <c r="D213" s="6">
        <f>VLOOKUP(Vlookup!$B178,'CDCM Volume Forecasts'!$A$27:$AG$123,D$137,FALSE)</f>
        <v>0</v>
      </c>
      <c r="E213" s="10">
        <f>VLOOKUP(Vlookup!$B178,'CDCM Volume Forecasts'!$A$27:$AG$123,E$137,FALSE)</f>
        <v>119.55541073914044</v>
      </c>
      <c r="F213" s="6">
        <f>VLOOKUP(Vlookup!$B178,'CDCM Volume Forecasts'!$A$27:$AG$123,F$137,FALSE)</f>
        <v>0</v>
      </c>
      <c r="G213" s="6">
        <f>VLOOKUP(Vlookup!$B178,'CDCM Volume Forecasts'!$A$27:$AG$123,G$137,FALSE)</f>
        <v>0</v>
      </c>
      <c r="H213" s="7"/>
      <c r="I213"/>
      <c r="J213"/>
      <c r="K213"/>
    </row>
    <row r="214" spans="1:11" ht="15">
      <c r="A214" s="8" t="s">
        <v>1531</v>
      </c>
      <c r="B214" s="4">
        <f>VLOOKUP(Vlookup!$B179,'CDCM Volume Forecasts'!$A$27:$AG$123,B$137,FALSE)</f>
        <v>0</v>
      </c>
      <c r="C214" s="6">
        <f>VLOOKUP(Vlookup!$B179,'CDCM Volume Forecasts'!$A$27:$AG$123,C$137,FALSE)</f>
        <v>0</v>
      </c>
      <c r="D214" s="6">
        <f>VLOOKUP(Vlookup!$B179,'CDCM Volume Forecasts'!$A$27:$AG$123,D$137,FALSE)</f>
        <v>0</v>
      </c>
      <c r="E214" s="10">
        <f>VLOOKUP(Vlookup!$B179,'CDCM Volume Forecasts'!$A$27:$AG$123,E$137,FALSE)</f>
        <v>0</v>
      </c>
      <c r="F214" s="6">
        <f>VLOOKUP(Vlookup!$B179,'CDCM Volume Forecasts'!$A$27:$AG$123,F$137,FALSE)</f>
        <v>0</v>
      </c>
      <c r="G214" s="6">
        <f>VLOOKUP(Vlookup!$B179,'CDCM Volume Forecasts'!$A$27:$AG$123,G$137,FALSE)</f>
        <v>0</v>
      </c>
      <c r="H214" s="7"/>
      <c r="I214"/>
      <c r="J214"/>
      <c r="K214"/>
    </row>
    <row r="215" spans="1:11" ht="15">
      <c r="A215" s="8" t="s">
        <v>1528</v>
      </c>
      <c r="B215" s="4">
        <f>VLOOKUP(Vlookup!$B180,'CDCM Volume Forecasts'!$A$27:$AG$123,B$137,FALSE)</f>
        <v>0</v>
      </c>
      <c r="C215" s="6">
        <f>VLOOKUP(Vlookup!$B180,'CDCM Volume Forecasts'!$A$27:$AG$123,C$137,FALSE)</f>
        <v>0</v>
      </c>
      <c r="D215" s="6">
        <f>VLOOKUP(Vlookup!$B180,'CDCM Volume Forecasts'!$A$27:$AG$123,D$137,FALSE)</f>
        <v>0</v>
      </c>
      <c r="E215" s="10">
        <f>VLOOKUP(Vlookup!$B180,'CDCM Volume Forecasts'!$A$27:$AG$123,E$137,FALSE)</f>
        <v>0</v>
      </c>
      <c r="F215" s="6">
        <f>VLOOKUP(Vlookup!$B180,'CDCM Volume Forecasts'!$A$27:$AG$123,F$137,FALSE)</f>
        <v>0</v>
      </c>
      <c r="G215" s="6">
        <f>VLOOKUP(Vlookup!$B180,'CDCM Volume Forecasts'!$A$27:$AG$123,G$137,FALSE)</f>
        <v>0</v>
      </c>
      <c r="H215" s="7"/>
      <c r="I215"/>
      <c r="J215"/>
      <c r="K215"/>
    </row>
    <row r="216" spans="1:11" ht="15">
      <c r="A216" s="12" t="s">
        <v>191</v>
      </c>
      <c r="B216" s="13">
        <f>VLOOKUP(Vlookup!$B181,'CDCM Volume Forecasts'!$A$27:$AG$123,B$137,FALSE)</f>
        <v>0</v>
      </c>
      <c r="C216" s="13">
        <f>VLOOKUP(Vlookup!$B181,'CDCM Volume Forecasts'!$A$27:$AG$123,C$137,FALSE)</f>
        <v>0</v>
      </c>
      <c r="D216" s="13">
        <f>VLOOKUP(Vlookup!$B181,'CDCM Volume Forecasts'!$A$27:$AG$123,D$137,FALSE)</f>
        <v>0</v>
      </c>
      <c r="E216" s="13">
        <f>VLOOKUP(Vlookup!$B181,'CDCM Volume Forecasts'!$A$27:$AG$123,E$137,FALSE)</f>
        <v>0</v>
      </c>
      <c r="F216" s="13">
        <f>VLOOKUP(Vlookup!$B181,'CDCM Volume Forecasts'!$A$27:$AG$123,F$137,FALSE)</f>
        <v>0</v>
      </c>
      <c r="G216" s="13">
        <f>VLOOKUP(Vlookup!$B181,'CDCM Volume Forecasts'!$A$27:$AG$123,G$137,FALSE)</f>
        <v>0</v>
      </c>
      <c r="H216" s="7"/>
      <c r="I216"/>
      <c r="J216"/>
      <c r="K216"/>
    </row>
    <row r="217" spans="1:11" ht="15">
      <c r="A217" s="8" t="s">
        <v>100</v>
      </c>
      <c r="B217" s="4">
        <f>VLOOKUP(Vlookup!$B182,'CDCM Volume Forecasts'!$A$27:$AG$123,B$137,FALSE)</f>
        <v>0</v>
      </c>
      <c r="C217" s="6">
        <f>VLOOKUP(Vlookup!$B182,'CDCM Volume Forecasts'!$A$27:$AG$123,C$137,FALSE)</f>
        <v>0</v>
      </c>
      <c r="D217" s="6">
        <f>VLOOKUP(Vlookup!$B182,'CDCM Volume Forecasts'!$A$27:$AG$123,D$137,FALSE)</f>
        <v>0</v>
      </c>
      <c r="E217" s="10">
        <f>VLOOKUP(Vlookup!$B182,'CDCM Volume Forecasts'!$A$27:$AG$123,E$137,FALSE)</f>
        <v>0</v>
      </c>
      <c r="F217" s="6">
        <f>VLOOKUP(Vlookup!$B182,'CDCM Volume Forecasts'!$A$27:$AG$123,F$137,FALSE)</f>
        <v>0</v>
      </c>
      <c r="G217" s="6">
        <f>VLOOKUP(Vlookup!$B182,'CDCM Volume Forecasts'!$A$27:$AG$123,G$137,FALSE)</f>
        <v>0</v>
      </c>
      <c r="H217" s="7"/>
      <c r="I217"/>
      <c r="J217"/>
      <c r="K217"/>
    </row>
    <row r="218" spans="1:11" ht="15">
      <c r="A218" s="8" t="s">
        <v>192</v>
      </c>
      <c r="B218" s="4">
        <f>VLOOKUP(Vlookup!$B183,'CDCM Volume Forecasts'!$A$27:$AG$123,B$137,FALSE)</f>
        <v>0</v>
      </c>
      <c r="C218" s="6">
        <f>VLOOKUP(Vlookup!$B183,'CDCM Volume Forecasts'!$A$27:$AG$123,C$137,FALSE)</f>
        <v>0</v>
      </c>
      <c r="D218" s="6">
        <f>VLOOKUP(Vlookup!$B183,'CDCM Volume Forecasts'!$A$27:$AG$123,D$137,FALSE)</f>
        <v>0</v>
      </c>
      <c r="E218" s="10">
        <f>VLOOKUP(Vlookup!$B183,'CDCM Volume Forecasts'!$A$27:$AG$123,E$137,FALSE)</f>
        <v>0</v>
      </c>
      <c r="F218" s="6">
        <f>VLOOKUP(Vlookup!$B183,'CDCM Volume Forecasts'!$A$27:$AG$123,F$137,FALSE)</f>
        <v>0</v>
      </c>
      <c r="G218" s="6">
        <f>VLOOKUP(Vlookup!$B183,'CDCM Volume Forecasts'!$A$27:$AG$123,G$137,FALSE)</f>
        <v>0</v>
      </c>
      <c r="H218" s="7"/>
      <c r="I218"/>
      <c r="J218"/>
      <c r="K218"/>
    </row>
    <row r="219" spans="1:11" ht="15">
      <c r="A219" s="12" t="s">
        <v>193</v>
      </c>
      <c r="B219" s="13">
        <f>VLOOKUP(Vlookup!$B184,'CDCM Volume Forecasts'!$A$27:$AG$123,B$137,FALSE)</f>
        <v>0</v>
      </c>
      <c r="C219" s="13">
        <f>VLOOKUP(Vlookup!$B184,'CDCM Volume Forecasts'!$A$27:$AG$123,C$137,FALSE)</f>
        <v>0</v>
      </c>
      <c r="D219" s="13">
        <f>VLOOKUP(Vlookup!$B184,'CDCM Volume Forecasts'!$A$27:$AG$123,D$137,FALSE)</f>
        <v>0</v>
      </c>
      <c r="E219" s="13">
        <f>VLOOKUP(Vlookup!$B184,'CDCM Volume Forecasts'!$A$27:$AG$123,E$137,FALSE)</f>
        <v>0</v>
      </c>
      <c r="F219" s="13">
        <f>VLOOKUP(Vlookup!$B184,'CDCM Volume Forecasts'!$A$27:$AG$123,F$137,FALSE)</f>
        <v>0</v>
      </c>
      <c r="G219" s="13">
        <f>VLOOKUP(Vlookup!$B184,'CDCM Volume Forecasts'!$A$27:$AG$123,G$137,FALSE)</f>
        <v>0</v>
      </c>
      <c r="H219" s="7"/>
      <c r="I219"/>
      <c r="J219"/>
      <c r="K219"/>
    </row>
    <row r="220" spans="1:11" ht="15">
      <c r="A220" s="8" t="s">
        <v>101</v>
      </c>
      <c r="B220" s="4">
        <f>VLOOKUP(Vlookup!$B185,'CDCM Volume Forecasts'!$A$27:$AG$123,B$137,FALSE)</f>
        <v>24996.858841456458</v>
      </c>
      <c r="C220" s="6">
        <f>VLOOKUP(Vlookup!$B185,'CDCM Volume Forecasts'!$A$27:$AG$123,C$137,FALSE)</f>
        <v>0</v>
      </c>
      <c r="D220" s="6">
        <f>VLOOKUP(Vlookup!$B185,'CDCM Volume Forecasts'!$A$27:$AG$123,D$137,FALSE)</f>
        <v>0</v>
      </c>
      <c r="E220" s="10">
        <f>VLOOKUP(Vlookup!$B185,'CDCM Volume Forecasts'!$A$27:$AG$123,E$137,FALSE)</f>
        <v>167.17493874540833</v>
      </c>
      <c r="F220" s="6">
        <f>VLOOKUP(Vlookup!$B185,'CDCM Volume Forecasts'!$A$27:$AG$123,F$137,FALSE)</f>
        <v>0</v>
      </c>
      <c r="G220" s="4">
        <f>VLOOKUP(Vlookup!$B185,'CDCM Volume Forecasts'!$A$27:$AG$123,G$137,FALSE)</f>
        <v>1833.7618341721654</v>
      </c>
      <c r="H220" s="7"/>
      <c r="I220"/>
      <c r="J220"/>
      <c r="K220"/>
    </row>
    <row r="221" spans="1:11" ht="15">
      <c r="A221" s="8" t="s">
        <v>194</v>
      </c>
      <c r="B221" s="4">
        <f>VLOOKUP(Vlookup!$B186,'CDCM Volume Forecasts'!$A$27:$AG$123,B$137,FALSE)</f>
        <v>0</v>
      </c>
      <c r="C221" s="6">
        <f>VLOOKUP(Vlookup!$B186,'CDCM Volume Forecasts'!$A$27:$AG$123,C$137,FALSE)</f>
        <v>0</v>
      </c>
      <c r="D221" s="6">
        <f>VLOOKUP(Vlookup!$B186,'CDCM Volume Forecasts'!$A$27:$AG$123,D$137,FALSE)</f>
        <v>0</v>
      </c>
      <c r="E221" s="10">
        <f>VLOOKUP(Vlookup!$B186,'CDCM Volume Forecasts'!$A$27:$AG$123,E$137,FALSE)</f>
        <v>0</v>
      </c>
      <c r="F221" s="6">
        <f>VLOOKUP(Vlookup!$B186,'CDCM Volume Forecasts'!$A$27:$AG$123,F$137,FALSE)</f>
        <v>0</v>
      </c>
      <c r="G221" s="4">
        <f>VLOOKUP(Vlookup!$B186,'CDCM Volume Forecasts'!$A$27:$AG$123,G$137,FALSE)</f>
        <v>0</v>
      </c>
      <c r="H221" s="7"/>
      <c r="I221"/>
      <c r="J221"/>
      <c r="K221"/>
    </row>
    <row r="222" spans="1:11" ht="15">
      <c r="A222" s="8" t="s">
        <v>195</v>
      </c>
      <c r="B222" s="4">
        <f>VLOOKUP(Vlookup!$B187,'CDCM Volume Forecasts'!$A$27:$AG$123,B$137,FALSE)</f>
        <v>67.449079939668152</v>
      </c>
      <c r="C222" s="6">
        <f>VLOOKUP(Vlookup!$B187,'CDCM Volume Forecasts'!$A$27:$AG$123,C$137,FALSE)</f>
        <v>0</v>
      </c>
      <c r="D222" s="6">
        <f>VLOOKUP(Vlookup!$B187,'CDCM Volume Forecasts'!$A$27:$AG$123,D$137,FALSE)</f>
        <v>0</v>
      </c>
      <c r="E222" s="10">
        <f>VLOOKUP(Vlookup!$B187,'CDCM Volume Forecasts'!$A$27:$AG$123,E$137,FALSE)</f>
        <v>0</v>
      </c>
      <c r="F222" s="6">
        <f>VLOOKUP(Vlookup!$B187,'CDCM Volume Forecasts'!$A$27:$AG$123,F$137,FALSE)</f>
        <v>0</v>
      </c>
      <c r="G222" s="4">
        <f>VLOOKUP(Vlookup!$B187,'CDCM Volume Forecasts'!$A$27:$AG$123,G$137,FALSE)</f>
        <v>40.276868917141599</v>
      </c>
      <c r="H222" s="7"/>
      <c r="I222"/>
      <c r="J222"/>
      <c r="K222"/>
    </row>
    <row r="223" spans="1:11" ht="15">
      <c r="A223" s="12" t="s">
        <v>196</v>
      </c>
      <c r="B223" s="13">
        <f>VLOOKUP(Vlookup!$B188,'CDCM Volume Forecasts'!$A$27:$AG$123,B$137,FALSE)</f>
        <v>0</v>
      </c>
      <c r="C223" s="13">
        <f>VLOOKUP(Vlookup!$B188,'CDCM Volume Forecasts'!$A$27:$AG$123,C$137,FALSE)</f>
        <v>0</v>
      </c>
      <c r="D223" s="13">
        <f>VLOOKUP(Vlookup!$B188,'CDCM Volume Forecasts'!$A$27:$AG$123,D$137,FALSE)</f>
        <v>0</v>
      </c>
      <c r="E223" s="13">
        <f>VLOOKUP(Vlookup!$B188,'CDCM Volume Forecasts'!$A$27:$AG$123,E$137,FALSE)</f>
        <v>0</v>
      </c>
      <c r="F223" s="13">
        <f>VLOOKUP(Vlookup!$B188,'CDCM Volume Forecasts'!$A$27:$AG$123,F$137,FALSE)</f>
        <v>0</v>
      </c>
      <c r="G223" s="13">
        <f>VLOOKUP(Vlookup!$B188,'CDCM Volume Forecasts'!$A$27:$AG$123,G$137,FALSE)</f>
        <v>0</v>
      </c>
      <c r="H223" s="7"/>
      <c r="I223"/>
      <c r="J223"/>
      <c r="K223"/>
    </row>
    <row r="224" spans="1:11" ht="15">
      <c r="A224" s="8" t="s">
        <v>102</v>
      </c>
      <c r="B224" s="4">
        <f>VLOOKUP(Vlookup!$B189,'CDCM Volume Forecasts'!$A$27:$AG$123,B$137,FALSE)</f>
        <v>826.92226302739937</v>
      </c>
      <c r="C224" s="4">
        <f>VLOOKUP(Vlookup!$B189,'CDCM Volume Forecasts'!$A$27:$AG$123,C$137,FALSE)</f>
        <v>3731.6613783210264</v>
      </c>
      <c r="D224" s="4">
        <f>VLOOKUP(Vlookup!$B189,'CDCM Volume Forecasts'!$A$27:$AG$123,D$137,FALSE)</f>
        <v>5008.4114190363289</v>
      </c>
      <c r="E224" s="10">
        <f>VLOOKUP(Vlookup!$B189,'CDCM Volume Forecasts'!$A$27:$AG$123,E$137,FALSE)</f>
        <v>86.120422990058827</v>
      </c>
      <c r="F224" s="6">
        <f>VLOOKUP(Vlookup!$B189,'CDCM Volume Forecasts'!$A$27:$AG$123,F$137,FALSE)</f>
        <v>0</v>
      </c>
      <c r="G224" s="4">
        <f>VLOOKUP(Vlookup!$B189,'CDCM Volume Forecasts'!$A$27:$AG$123,G$137,FALSE)</f>
        <v>497.09178617320293</v>
      </c>
      <c r="H224" s="7"/>
      <c r="I224"/>
      <c r="J224"/>
      <c r="K224"/>
    </row>
    <row r="225" spans="1:11" ht="15">
      <c r="A225" s="8" t="s">
        <v>197</v>
      </c>
      <c r="B225" s="4">
        <f>VLOOKUP(Vlookup!$B190,'CDCM Volume Forecasts'!$A$27:$AG$123,B$137,FALSE)</f>
        <v>0</v>
      </c>
      <c r="C225" s="4">
        <f>VLOOKUP(Vlookup!$B190,'CDCM Volume Forecasts'!$A$27:$AG$123,C$137,FALSE)</f>
        <v>0</v>
      </c>
      <c r="D225" s="4">
        <f>VLOOKUP(Vlookup!$B190,'CDCM Volume Forecasts'!$A$27:$AG$123,D$137,FALSE)</f>
        <v>0</v>
      </c>
      <c r="E225" s="10">
        <f>VLOOKUP(Vlookup!$B190,'CDCM Volume Forecasts'!$A$27:$AG$123,E$137,FALSE)</f>
        <v>0</v>
      </c>
      <c r="F225" s="6">
        <f>VLOOKUP(Vlookup!$B190,'CDCM Volume Forecasts'!$A$27:$AG$123,F$137,FALSE)</f>
        <v>0</v>
      </c>
      <c r="G225" s="4">
        <f>VLOOKUP(Vlookup!$B190,'CDCM Volume Forecasts'!$A$27:$AG$123,G$137,FALSE)</f>
        <v>0</v>
      </c>
      <c r="H225" s="7"/>
      <c r="I225"/>
      <c r="J225"/>
      <c r="K225"/>
    </row>
    <row r="226" spans="1:11" ht="15">
      <c r="A226" s="8" t="s">
        <v>198</v>
      </c>
      <c r="B226" s="4">
        <f>VLOOKUP(Vlookup!$B191,'CDCM Volume Forecasts'!$A$27:$AG$123,B$137,FALSE)</f>
        <v>0.3293543489190548</v>
      </c>
      <c r="C226" s="4">
        <f>VLOOKUP(Vlookup!$B191,'CDCM Volume Forecasts'!$A$27:$AG$123,C$137,FALSE)</f>
        <v>0</v>
      </c>
      <c r="D226" s="4">
        <f>VLOOKUP(Vlookup!$B191,'CDCM Volume Forecasts'!$A$27:$AG$123,D$137,FALSE)</f>
        <v>0</v>
      </c>
      <c r="E226" s="10">
        <f>VLOOKUP(Vlookup!$B191,'CDCM Volume Forecasts'!$A$27:$AG$123,E$137,FALSE)</f>
        <v>0</v>
      </c>
      <c r="F226" s="6">
        <f>VLOOKUP(Vlookup!$B191,'CDCM Volume Forecasts'!$A$27:$AG$123,F$137,FALSE)</f>
        <v>0</v>
      </c>
      <c r="G226" s="4">
        <f>VLOOKUP(Vlookup!$B191,'CDCM Volume Forecasts'!$A$27:$AG$123,G$137,FALSE)</f>
        <v>0.38239675580885579</v>
      </c>
      <c r="H226" s="7"/>
      <c r="I226"/>
      <c r="J226"/>
      <c r="K226"/>
    </row>
    <row r="227" spans="1:11" ht="15">
      <c r="A227" s="12" t="s">
        <v>199</v>
      </c>
      <c r="B227" s="13">
        <f>VLOOKUP(Vlookup!$B192,'CDCM Volume Forecasts'!$A$27:$AG$123,B$137,FALSE)</f>
        <v>0</v>
      </c>
      <c r="C227" s="13">
        <f>VLOOKUP(Vlookup!$B192,'CDCM Volume Forecasts'!$A$27:$AG$123,C$137,FALSE)</f>
        <v>0</v>
      </c>
      <c r="D227" s="13">
        <f>VLOOKUP(Vlookup!$B192,'CDCM Volume Forecasts'!$A$27:$AG$123,D$137,FALSE)</f>
        <v>0</v>
      </c>
      <c r="E227" s="13">
        <f>VLOOKUP(Vlookup!$B192,'CDCM Volume Forecasts'!$A$27:$AG$123,E$137,FALSE)</f>
        <v>0</v>
      </c>
      <c r="F227" s="13">
        <f>VLOOKUP(Vlookup!$B192,'CDCM Volume Forecasts'!$A$27:$AG$123,F$137,FALSE)</f>
        <v>0</v>
      </c>
      <c r="G227" s="13">
        <f>VLOOKUP(Vlookup!$B192,'CDCM Volume Forecasts'!$A$27:$AG$123,G$137,FALSE)</f>
        <v>0</v>
      </c>
      <c r="H227" s="7"/>
      <c r="I227"/>
      <c r="J227"/>
      <c r="K227"/>
    </row>
    <row r="228" spans="1:11" ht="15">
      <c r="A228" s="8" t="s">
        <v>103</v>
      </c>
      <c r="B228" s="4">
        <f>VLOOKUP(Vlookup!$B193,'CDCM Volume Forecasts'!$A$27:$AG$123,B$137,FALSE)</f>
        <v>1213.6794216291853</v>
      </c>
      <c r="C228" s="6">
        <f>VLOOKUP(Vlookup!$B193,'CDCM Volume Forecasts'!$A$27:$AG$123,C$137,FALSE)</f>
        <v>0</v>
      </c>
      <c r="D228" s="6">
        <f>VLOOKUP(Vlookup!$B193,'CDCM Volume Forecasts'!$A$27:$AG$123,D$137,FALSE)</f>
        <v>0</v>
      </c>
      <c r="E228" s="10">
        <f>VLOOKUP(Vlookup!$B193,'CDCM Volume Forecasts'!$A$27:$AG$123,E$137,FALSE)</f>
        <v>5.0659072347093428</v>
      </c>
      <c r="F228" s="6">
        <f>VLOOKUP(Vlookup!$B193,'CDCM Volume Forecasts'!$A$27:$AG$123,F$137,FALSE)</f>
        <v>0</v>
      </c>
      <c r="G228" s="4">
        <f>VLOOKUP(Vlookup!$B193,'CDCM Volume Forecasts'!$A$27:$AG$123,G$137,FALSE)</f>
        <v>124.64962312250731</v>
      </c>
      <c r="H228" s="7"/>
      <c r="I228"/>
      <c r="J228"/>
      <c r="K228"/>
    </row>
    <row r="229" spans="1:11" ht="15">
      <c r="A229" s="8" t="s">
        <v>200</v>
      </c>
      <c r="B229" s="4">
        <f>VLOOKUP(Vlookup!$B194,'CDCM Volume Forecasts'!$A$27:$AG$123,B$137,FALSE)</f>
        <v>0</v>
      </c>
      <c r="C229" s="6">
        <f>VLOOKUP(Vlookup!$B194,'CDCM Volume Forecasts'!$A$27:$AG$123,C$137,FALSE)</f>
        <v>0</v>
      </c>
      <c r="D229" s="6">
        <f>VLOOKUP(Vlookup!$B194,'CDCM Volume Forecasts'!$A$27:$AG$123,D$137,FALSE)</f>
        <v>0</v>
      </c>
      <c r="E229" s="10">
        <f>VLOOKUP(Vlookup!$B194,'CDCM Volume Forecasts'!$A$27:$AG$123,E$137,FALSE)</f>
        <v>0</v>
      </c>
      <c r="F229" s="6">
        <f>VLOOKUP(Vlookup!$B194,'CDCM Volume Forecasts'!$A$27:$AG$123,F$137,FALSE)</f>
        <v>0</v>
      </c>
      <c r="G229" s="4">
        <f>VLOOKUP(Vlookup!$B194,'CDCM Volume Forecasts'!$A$27:$AG$123,G$137,FALSE)</f>
        <v>0</v>
      </c>
      <c r="H229" s="7"/>
      <c r="I229"/>
      <c r="J229"/>
      <c r="K229"/>
    </row>
    <row r="230" spans="1:11" ht="15">
      <c r="A230" s="12" t="s">
        <v>201</v>
      </c>
      <c r="B230" s="13">
        <f>VLOOKUP(Vlookup!$B195,'CDCM Volume Forecasts'!$A$27:$AG$123,B$137,FALSE)</f>
        <v>0</v>
      </c>
      <c r="C230" s="13">
        <f>VLOOKUP(Vlookup!$B195,'CDCM Volume Forecasts'!$A$27:$AG$123,C$137,FALSE)</f>
        <v>0</v>
      </c>
      <c r="D230" s="13">
        <f>VLOOKUP(Vlookup!$B195,'CDCM Volume Forecasts'!$A$27:$AG$123,D$137,FALSE)</f>
        <v>0</v>
      </c>
      <c r="E230" s="13">
        <f>VLOOKUP(Vlookup!$B195,'CDCM Volume Forecasts'!$A$27:$AG$123,E$137,FALSE)</f>
        <v>0</v>
      </c>
      <c r="F230" s="13">
        <f>VLOOKUP(Vlookup!$B195,'CDCM Volume Forecasts'!$A$27:$AG$123,F$137,FALSE)</f>
        <v>0</v>
      </c>
      <c r="G230" s="13">
        <f>VLOOKUP(Vlookup!$B195,'CDCM Volume Forecasts'!$A$27:$AG$123,G$137,FALSE)</f>
        <v>0</v>
      </c>
      <c r="H230" s="7"/>
      <c r="I230"/>
      <c r="J230"/>
      <c r="K230"/>
    </row>
    <row r="231" spans="1:11" ht="15">
      <c r="A231" s="8" t="s">
        <v>104</v>
      </c>
      <c r="B231" s="4">
        <f>VLOOKUP(Vlookup!$B196,'CDCM Volume Forecasts'!$A$27:$AG$123,B$137,FALSE)</f>
        <v>1398.4642496253416</v>
      </c>
      <c r="C231" s="4">
        <f>VLOOKUP(Vlookup!$B196,'CDCM Volume Forecasts'!$A$27:$AG$123,C$137,FALSE)</f>
        <v>3179.9868408000002</v>
      </c>
      <c r="D231" s="4">
        <f>VLOOKUP(Vlookup!$B196,'CDCM Volume Forecasts'!$A$27:$AG$123,D$137,FALSE)</f>
        <v>6128.1571032000011</v>
      </c>
      <c r="E231" s="10">
        <f>VLOOKUP(Vlookup!$B196,'CDCM Volume Forecasts'!$A$27:$AG$123,E$137,FALSE)</f>
        <v>4.0527257877674732</v>
      </c>
      <c r="F231" s="6">
        <f>VLOOKUP(Vlookup!$B196,'CDCM Volume Forecasts'!$A$27:$AG$123,F$137,FALSE)</f>
        <v>0</v>
      </c>
      <c r="G231" s="4">
        <f>VLOOKUP(Vlookup!$B196,'CDCM Volume Forecasts'!$A$27:$AG$123,G$137,FALSE)</f>
        <v>8.8798433495988469</v>
      </c>
      <c r="H231" s="7"/>
      <c r="I231"/>
      <c r="J231"/>
      <c r="K231"/>
    </row>
    <row r="232" spans="1:11" ht="15">
      <c r="A232" s="8" t="s">
        <v>202</v>
      </c>
      <c r="B232" s="4">
        <f>VLOOKUP(Vlookup!$B197,'CDCM Volume Forecasts'!$A$27:$AG$123,B$137,FALSE)</f>
        <v>0</v>
      </c>
      <c r="C232" s="4">
        <f>VLOOKUP(Vlookup!$B197,'CDCM Volume Forecasts'!$A$27:$AG$123,C$137,FALSE)</f>
        <v>0</v>
      </c>
      <c r="D232" s="4">
        <f>VLOOKUP(Vlookup!$B197,'CDCM Volume Forecasts'!$A$27:$AG$123,D$137,FALSE)</f>
        <v>0</v>
      </c>
      <c r="E232" s="10">
        <f>VLOOKUP(Vlookup!$B197,'CDCM Volume Forecasts'!$A$27:$AG$123,E$137,FALSE)</f>
        <v>0</v>
      </c>
      <c r="F232" s="6">
        <f>VLOOKUP(Vlookup!$B197,'CDCM Volume Forecasts'!$A$27:$AG$123,F$137,FALSE)</f>
        <v>0</v>
      </c>
      <c r="G232" s="4">
        <f>VLOOKUP(Vlookup!$B197,'CDCM Volume Forecasts'!$A$27:$AG$123,G$137,FALSE)</f>
        <v>0</v>
      </c>
      <c r="H232" s="7"/>
      <c r="I232"/>
      <c r="J232"/>
      <c r="K232"/>
    </row>
    <row r="233" spans="1:11" ht="15">
      <c r="A233" s="12" t="s">
        <v>203</v>
      </c>
      <c r="B233" s="13">
        <f>VLOOKUP(Vlookup!$B198,'CDCM Volume Forecasts'!$A$27:$AG$123,B$137,FALSE)</f>
        <v>0</v>
      </c>
      <c r="C233" s="13">
        <f>VLOOKUP(Vlookup!$B198,'CDCM Volume Forecasts'!$A$27:$AG$123,C$137,FALSE)</f>
        <v>0</v>
      </c>
      <c r="D233" s="13">
        <f>VLOOKUP(Vlookup!$B198,'CDCM Volume Forecasts'!$A$27:$AG$123,D$137,FALSE)</f>
        <v>0</v>
      </c>
      <c r="E233" s="13">
        <f>VLOOKUP(Vlookup!$B198,'CDCM Volume Forecasts'!$A$27:$AG$123,E$137,FALSE)</f>
        <v>0</v>
      </c>
      <c r="F233" s="13">
        <f>VLOOKUP(Vlookup!$B198,'CDCM Volume Forecasts'!$A$27:$AG$123,F$137,FALSE)</f>
        <v>0</v>
      </c>
      <c r="G233" s="13">
        <f>VLOOKUP(Vlookup!$B198,'CDCM Volume Forecasts'!$A$27:$AG$123,G$137,FALSE)</f>
        <v>0</v>
      </c>
      <c r="H233" s="7"/>
      <c r="I233"/>
      <c r="J233"/>
      <c r="K233"/>
    </row>
    <row r="234" spans="1:11" ht="15">
      <c r="A234" s="8" t="s">
        <v>112</v>
      </c>
      <c r="B234" s="4">
        <f>VLOOKUP(Vlookup!$B199,'CDCM Volume Forecasts'!$A$27:$AG$123,B$137,FALSE)</f>
        <v>95543.871083999999</v>
      </c>
      <c r="C234" s="6">
        <f>VLOOKUP(Vlookup!$B199,'CDCM Volume Forecasts'!$A$27:$AG$123,C$137,FALSE)</f>
        <v>0</v>
      </c>
      <c r="D234" s="6">
        <f>VLOOKUP(Vlookup!$B199,'CDCM Volume Forecasts'!$A$27:$AG$123,D$137,FALSE)</f>
        <v>0</v>
      </c>
      <c r="E234" s="10">
        <f>VLOOKUP(Vlookup!$B199,'CDCM Volume Forecasts'!$A$27:$AG$123,E$137,FALSE)</f>
        <v>55.359020484258814</v>
      </c>
      <c r="F234" s="6">
        <f>VLOOKUP(Vlookup!$B199,'CDCM Volume Forecasts'!$A$27:$AG$123,F$137,FALSE)</f>
        <v>0</v>
      </c>
      <c r="G234" s="4">
        <f>VLOOKUP(Vlookup!$B199,'CDCM Volume Forecasts'!$A$27:$AG$123,G$137,FALSE)</f>
        <v>3144.8579734229206</v>
      </c>
      <c r="H234" s="7"/>
      <c r="I234"/>
      <c r="J234"/>
      <c r="K234"/>
    </row>
    <row r="235" spans="1:11" ht="15">
      <c r="A235" s="8" t="s">
        <v>204</v>
      </c>
      <c r="B235" s="4">
        <f>VLOOKUP(Vlookup!$B200,'CDCM Volume Forecasts'!$A$27:$AG$123,B$137,FALSE)</f>
        <v>0</v>
      </c>
      <c r="C235" s="6">
        <f>VLOOKUP(Vlookup!$B200,'CDCM Volume Forecasts'!$A$27:$AG$123,C$137,FALSE)</f>
        <v>0</v>
      </c>
      <c r="D235" s="6">
        <f>VLOOKUP(Vlookup!$B200,'CDCM Volume Forecasts'!$A$27:$AG$123,D$137,FALSE)</f>
        <v>0</v>
      </c>
      <c r="E235" s="10">
        <f>VLOOKUP(Vlookup!$B200,'CDCM Volume Forecasts'!$A$27:$AG$123,E$137,FALSE)</f>
        <v>0</v>
      </c>
      <c r="F235" s="6">
        <f>VLOOKUP(Vlookup!$B200,'CDCM Volume Forecasts'!$A$27:$AG$123,F$137,FALSE)</f>
        <v>0</v>
      </c>
      <c r="G235" s="4">
        <f>VLOOKUP(Vlookup!$B200,'CDCM Volume Forecasts'!$A$27:$AG$123,G$137,FALSE)</f>
        <v>0</v>
      </c>
      <c r="H235" s="7"/>
      <c r="I235"/>
      <c r="J235"/>
      <c r="K235"/>
    </row>
    <row r="236" spans="1:11" ht="15">
      <c r="A236" s="12" t="s">
        <v>205</v>
      </c>
      <c r="B236" s="13">
        <f>VLOOKUP(Vlookup!$B201,'CDCM Volume Forecasts'!$A$27:$AG$123,B$137,FALSE)</f>
        <v>0</v>
      </c>
      <c r="C236" s="13">
        <f>VLOOKUP(Vlookup!$B201,'CDCM Volume Forecasts'!$A$27:$AG$123,C$137,FALSE)</f>
        <v>0</v>
      </c>
      <c r="D236" s="13">
        <f>VLOOKUP(Vlookup!$B201,'CDCM Volume Forecasts'!$A$27:$AG$123,D$137,FALSE)</f>
        <v>0</v>
      </c>
      <c r="E236" s="13">
        <f>VLOOKUP(Vlookup!$B201,'CDCM Volume Forecasts'!$A$27:$AG$123,E$137,FALSE)</f>
        <v>0</v>
      </c>
      <c r="F236" s="13">
        <f>VLOOKUP(Vlookup!$B201,'CDCM Volume Forecasts'!$A$27:$AG$123,F$137,FALSE)</f>
        <v>0</v>
      </c>
      <c r="G236" s="13">
        <f>VLOOKUP(Vlookup!$B201,'CDCM Volume Forecasts'!$A$27:$AG$123,G$137,FALSE)</f>
        <v>0</v>
      </c>
      <c r="H236" s="7"/>
      <c r="I236"/>
      <c r="J236"/>
      <c r="K236"/>
    </row>
    <row r="237" spans="1:11" ht="15">
      <c r="A237" s="8" t="s">
        <v>113</v>
      </c>
      <c r="B237" s="4">
        <f>VLOOKUP(Vlookup!$B202,'CDCM Volume Forecasts'!$A$27:$AG$123,B$137,FALSE)</f>
        <v>65104.786809687452</v>
      </c>
      <c r="C237" s="4">
        <f>VLOOKUP(Vlookup!$B202,'CDCM Volume Forecasts'!$A$27:$AG$123,C$137,FALSE)</f>
        <v>202236.73285292476</v>
      </c>
      <c r="D237" s="4">
        <f>VLOOKUP(Vlookup!$B202,'CDCM Volume Forecasts'!$A$27:$AG$123,D$137,FALSE)</f>
        <v>389530.18598588731</v>
      </c>
      <c r="E237" s="10">
        <f>VLOOKUP(Vlookup!$B202,'CDCM Volume Forecasts'!$A$27:$AG$123,E$137,FALSE)</f>
        <v>115.75067919435931</v>
      </c>
      <c r="F237" s="6">
        <f>VLOOKUP(Vlookup!$B202,'CDCM Volume Forecasts'!$A$27:$AG$123,F$137,FALSE)</f>
        <v>0</v>
      </c>
      <c r="G237" s="4">
        <f>VLOOKUP(Vlookup!$B202,'CDCM Volume Forecasts'!$A$27:$AG$123,G$137,FALSE)</f>
        <v>7784.0578486942413</v>
      </c>
      <c r="H237" s="7"/>
      <c r="I237"/>
      <c r="J237"/>
      <c r="K237"/>
    </row>
    <row r="238" spans="1:11" ht="15">
      <c r="A238" s="8" t="s">
        <v>206</v>
      </c>
      <c r="B238" s="4">
        <f>VLOOKUP(Vlookup!$B203,'CDCM Volume Forecasts'!$A$27:$AG$123,B$137,FALSE)</f>
        <v>0</v>
      </c>
      <c r="C238" s="4">
        <f>VLOOKUP(Vlookup!$B203,'CDCM Volume Forecasts'!$A$27:$AG$123,C$137,FALSE)</f>
        <v>0</v>
      </c>
      <c r="D238" s="4">
        <f>VLOOKUP(Vlookup!$B203,'CDCM Volume Forecasts'!$A$27:$AG$123,D$137,FALSE)</f>
        <v>0</v>
      </c>
      <c r="E238" s="10">
        <f>VLOOKUP(Vlookup!$B203,'CDCM Volume Forecasts'!$A$27:$AG$123,E$137,FALSE)</f>
        <v>0</v>
      </c>
      <c r="F238" s="6">
        <f>VLOOKUP(Vlookup!$B203,'CDCM Volume Forecasts'!$A$27:$AG$123,F$137,FALSE)</f>
        <v>0</v>
      </c>
      <c r="G238" s="4">
        <f>VLOOKUP(Vlookup!$B203,'CDCM Volume Forecasts'!$A$27:$AG$123,G$137,FALSE)</f>
        <v>0</v>
      </c>
      <c r="H238" s="7"/>
      <c r="I238"/>
      <c r="J238"/>
      <c r="K238"/>
    </row>
    <row r="239" spans="1:11" ht="15">
      <c r="A239"/>
      <c r="B239"/>
      <c r="C239"/>
      <c r="D239"/>
      <c r="E239"/>
      <c r="F239"/>
      <c r="G239"/>
      <c r="H239"/>
      <c r="I239"/>
      <c r="J239"/>
      <c r="K239"/>
    </row>
    <row r="240" spans="1:11" ht="19.5">
      <c r="A240" s="1" t="s">
        <v>207</v>
      </c>
      <c r="B240"/>
      <c r="C240"/>
      <c r="D240"/>
      <c r="E240"/>
      <c r="F240"/>
      <c r="G240"/>
      <c r="H240"/>
      <c r="I240"/>
      <c r="J240"/>
      <c r="K240"/>
    </row>
    <row r="241" spans="1:11" ht="15">
      <c r="A241" s="2" t="s">
        <v>262</v>
      </c>
      <c r="B241"/>
      <c r="C241"/>
      <c r="D241"/>
      <c r="E241"/>
      <c r="F241"/>
      <c r="G241"/>
      <c r="H241"/>
      <c r="I241"/>
      <c r="J241"/>
      <c r="K241"/>
    </row>
    <row r="242" spans="1:11" ht="15">
      <c r="A242" t="s">
        <v>137</v>
      </c>
      <c r="B242"/>
      <c r="C242"/>
      <c r="D242"/>
      <c r="E242"/>
      <c r="F242"/>
      <c r="G242"/>
      <c r="H242"/>
      <c r="I242"/>
      <c r="J242"/>
      <c r="K242"/>
    </row>
    <row r="243" spans="1:11" ht="30">
      <c r="A243"/>
      <c r="B243" s="3" t="s">
        <v>208</v>
      </c>
      <c r="C243"/>
      <c r="D243"/>
      <c r="E243"/>
      <c r="F243"/>
      <c r="G243"/>
      <c r="H243"/>
      <c r="I243"/>
      <c r="J243"/>
      <c r="K243"/>
    </row>
    <row r="244" spans="1:11" ht="15">
      <c r="A244" s="8" t="s">
        <v>209</v>
      </c>
      <c r="B244" s="10">
        <f>VLOOKUP(Vlookup!B209,'CDCM Forecast Data'!$A$14:$I$271,9,FALSE)</f>
        <v>15101978.164566599</v>
      </c>
      <c r="C244" s="7" t="s">
        <v>262</v>
      </c>
      <c r="D244"/>
      <c r="E244"/>
      <c r="F244"/>
      <c r="G244"/>
      <c r="H244"/>
      <c r="I244"/>
      <c r="J244"/>
      <c r="K244"/>
    </row>
    <row r="245" spans="1:11" ht="15">
      <c r="A245"/>
      <c r="B245"/>
      <c r="C245"/>
      <c r="D245"/>
      <c r="E245"/>
      <c r="F245"/>
      <c r="G245"/>
      <c r="H245"/>
      <c r="I245"/>
      <c r="J245"/>
      <c r="K245"/>
    </row>
    <row r="246" spans="1:11" ht="19.5">
      <c r="A246" s="1" t="s">
        <v>210</v>
      </c>
      <c r="B246"/>
      <c r="C246"/>
      <c r="D246"/>
      <c r="E246"/>
      <c r="F246"/>
      <c r="G246"/>
      <c r="H246"/>
      <c r="I246"/>
      <c r="J246"/>
      <c r="K246"/>
    </row>
    <row r="247" spans="1:11" ht="15">
      <c r="A247" t="s">
        <v>262</v>
      </c>
      <c r="B247"/>
      <c r="C247"/>
      <c r="D247"/>
      <c r="E247"/>
      <c r="F247"/>
      <c r="G247"/>
      <c r="H247"/>
      <c r="I247"/>
      <c r="J247"/>
      <c r="K247"/>
    </row>
    <row r="248" spans="1:11" ht="30">
      <c r="A248"/>
      <c r="B248" s="3" t="s">
        <v>211</v>
      </c>
      <c r="C248" s="3" t="s">
        <v>212</v>
      </c>
      <c r="D248" s="3" t="s">
        <v>213</v>
      </c>
      <c r="E248" s="3" t="s">
        <v>214</v>
      </c>
      <c r="F248"/>
      <c r="G248"/>
      <c r="H248"/>
      <c r="I248"/>
      <c r="J248"/>
      <c r="K248"/>
    </row>
    <row r="249" spans="1:11" ht="15">
      <c r="A249" s="8" t="s">
        <v>215</v>
      </c>
      <c r="B249" s="10">
        <f>VLOOKUP(Vlookup!B214,'CDCM Forecast Data'!$A$14:$I$271,9,FALSE)</f>
        <v>29368909.955880482</v>
      </c>
      <c r="C249" s="10">
        <f>VLOOKUP(Vlookup!C214,'CDCM Forecast Data'!$A$14:$I$271,9,FALSE)</f>
        <v>122457954.53283055</v>
      </c>
      <c r="D249" s="11">
        <f>VLOOKUP(Vlookup!D214,'CDCM Forecast Data'!$A$14:$I$271,9,FALSE)</f>
        <v>0.6</v>
      </c>
      <c r="E249" s="10">
        <f>VLOOKUP(Vlookup!E214,'CDCM Forecast Data'!$A$14:$I$271,9,FALSE)</f>
        <v>51104978</v>
      </c>
      <c r="F249" s="7" t="s">
        <v>262</v>
      </c>
      <c r="G249"/>
      <c r="H249"/>
      <c r="I249"/>
      <c r="J249"/>
      <c r="K249"/>
    </row>
    <row r="250" spans="1:11" ht="15">
      <c r="A250"/>
      <c r="B250"/>
      <c r="C250"/>
      <c r="D250"/>
      <c r="E250"/>
      <c r="F250"/>
      <c r="G250"/>
      <c r="H250"/>
      <c r="I250"/>
      <c r="J250"/>
      <c r="K250"/>
    </row>
    <row r="251" spans="1:11" ht="19.5">
      <c r="A251" s="1" t="s">
        <v>216</v>
      </c>
      <c r="B251"/>
      <c r="C251"/>
      <c r="D251"/>
      <c r="E251"/>
      <c r="F251"/>
      <c r="G251"/>
      <c r="H251"/>
      <c r="I251"/>
      <c r="J251"/>
      <c r="K251"/>
    </row>
    <row r="252" spans="1:11" ht="15">
      <c r="A252" s="2"/>
      <c r="B252"/>
      <c r="C252"/>
      <c r="D252"/>
      <c r="E252"/>
      <c r="F252"/>
      <c r="G252"/>
      <c r="H252"/>
      <c r="I252"/>
      <c r="J252"/>
      <c r="K252"/>
    </row>
    <row r="253" spans="1:11" ht="15">
      <c r="A253" s="2" t="s">
        <v>217</v>
      </c>
      <c r="B253"/>
      <c r="C253"/>
      <c r="D253"/>
      <c r="E253"/>
      <c r="F253"/>
      <c r="G253"/>
      <c r="H253"/>
      <c r="I253"/>
      <c r="J253"/>
      <c r="K253"/>
    </row>
    <row r="254" spans="1:11" ht="15">
      <c r="A254" s="2" t="s">
        <v>218</v>
      </c>
      <c r="B254"/>
      <c r="C254"/>
      <c r="D254"/>
      <c r="E254"/>
      <c r="F254"/>
      <c r="G254"/>
      <c r="H254"/>
      <c r="I254"/>
      <c r="J254"/>
      <c r="K254"/>
    </row>
    <row r="255" spans="1:11" ht="15">
      <c r="A255" t="s">
        <v>219</v>
      </c>
      <c r="B255"/>
      <c r="C255"/>
      <c r="D255"/>
      <c r="E255"/>
      <c r="F255"/>
      <c r="G255"/>
      <c r="H255"/>
      <c r="I255"/>
      <c r="J255"/>
      <c r="K255"/>
    </row>
    <row r="256" spans="1:11" ht="30">
      <c r="A256"/>
      <c r="B256" s="3" t="s">
        <v>220</v>
      </c>
      <c r="C256" s="3" t="s">
        <v>221</v>
      </c>
      <c r="D256" s="3" t="s">
        <v>222</v>
      </c>
      <c r="E256" s="3" t="s">
        <v>223</v>
      </c>
      <c r="F256" s="3" t="s">
        <v>224</v>
      </c>
      <c r="G256" s="3" t="s">
        <v>225</v>
      </c>
      <c r="H256" s="3" t="s">
        <v>226</v>
      </c>
      <c r="I256" s="3" t="s">
        <v>227</v>
      </c>
      <c r="J256"/>
      <c r="K256"/>
    </row>
    <row r="257" spans="1:11" ht="15">
      <c r="A257" s="8" t="s">
        <v>228</v>
      </c>
      <c r="B257" s="11">
        <f>VLOOKUP(Vlookup!B222,'CDCM Forecast Data'!$A$14:$I$271,9,FALSE)</f>
        <v>0</v>
      </c>
      <c r="C257" s="11">
        <f>VLOOKUP(Vlookup!C222,'CDCM Forecast Data'!$A$14:$I$271,9,FALSE)</f>
        <v>0</v>
      </c>
      <c r="D257" s="11">
        <f>VLOOKUP(Vlookup!D222,'CDCM Forecast Data'!$A$14:$I$271,9,FALSE)</f>
        <v>0</v>
      </c>
      <c r="E257" s="11">
        <f>VLOOKUP(Vlookup!E222,'CDCM Forecast Data'!$A$14:$I$271,9,FALSE)</f>
        <v>0</v>
      </c>
      <c r="F257" s="11">
        <f>VLOOKUP(Vlookup!F222,'CDCM Forecast Data'!$A$14:$I$271,9,FALSE)</f>
        <v>0</v>
      </c>
      <c r="G257" s="11">
        <f>VLOOKUP(Vlookup!G222,'CDCM Forecast Data'!$A$14:$I$271,9,FALSE)</f>
        <v>0.38684969697494365</v>
      </c>
      <c r="H257" s="11">
        <f>VLOOKUP(Vlookup!H222,'CDCM Forecast Data'!$A$14:$I$271,9,FALSE)</f>
        <v>0.64124825573068889</v>
      </c>
      <c r="I257" s="11">
        <f>VLOOKUP(Vlookup!I222,'CDCM Forecast Data'!$A$14:$I$271,9,FALSE)</f>
        <v>0.89564681448643413</v>
      </c>
      <c r="J257" s="7" t="s">
        <v>262</v>
      </c>
      <c r="K257"/>
    </row>
    <row r="258" spans="1:11" ht="15">
      <c r="A258" s="8" t="s">
        <v>229</v>
      </c>
      <c r="B258" s="11">
        <f>VLOOKUP(Vlookup!B223,'CDCM Forecast Data'!$A$14:$I$271,9,FALSE)</f>
        <v>0</v>
      </c>
      <c r="C258" s="11">
        <f>VLOOKUP(Vlookup!C223,'CDCM Forecast Data'!$A$14:$I$271,9,FALSE)</f>
        <v>0</v>
      </c>
      <c r="D258" s="11">
        <f>VLOOKUP(Vlookup!D223,'CDCM Forecast Data'!$A$14:$I$271,9,FALSE)</f>
        <v>0</v>
      </c>
      <c r="E258" s="11">
        <f>VLOOKUP(Vlookup!E223,'CDCM Forecast Data'!$A$14:$I$271,9,FALSE)</f>
        <v>0</v>
      </c>
      <c r="F258" s="11">
        <f>VLOOKUP(Vlookup!F223,'CDCM Forecast Data'!$A$14:$I$271,9,FALSE)</f>
        <v>0</v>
      </c>
      <c r="G258" s="11">
        <f>VLOOKUP(Vlookup!G223,'CDCM Forecast Data'!$A$14:$I$271,9,FALSE)</f>
        <v>0.38684969697494365</v>
      </c>
      <c r="H258" s="11">
        <f>VLOOKUP(Vlookup!H223,'CDCM Forecast Data'!$A$14:$I$271,9,FALSE)</f>
        <v>0.64124825573068889</v>
      </c>
      <c r="I258" s="6"/>
      <c r="J258" s="7" t="s">
        <v>262</v>
      </c>
      <c r="K258"/>
    </row>
    <row r="259" spans="1:11" ht="15">
      <c r="A259" s="8" t="s">
        <v>230</v>
      </c>
      <c r="B259" s="11">
        <f>VLOOKUP(Vlookup!B224,'CDCM Forecast Data'!$A$14:$I$271,9,FALSE)</f>
        <v>0</v>
      </c>
      <c r="C259" s="11">
        <f>VLOOKUP(Vlookup!C224,'CDCM Forecast Data'!$A$14:$I$271,9,FALSE)</f>
        <v>0</v>
      </c>
      <c r="D259" s="11">
        <f>VLOOKUP(Vlookup!D224,'CDCM Forecast Data'!$A$14:$I$271,9,FALSE)</f>
        <v>0</v>
      </c>
      <c r="E259" s="11">
        <f>VLOOKUP(Vlookup!E224,'CDCM Forecast Data'!$A$14:$I$271,9,FALSE)</f>
        <v>0.25764106948138837</v>
      </c>
      <c r="F259" s="11">
        <f>VLOOKUP(Vlookup!F224,'CDCM Forecast Data'!$A$14:$I$271,9,FALSE)</f>
        <v>0.25764106948138837</v>
      </c>
      <c r="G259" s="11">
        <f>VLOOKUP(Vlookup!G224,'CDCM Forecast Data'!$A$14:$I$271,9,FALSE)</f>
        <v>0.51528213896277675</v>
      </c>
      <c r="H259" s="6"/>
      <c r="I259" s="6"/>
      <c r="J259" s="7" t="s">
        <v>262</v>
      </c>
      <c r="K259"/>
    </row>
    <row r="260" spans="1:11" ht="15">
      <c r="A260" s="8" t="s">
        <v>231</v>
      </c>
      <c r="B260" s="11">
        <f>VLOOKUP(Vlookup!B225,'CDCM Forecast Data'!$A$14:$I$271,9,FALSE)</f>
        <v>0</v>
      </c>
      <c r="C260" s="11">
        <f>VLOOKUP(Vlookup!C225,'CDCM Forecast Data'!$A$14:$I$271,9,FALSE)</f>
        <v>0</v>
      </c>
      <c r="D260" s="11">
        <f>VLOOKUP(Vlookup!D225,'CDCM Forecast Data'!$A$14:$I$271,9,FALSE)</f>
        <v>0</v>
      </c>
      <c r="E260" s="11">
        <f>VLOOKUP(Vlookup!E225,'CDCM Forecast Data'!$A$14:$I$271,9,FALSE)</f>
        <v>0.25764106948138837</v>
      </c>
      <c r="F260" s="6"/>
      <c r="G260" s="6"/>
      <c r="H260" s="6"/>
      <c r="I260" s="6"/>
      <c r="J260" s="7" t="s">
        <v>262</v>
      </c>
      <c r="K260"/>
    </row>
    <row r="261" spans="1:11" ht="15">
      <c r="A261"/>
      <c r="B261"/>
      <c r="C261"/>
      <c r="D261"/>
      <c r="E261"/>
      <c r="F261"/>
      <c r="G261"/>
      <c r="H261"/>
      <c r="I261"/>
      <c r="J261"/>
      <c r="K261"/>
    </row>
    <row r="262" spans="1:11" ht="19.5">
      <c r="A262" s="1" t="s">
        <v>232</v>
      </c>
      <c r="B262"/>
      <c r="C262"/>
      <c r="D262"/>
      <c r="E262"/>
      <c r="F262"/>
      <c r="G262"/>
      <c r="H262"/>
      <c r="I262"/>
      <c r="J262"/>
      <c r="K262"/>
    </row>
    <row r="263" spans="1:11" ht="15">
      <c r="A263"/>
      <c r="B263"/>
      <c r="C263"/>
      <c r="D263"/>
      <c r="E263"/>
      <c r="F263"/>
      <c r="G263"/>
      <c r="H263"/>
      <c r="I263"/>
      <c r="J263"/>
      <c r="K263"/>
    </row>
    <row r="264" spans="1:11" ht="15">
      <c r="A264"/>
      <c r="B264" s="3" t="s">
        <v>233</v>
      </c>
      <c r="C264" s="3" t="s">
        <v>234</v>
      </c>
      <c r="D264" s="3" t="s">
        <v>235</v>
      </c>
      <c r="E264"/>
      <c r="F264"/>
      <c r="G264"/>
      <c r="H264"/>
      <c r="I264"/>
      <c r="J264"/>
      <c r="K264"/>
    </row>
    <row r="265" spans="1:11" ht="15">
      <c r="A265" s="8" t="s">
        <v>92</v>
      </c>
      <c r="B265" s="11">
        <f>VLOOKUP(Vlookup!B235,'CDCM Forecast Data'!$A$14:$I$271,5,FALSE)</f>
        <v>0.15163735853906232</v>
      </c>
      <c r="C265" s="11">
        <f>VLOOKUP(Vlookup!C235,'CDCM Forecast Data'!$A$14:$I$271,5,FALSE)</f>
        <v>0.41909005511697384</v>
      </c>
      <c r="D265" s="11">
        <f>VLOOKUP(Vlookup!D235,'CDCM Forecast Data'!$A$14:$I$271,5,FALSE)</f>
        <v>0.42927258634396387</v>
      </c>
      <c r="E265" s="7" t="s">
        <v>262</v>
      </c>
      <c r="F265"/>
      <c r="G265"/>
      <c r="H265"/>
      <c r="I265"/>
      <c r="J265"/>
      <c r="K265"/>
    </row>
    <row r="266" spans="1:11" ht="15">
      <c r="A266" s="8" t="s">
        <v>93</v>
      </c>
      <c r="B266" s="11">
        <f>VLOOKUP(Vlookup!B236,'CDCM Forecast Data'!$A$14:$I$271,5,FALSE)</f>
        <v>0.14794456993942195</v>
      </c>
      <c r="C266" s="11">
        <f>VLOOKUP(Vlookup!C236,'CDCM Forecast Data'!$A$14:$I$271,5,FALSE)</f>
        <v>0.41591847408405047</v>
      </c>
      <c r="D266" s="11">
        <f>VLOOKUP(Vlookup!D236,'CDCM Forecast Data'!$A$14:$I$271,5,FALSE)</f>
        <v>0.43613695597652757</v>
      </c>
      <c r="E266" s="7" t="s">
        <v>262</v>
      </c>
      <c r="F266"/>
      <c r="G266"/>
      <c r="H266"/>
      <c r="I266"/>
      <c r="J266"/>
      <c r="K266"/>
    </row>
    <row r="267" spans="1:11" ht="15">
      <c r="A267" s="8" t="s">
        <v>129</v>
      </c>
      <c r="B267" s="11">
        <f>VLOOKUP(Vlookup!B237,'CDCM Forecast Data'!$A$14:$I$271,5,FALSE)</f>
        <v>2.8213273611215495E-3</v>
      </c>
      <c r="C267" s="11">
        <f>VLOOKUP(Vlookup!C237,'CDCM Forecast Data'!$A$14:$I$271,5,FALSE)</f>
        <v>0.20906851428116469</v>
      </c>
      <c r="D267" s="11">
        <f>VLOOKUP(Vlookup!D237,'CDCM Forecast Data'!$A$14:$I$271,5,FALSE)</f>
        <v>0.78811015835771381</v>
      </c>
      <c r="E267" s="7"/>
      <c r="F267"/>
      <c r="G267"/>
      <c r="H267"/>
      <c r="I267"/>
      <c r="J267"/>
      <c r="K267"/>
    </row>
    <row r="268" spans="1:11" ht="15">
      <c r="A268" s="8" t="s">
        <v>94</v>
      </c>
      <c r="B268" s="11">
        <f>VLOOKUP(Vlookup!B238,'CDCM Forecast Data'!$A$14:$I$271,5,FALSE)</f>
        <v>0.13166491281892173</v>
      </c>
      <c r="C268" s="11">
        <f>VLOOKUP(Vlookup!C238,'CDCM Forecast Data'!$A$14:$I$271,5,FALSE)</f>
        <v>0.58418150754710119</v>
      </c>
      <c r="D268" s="11">
        <f>VLOOKUP(Vlookup!D238,'CDCM Forecast Data'!$A$14:$I$271,5,FALSE)</f>
        <v>0.28415357963397708</v>
      </c>
      <c r="E268" s="7"/>
      <c r="F268"/>
      <c r="G268"/>
      <c r="H268"/>
      <c r="I268"/>
      <c r="J268"/>
      <c r="K268"/>
    </row>
    <row r="269" spans="1:11" ht="15">
      <c r="A269" s="8" t="s">
        <v>95</v>
      </c>
      <c r="B269" s="11">
        <f>VLOOKUP(Vlookup!B239,'CDCM Forecast Data'!$A$14:$I$271,5,FALSE)</f>
        <v>0.13097267676429289</v>
      </c>
      <c r="C269" s="11">
        <f>VLOOKUP(Vlookup!C239,'CDCM Forecast Data'!$A$14:$I$271,5,FALSE)</f>
        <v>0.53624987448173789</v>
      </c>
      <c r="D269" s="11">
        <f>VLOOKUP(Vlookup!D239,'CDCM Forecast Data'!$A$14:$I$271,5,FALSE)</f>
        <v>0.33277744875396925</v>
      </c>
      <c r="E269" s="7" t="s">
        <v>262</v>
      </c>
      <c r="F269"/>
      <c r="G269"/>
      <c r="H269"/>
      <c r="I269"/>
      <c r="J269"/>
      <c r="K269"/>
    </row>
    <row r="270" spans="1:11" ht="15">
      <c r="A270" s="8" t="s">
        <v>130</v>
      </c>
      <c r="B270" s="11">
        <f>VLOOKUP(Vlookup!B240,'CDCM Forecast Data'!$A$14:$I$271,5,FALSE)</f>
        <v>2.1180943708626887E-2</v>
      </c>
      <c r="C270" s="11">
        <f>VLOOKUP(Vlookup!C240,'CDCM Forecast Data'!$A$14:$I$271,5,FALSE)</f>
        <v>0.17461755756654385</v>
      </c>
      <c r="D270" s="11">
        <f>VLOOKUP(Vlookup!D240,'CDCM Forecast Data'!$A$14:$I$271,5,FALSE)</f>
        <v>0.80420149872482938</v>
      </c>
      <c r="E270" s="7" t="s">
        <v>262</v>
      </c>
      <c r="F270"/>
      <c r="G270"/>
      <c r="H270"/>
      <c r="I270"/>
      <c r="J270"/>
      <c r="K270"/>
    </row>
    <row r="271" spans="1:11" ht="15">
      <c r="A271" s="8" t="s">
        <v>96</v>
      </c>
      <c r="B271" s="11">
        <f>VLOOKUP(Vlookup!B241,'CDCM Forecast Data'!$A$14:$I$271,5,FALSE)</f>
        <v>0.13675751648464302</v>
      </c>
      <c r="C271" s="11">
        <f>VLOOKUP(Vlookup!C241,'CDCM Forecast Data'!$A$14:$I$271,5,FALSE)</f>
        <v>0.52643299691979983</v>
      </c>
      <c r="D271" s="11">
        <f>VLOOKUP(Vlookup!D241,'CDCM Forecast Data'!$A$14:$I$271,5,FALSE)</f>
        <v>0.33680948659555715</v>
      </c>
      <c r="E271" s="7" t="s">
        <v>262</v>
      </c>
      <c r="F271"/>
      <c r="G271"/>
      <c r="H271"/>
      <c r="I271"/>
      <c r="J271"/>
      <c r="K271"/>
    </row>
    <row r="272" spans="1:11" ht="15">
      <c r="A272" s="8" t="s">
        <v>97</v>
      </c>
      <c r="B272" s="11">
        <f>VLOOKUP(Vlookup!B242,'CDCM Forecast Data'!$A$14:$I$271,5,FALSE)</f>
        <v>0.13246682554357336</v>
      </c>
      <c r="C272" s="11">
        <f>VLOOKUP(Vlookup!C242,'CDCM Forecast Data'!$A$14:$I$271,5,FALSE)</f>
        <v>0.5419021330055962</v>
      </c>
      <c r="D272" s="11">
        <f>VLOOKUP(Vlookup!D242,'CDCM Forecast Data'!$A$14:$I$271,5,FALSE)</f>
        <v>0.32563104145083038</v>
      </c>
      <c r="E272" s="7" t="s">
        <v>262</v>
      </c>
      <c r="F272"/>
      <c r="G272"/>
      <c r="H272"/>
      <c r="I272"/>
      <c r="J272"/>
      <c r="K272"/>
    </row>
    <row r="273" spans="1:11" ht="15">
      <c r="A273" s="8" t="s">
        <v>110</v>
      </c>
      <c r="B273" s="11">
        <f>VLOOKUP(Vlookup!B243,'CDCM Forecast Data'!$A$14:$I$271,5,FALSE)</f>
        <v>0.13067404581003325</v>
      </c>
      <c r="C273" s="11">
        <f>VLOOKUP(Vlookup!C243,'CDCM Forecast Data'!$A$14:$I$271,5,FALSE)</f>
        <v>0.55375454532068635</v>
      </c>
      <c r="D273" s="11">
        <f>VLOOKUP(Vlookup!D243,'CDCM Forecast Data'!$A$14:$I$271,5,FALSE)</f>
        <v>0.31557140886928042</v>
      </c>
      <c r="E273" s="7" t="s">
        <v>262</v>
      </c>
      <c r="F273"/>
      <c r="G273"/>
      <c r="H273"/>
      <c r="I273"/>
      <c r="J273"/>
      <c r="K273"/>
    </row>
    <row r="274" spans="1:11" ht="15">
      <c r="A274"/>
      <c r="B274"/>
      <c r="C274"/>
      <c r="D274"/>
      <c r="E274"/>
      <c r="F274"/>
      <c r="G274"/>
      <c r="H274"/>
      <c r="I274"/>
      <c r="J274"/>
      <c r="K274"/>
    </row>
    <row r="275" spans="1:11" ht="19.5">
      <c r="A275" s="1" t="s">
        <v>236</v>
      </c>
      <c r="B275"/>
      <c r="C275"/>
      <c r="D275"/>
      <c r="E275"/>
      <c r="F275"/>
      <c r="G275"/>
      <c r="H275"/>
      <c r="I275"/>
      <c r="J275"/>
      <c r="K275"/>
    </row>
    <row r="276" spans="1:11" ht="15">
      <c r="A276"/>
      <c r="B276"/>
      <c r="C276"/>
      <c r="D276"/>
      <c r="E276"/>
      <c r="F276"/>
      <c r="G276"/>
      <c r="H276"/>
      <c r="I276"/>
      <c r="J276"/>
      <c r="K276"/>
    </row>
    <row r="277" spans="1:11" ht="15">
      <c r="A277"/>
      <c r="B277" s="3" t="s">
        <v>233</v>
      </c>
      <c r="C277" s="3" t="s">
        <v>234</v>
      </c>
      <c r="D277" s="3" t="s">
        <v>235</v>
      </c>
      <c r="E277"/>
      <c r="F277"/>
      <c r="G277"/>
      <c r="H277"/>
      <c r="I277"/>
      <c r="J277"/>
      <c r="K277"/>
    </row>
    <row r="278" spans="1:11" ht="15">
      <c r="A278" s="8" t="s">
        <v>93</v>
      </c>
      <c r="B278" s="11">
        <f>VLOOKUP(Vlookup!B251,'CDCM Forecast Data'!$A$14:$I$271,9,FALSE)</f>
        <v>0</v>
      </c>
      <c r="C278" s="11">
        <f>VLOOKUP(Vlookup!C251,'CDCM Forecast Data'!$A$14:$I$271,9,FALSE)</f>
        <v>0</v>
      </c>
      <c r="D278" s="11">
        <f>VLOOKUP(Vlookup!D251,'CDCM Forecast Data'!$A$14:$I$271,9,FALSE)</f>
        <v>1</v>
      </c>
      <c r="E278" s="7" t="s">
        <v>262</v>
      </c>
      <c r="F278"/>
      <c r="G278"/>
      <c r="H278"/>
      <c r="I278"/>
      <c r="J278"/>
      <c r="K278"/>
    </row>
    <row r="279" spans="1:11" ht="15">
      <c r="A279" s="8" t="s">
        <v>95</v>
      </c>
      <c r="B279" s="11">
        <f>VLOOKUP(Vlookup!B252,'CDCM Forecast Data'!$A$14:$I$271,9,FALSE)</f>
        <v>0</v>
      </c>
      <c r="C279" s="11">
        <f>VLOOKUP(Vlookup!C252,'CDCM Forecast Data'!$A$14:$I$271,9,FALSE)</f>
        <v>0</v>
      </c>
      <c r="D279" s="11">
        <f>VLOOKUP(Vlookup!D252,'CDCM Forecast Data'!$A$14:$I$271,9,FALSE)</f>
        <v>1</v>
      </c>
      <c r="E279" s="7" t="s">
        <v>262</v>
      </c>
      <c r="F279"/>
      <c r="G279"/>
      <c r="H279"/>
      <c r="I279"/>
      <c r="J279"/>
      <c r="K279"/>
    </row>
    <row r="280" spans="1:11" ht="15">
      <c r="A280" s="8" t="s">
        <v>96</v>
      </c>
      <c r="B280" s="11">
        <f>VLOOKUP(Vlookup!B253,'CDCM Forecast Data'!$A$14:$I$271,9,FALSE)</f>
        <v>0</v>
      </c>
      <c r="C280" s="11">
        <f>VLOOKUP(Vlookup!C253,'CDCM Forecast Data'!$A$14:$I$271,9,FALSE)</f>
        <v>0</v>
      </c>
      <c r="D280" s="11">
        <f>VLOOKUP(Vlookup!D253,'CDCM Forecast Data'!$A$14:$I$271,9,FALSE)</f>
        <v>1</v>
      </c>
      <c r="E280" s="7" t="s">
        <v>262</v>
      </c>
      <c r="F280"/>
      <c r="G280"/>
      <c r="H280"/>
      <c r="I280"/>
      <c r="J280"/>
      <c r="K280"/>
    </row>
    <row r="281" spans="1:11" ht="15">
      <c r="A281" s="8" t="s">
        <v>97</v>
      </c>
      <c r="B281" s="11">
        <f>VLOOKUP(Vlookup!B254,'CDCM Forecast Data'!$A$14:$I$271,9,FALSE)</f>
        <v>0</v>
      </c>
      <c r="C281" s="11">
        <f>VLOOKUP(Vlookup!C254,'CDCM Forecast Data'!$A$14:$I$271,9,FALSE)</f>
        <v>0</v>
      </c>
      <c r="D281" s="11">
        <f>VLOOKUP(Vlookup!D254,'CDCM Forecast Data'!$A$14:$I$271,9,FALSE)</f>
        <v>1</v>
      </c>
      <c r="E281" s="7" t="s">
        <v>262</v>
      </c>
      <c r="F281"/>
      <c r="G281"/>
      <c r="H281"/>
      <c r="I281"/>
      <c r="J281"/>
      <c r="K281"/>
    </row>
    <row r="282" spans="1:11" ht="15">
      <c r="A282" s="8" t="s">
        <v>110</v>
      </c>
      <c r="B282" s="11">
        <f>VLOOKUP(Vlookup!B255,'CDCM Forecast Data'!$A$14:$I$271,9,FALSE)</f>
        <v>0</v>
      </c>
      <c r="C282" s="11">
        <f>VLOOKUP(Vlookup!C255,'CDCM Forecast Data'!$A$14:$I$271,9,FALSE)</f>
        <v>0</v>
      </c>
      <c r="D282" s="11">
        <f>VLOOKUP(Vlookup!D255,'CDCM Forecast Data'!$A$14:$I$271,9,FALSE)</f>
        <v>1</v>
      </c>
      <c r="E282" s="7" t="s">
        <v>262</v>
      </c>
      <c r="F282"/>
      <c r="G282"/>
      <c r="H282"/>
      <c r="I282"/>
      <c r="J282"/>
      <c r="K282"/>
    </row>
    <row r="283" spans="1:11" ht="15">
      <c r="A283"/>
      <c r="B283"/>
      <c r="C283"/>
      <c r="D283"/>
      <c r="E283"/>
      <c r="F283"/>
      <c r="G283"/>
      <c r="H283"/>
      <c r="I283"/>
      <c r="J283"/>
      <c r="K283"/>
    </row>
    <row r="284" spans="1:11" ht="19.5">
      <c r="A284" s="1" t="s">
        <v>237</v>
      </c>
      <c r="B284"/>
      <c r="C284"/>
      <c r="D284"/>
      <c r="E284"/>
      <c r="F284"/>
      <c r="G284"/>
      <c r="H284"/>
      <c r="I284"/>
      <c r="J284"/>
      <c r="K284"/>
    </row>
    <row r="285" spans="1:11" ht="15">
      <c r="A285"/>
      <c r="B285"/>
      <c r="C285"/>
      <c r="D285"/>
      <c r="E285"/>
      <c r="F285"/>
      <c r="G285"/>
      <c r="H285"/>
      <c r="I285"/>
      <c r="J285"/>
      <c r="K285"/>
    </row>
    <row r="286" spans="1:11" ht="15">
      <c r="A286"/>
      <c r="B286" s="3" t="s">
        <v>233</v>
      </c>
      <c r="C286" s="3" t="s">
        <v>234</v>
      </c>
      <c r="D286" s="3" t="s">
        <v>235</v>
      </c>
      <c r="E286" t="s">
        <v>262</v>
      </c>
      <c r="F286"/>
      <c r="G286"/>
      <c r="H286"/>
      <c r="I286"/>
      <c r="J286"/>
      <c r="K286"/>
    </row>
    <row r="287" spans="1:11" ht="15">
      <c r="A287" s="8" t="s">
        <v>131</v>
      </c>
      <c r="B287" s="11">
        <f>VLOOKUP(Vlookup!B260,'CDCM Forecast Data'!$A$14:$I$271,9,FALSE)</f>
        <v>2.9337899543378995E-2</v>
      </c>
      <c r="C287" s="11">
        <f>VLOOKUP(Vlookup!C260,'CDCM Forecast Data'!$A$14:$I$271,9,FALSE)</f>
        <v>0.37237442922374431</v>
      </c>
      <c r="D287" s="11">
        <f>VLOOKUP(Vlookup!D260,'CDCM Forecast Data'!$A$14:$I$271,9,FALSE)</f>
        <v>0.59828767123287674</v>
      </c>
      <c r="E287" s="7" t="s">
        <v>262</v>
      </c>
      <c r="F287"/>
      <c r="G287"/>
      <c r="H287"/>
      <c r="I287"/>
      <c r="J287"/>
      <c r="K287"/>
    </row>
    <row r="288" spans="1:11" ht="15">
      <c r="A288" s="8" t="s">
        <v>132</v>
      </c>
      <c r="B288" s="11">
        <f>VLOOKUP(Vlookup!B261,'CDCM Forecast Data'!$A$14:$I$271,9,FALSE)</f>
        <v>4.891355254087474E-2</v>
      </c>
      <c r="C288" s="11">
        <f>VLOOKUP(Vlookup!C261,'CDCM Forecast Data'!$A$14:$I$271,9,FALSE)</f>
        <v>8.8639017251141775E-2</v>
      </c>
      <c r="D288" s="11">
        <f>VLOOKUP(Vlookup!D261,'CDCM Forecast Data'!$A$14:$I$271,9,FALSE)</f>
        <v>0.86244743020798342</v>
      </c>
      <c r="E288" s="7" t="s">
        <v>262</v>
      </c>
      <c r="F288"/>
      <c r="G288"/>
      <c r="H288"/>
      <c r="I288"/>
      <c r="J288"/>
      <c r="K288"/>
    </row>
    <row r="289" spans="1:11" ht="15">
      <c r="A289" s="8" t="s">
        <v>133</v>
      </c>
      <c r="B289" s="11">
        <f>VLOOKUP(Vlookup!B262,'CDCM Forecast Data'!$A$14:$I$271,9,FALSE)</f>
        <v>8.9373751938750981E-2</v>
      </c>
      <c r="C289" s="11">
        <f>VLOOKUP(Vlookup!C262,'CDCM Forecast Data'!$A$14:$I$271,9,FALSE)</f>
        <v>0.1511733177646977</v>
      </c>
      <c r="D289" s="11">
        <f>VLOOKUP(Vlookup!D262,'CDCM Forecast Data'!$A$14:$I$271,9,FALSE)</f>
        <v>0.75945293029655137</v>
      </c>
      <c r="E289" s="7" t="s">
        <v>262</v>
      </c>
      <c r="F289"/>
      <c r="G289"/>
      <c r="H289"/>
      <c r="I289"/>
      <c r="J289"/>
      <c r="K289"/>
    </row>
    <row r="290" spans="1:11" ht="15">
      <c r="A290" s="8" t="s">
        <v>134</v>
      </c>
      <c r="B290" s="11">
        <f>VLOOKUP(Vlookup!B263,'CDCM Forecast Data'!$A$14:$I$271,9,FALSE)</f>
        <v>9.8662176030754195E-3</v>
      </c>
      <c r="C290" s="11">
        <f>VLOOKUP(Vlookup!C263,'CDCM Forecast Data'!$A$14:$I$271,9,FALSE)</f>
        <v>0.63526803788016351</v>
      </c>
      <c r="D290" s="11">
        <f>VLOOKUP(Vlookup!D263,'CDCM Forecast Data'!$A$14:$I$271,9,FALSE)</f>
        <v>0.35486574451676106</v>
      </c>
      <c r="E290" s="7" t="s">
        <v>262</v>
      </c>
      <c r="F290"/>
      <c r="G290"/>
      <c r="H290"/>
      <c r="I290"/>
      <c r="J290"/>
      <c r="K290"/>
    </row>
    <row r="291" spans="1:11" ht="15">
      <c r="A291"/>
      <c r="B291"/>
      <c r="C291"/>
      <c r="D291"/>
      <c r="E291"/>
      <c r="F291"/>
      <c r="G291"/>
      <c r="H291"/>
      <c r="I291"/>
      <c r="J291"/>
      <c r="K291"/>
    </row>
    <row r="292" spans="1:11" ht="19.5">
      <c r="A292" s="1" t="s">
        <v>240</v>
      </c>
      <c r="B292"/>
      <c r="C292"/>
      <c r="D292"/>
      <c r="E292"/>
      <c r="F292"/>
      <c r="G292"/>
      <c r="H292"/>
      <c r="I292"/>
      <c r="J292"/>
      <c r="K292"/>
    </row>
    <row r="293" spans="1:11" ht="15">
      <c r="A293" s="2" t="s">
        <v>241</v>
      </c>
      <c r="B293"/>
      <c r="C293"/>
      <c r="D293"/>
      <c r="E293"/>
      <c r="F293"/>
      <c r="G293"/>
      <c r="H293"/>
      <c r="I293"/>
      <c r="J293"/>
      <c r="K293"/>
    </row>
    <row r="294" spans="1:11" ht="15">
      <c r="A294" s="2" t="s">
        <v>242</v>
      </c>
      <c r="B294"/>
      <c r="C294"/>
      <c r="D294"/>
      <c r="E294"/>
      <c r="F294"/>
      <c r="G294"/>
      <c r="H294"/>
      <c r="I294"/>
      <c r="J294"/>
      <c r="K294"/>
    </row>
    <row r="295" spans="1:11" ht="15">
      <c r="A295"/>
      <c r="B295"/>
      <c r="C295"/>
      <c r="D295"/>
      <c r="E295"/>
      <c r="F295"/>
      <c r="G295"/>
      <c r="H295"/>
      <c r="I295"/>
      <c r="J295"/>
      <c r="K295"/>
    </row>
    <row r="296" spans="1:11" ht="15">
      <c r="A296"/>
      <c r="B296" s="3" t="s">
        <v>233</v>
      </c>
      <c r="C296" s="3" t="s">
        <v>234</v>
      </c>
      <c r="D296" s="3" t="s">
        <v>235</v>
      </c>
      <c r="E296"/>
      <c r="F296"/>
      <c r="G296"/>
      <c r="H296"/>
      <c r="I296"/>
      <c r="J296"/>
      <c r="K296"/>
    </row>
    <row r="297" spans="1:11" ht="15">
      <c r="A297" s="8" t="s">
        <v>243</v>
      </c>
      <c r="B297" s="14">
        <f>VLOOKUP(Vlookup!B270,'CDCM Forecast Data'!$A$14:$I$271,9,FALSE)</f>
        <v>258</v>
      </c>
      <c r="C297" s="14">
        <f>VLOOKUP(Vlookup!C270,'CDCM Forecast Data'!$A$14:$I$271,9,FALSE)</f>
        <v>3265.5</v>
      </c>
      <c r="D297" s="14">
        <f>VLOOKUP(Vlookup!D270,'CDCM Forecast Data'!$A$14:$I$271,9,FALSE)</f>
        <v>5236.5</v>
      </c>
      <c r="E297" s="7" t="s">
        <v>262</v>
      </c>
      <c r="F297"/>
      <c r="G297"/>
      <c r="H297"/>
      <c r="I297"/>
      <c r="J297"/>
      <c r="K297"/>
    </row>
    <row r="298" spans="1:11" ht="15">
      <c r="A298"/>
      <c r="B298"/>
      <c r="C298"/>
      <c r="D298"/>
      <c r="E298"/>
      <c r="F298"/>
      <c r="G298"/>
      <c r="H298"/>
      <c r="I298"/>
      <c r="J298"/>
      <c r="K298"/>
    </row>
    <row r="299" spans="1:11" ht="19.5">
      <c r="A299" s="1" t="s">
        <v>244</v>
      </c>
      <c r="B299"/>
      <c r="C299"/>
      <c r="D299"/>
      <c r="E299"/>
      <c r="F299"/>
      <c r="G299"/>
      <c r="H299"/>
      <c r="I299"/>
      <c r="J299"/>
      <c r="K299"/>
    </row>
    <row r="300" spans="1:11" ht="15">
      <c r="A300" s="2"/>
      <c r="B300"/>
      <c r="C300"/>
      <c r="D300"/>
      <c r="E300"/>
      <c r="F300"/>
      <c r="G300"/>
      <c r="H300"/>
      <c r="I300"/>
      <c r="J300"/>
      <c r="K300"/>
    </row>
    <row r="301" spans="1:11" ht="15">
      <c r="A301" s="2" t="s">
        <v>241</v>
      </c>
      <c r="B301"/>
      <c r="C301"/>
      <c r="D301"/>
      <c r="E301"/>
      <c r="F301"/>
      <c r="G301"/>
      <c r="H301"/>
      <c r="I301"/>
      <c r="J301"/>
      <c r="K301"/>
    </row>
    <row r="302" spans="1:11" ht="15">
      <c r="A302" t="s">
        <v>242</v>
      </c>
      <c r="B302"/>
      <c r="C302"/>
      <c r="D302"/>
      <c r="E302"/>
      <c r="F302"/>
      <c r="G302"/>
      <c r="H302"/>
      <c r="I302"/>
      <c r="J302"/>
      <c r="K302"/>
    </row>
    <row r="303" spans="1:11" ht="15">
      <c r="A303"/>
      <c r="B303" s="3" t="s">
        <v>233</v>
      </c>
      <c r="C303" s="3" t="s">
        <v>234</v>
      </c>
      <c r="D303" s="3" t="s">
        <v>235</v>
      </c>
      <c r="E303"/>
      <c r="F303"/>
      <c r="G303"/>
      <c r="H303"/>
      <c r="I303"/>
      <c r="J303"/>
      <c r="K303"/>
    </row>
    <row r="304" spans="1:11" ht="15">
      <c r="A304" s="8" t="s">
        <v>243</v>
      </c>
      <c r="B304" s="14">
        <f>VLOOKUP(Vlookup!B277,'CDCM Forecast Data'!$A$14:$I$271,9,FALSE)</f>
        <v>783</v>
      </c>
      <c r="C304" s="14">
        <f>VLOOKUP(Vlookup!C277,'CDCM Forecast Data'!$A$14:$I$271,9,FALSE)</f>
        <v>2740.5</v>
      </c>
      <c r="D304" s="14">
        <f>VLOOKUP(Vlookup!D277,'CDCM Forecast Data'!$A$14:$I$271,9,FALSE)</f>
        <v>5236.5</v>
      </c>
      <c r="E304" s="7" t="s">
        <v>262</v>
      </c>
      <c r="F304"/>
      <c r="G304"/>
      <c r="H304"/>
      <c r="I304"/>
      <c r="J304"/>
      <c r="K304"/>
    </row>
    <row r="305" spans="1:11" ht="15">
      <c r="A305"/>
      <c r="B305"/>
      <c r="C305"/>
      <c r="D305"/>
      <c r="E305"/>
      <c r="F305"/>
      <c r="G305"/>
      <c r="H305"/>
      <c r="I305"/>
      <c r="J305"/>
      <c r="K305"/>
    </row>
    <row r="306" spans="1:11" ht="19.5">
      <c r="A306" s="1" t="s">
        <v>245</v>
      </c>
      <c r="B306"/>
      <c r="C306"/>
      <c r="D306"/>
      <c r="E306"/>
      <c r="F306"/>
      <c r="G306"/>
      <c r="H306"/>
      <c r="I306"/>
      <c r="J306"/>
      <c r="K306"/>
    </row>
    <row r="307" spans="1:11" ht="15">
      <c r="A307" s="2"/>
      <c r="B307"/>
      <c r="C307"/>
      <c r="D307"/>
      <c r="E307"/>
      <c r="F307"/>
      <c r="G307"/>
      <c r="H307"/>
      <c r="I307"/>
      <c r="J307"/>
      <c r="K307"/>
    </row>
    <row r="308" spans="1:11" ht="15">
      <c r="A308"/>
      <c r="B308"/>
      <c r="C308"/>
      <c r="D308"/>
      <c r="E308"/>
      <c r="F308"/>
      <c r="G308"/>
      <c r="H308"/>
      <c r="I308"/>
      <c r="J308"/>
      <c r="K308"/>
    </row>
    <row r="309" spans="1:11" ht="15">
      <c r="A309" t="s">
        <v>246</v>
      </c>
      <c r="B309" s="15"/>
      <c r="C309" s="15"/>
      <c r="D309" s="15"/>
      <c r="E309"/>
      <c r="F309"/>
      <c r="G309"/>
      <c r="H309"/>
      <c r="I309"/>
      <c r="J309"/>
      <c r="K309"/>
    </row>
    <row r="310" spans="1:11" ht="15">
      <c r="A310"/>
      <c r="B310" s="3" t="s">
        <v>233</v>
      </c>
      <c r="C310" s="3" t="s">
        <v>234</v>
      </c>
      <c r="D310" s="3" t="s">
        <v>235</v>
      </c>
      <c r="E310" s="3" t="s">
        <v>238</v>
      </c>
      <c r="F310"/>
      <c r="G310"/>
      <c r="H310"/>
      <c r="I310"/>
      <c r="J310"/>
      <c r="K310"/>
    </row>
    <row r="311" spans="1:11" ht="15">
      <c r="A311" s="8" t="s">
        <v>60</v>
      </c>
      <c r="B311" s="11">
        <f>VLOOKUP(Vlookup!B283,'CDCM Forecast Data'!$A$14:$I$271,9,FALSE)</f>
        <v>0.85470794540392048</v>
      </c>
      <c r="C311" s="11">
        <f>VLOOKUP(Vlookup!C283,'CDCM Forecast Data'!$A$14:$I$271,9,FALSE)</f>
        <v>0.14529205459607944</v>
      </c>
      <c r="D311" s="11">
        <f>VLOOKUP(Vlookup!D283,'CDCM Forecast Data'!$A$14:$I$271,9,FALSE)</f>
        <v>0</v>
      </c>
      <c r="E311" s="11">
        <f>VLOOKUP(Vlookup!E283,'CDCM Forecast Data'!$A$14:$I$271,9,FALSE)</f>
        <v>0.84810150959791342</v>
      </c>
      <c r="F311" s="7" t="s">
        <v>262</v>
      </c>
      <c r="G311"/>
      <c r="H311"/>
      <c r="I311"/>
      <c r="J311"/>
      <c r="K311"/>
    </row>
    <row r="312" spans="1:11" ht="15">
      <c r="A312" s="8" t="s">
        <v>61</v>
      </c>
      <c r="B312" s="11">
        <f>VLOOKUP(Vlookup!B284,'CDCM Forecast Data'!$A$14:$I$271,9,FALSE)</f>
        <v>0.73347807576361312</v>
      </c>
      <c r="C312" s="11">
        <f>VLOOKUP(Vlookup!C284,'CDCM Forecast Data'!$A$14:$I$271,9,FALSE)</f>
        <v>0.23785008473510372</v>
      </c>
      <c r="D312" s="11">
        <f>VLOOKUP(Vlookup!D284,'CDCM Forecast Data'!$A$14:$I$271,9,FALSE)</f>
        <v>2.8671839501283092E-2</v>
      </c>
      <c r="E312" s="11">
        <f>VLOOKUP(Vlookup!E284,'CDCM Forecast Data'!$A$14:$I$271,9,FALSE)</f>
        <v>0.72115228218186689</v>
      </c>
      <c r="F312" s="7" t="s">
        <v>262</v>
      </c>
      <c r="G312"/>
      <c r="H312"/>
      <c r="I312"/>
      <c r="J312"/>
      <c r="K312"/>
    </row>
    <row r="313" spans="1:11" ht="15">
      <c r="A313" s="8" t="s">
        <v>62</v>
      </c>
      <c r="B313" s="11">
        <f>VLOOKUP(Vlookup!B285,'CDCM Forecast Data'!$A$14:$I$271,9,FALSE)</f>
        <v>0.73347807576361312</v>
      </c>
      <c r="C313" s="11">
        <f>VLOOKUP(Vlookup!C285,'CDCM Forecast Data'!$A$14:$I$271,9,FALSE)</f>
        <v>0.23785008473510372</v>
      </c>
      <c r="D313" s="11">
        <f>VLOOKUP(Vlookup!D285,'CDCM Forecast Data'!$A$14:$I$271,9,FALSE)</f>
        <v>2.8671839501283092E-2</v>
      </c>
      <c r="E313" s="11">
        <f>VLOOKUP(Vlookup!E285,'CDCM Forecast Data'!$A$14:$I$271,9,FALSE)</f>
        <v>0.72115228218186689</v>
      </c>
      <c r="F313" s="7" t="s">
        <v>262</v>
      </c>
      <c r="G313"/>
      <c r="H313"/>
      <c r="I313"/>
      <c r="J313"/>
      <c r="K313"/>
    </row>
    <row r="314" spans="1:11" ht="15">
      <c r="A314" s="8" t="s">
        <v>63</v>
      </c>
      <c r="B314" s="11">
        <f>VLOOKUP(Vlookup!B286,'CDCM Forecast Data'!$A$14:$I$271,9,FALSE)</f>
        <v>0.74849318073591797</v>
      </c>
      <c r="C314" s="11">
        <f>VLOOKUP(Vlookup!C286,'CDCM Forecast Data'!$A$14:$I$271,9,FALSE)</f>
        <v>0.18814792948012682</v>
      </c>
      <c r="D314" s="11">
        <f>VLOOKUP(Vlookup!D286,'CDCM Forecast Data'!$A$14:$I$271,9,FALSE)</f>
        <v>6.3358889783955152E-2</v>
      </c>
      <c r="E314" s="11">
        <f>VLOOKUP(Vlookup!E286,'CDCM Forecast Data'!$A$14:$I$271,9,FALSE)</f>
        <v>0.7448691829953189</v>
      </c>
      <c r="F314" s="7" t="s">
        <v>262</v>
      </c>
      <c r="G314"/>
      <c r="H314"/>
      <c r="I314"/>
      <c r="J314"/>
      <c r="K314"/>
    </row>
    <row r="315" spans="1:11" ht="15">
      <c r="A315" s="8" t="s">
        <v>64</v>
      </c>
      <c r="B315" s="11">
        <f>VLOOKUP(Vlookup!B287,'CDCM Forecast Data'!$A$14:$I$271,9,FALSE)</f>
        <v>0.74849318073591797</v>
      </c>
      <c r="C315" s="11">
        <f>VLOOKUP(Vlookup!C287,'CDCM Forecast Data'!$A$14:$I$271,9,FALSE)</f>
        <v>0.18814792948012682</v>
      </c>
      <c r="D315" s="11">
        <f>VLOOKUP(Vlookup!D287,'CDCM Forecast Data'!$A$14:$I$271,9,FALSE)</f>
        <v>6.3358889783955152E-2</v>
      </c>
      <c r="E315" s="11">
        <f>VLOOKUP(Vlookup!E287,'CDCM Forecast Data'!$A$14:$I$271,9,FALSE)</f>
        <v>0.7448691829953189</v>
      </c>
      <c r="F315" s="7" t="s">
        <v>262</v>
      </c>
      <c r="G315"/>
      <c r="H315"/>
      <c r="I315"/>
      <c r="J315"/>
      <c r="K315"/>
    </row>
    <row r="316" spans="1:11" ht="15">
      <c r="A316" s="8" t="s">
        <v>69</v>
      </c>
      <c r="B316" s="11">
        <f>VLOOKUP(Vlookup!B288,'CDCM Forecast Data'!$A$14:$I$271,9,FALSE)</f>
        <v>0.73347807576361312</v>
      </c>
      <c r="C316" s="11">
        <f>VLOOKUP(Vlookup!C288,'CDCM Forecast Data'!$A$14:$I$271,9,FALSE)</f>
        <v>0.23785008473510372</v>
      </c>
      <c r="D316" s="11">
        <f>VLOOKUP(Vlookup!D288,'CDCM Forecast Data'!$A$14:$I$271,9,FALSE)</f>
        <v>2.8671839501283092E-2</v>
      </c>
      <c r="E316" s="11">
        <f>VLOOKUP(Vlookup!E288,'CDCM Forecast Data'!$A$14:$I$271,9,FALSE)</f>
        <v>0.72115228218186689</v>
      </c>
      <c r="F316" s="7" t="s">
        <v>262</v>
      </c>
      <c r="G316"/>
      <c r="H316"/>
      <c r="I316"/>
      <c r="J316"/>
      <c r="K316"/>
    </row>
    <row r="317" spans="1:11" ht="15">
      <c r="A317" s="8" t="s">
        <v>65</v>
      </c>
      <c r="B317" s="11">
        <f>VLOOKUP(Vlookup!B289,'CDCM Forecast Data'!$A$14:$I$271,9,FALSE)</f>
        <v>0.74849318073591797</v>
      </c>
      <c r="C317" s="11">
        <f>VLOOKUP(Vlookup!C289,'CDCM Forecast Data'!$A$14:$I$271,9,FALSE)</f>
        <v>0.18814792948012682</v>
      </c>
      <c r="D317" s="11">
        <f>VLOOKUP(Vlookup!D289,'CDCM Forecast Data'!$A$14:$I$271,9,FALSE)</f>
        <v>6.3358889783955152E-2</v>
      </c>
      <c r="E317" s="11">
        <f>VLOOKUP(Vlookup!E289,'CDCM Forecast Data'!$A$14:$I$271,9,FALSE)</f>
        <v>0.7448691829953189</v>
      </c>
      <c r="F317" s="7" t="s">
        <v>262</v>
      </c>
      <c r="G317"/>
      <c r="H317"/>
      <c r="I317"/>
      <c r="J317"/>
      <c r="K317"/>
    </row>
    <row r="318" spans="1:11" ht="15">
      <c r="A318" s="8" t="s">
        <v>66</v>
      </c>
      <c r="B318" s="11">
        <f>VLOOKUP(Vlookup!B290,'CDCM Forecast Data'!$A$14:$I$271,9,FALSE)</f>
        <v>0.74849318073591797</v>
      </c>
      <c r="C318" s="11">
        <f>VLOOKUP(Vlookup!C290,'CDCM Forecast Data'!$A$14:$I$271,9,FALSE)</f>
        <v>0.18814792948012682</v>
      </c>
      <c r="D318" s="11">
        <f>VLOOKUP(Vlookup!D290,'CDCM Forecast Data'!$A$14:$I$271,9,FALSE)</f>
        <v>6.3358889783955152E-2</v>
      </c>
      <c r="E318" s="11">
        <f>VLOOKUP(Vlookup!E290,'CDCM Forecast Data'!$A$14:$I$271,9,FALSE)</f>
        <v>0.7448691829953189</v>
      </c>
      <c r="F318" s="7" t="s">
        <v>262</v>
      </c>
      <c r="G318"/>
      <c r="H318"/>
      <c r="I318"/>
      <c r="J318"/>
      <c r="K318"/>
    </row>
    <row r="319" spans="1:11" ht="15">
      <c r="A319" s="8" t="s">
        <v>67</v>
      </c>
      <c r="B319" s="11">
        <f>VLOOKUP(Vlookup!B291,'CDCM Forecast Data'!$A$14:$I$271,9,FALSE)</f>
        <v>0.74849318073591797</v>
      </c>
      <c r="C319" s="11">
        <f>VLOOKUP(Vlookup!C291,'CDCM Forecast Data'!$A$14:$I$271,9,FALSE)</f>
        <v>0.18814792948012682</v>
      </c>
      <c r="D319" s="11">
        <f>VLOOKUP(Vlookup!D291,'CDCM Forecast Data'!$A$14:$I$271,9,FALSE)</f>
        <v>6.3358889783955152E-2</v>
      </c>
      <c r="E319" s="11">
        <f>VLOOKUP(Vlookup!E291,'CDCM Forecast Data'!$A$14:$I$271,9,FALSE)</f>
        <v>0.7448691829953189</v>
      </c>
      <c r="F319" s="7" t="s">
        <v>262</v>
      </c>
      <c r="G319"/>
      <c r="H319"/>
      <c r="I319"/>
      <c r="J319"/>
      <c r="K319"/>
    </row>
    <row r="320" spans="1:11" ht="15">
      <c r="A320"/>
      <c r="B320"/>
      <c r="C320"/>
      <c r="D320"/>
      <c r="E320"/>
      <c r="F320"/>
      <c r="G320"/>
      <c r="H320"/>
      <c r="I320"/>
      <c r="J320"/>
      <c r="K320"/>
    </row>
    <row r="321" spans="1:11" ht="19.5">
      <c r="A321" s="1" t="s">
        <v>1524</v>
      </c>
      <c r="B321"/>
      <c r="C321"/>
      <c r="D321"/>
      <c r="E321"/>
      <c r="F321"/>
      <c r="G321"/>
      <c r="H321"/>
      <c r="I321"/>
      <c r="J321"/>
      <c r="K321"/>
    </row>
    <row r="322" spans="1:11" ht="15">
      <c r="A322" s="2" t="s">
        <v>1523</v>
      </c>
      <c r="B322"/>
      <c r="C322"/>
      <c r="D322"/>
      <c r="E322"/>
      <c r="F322"/>
      <c r="G322"/>
      <c r="H322"/>
      <c r="I322"/>
      <c r="J322"/>
      <c r="K322"/>
    </row>
    <row r="323" spans="1:11" ht="15">
      <c r="A323"/>
      <c r="B323"/>
      <c r="C323"/>
      <c r="D323"/>
      <c r="E323"/>
      <c r="F323"/>
      <c r="G323"/>
      <c r="H323"/>
      <c r="I323"/>
      <c r="J323"/>
      <c r="K323"/>
    </row>
    <row r="324" spans="1:11" ht="30">
      <c r="A324"/>
      <c r="B324" s="3" t="s">
        <v>1522</v>
      </c>
      <c r="C324"/>
      <c r="D324"/>
      <c r="E324"/>
      <c r="F324"/>
      <c r="G324"/>
      <c r="H324"/>
      <c r="I324"/>
      <c r="J324"/>
      <c r="K324"/>
    </row>
    <row r="325" spans="1:11" ht="15">
      <c r="A325" s="8" t="s">
        <v>1522</v>
      </c>
      <c r="B325" s="10">
        <f>1000000*'Table 1'!J47</f>
        <v>532150838.49159807</v>
      </c>
      <c r="C325" s="7"/>
      <c r="D325"/>
      <c r="E325"/>
      <c r="F325"/>
      <c r="G325"/>
      <c r="H325"/>
      <c r="I325"/>
      <c r="J325"/>
      <c r="K325"/>
    </row>
    <row r="326" spans="1:11" ht="15">
      <c r="A326"/>
      <c r="B326"/>
      <c r="C326"/>
      <c r="D326"/>
      <c r="E326"/>
      <c r="F326"/>
      <c r="G326"/>
      <c r="H326"/>
      <c r="I326"/>
      <c r="J326"/>
      <c r="K326"/>
    </row>
    <row r="327" spans="1:11" ht="19.5">
      <c r="A327" s="1" t="s">
        <v>248</v>
      </c>
      <c r="B327"/>
      <c r="C327"/>
      <c r="D327"/>
      <c r="E327"/>
      <c r="F327"/>
      <c r="G327"/>
      <c r="H327"/>
      <c r="I327"/>
      <c r="J327"/>
      <c r="K327"/>
    </row>
    <row r="328" spans="1:11" ht="15">
      <c r="A328" s="2" t="s">
        <v>262</v>
      </c>
      <c r="B328"/>
      <c r="C328"/>
      <c r="D328"/>
      <c r="E328"/>
      <c r="F328"/>
      <c r="G328"/>
      <c r="H328"/>
      <c r="I328"/>
      <c r="J328"/>
      <c r="K328"/>
    </row>
    <row r="329" spans="1:11" ht="15">
      <c r="A329" s="2" t="s">
        <v>249</v>
      </c>
      <c r="B329"/>
      <c r="C329"/>
      <c r="D329"/>
      <c r="E329"/>
      <c r="F329"/>
      <c r="G329"/>
      <c r="H329"/>
      <c r="I329"/>
      <c r="J329"/>
      <c r="K329"/>
    </row>
    <row r="330" spans="1:11" ht="15">
      <c r="A330" t="s">
        <v>250</v>
      </c>
      <c r="B330"/>
      <c r="C330"/>
      <c r="D330"/>
      <c r="E330"/>
      <c r="F330"/>
      <c r="G330"/>
      <c r="H330"/>
      <c r="I330"/>
      <c r="J330"/>
      <c r="K330"/>
    </row>
    <row r="331" spans="1:11" ht="15">
      <c r="A331"/>
      <c r="B331" s="3" t="s">
        <v>60</v>
      </c>
      <c r="C331" s="3" t="s">
        <v>61</v>
      </c>
      <c r="D331" s="3" t="s">
        <v>62</v>
      </c>
      <c r="E331" s="3" t="s">
        <v>63</v>
      </c>
      <c r="F331" s="3" t="s">
        <v>64</v>
      </c>
      <c r="G331" s="3" t="s">
        <v>69</v>
      </c>
      <c r="H331" s="3" t="s">
        <v>65</v>
      </c>
      <c r="I331" s="3" t="s">
        <v>66</v>
      </c>
      <c r="J331" s="3" t="s">
        <v>67</v>
      </c>
      <c r="K331"/>
    </row>
    <row r="332" spans="1:11" ht="15">
      <c r="A332" s="8" t="s">
        <v>251</v>
      </c>
      <c r="B332" s="4">
        <f>VLOOKUP(Vlookup!B298,'CDCM Forecast Data'!$A$14:$I$271,9,FALSE)</f>
        <v>0.2810621222726124</v>
      </c>
      <c r="C332" s="4">
        <f>VLOOKUP(Vlookup!C298,'CDCM Forecast Data'!$A$14:$I$271,9,FALSE)</f>
        <v>0.2810621222726124</v>
      </c>
      <c r="D332" s="4">
        <f>VLOOKUP(Vlookup!D298,'CDCM Forecast Data'!$A$14:$I$271,9,FALSE)</f>
        <v>0.2810621222726124</v>
      </c>
      <c r="E332" s="4">
        <f>VLOOKUP(Vlookup!E298,'CDCM Forecast Data'!$A$14:$I$271,9,FALSE)</f>
        <v>0.2810621222726124</v>
      </c>
      <c r="F332" s="4">
        <f>VLOOKUP(Vlookup!F298,'CDCM Forecast Data'!$A$14:$I$271,9,FALSE)</f>
        <v>0.2810621222726124</v>
      </c>
      <c r="G332" s="4">
        <f>VLOOKUP(Vlookup!G298,'CDCM Forecast Data'!$A$14:$I$271,9,FALSE)</f>
        <v>0.2810621222726124</v>
      </c>
      <c r="H332" s="4">
        <f>VLOOKUP(Vlookup!H298,'CDCM Forecast Data'!$A$14:$I$271,9,FALSE)</f>
        <v>0.2810621222726124</v>
      </c>
      <c r="I332" s="4">
        <f>VLOOKUP(Vlookup!I298,'CDCM Forecast Data'!$A$14:$I$271,9,FALSE)</f>
        <v>0.2810621222726124</v>
      </c>
      <c r="J332" s="4">
        <f>VLOOKUP(Vlookup!J298,'CDCM Forecast Data'!$A$14:$I$271,9,FALSE)</f>
        <v>0.2810621222726124</v>
      </c>
      <c r="K332" s="7" t="s">
        <v>262</v>
      </c>
    </row>
  </sheetData>
  <dataValidations count="7">
    <dataValidation type="decimal" allowBlank="1" showInputMessage="1" showErrorMessage="1" error="The number in this cell must be between 0% and 100%." sqref="B90:I90 B95:F98 B68:I83">
      <formula1>0</formula1>
      <formula2>1</formula2>
    </dataValidation>
    <dataValidation type="decimal" allowBlank="1" showInputMessage="1" showErrorMessage="1" error="The LDNO discount must be between 0% and 100%." sqref="B110">
      <formula1>0</formula1>
      <formula2>1</formula2>
    </dataValidation>
    <dataValidation type="decimal" allowBlank="1" showInputMessage="1" showErrorMessage="1" error="The coincidence factor must be between 0% and 100%." sqref="B118 B121">
      <formula1>0</formula1>
      <formula2>1</formula2>
    </dataValidation>
    <dataValidation type="textLength" operator="equal" allowBlank="1" showInputMessage="1" showErrorMessage="1" error="This cell should remain blank." sqref="B172:G172 B174:G174 B178:G178 B181:G181 B142:G142 B146:G146 B150:G150 B154:G154 B158:G158 B162:G162 B166:G166 B170:G170 B200:G200 B196:G196 B192:G192 B184:G184 B188:G188 B204:G204 B208:G208 B211:G211 B215:G215 B219:G219 B222:G222 B225:G225 B234:G234 B231:G231 B228:G228 B237:G237">
      <formula1>0</formula1>
    </dataValidation>
    <dataValidation type="decimal" allowBlank="1" showInputMessage="1" showErrorMessage="1" errorTitle="Invalid customer contribution" error="The customer contribution must be a non-negative percentage value." sqref="I258:I260 F260:G260 H259:H260">
      <formula1>0</formula1>
      <formula2>4</formula2>
    </dataValidation>
    <dataValidation type="decimal" operator="greaterThanOrEqual" allowBlank="1" showInputMessage="1" showErrorMessage="1" errorTitle="Volume data error" error="The volume must be a non-negative number." sqref="B171:G171 B167:G169 B179:G180 B182:G183 B175:G177 B143:G145 B173:G173 B147:G149 B151:G153 B155:G157 B159:G161 B163:G165 B223:G224 B189:G191 B212:G214 B197:G199 B185:G187 B201:G203 B193:G195 B205:G207 B209:G210 B216:G218 B235:G236 B220:G221 B226:G227 B232:G233 B229:G230 B238:G238">
      <formula1>0</formula1>
    </dataValidation>
    <dataValidation type="decimal" operator="greaterThanOrEqual" allowBlank="1" showInputMessage="1" showErrorMessage="1" sqref="B325">
      <formula1>0</formula1>
    </dataValidation>
  </dataValidation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indexed="47"/>
  </sheetPr>
  <dimension ref="B2:M407"/>
  <sheetViews>
    <sheetView showGridLines="0" view="pageBreakPreview" workbookViewId="0"/>
  </sheetViews>
  <sheetFormatPr defaultColWidth="8.85546875" defaultRowHeight="12.75"/>
  <cols>
    <col min="1" max="1" width="8.85546875" style="236"/>
    <col min="2" max="2" width="3.42578125" style="236" customWidth="1"/>
    <col min="3" max="3" width="50.7109375" style="236" customWidth="1"/>
    <col min="4" max="12" width="16.28515625" style="236" customWidth="1"/>
    <col min="13" max="13" width="4.42578125" style="236" customWidth="1"/>
    <col min="14" max="246" width="20.7109375" style="236" customWidth="1"/>
    <col min="247" max="16384" width="8.85546875" style="236"/>
  </cols>
  <sheetData>
    <row r="2" spans="2:13" ht="54.75" customHeight="1">
      <c r="B2" s="252" t="str">
        <f>'CDCM Forecast Data'!E3&amp;" - 5 Year Tariff Summary"</f>
        <v>WPD West Mids - 5 Year Tariff Summary</v>
      </c>
    </row>
    <row r="4" spans="2:13">
      <c r="C4" s="220"/>
      <c r="E4" s="220"/>
      <c r="G4" s="220"/>
      <c r="I4" s="220"/>
    </row>
    <row r="5" spans="2:13" ht="21" customHeight="1">
      <c r="C5" s="237"/>
      <c r="D5" s="238" t="s">
        <v>1464</v>
      </c>
      <c r="F5" s="387" t="s">
        <v>1525</v>
      </c>
      <c r="G5" s="387"/>
      <c r="H5" s="387"/>
      <c r="I5" s="387"/>
      <c r="J5" s="387"/>
    </row>
    <row r="6" spans="2:13" ht="15">
      <c r="C6" s="237" t="s">
        <v>1463</v>
      </c>
      <c r="D6" s="286" t="str">
        <f>+'CDCM Volume Forecasts'!G6</f>
        <v>2017/18</v>
      </c>
      <c r="F6" s="387"/>
      <c r="G6" s="387"/>
      <c r="H6" s="387"/>
      <c r="I6" s="387"/>
      <c r="J6" s="387"/>
    </row>
    <row r="7" spans="2:13" ht="15">
      <c r="C7" s="237" t="s">
        <v>1462</v>
      </c>
      <c r="D7" s="286" t="str">
        <f>+'CDCM Volume Forecasts'!H6</f>
        <v>2018/19</v>
      </c>
      <c r="F7" s="387"/>
      <c r="G7" s="387"/>
      <c r="H7" s="387"/>
      <c r="I7" s="387"/>
      <c r="J7" s="387"/>
    </row>
    <row r="8" spans="2:13" ht="15">
      <c r="C8" s="237" t="s">
        <v>1461</v>
      </c>
      <c r="D8" s="286" t="str">
        <f>+'CDCM Volume Forecasts'!I6</f>
        <v>2019/20</v>
      </c>
      <c r="E8" s="220"/>
      <c r="G8" s="220"/>
      <c r="I8" s="220"/>
    </row>
    <row r="9" spans="2:13" ht="15">
      <c r="C9" s="237" t="s">
        <v>1460</v>
      </c>
      <c r="D9" s="286" t="str">
        <f>+'CDCM Volume Forecasts'!J6</f>
        <v>2020/21</v>
      </c>
      <c r="E9" s="220"/>
      <c r="G9" s="220"/>
      <c r="I9" s="220"/>
    </row>
    <row r="10" spans="2:13" ht="15">
      <c r="C10" s="237" t="s">
        <v>1459</v>
      </c>
      <c r="D10" s="286" t="str">
        <f>+'CDCM Volume Forecasts'!K6</f>
        <v>2021/22</v>
      </c>
      <c r="E10" s="220"/>
      <c r="G10" s="220"/>
      <c r="I10" s="220"/>
    </row>
    <row r="11" spans="2:13">
      <c r="G11" s="223"/>
    </row>
    <row r="12" spans="2:13">
      <c r="G12" s="220"/>
    </row>
    <row r="13" spans="2:13">
      <c r="C13" s="224"/>
    </row>
    <row r="14" spans="2:13">
      <c r="C14" s="225"/>
    </row>
    <row r="15" spans="2:13" ht="13.5" thickBot="1"/>
    <row r="16" spans="2:13">
      <c r="B16" s="239"/>
      <c r="C16" s="240"/>
      <c r="D16" s="241"/>
      <c r="E16" s="241"/>
      <c r="F16" s="241"/>
      <c r="G16" s="241"/>
      <c r="H16" s="241"/>
      <c r="I16" s="241"/>
      <c r="J16" s="241"/>
      <c r="K16" s="241"/>
      <c r="L16" s="241"/>
      <c r="M16" s="242"/>
    </row>
    <row r="17" spans="2:13">
      <c r="B17" s="243"/>
      <c r="C17" s="244" t="str">
        <f>"Tariffs for Charging Year: "&amp; " "&amp;D6&amp;""</f>
        <v>Tariffs for Charging Year:  2017/18</v>
      </c>
      <c r="D17" s="244"/>
      <c r="E17" s="244"/>
      <c r="F17" s="244"/>
      <c r="G17" s="244"/>
      <c r="H17" s="244"/>
      <c r="I17" s="245"/>
      <c r="J17" s="245"/>
      <c r="K17" s="245"/>
      <c r="L17" s="245"/>
      <c r="M17" s="246"/>
    </row>
    <row r="18" spans="2:13">
      <c r="B18" s="243"/>
      <c r="C18" s="229"/>
      <c r="D18" s="245"/>
      <c r="E18" s="245"/>
      <c r="F18" s="245"/>
      <c r="G18" s="245"/>
      <c r="H18" s="245"/>
      <c r="I18" s="245"/>
      <c r="J18" s="245"/>
      <c r="K18" s="245"/>
      <c r="L18" s="245"/>
      <c r="M18" s="246"/>
    </row>
    <row r="19" spans="2:13">
      <c r="B19" s="243"/>
      <c r="C19" s="229"/>
      <c r="D19" s="245"/>
      <c r="E19" s="245"/>
      <c r="F19" s="245"/>
      <c r="G19" s="245"/>
      <c r="H19" s="245"/>
      <c r="I19" s="245"/>
      <c r="J19" s="245"/>
      <c r="K19" s="245"/>
      <c r="L19" s="245"/>
      <c r="M19" s="246"/>
    </row>
    <row r="20" spans="2:13" ht="25.5">
      <c r="B20" s="243"/>
      <c r="C20" s="247"/>
      <c r="D20" s="218" t="s">
        <v>1196</v>
      </c>
      <c r="E20" s="218" t="s">
        <v>1197</v>
      </c>
      <c r="F20" s="218" t="s">
        <v>1116</v>
      </c>
      <c r="G20" s="218" t="s">
        <v>1117</v>
      </c>
      <c r="H20" s="218" t="s">
        <v>1118</v>
      </c>
      <c r="I20" s="218" t="s">
        <v>1119</v>
      </c>
      <c r="J20" s="218" t="s">
        <v>1120</v>
      </c>
      <c r="K20" s="218" t="s">
        <v>776</v>
      </c>
      <c r="L20" s="218" t="s">
        <v>1198</v>
      </c>
      <c r="M20" s="246"/>
    </row>
    <row r="21" spans="2:13" ht="27" customHeight="1">
      <c r="B21" s="243"/>
      <c r="C21" s="234" t="s">
        <v>92</v>
      </c>
      <c r="D21" s="248" t="s">
        <v>1867</v>
      </c>
      <c r="E21" s="248">
        <v>1</v>
      </c>
      <c r="F21" s="260">
        <v>2.2269999999999999</v>
      </c>
      <c r="G21" s="260">
        <v>0</v>
      </c>
      <c r="H21" s="260">
        <v>0</v>
      </c>
      <c r="I21" s="261">
        <v>3.9</v>
      </c>
      <c r="J21" s="261">
        <v>0</v>
      </c>
      <c r="K21" s="260">
        <v>0</v>
      </c>
      <c r="L21" s="248" t="s">
        <v>1859</v>
      </c>
      <c r="M21" s="246"/>
    </row>
    <row r="22" spans="2:13" ht="27" customHeight="1">
      <c r="B22" s="243"/>
      <c r="C22" s="234" t="s">
        <v>93</v>
      </c>
      <c r="D22" s="248" t="s">
        <v>1868</v>
      </c>
      <c r="E22" s="248">
        <v>2</v>
      </c>
      <c r="F22" s="260">
        <v>2.6459999999999999</v>
      </c>
      <c r="G22" s="260">
        <v>6.9000000000000006E-2</v>
      </c>
      <c r="H22" s="260">
        <v>0</v>
      </c>
      <c r="I22" s="261">
        <v>3.9</v>
      </c>
      <c r="J22" s="261">
        <v>0</v>
      </c>
      <c r="K22" s="260">
        <v>0</v>
      </c>
      <c r="L22" s="248" t="s">
        <v>1860</v>
      </c>
      <c r="M22" s="246"/>
    </row>
    <row r="23" spans="2:13" ht="27" customHeight="1">
      <c r="B23" s="243"/>
      <c r="C23" s="234" t="s">
        <v>129</v>
      </c>
      <c r="D23" s="248" t="s">
        <v>1869</v>
      </c>
      <c r="E23" s="248">
        <v>2</v>
      </c>
      <c r="F23" s="260">
        <v>0.19700000000000001</v>
      </c>
      <c r="G23" s="260">
        <v>0</v>
      </c>
      <c r="H23" s="260">
        <v>0</v>
      </c>
      <c r="I23" s="261">
        <v>0</v>
      </c>
      <c r="J23" s="261">
        <v>0</v>
      </c>
      <c r="K23" s="260">
        <v>0</v>
      </c>
      <c r="L23" s="248" t="s">
        <v>1861</v>
      </c>
      <c r="M23" s="246"/>
    </row>
    <row r="24" spans="2:13" ht="27" customHeight="1">
      <c r="B24" s="243"/>
      <c r="C24" s="234" t="s">
        <v>94</v>
      </c>
      <c r="D24" s="248" t="s">
        <v>1870</v>
      </c>
      <c r="E24" s="248">
        <v>3</v>
      </c>
      <c r="F24" s="260">
        <v>2.0779999999999998</v>
      </c>
      <c r="G24" s="260">
        <v>0</v>
      </c>
      <c r="H24" s="260">
        <v>0</v>
      </c>
      <c r="I24" s="261">
        <v>5.99</v>
      </c>
      <c r="J24" s="261">
        <v>0</v>
      </c>
      <c r="K24" s="260">
        <v>0</v>
      </c>
      <c r="L24" s="248" t="s">
        <v>1862</v>
      </c>
      <c r="M24" s="246"/>
    </row>
    <row r="25" spans="2:13" ht="27" customHeight="1">
      <c r="B25" s="243"/>
      <c r="C25" s="234" t="s">
        <v>95</v>
      </c>
      <c r="D25" s="248" t="s">
        <v>1871</v>
      </c>
      <c r="E25" s="248">
        <v>4</v>
      </c>
      <c r="F25" s="260">
        <v>2.3820000000000001</v>
      </c>
      <c r="G25" s="260">
        <v>6.5000000000000002E-2</v>
      </c>
      <c r="H25" s="260">
        <v>0</v>
      </c>
      <c r="I25" s="261">
        <v>5.99</v>
      </c>
      <c r="J25" s="261">
        <v>0</v>
      </c>
      <c r="K25" s="260">
        <v>0</v>
      </c>
      <c r="L25" s="248" t="s">
        <v>1863</v>
      </c>
      <c r="M25" s="246"/>
    </row>
    <row r="26" spans="2:13" ht="27" customHeight="1">
      <c r="B26" s="243"/>
      <c r="C26" s="234" t="s">
        <v>130</v>
      </c>
      <c r="D26" s="248" t="s">
        <v>1872</v>
      </c>
      <c r="E26" s="248">
        <v>4</v>
      </c>
      <c r="F26" s="260">
        <v>0.371</v>
      </c>
      <c r="G26" s="260">
        <v>0</v>
      </c>
      <c r="H26" s="260">
        <v>0</v>
      </c>
      <c r="I26" s="261">
        <v>0</v>
      </c>
      <c r="J26" s="261">
        <v>0</v>
      </c>
      <c r="K26" s="260">
        <v>0</v>
      </c>
      <c r="L26" s="248" t="s">
        <v>1864</v>
      </c>
      <c r="M26" s="246"/>
    </row>
    <row r="27" spans="2:13" ht="27" customHeight="1">
      <c r="B27" s="243"/>
      <c r="C27" s="234" t="s">
        <v>96</v>
      </c>
      <c r="D27" s="248" t="s">
        <v>1873</v>
      </c>
      <c r="E27" s="248" t="s">
        <v>1199</v>
      </c>
      <c r="F27" s="260">
        <v>1.7450000000000001</v>
      </c>
      <c r="G27" s="260">
        <v>4.5999999999999999E-2</v>
      </c>
      <c r="H27" s="260">
        <v>0</v>
      </c>
      <c r="I27" s="261">
        <v>4.58</v>
      </c>
      <c r="J27" s="261">
        <v>0</v>
      </c>
      <c r="K27" s="260">
        <v>0</v>
      </c>
      <c r="L27" s="248" t="s">
        <v>1865</v>
      </c>
      <c r="M27" s="246"/>
    </row>
    <row r="28" spans="2:13" ht="27" customHeight="1">
      <c r="B28" s="243"/>
      <c r="C28" s="234" t="s">
        <v>97</v>
      </c>
      <c r="D28" s="248" t="s">
        <v>1874</v>
      </c>
      <c r="E28" s="248" t="s">
        <v>1199</v>
      </c>
      <c r="F28" s="260">
        <v>1.5740000000000001</v>
      </c>
      <c r="G28" s="260">
        <v>3.7999999999999999E-2</v>
      </c>
      <c r="H28" s="260">
        <v>0</v>
      </c>
      <c r="I28" s="261">
        <v>3.4</v>
      </c>
      <c r="J28" s="261">
        <v>0</v>
      </c>
      <c r="K28" s="260">
        <v>0</v>
      </c>
      <c r="L28" s="248"/>
      <c r="M28" s="246"/>
    </row>
    <row r="29" spans="2:13" ht="27" customHeight="1">
      <c r="B29" s="243"/>
      <c r="C29" s="234" t="s">
        <v>110</v>
      </c>
      <c r="D29" s="248" t="s">
        <v>1875</v>
      </c>
      <c r="E29" s="248" t="s">
        <v>1199</v>
      </c>
      <c r="F29" s="260">
        <v>1.0649999999999999</v>
      </c>
      <c r="G29" s="260">
        <v>7.0000000000000001E-3</v>
      </c>
      <c r="H29" s="260">
        <v>0</v>
      </c>
      <c r="I29" s="261">
        <v>59.01</v>
      </c>
      <c r="J29" s="261">
        <v>0</v>
      </c>
      <c r="K29" s="260">
        <v>0</v>
      </c>
      <c r="L29" s="248" t="s">
        <v>1866</v>
      </c>
      <c r="M29" s="246"/>
    </row>
    <row r="30" spans="2:13" ht="27" customHeight="1">
      <c r="B30" s="243"/>
      <c r="C30" s="234" t="s">
        <v>1536</v>
      </c>
      <c r="D30" s="248">
        <v>632</v>
      </c>
      <c r="E30" s="248"/>
      <c r="F30" s="260">
        <v>12.725</v>
      </c>
      <c r="G30" s="260">
        <v>0.78200000000000003</v>
      </c>
      <c r="H30" s="260">
        <v>5.8000000000000003E-2</v>
      </c>
      <c r="I30" s="261">
        <v>3.9</v>
      </c>
      <c r="J30" s="261">
        <v>0</v>
      </c>
      <c r="K30" s="260">
        <v>0</v>
      </c>
      <c r="L30" s="248"/>
      <c r="M30" s="246"/>
    </row>
    <row r="31" spans="2:13" ht="27" customHeight="1">
      <c r="B31" s="243"/>
      <c r="C31" s="234" t="s">
        <v>1535</v>
      </c>
      <c r="D31" s="248">
        <v>633</v>
      </c>
      <c r="E31" s="248"/>
      <c r="F31" s="260">
        <v>12.798999999999999</v>
      </c>
      <c r="G31" s="260">
        <v>0.78700000000000003</v>
      </c>
      <c r="H31" s="260">
        <v>5.8000000000000003E-2</v>
      </c>
      <c r="I31" s="261">
        <v>5.99</v>
      </c>
      <c r="J31" s="261">
        <v>0</v>
      </c>
      <c r="K31" s="260">
        <v>0</v>
      </c>
      <c r="L31" s="248"/>
      <c r="M31" s="246"/>
    </row>
    <row r="32" spans="2:13" ht="27" customHeight="1">
      <c r="B32" s="243"/>
      <c r="C32" s="234" t="s">
        <v>98</v>
      </c>
      <c r="D32" s="248" t="s">
        <v>1876</v>
      </c>
      <c r="E32" s="248"/>
      <c r="F32" s="260">
        <v>11.093999999999999</v>
      </c>
      <c r="G32" s="260">
        <v>0.66900000000000004</v>
      </c>
      <c r="H32" s="260">
        <v>4.1000000000000002E-2</v>
      </c>
      <c r="I32" s="261">
        <v>7.72</v>
      </c>
      <c r="J32" s="261">
        <v>3.44</v>
      </c>
      <c r="K32" s="260">
        <v>0.4</v>
      </c>
      <c r="L32" s="248"/>
      <c r="M32" s="246"/>
    </row>
    <row r="33" spans="2:13" ht="27" customHeight="1">
      <c r="B33" s="243"/>
      <c r="C33" s="234" t="s">
        <v>99</v>
      </c>
      <c r="D33" s="248" t="s">
        <v>1877</v>
      </c>
      <c r="E33" s="248"/>
      <c r="F33" s="260">
        <v>9.8140000000000001</v>
      </c>
      <c r="G33" s="260">
        <v>0.56999999999999995</v>
      </c>
      <c r="H33" s="260">
        <v>1.9E-2</v>
      </c>
      <c r="I33" s="261">
        <v>5.95</v>
      </c>
      <c r="J33" s="261">
        <v>4.4800000000000004</v>
      </c>
      <c r="K33" s="260">
        <v>0.33700000000000002</v>
      </c>
      <c r="L33" s="248">
        <v>130</v>
      </c>
      <c r="M33" s="246"/>
    </row>
    <row r="34" spans="2:13" ht="27" customHeight="1">
      <c r="B34" s="243"/>
      <c r="C34" s="234" t="s">
        <v>111</v>
      </c>
      <c r="D34" s="248" t="s">
        <v>1878</v>
      </c>
      <c r="E34" s="248"/>
      <c r="F34" s="260">
        <v>7.1559999999999997</v>
      </c>
      <c r="G34" s="260">
        <v>0.39200000000000002</v>
      </c>
      <c r="H34" s="260">
        <v>7.0000000000000001E-3</v>
      </c>
      <c r="I34" s="261">
        <v>59.01</v>
      </c>
      <c r="J34" s="261">
        <v>4.7300000000000004</v>
      </c>
      <c r="K34" s="260">
        <v>0.224</v>
      </c>
      <c r="L34" s="248"/>
      <c r="M34" s="246"/>
    </row>
    <row r="35" spans="2:13" ht="27" customHeight="1">
      <c r="B35" s="243"/>
      <c r="C35" s="234" t="s">
        <v>131</v>
      </c>
      <c r="D35" s="248" t="s">
        <v>1879</v>
      </c>
      <c r="E35" s="248">
        <v>8</v>
      </c>
      <c r="F35" s="260">
        <v>1.9710000000000001</v>
      </c>
      <c r="G35" s="260">
        <v>0</v>
      </c>
      <c r="H35" s="260">
        <v>0</v>
      </c>
      <c r="I35" s="261">
        <v>0</v>
      </c>
      <c r="J35" s="261">
        <v>0</v>
      </c>
      <c r="K35" s="260">
        <v>0</v>
      </c>
      <c r="L35" s="248"/>
      <c r="M35" s="246"/>
    </row>
    <row r="36" spans="2:13" ht="27" customHeight="1">
      <c r="B36" s="243"/>
      <c r="C36" s="234" t="s">
        <v>132</v>
      </c>
      <c r="D36" s="248" t="s">
        <v>1880</v>
      </c>
      <c r="E36" s="248">
        <v>1</v>
      </c>
      <c r="F36" s="260">
        <v>2.54</v>
      </c>
      <c r="G36" s="260">
        <v>0</v>
      </c>
      <c r="H36" s="260">
        <v>0</v>
      </c>
      <c r="I36" s="261">
        <v>0</v>
      </c>
      <c r="J36" s="261">
        <v>0</v>
      </c>
      <c r="K36" s="260">
        <v>0</v>
      </c>
      <c r="L36" s="248"/>
      <c r="M36" s="246"/>
    </row>
    <row r="37" spans="2:13" ht="27" customHeight="1">
      <c r="B37" s="243"/>
      <c r="C37" s="234" t="s">
        <v>133</v>
      </c>
      <c r="D37" s="248" t="s">
        <v>1881</v>
      </c>
      <c r="E37" s="248">
        <v>1</v>
      </c>
      <c r="F37" s="260">
        <v>4.12</v>
      </c>
      <c r="G37" s="260">
        <v>0</v>
      </c>
      <c r="H37" s="260">
        <v>0</v>
      </c>
      <c r="I37" s="261">
        <v>0</v>
      </c>
      <c r="J37" s="261">
        <v>0</v>
      </c>
      <c r="K37" s="260">
        <v>0</v>
      </c>
      <c r="L37" s="248"/>
      <c r="M37" s="246"/>
    </row>
    <row r="38" spans="2:13" ht="27" customHeight="1">
      <c r="B38" s="243"/>
      <c r="C38" s="234" t="s">
        <v>134</v>
      </c>
      <c r="D38" s="248" t="s">
        <v>1882</v>
      </c>
      <c r="E38" s="248">
        <v>1</v>
      </c>
      <c r="F38" s="260">
        <v>1.393</v>
      </c>
      <c r="G38" s="260">
        <v>0</v>
      </c>
      <c r="H38" s="260">
        <v>0</v>
      </c>
      <c r="I38" s="261">
        <v>0</v>
      </c>
      <c r="J38" s="261">
        <v>0</v>
      </c>
      <c r="K38" s="260">
        <v>0</v>
      </c>
      <c r="L38" s="248"/>
      <c r="M38" s="246"/>
    </row>
    <row r="39" spans="2:13" ht="27" customHeight="1">
      <c r="B39" s="243"/>
      <c r="C39" s="234" t="s">
        <v>135</v>
      </c>
      <c r="D39" s="248" t="s">
        <v>1883</v>
      </c>
      <c r="E39" s="248"/>
      <c r="F39" s="260">
        <v>38.722999999999999</v>
      </c>
      <c r="G39" s="260">
        <v>1.244</v>
      </c>
      <c r="H39" s="260">
        <v>0.621</v>
      </c>
      <c r="I39" s="261">
        <v>0</v>
      </c>
      <c r="J39" s="261">
        <v>0</v>
      </c>
      <c r="K39" s="260">
        <v>0</v>
      </c>
      <c r="L39" s="248"/>
      <c r="M39" s="246"/>
    </row>
    <row r="40" spans="2:13" ht="27" customHeight="1">
      <c r="B40" s="243"/>
      <c r="C40" s="234" t="s">
        <v>1534</v>
      </c>
      <c r="D40" s="248" t="s">
        <v>1884</v>
      </c>
      <c r="E40" s="248" t="s">
        <v>1527</v>
      </c>
      <c r="F40" s="260">
        <v>-0.56599999999999995</v>
      </c>
      <c r="G40" s="260">
        <v>0</v>
      </c>
      <c r="H40" s="260">
        <v>0</v>
      </c>
      <c r="I40" s="261">
        <v>0</v>
      </c>
      <c r="J40" s="261">
        <v>0</v>
      </c>
      <c r="K40" s="260">
        <v>0</v>
      </c>
      <c r="L40" s="248"/>
      <c r="M40" s="246"/>
    </row>
    <row r="41" spans="2:13" ht="27" customHeight="1">
      <c r="B41" s="243"/>
      <c r="C41" s="234" t="s">
        <v>100</v>
      </c>
      <c r="D41" s="248" t="s">
        <v>1885</v>
      </c>
      <c r="E41" s="248">
        <v>8</v>
      </c>
      <c r="F41" s="260">
        <v>-0.48299999999999998</v>
      </c>
      <c r="G41" s="260">
        <v>0</v>
      </c>
      <c r="H41" s="260">
        <v>0</v>
      </c>
      <c r="I41" s="261">
        <v>0</v>
      </c>
      <c r="J41" s="261">
        <v>0</v>
      </c>
      <c r="K41" s="260">
        <v>0</v>
      </c>
      <c r="L41" s="248"/>
      <c r="M41" s="246"/>
    </row>
    <row r="42" spans="2:13" ht="27" customHeight="1">
      <c r="B42" s="243"/>
      <c r="C42" s="234" t="s">
        <v>101</v>
      </c>
      <c r="D42" s="248" t="s">
        <v>1886</v>
      </c>
      <c r="E42" s="248"/>
      <c r="F42" s="260">
        <v>-0.56599999999999995</v>
      </c>
      <c r="G42" s="260">
        <v>0</v>
      </c>
      <c r="H42" s="260">
        <v>0</v>
      </c>
      <c r="I42" s="261">
        <v>0</v>
      </c>
      <c r="J42" s="261">
        <v>0</v>
      </c>
      <c r="K42" s="260">
        <v>0.24199999999999999</v>
      </c>
      <c r="L42" s="248"/>
      <c r="M42" s="246"/>
    </row>
    <row r="43" spans="2:13" ht="27" customHeight="1">
      <c r="B43" s="243"/>
      <c r="C43" s="234" t="s">
        <v>102</v>
      </c>
      <c r="D43" s="248" t="s">
        <v>1887</v>
      </c>
      <c r="E43" s="248"/>
      <c r="F43" s="260">
        <v>-4.7720000000000002</v>
      </c>
      <c r="G43" s="260">
        <v>-0.36399999999999999</v>
      </c>
      <c r="H43" s="260">
        <v>-4.5999999999999999E-2</v>
      </c>
      <c r="I43" s="261">
        <v>0</v>
      </c>
      <c r="J43" s="261">
        <v>0</v>
      </c>
      <c r="K43" s="260">
        <v>0.24199999999999999</v>
      </c>
      <c r="L43" s="248"/>
      <c r="M43" s="246"/>
    </row>
    <row r="44" spans="2:13" ht="27" customHeight="1">
      <c r="B44" s="243"/>
      <c r="C44" s="234" t="s">
        <v>103</v>
      </c>
      <c r="D44" s="248" t="s">
        <v>1888</v>
      </c>
      <c r="E44" s="248"/>
      <c r="F44" s="260">
        <v>-0.48299999999999998</v>
      </c>
      <c r="G44" s="260">
        <v>0</v>
      </c>
      <c r="H44" s="260">
        <v>0</v>
      </c>
      <c r="I44" s="261">
        <v>0</v>
      </c>
      <c r="J44" s="261">
        <v>0</v>
      </c>
      <c r="K44" s="260">
        <v>0.20699999999999999</v>
      </c>
      <c r="L44" s="248"/>
      <c r="M44" s="246"/>
    </row>
    <row r="45" spans="2:13" ht="27" customHeight="1">
      <c r="B45" s="243"/>
      <c r="C45" s="234" t="s">
        <v>104</v>
      </c>
      <c r="D45" s="248" t="s">
        <v>1889</v>
      </c>
      <c r="E45" s="248"/>
      <c r="F45" s="260">
        <v>-4.07</v>
      </c>
      <c r="G45" s="260">
        <v>-0.313</v>
      </c>
      <c r="H45" s="260">
        <v>-3.7999999999999999E-2</v>
      </c>
      <c r="I45" s="261">
        <v>0</v>
      </c>
      <c r="J45" s="261">
        <v>0</v>
      </c>
      <c r="K45" s="260">
        <v>0.20699999999999999</v>
      </c>
      <c r="L45" s="248"/>
      <c r="M45" s="246"/>
    </row>
    <row r="46" spans="2:13" ht="27" customHeight="1">
      <c r="B46" s="243"/>
      <c r="C46" s="234" t="s">
        <v>112</v>
      </c>
      <c r="D46" s="248" t="s">
        <v>1890</v>
      </c>
      <c r="E46" s="248"/>
      <c r="F46" s="260">
        <v>-0.24399999999999999</v>
      </c>
      <c r="G46" s="260">
        <v>0</v>
      </c>
      <c r="H46" s="260">
        <v>0</v>
      </c>
      <c r="I46" s="261">
        <v>28.45</v>
      </c>
      <c r="J46" s="261">
        <v>0</v>
      </c>
      <c r="K46" s="260">
        <v>0.16700000000000001</v>
      </c>
      <c r="L46" s="248"/>
      <c r="M46" s="246"/>
    </row>
    <row r="47" spans="2:13" ht="27" customHeight="1">
      <c r="B47" s="243"/>
      <c r="C47" s="234" t="s">
        <v>113</v>
      </c>
      <c r="D47" s="248" t="s">
        <v>1891</v>
      </c>
      <c r="E47" s="248"/>
      <c r="F47" s="260">
        <v>-2.0680000000000001</v>
      </c>
      <c r="G47" s="260">
        <v>-0.16700000000000001</v>
      </c>
      <c r="H47" s="260">
        <v>-1.2999999999999999E-2</v>
      </c>
      <c r="I47" s="261">
        <v>28.45</v>
      </c>
      <c r="J47" s="261">
        <v>0</v>
      </c>
      <c r="K47" s="260">
        <v>0.16700000000000001</v>
      </c>
      <c r="L47" s="248"/>
      <c r="M47" s="246"/>
    </row>
    <row r="48" spans="2:13" ht="27" customHeight="1">
      <c r="B48" s="243"/>
      <c r="C48" s="234" t="s">
        <v>147</v>
      </c>
      <c r="D48" s="248"/>
      <c r="E48" s="248">
        <v>1</v>
      </c>
      <c r="F48" s="260">
        <v>1.4910000000000001</v>
      </c>
      <c r="G48" s="260">
        <v>0</v>
      </c>
      <c r="H48" s="260">
        <v>0</v>
      </c>
      <c r="I48" s="261">
        <v>2.61</v>
      </c>
      <c r="J48" s="261">
        <v>0</v>
      </c>
      <c r="K48" s="260">
        <v>0</v>
      </c>
      <c r="L48" s="248"/>
      <c r="M48" s="246"/>
    </row>
    <row r="49" spans="2:13" ht="27" customHeight="1">
      <c r="B49" s="243"/>
      <c r="C49" s="234" t="s">
        <v>150</v>
      </c>
      <c r="D49" s="248"/>
      <c r="E49" s="248">
        <v>2</v>
      </c>
      <c r="F49" s="260">
        <v>1.7709999999999999</v>
      </c>
      <c r="G49" s="260">
        <v>4.5999999999999999E-2</v>
      </c>
      <c r="H49" s="260">
        <v>0</v>
      </c>
      <c r="I49" s="261">
        <v>2.61</v>
      </c>
      <c r="J49" s="261">
        <v>0</v>
      </c>
      <c r="K49" s="260">
        <v>0</v>
      </c>
      <c r="L49" s="248"/>
      <c r="M49" s="246"/>
    </row>
    <row r="50" spans="2:13" ht="27" customHeight="1">
      <c r="B50" s="243"/>
      <c r="C50" s="234" t="s">
        <v>153</v>
      </c>
      <c r="D50" s="248"/>
      <c r="E50" s="248">
        <v>2</v>
      </c>
      <c r="F50" s="260">
        <v>0.13200000000000001</v>
      </c>
      <c r="G50" s="260">
        <v>0</v>
      </c>
      <c r="H50" s="260">
        <v>0</v>
      </c>
      <c r="I50" s="261">
        <v>0</v>
      </c>
      <c r="J50" s="261">
        <v>0</v>
      </c>
      <c r="K50" s="260">
        <v>0</v>
      </c>
      <c r="L50" s="248"/>
      <c r="M50" s="246"/>
    </row>
    <row r="51" spans="2:13" ht="27" customHeight="1">
      <c r="B51" s="243"/>
      <c r="C51" s="234" t="s">
        <v>156</v>
      </c>
      <c r="D51" s="248"/>
      <c r="E51" s="248">
        <v>3</v>
      </c>
      <c r="F51" s="260">
        <v>1.391</v>
      </c>
      <c r="G51" s="260">
        <v>0</v>
      </c>
      <c r="H51" s="260">
        <v>0</v>
      </c>
      <c r="I51" s="261">
        <v>4.01</v>
      </c>
      <c r="J51" s="261">
        <v>0</v>
      </c>
      <c r="K51" s="260">
        <v>0</v>
      </c>
      <c r="L51" s="248"/>
      <c r="M51" s="246"/>
    </row>
    <row r="52" spans="2:13" ht="27" customHeight="1">
      <c r="B52" s="243"/>
      <c r="C52" s="234" t="s">
        <v>159</v>
      </c>
      <c r="D52" s="248"/>
      <c r="E52" s="248">
        <v>4</v>
      </c>
      <c r="F52" s="260">
        <v>1.5940000000000001</v>
      </c>
      <c r="G52" s="260">
        <v>4.3999999999999997E-2</v>
      </c>
      <c r="H52" s="260">
        <v>0</v>
      </c>
      <c r="I52" s="261">
        <v>4.01</v>
      </c>
      <c r="J52" s="261">
        <v>0</v>
      </c>
      <c r="K52" s="260">
        <v>0</v>
      </c>
      <c r="L52" s="248"/>
      <c r="M52" s="246"/>
    </row>
    <row r="53" spans="2:13" ht="27" customHeight="1">
      <c r="B53" s="243"/>
      <c r="C53" s="234" t="s">
        <v>162</v>
      </c>
      <c r="D53" s="248"/>
      <c r="E53" s="248">
        <v>4</v>
      </c>
      <c r="F53" s="260">
        <v>0.248</v>
      </c>
      <c r="G53" s="260">
        <v>0</v>
      </c>
      <c r="H53" s="260">
        <v>0</v>
      </c>
      <c r="I53" s="261">
        <v>0</v>
      </c>
      <c r="J53" s="261">
        <v>0</v>
      </c>
      <c r="K53" s="260">
        <v>0</v>
      </c>
      <c r="L53" s="248"/>
      <c r="M53" s="246"/>
    </row>
    <row r="54" spans="2:13" ht="27" customHeight="1">
      <c r="B54" s="243"/>
      <c r="C54" s="234" t="s">
        <v>165</v>
      </c>
      <c r="D54" s="248"/>
      <c r="E54" s="248" t="s">
        <v>1199</v>
      </c>
      <c r="F54" s="260">
        <v>1.1679999999999999</v>
      </c>
      <c r="G54" s="260">
        <v>3.1E-2</v>
      </c>
      <c r="H54" s="260">
        <v>0</v>
      </c>
      <c r="I54" s="261">
        <v>3.07</v>
      </c>
      <c r="J54" s="261">
        <v>0</v>
      </c>
      <c r="K54" s="260">
        <v>0</v>
      </c>
      <c r="L54" s="248"/>
      <c r="M54" s="246"/>
    </row>
    <row r="55" spans="2:13" ht="27" customHeight="1">
      <c r="B55" s="243"/>
      <c r="C55" s="234" t="s">
        <v>1533</v>
      </c>
      <c r="D55" s="248"/>
      <c r="E55" s="248"/>
      <c r="F55" s="260">
        <v>8.5180000000000007</v>
      </c>
      <c r="G55" s="260">
        <v>0.52300000000000002</v>
      </c>
      <c r="H55" s="260">
        <v>3.9E-2</v>
      </c>
      <c r="I55" s="261">
        <v>2.61</v>
      </c>
      <c r="J55" s="261">
        <v>0</v>
      </c>
      <c r="K55" s="260">
        <v>0</v>
      </c>
      <c r="L55" s="248"/>
      <c r="M55" s="246"/>
    </row>
    <row r="56" spans="2:13" ht="27" customHeight="1">
      <c r="B56" s="243"/>
      <c r="C56" s="234" t="s">
        <v>1532</v>
      </c>
      <c r="D56" s="248"/>
      <c r="E56" s="248"/>
      <c r="F56" s="260">
        <v>8.5670000000000002</v>
      </c>
      <c r="G56" s="260">
        <v>0.52700000000000002</v>
      </c>
      <c r="H56" s="260">
        <v>3.9E-2</v>
      </c>
      <c r="I56" s="261">
        <v>4.01</v>
      </c>
      <c r="J56" s="261">
        <v>0</v>
      </c>
      <c r="K56" s="260">
        <v>0</v>
      </c>
      <c r="L56" s="248"/>
      <c r="M56" s="246"/>
    </row>
    <row r="57" spans="2:13" ht="27" customHeight="1">
      <c r="B57" s="243"/>
      <c r="C57" s="234" t="s">
        <v>170</v>
      </c>
      <c r="D57" s="248"/>
      <c r="E57" s="248"/>
      <c r="F57" s="260">
        <v>7.4260000000000002</v>
      </c>
      <c r="G57" s="260">
        <v>0.44800000000000001</v>
      </c>
      <c r="H57" s="260">
        <v>2.7E-2</v>
      </c>
      <c r="I57" s="261">
        <v>5.17</v>
      </c>
      <c r="J57" s="261">
        <v>2.2999999999999998</v>
      </c>
      <c r="K57" s="260">
        <v>0.26800000000000002</v>
      </c>
      <c r="L57" s="248"/>
      <c r="M57" s="246"/>
    </row>
    <row r="58" spans="2:13" ht="27" customHeight="1">
      <c r="B58" s="243"/>
      <c r="C58" s="234" t="s">
        <v>177</v>
      </c>
      <c r="D58" s="248"/>
      <c r="E58" s="248">
        <v>8</v>
      </c>
      <c r="F58" s="260">
        <v>1.319</v>
      </c>
      <c r="G58" s="260">
        <v>0</v>
      </c>
      <c r="H58" s="260">
        <v>0</v>
      </c>
      <c r="I58" s="261">
        <v>0</v>
      </c>
      <c r="J58" s="261">
        <v>0</v>
      </c>
      <c r="K58" s="260">
        <v>0</v>
      </c>
      <c r="L58" s="248"/>
      <c r="M58" s="246"/>
    </row>
    <row r="59" spans="2:13" ht="27" customHeight="1">
      <c r="B59" s="243"/>
      <c r="C59" s="234" t="s">
        <v>180</v>
      </c>
      <c r="D59" s="248"/>
      <c r="E59" s="248">
        <v>1</v>
      </c>
      <c r="F59" s="260">
        <v>1.7</v>
      </c>
      <c r="G59" s="260">
        <v>0</v>
      </c>
      <c r="H59" s="260">
        <v>0</v>
      </c>
      <c r="I59" s="261">
        <v>0</v>
      </c>
      <c r="J59" s="261">
        <v>0</v>
      </c>
      <c r="K59" s="260">
        <v>0</v>
      </c>
      <c r="L59" s="248"/>
      <c r="M59" s="246"/>
    </row>
    <row r="60" spans="2:13" ht="27" customHeight="1">
      <c r="B60" s="243"/>
      <c r="C60" s="234" t="s">
        <v>183</v>
      </c>
      <c r="D60" s="248"/>
      <c r="E60" s="248">
        <v>1</v>
      </c>
      <c r="F60" s="260">
        <v>2.758</v>
      </c>
      <c r="G60" s="260">
        <v>0</v>
      </c>
      <c r="H60" s="260">
        <v>0</v>
      </c>
      <c r="I60" s="261">
        <v>0</v>
      </c>
      <c r="J60" s="261">
        <v>0</v>
      </c>
      <c r="K60" s="260">
        <v>0</v>
      </c>
      <c r="L60" s="248"/>
      <c r="M60" s="246"/>
    </row>
    <row r="61" spans="2:13" ht="27" customHeight="1">
      <c r="B61" s="243"/>
      <c r="C61" s="234" t="s">
        <v>186</v>
      </c>
      <c r="D61" s="248"/>
      <c r="E61" s="248">
        <v>1</v>
      </c>
      <c r="F61" s="260">
        <v>0.93200000000000005</v>
      </c>
      <c r="G61" s="260">
        <v>0</v>
      </c>
      <c r="H61" s="260">
        <v>0</v>
      </c>
      <c r="I61" s="261">
        <v>0</v>
      </c>
      <c r="J61" s="261">
        <v>0</v>
      </c>
      <c r="K61" s="260">
        <v>0</v>
      </c>
      <c r="L61" s="248"/>
      <c r="M61" s="246"/>
    </row>
    <row r="62" spans="2:13" ht="27" customHeight="1">
      <c r="B62" s="243"/>
      <c r="C62" s="234" t="s">
        <v>189</v>
      </c>
      <c r="D62" s="248"/>
      <c r="E62" s="248"/>
      <c r="F62" s="260">
        <v>25.92</v>
      </c>
      <c r="G62" s="260">
        <v>0.83299999999999996</v>
      </c>
      <c r="H62" s="260">
        <v>0.41599999999999998</v>
      </c>
      <c r="I62" s="261">
        <v>0</v>
      </c>
      <c r="J62" s="261">
        <v>0</v>
      </c>
      <c r="K62" s="260">
        <v>0</v>
      </c>
      <c r="L62" s="248"/>
      <c r="M62" s="246"/>
    </row>
    <row r="63" spans="2:13" ht="27" customHeight="1">
      <c r="B63" s="243"/>
      <c r="C63" s="234" t="s">
        <v>1531</v>
      </c>
      <c r="D63" s="248"/>
      <c r="E63" s="248" t="s">
        <v>1527</v>
      </c>
      <c r="F63" s="260">
        <v>-0.56599999999999995</v>
      </c>
      <c r="G63" s="260">
        <v>0</v>
      </c>
      <c r="H63" s="260">
        <v>0</v>
      </c>
      <c r="I63" s="261">
        <v>0</v>
      </c>
      <c r="J63" s="261">
        <v>0</v>
      </c>
      <c r="K63" s="260">
        <v>0</v>
      </c>
      <c r="L63" s="248"/>
      <c r="M63" s="246"/>
    </row>
    <row r="64" spans="2:13" ht="27" customHeight="1">
      <c r="B64" s="243"/>
      <c r="C64" s="234" t="s">
        <v>194</v>
      </c>
      <c r="D64" s="248"/>
      <c r="E64" s="248"/>
      <c r="F64" s="260">
        <v>-0.56599999999999995</v>
      </c>
      <c r="G64" s="260">
        <v>0</v>
      </c>
      <c r="H64" s="260">
        <v>0</v>
      </c>
      <c r="I64" s="261">
        <v>0</v>
      </c>
      <c r="J64" s="261">
        <v>0</v>
      </c>
      <c r="K64" s="260">
        <v>0.24199999999999999</v>
      </c>
      <c r="L64" s="248"/>
      <c r="M64" s="246"/>
    </row>
    <row r="65" spans="2:13" ht="27" customHeight="1">
      <c r="B65" s="243"/>
      <c r="C65" s="234" t="s">
        <v>197</v>
      </c>
      <c r="D65" s="248"/>
      <c r="E65" s="248"/>
      <c r="F65" s="260">
        <v>-4.7720000000000002</v>
      </c>
      <c r="G65" s="260">
        <v>-0.36399999999999999</v>
      </c>
      <c r="H65" s="260">
        <v>-4.5999999999999999E-2</v>
      </c>
      <c r="I65" s="261">
        <v>0</v>
      </c>
      <c r="J65" s="261">
        <v>0</v>
      </c>
      <c r="K65" s="260">
        <v>0.24199999999999999</v>
      </c>
      <c r="L65" s="248"/>
      <c r="M65" s="246"/>
    </row>
    <row r="66" spans="2:13" ht="27" customHeight="1">
      <c r="B66" s="243"/>
      <c r="C66" s="234" t="s">
        <v>148</v>
      </c>
      <c r="D66" s="248"/>
      <c r="E66" s="248">
        <v>1</v>
      </c>
      <c r="F66" s="260">
        <v>1.0820000000000001</v>
      </c>
      <c r="G66" s="260">
        <v>0</v>
      </c>
      <c r="H66" s="260">
        <v>0</v>
      </c>
      <c r="I66" s="261">
        <v>1.89</v>
      </c>
      <c r="J66" s="261">
        <v>0</v>
      </c>
      <c r="K66" s="260">
        <v>0</v>
      </c>
      <c r="L66" s="248"/>
      <c r="M66" s="246"/>
    </row>
    <row r="67" spans="2:13" ht="27" customHeight="1">
      <c r="B67" s="243"/>
      <c r="C67" s="234" t="s">
        <v>151</v>
      </c>
      <c r="D67" s="248"/>
      <c r="E67" s="248">
        <v>2</v>
      </c>
      <c r="F67" s="260">
        <v>1.286</v>
      </c>
      <c r="G67" s="260">
        <v>3.4000000000000002E-2</v>
      </c>
      <c r="H67" s="260">
        <v>0</v>
      </c>
      <c r="I67" s="261">
        <v>1.89</v>
      </c>
      <c r="J67" s="261">
        <v>0</v>
      </c>
      <c r="K67" s="260">
        <v>0</v>
      </c>
      <c r="L67" s="248"/>
      <c r="M67" s="246"/>
    </row>
    <row r="68" spans="2:13" ht="27" customHeight="1">
      <c r="B68" s="243"/>
      <c r="C68" s="234" t="s">
        <v>154</v>
      </c>
      <c r="D68" s="248"/>
      <c r="E68" s="248">
        <v>2</v>
      </c>
      <c r="F68" s="260">
        <v>9.6000000000000002E-2</v>
      </c>
      <c r="G68" s="260">
        <v>0</v>
      </c>
      <c r="H68" s="260">
        <v>0</v>
      </c>
      <c r="I68" s="261">
        <v>0</v>
      </c>
      <c r="J68" s="261">
        <v>0</v>
      </c>
      <c r="K68" s="260">
        <v>0</v>
      </c>
      <c r="L68" s="248"/>
      <c r="M68" s="246"/>
    </row>
    <row r="69" spans="2:13" ht="27" customHeight="1">
      <c r="B69" s="243"/>
      <c r="C69" s="234" t="s">
        <v>157</v>
      </c>
      <c r="D69" s="248"/>
      <c r="E69" s="248">
        <v>3</v>
      </c>
      <c r="F69" s="260">
        <v>1.01</v>
      </c>
      <c r="G69" s="260">
        <v>0</v>
      </c>
      <c r="H69" s="260">
        <v>0</v>
      </c>
      <c r="I69" s="261">
        <v>2.91</v>
      </c>
      <c r="J69" s="261">
        <v>0</v>
      </c>
      <c r="K69" s="260">
        <v>0</v>
      </c>
      <c r="L69" s="248"/>
      <c r="M69" s="246"/>
    </row>
    <row r="70" spans="2:13" ht="27" customHeight="1">
      <c r="B70" s="243"/>
      <c r="C70" s="234" t="s">
        <v>160</v>
      </c>
      <c r="D70" s="248"/>
      <c r="E70" s="248">
        <v>4</v>
      </c>
      <c r="F70" s="260">
        <v>1.157</v>
      </c>
      <c r="G70" s="260">
        <v>3.2000000000000001E-2</v>
      </c>
      <c r="H70" s="260">
        <v>0</v>
      </c>
      <c r="I70" s="261">
        <v>2.91</v>
      </c>
      <c r="J70" s="261">
        <v>0</v>
      </c>
      <c r="K70" s="260">
        <v>0</v>
      </c>
      <c r="L70" s="248"/>
      <c r="M70" s="246"/>
    </row>
    <row r="71" spans="2:13" ht="27" customHeight="1">
      <c r="B71" s="243"/>
      <c r="C71" s="234" t="s">
        <v>163</v>
      </c>
      <c r="D71" s="248"/>
      <c r="E71" s="248">
        <v>4</v>
      </c>
      <c r="F71" s="260">
        <v>0.18</v>
      </c>
      <c r="G71" s="260">
        <v>0</v>
      </c>
      <c r="H71" s="260">
        <v>0</v>
      </c>
      <c r="I71" s="261">
        <v>0</v>
      </c>
      <c r="J71" s="261">
        <v>0</v>
      </c>
      <c r="K71" s="260">
        <v>0</v>
      </c>
      <c r="L71" s="248"/>
      <c r="M71" s="246"/>
    </row>
    <row r="72" spans="2:13" ht="27" customHeight="1">
      <c r="B72" s="243"/>
      <c r="C72" s="234" t="s">
        <v>166</v>
      </c>
      <c r="D72" s="248"/>
      <c r="E72" s="248" t="s">
        <v>1199</v>
      </c>
      <c r="F72" s="260">
        <v>0.84799999999999998</v>
      </c>
      <c r="G72" s="260">
        <v>2.1999999999999999E-2</v>
      </c>
      <c r="H72" s="260">
        <v>0</v>
      </c>
      <c r="I72" s="261">
        <v>2.23</v>
      </c>
      <c r="J72" s="261">
        <v>0</v>
      </c>
      <c r="K72" s="260">
        <v>0</v>
      </c>
      <c r="L72" s="248"/>
      <c r="M72" s="246"/>
    </row>
    <row r="73" spans="2:13" ht="27" customHeight="1">
      <c r="B73" s="243"/>
      <c r="C73" s="234" t="s">
        <v>1530</v>
      </c>
      <c r="D73" s="248"/>
      <c r="E73" s="248"/>
      <c r="F73" s="260">
        <v>6.1820000000000004</v>
      </c>
      <c r="G73" s="260">
        <v>0.38</v>
      </c>
      <c r="H73" s="260">
        <v>2.8000000000000001E-2</v>
      </c>
      <c r="I73" s="261">
        <v>1.89</v>
      </c>
      <c r="J73" s="261">
        <v>0</v>
      </c>
      <c r="K73" s="260">
        <v>0</v>
      </c>
      <c r="L73" s="248"/>
      <c r="M73" s="246"/>
    </row>
    <row r="74" spans="2:13" ht="27" customHeight="1">
      <c r="B74" s="243"/>
      <c r="C74" s="234" t="s">
        <v>1529</v>
      </c>
      <c r="D74" s="248"/>
      <c r="E74" s="248"/>
      <c r="F74" s="260">
        <v>6.218</v>
      </c>
      <c r="G74" s="260">
        <v>0.38200000000000001</v>
      </c>
      <c r="H74" s="260">
        <v>2.8000000000000001E-2</v>
      </c>
      <c r="I74" s="261">
        <v>2.91</v>
      </c>
      <c r="J74" s="261">
        <v>0</v>
      </c>
      <c r="K74" s="260">
        <v>0</v>
      </c>
      <c r="L74" s="248"/>
      <c r="M74" s="246"/>
    </row>
    <row r="75" spans="2:13" ht="27" customHeight="1">
      <c r="B75" s="243"/>
      <c r="C75" s="234" t="s">
        <v>171</v>
      </c>
      <c r="D75" s="248"/>
      <c r="E75" s="248"/>
      <c r="F75" s="260">
        <v>5.39</v>
      </c>
      <c r="G75" s="260">
        <v>0.32500000000000001</v>
      </c>
      <c r="H75" s="260">
        <v>0.02</v>
      </c>
      <c r="I75" s="261">
        <v>3.75</v>
      </c>
      <c r="J75" s="261">
        <v>1.67</v>
      </c>
      <c r="K75" s="260">
        <v>0.19400000000000001</v>
      </c>
      <c r="L75" s="248"/>
      <c r="M75" s="246"/>
    </row>
    <row r="76" spans="2:13" ht="27" customHeight="1">
      <c r="B76" s="243"/>
      <c r="C76" s="234" t="s">
        <v>173</v>
      </c>
      <c r="D76" s="248"/>
      <c r="E76" s="248"/>
      <c r="F76" s="260">
        <v>7.2789999999999999</v>
      </c>
      <c r="G76" s="260">
        <v>0.42299999999999999</v>
      </c>
      <c r="H76" s="260">
        <v>1.4E-2</v>
      </c>
      <c r="I76" s="261">
        <v>4.41</v>
      </c>
      <c r="J76" s="261">
        <v>3.32</v>
      </c>
      <c r="K76" s="260">
        <v>0.25</v>
      </c>
      <c r="L76" s="248"/>
      <c r="M76" s="246"/>
    </row>
    <row r="77" spans="2:13" ht="27" customHeight="1">
      <c r="B77" s="243"/>
      <c r="C77" s="234" t="s">
        <v>175</v>
      </c>
      <c r="D77" s="248"/>
      <c r="E77" s="248"/>
      <c r="F77" s="260">
        <v>6.077</v>
      </c>
      <c r="G77" s="260">
        <v>0.33300000000000002</v>
      </c>
      <c r="H77" s="260">
        <v>6.0000000000000001E-3</v>
      </c>
      <c r="I77" s="261">
        <v>50.11</v>
      </c>
      <c r="J77" s="261">
        <v>4.0199999999999996</v>
      </c>
      <c r="K77" s="260">
        <v>0.19</v>
      </c>
      <c r="L77" s="248"/>
      <c r="M77" s="246"/>
    </row>
    <row r="78" spans="2:13" ht="27" customHeight="1">
      <c r="B78" s="243"/>
      <c r="C78" s="234" t="s">
        <v>178</v>
      </c>
      <c r="D78" s="248"/>
      <c r="E78" s="248">
        <v>8</v>
      </c>
      <c r="F78" s="260">
        <v>0.95799999999999996</v>
      </c>
      <c r="G78" s="260">
        <v>0</v>
      </c>
      <c r="H78" s="260">
        <v>0</v>
      </c>
      <c r="I78" s="261">
        <v>0</v>
      </c>
      <c r="J78" s="261">
        <v>0</v>
      </c>
      <c r="K78" s="260">
        <v>0</v>
      </c>
      <c r="L78" s="248"/>
      <c r="M78" s="246"/>
    </row>
    <row r="79" spans="2:13" ht="27" customHeight="1">
      <c r="B79" s="243"/>
      <c r="C79" s="234" t="s">
        <v>181</v>
      </c>
      <c r="D79" s="248"/>
      <c r="E79" s="248">
        <v>1</v>
      </c>
      <c r="F79" s="260">
        <v>1.234</v>
      </c>
      <c r="G79" s="260">
        <v>0</v>
      </c>
      <c r="H79" s="260">
        <v>0</v>
      </c>
      <c r="I79" s="261">
        <v>0</v>
      </c>
      <c r="J79" s="261">
        <v>0</v>
      </c>
      <c r="K79" s="260">
        <v>0</v>
      </c>
      <c r="L79" s="248"/>
      <c r="M79" s="246"/>
    </row>
    <row r="80" spans="2:13" ht="27" customHeight="1">
      <c r="B80" s="243"/>
      <c r="C80" s="234" t="s">
        <v>184</v>
      </c>
      <c r="D80" s="248"/>
      <c r="E80" s="248">
        <v>1</v>
      </c>
      <c r="F80" s="260">
        <v>2.0019999999999998</v>
      </c>
      <c r="G80" s="260">
        <v>0</v>
      </c>
      <c r="H80" s="260">
        <v>0</v>
      </c>
      <c r="I80" s="261">
        <v>0</v>
      </c>
      <c r="J80" s="261">
        <v>0</v>
      </c>
      <c r="K80" s="260">
        <v>0</v>
      </c>
      <c r="L80" s="248"/>
      <c r="M80" s="246"/>
    </row>
    <row r="81" spans="2:13" ht="27" customHeight="1">
      <c r="B81" s="243"/>
      <c r="C81" s="234" t="s">
        <v>187</v>
      </c>
      <c r="D81" s="248"/>
      <c r="E81" s="248">
        <v>1</v>
      </c>
      <c r="F81" s="260">
        <v>0.67700000000000005</v>
      </c>
      <c r="G81" s="260">
        <v>0</v>
      </c>
      <c r="H81" s="260">
        <v>0</v>
      </c>
      <c r="I81" s="261">
        <v>0</v>
      </c>
      <c r="J81" s="261">
        <v>0</v>
      </c>
      <c r="K81" s="260">
        <v>0</v>
      </c>
      <c r="L81" s="248"/>
      <c r="M81" s="246"/>
    </row>
    <row r="82" spans="2:13" ht="27" customHeight="1">
      <c r="B82" s="243"/>
      <c r="C82" s="234" t="s">
        <v>190</v>
      </c>
      <c r="D82" s="248"/>
      <c r="E82" s="248"/>
      <c r="F82" s="260">
        <v>18.812999999999999</v>
      </c>
      <c r="G82" s="260">
        <v>0.60399999999999998</v>
      </c>
      <c r="H82" s="260">
        <v>0.30199999999999999</v>
      </c>
      <c r="I82" s="261">
        <v>0</v>
      </c>
      <c r="J82" s="261">
        <v>0</v>
      </c>
      <c r="K82" s="260">
        <v>0</v>
      </c>
      <c r="L82" s="248"/>
      <c r="M82" s="246"/>
    </row>
    <row r="83" spans="2:13" ht="27" customHeight="1">
      <c r="B83" s="243"/>
      <c r="C83" s="234" t="s">
        <v>1528</v>
      </c>
      <c r="D83" s="248"/>
      <c r="E83" s="248" t="s">
        <v>1527</v>
      </c>
      <c r="F83" s="260">
        <v>-0.56599999999999995</v>
      </c>
      <c r="G83" s="260">
        <v>0</v>
      </c>
      <c r="H83" s="260">
        <v>0</v>
      </c>
      <c r="I83" s="261">
        <v>0</v>
      </c>
      <c r="J83" s="261">
        <v>0</v>
      </c>
      <c r="K83" s="260">
        <v>0</v>
      </c>
      <c r="L83" s="248"/>
      <c r="M83" s="246"/>
    </row>
    <row r="84" spans="2:13" ht="27" customHeight="1">
      <c r="B84" s="243"/>
      <c r="C84" s="234" t="s">
        <v>192</v>
      </c>
      <c r="D84" s="248"/>
      <c r="E84" s="248">
        <v>8</v>
      </c>
      <c r="F84" s="260">
        <v>-0.48299999999999998</v>
      </c>
      <c r="G84" s="260">
        <v>0</v>
      </c>
      <c r="H84" s="260">
        <v>0</v>
      </c>
      <c r="I84" s="261">
        <v>0</v>
      </c>
      <c r="J84" s="261">
        <v>0</v>
      </c>
      <c r="K84" s="260">
        <v>0</v>
      </c>
      <c r="L84" s="248"/>
      <c r="M84" s="246"/>
    </row>
    <row r="85" spans="2:13" ht="27" customHeight="1">
      <c r="B85" s="243"/>
      <c r="C85" s="234" t="s">
        <v>195</v>
      </c>
      <c r="D85" s="248"/>
      <c r="E85" s="248"/>
      <c r="F85" s="260">
        <v>-0.56599999999999995</v>
      </c>
      <c r="G85" s="260">
        <v>0</v>
      </c>
      <c r="H85" s="260">
        <v>0</v>
      </c>
      <c r="I85" s="261">
        <v>0</v>
      </c>
      <c r="J85" s="261">
        <v>0</v>
      </c>
      <c r="K85" s="260">
        <v>0.24199999999999999</v>
      </c>
      <c r="L85" s="248"/>
      <c r="M85" s="246"/>
    </row>
    <row r="86" spans="2:13" ht="27" customHeight="1">
      <c r="B86" s="243"/>
      <c r="C86" s="234" t="s">
        <v>198</v>
      </c>
      <c r="D86" s="248"/>
      <c r="E86" s="248"/>
      <c r="F86" s="260">
        <v>-4.7720000000000002</v>
      </c>
      <c r="G86" s="260">
        <v>-0.36399999999999999</v>
      </c>
      <c r="H86" s="260">
        <v>-4.5999999999999999E-2</v>
      </c>
      <c r="I86" s="261">
        <v>0</v>
      </c>
      <c r="J86" s="261">
        <v>0</v>
      </c>
      <c r="K86" s="260">
        <v>0.24199999999999999</v>
      </c>
      <c r="L86" s="248"/>
      <c r="M86" s="246"/>
    </row>
    <row r="87" spans="2:13" ht="27" customHeight="1">
      <c r="B87" s="243"/>
      <c r="C87" s="234" t="s">
        <v>200</v>
      </c>
      <c r="D87" s="248"/>
      <c r="E87" s="248"/>
      <c r="F87" s="260">
        <v>-0.48299999999999998</v>
      </c>
      <c r="G87" s="260">
        <v>0</v>
      </c>
      <c r="H87" s="260">
        <v>0</v>
      </c>
      <c r="I87" s="261">
        <v>0</v>
      </c>
      <c r="J87" s="261">
        <v>0</v>
      </c>
      <c r="K87" s="260">
        <v>0.20699999999999999</v>
      </c>
      <c r="L87" s="248"/>
      <c r="M87" s="246"/>
    </row>
    <row r="88" spans="2:13" ht="27" customHeight="1">
      <c r="B88" s="243"/>
      <c r="C88" s="234" t="s">
        <v>202</v>
      </c>
      <c r="D88" s="248"/>
      <c r="E88" s="248"/>
      <c r="F88" s="260">
        <v>-4.07</v>
      </c>
      <c r="G88" s="260">
        <v>-0.313</v>
      </c>
      <c r="H88" s="260">
        <v>-3.7999999999999999E-2</v>
      </c>
      <c r="I88" s="261">
        <v>0</v>
      </c>
      <c r="J88" s="261">
        <v>0</v>
      </c>
      <c r="K88" s="260">
        <v>0.20699999999999999</v>
      </c>
      <c r="L88" s="248"/>
      <c r="M88" s="246"/>
    </row>
    <row r="89" spans="2:13" ht="27" customHeight="1">
      <c r="B89" s="243"/>
      <c r="C89" s="234" t="s">
        <v>204</v>
      </c>
      <c r="D89" s="248"/>
      <c r="E89" s="248"/>
      <c r="F89" s="260">
        <v>-0.24399999999999999</v>
      </c>
      <c r="G89" s="260">
        <v>0</v>
      </c>
      <c r="H89" s="260">
        <v>0</v>
      </c>
      <c r="I89" s="261">
        <v>0</v>
      </c>
      <c r="J89" s="261">
        <v>0</v>
      </c>
      <c r="K89" s="260">
        <v>0.16700000000000001</v>
      </c>
      <c r="L89" s="248"/>
      <c r="M89" s="246"/>
    </row>
    <row r="90" spans="2:13" ht="27" customHeight="1">
      <c r="B90" s="243"/>
      <c r="C90" s="234" t="s">
        <v>206</v>
      </c>
      <c r="D90" s="248"/>
      <c r="E90" s="248"/>
      <c r="F90" s="260">
        <v>-2.0680000000000001</v>
      </c>
      <c r="G90" s="260">
        <v>-0.16700000000000001</v>
      </c>
      <c r="H90" s="260">
        <v>-1.2999999999999999E-2</v>
      </c>
      <c r="I90" s="261">
        <v>0</v>
      </c>
      <c r="J90" s="261">
        <v>0</v>
      </c>
      <c r="K90" s="260">
        <v>0.16700000000000001</v>
      </c>
      <c r="L90" s="248"/>
      <c r="M90" s="246"/>
    </row>
    <row r="91" spans="2:13" ht="27" customHeight="1" thickBot="1">
      <c r="B91" s="249"/>
      <c r="C91" s="250"/>
      <c r="D91" s="250"/>
      <c r="E91" s="250"/>
      <c r="F91" s="250"/>
      <c r="G91" s="250"/>
      <c r="H91" s="250"/>
      <c r="I91" s="250"/>
      <c r="J91" s="250"/>
      <c r="K91" s="250"/>
      <c r="L91" s="250"/>
      <c r="M91" s="251"/>
    </row>
    <row r="92" spans="2:13" ht="27" customHeight="1"/>
    <row r="93" spans="2:13" ht="27" customHeight="1"/>
    <row r="94" spans="2:13" ht="27" customHeight="1" thickBot="1"/>
    <row r="95" spans="2:13" ht="27" customHeight="1">
      <c r="B95" s="239"/>
      <c r="C95" s="240"/>
      <c r="D95" s="241"/>
      <c r="E95" s="241"/>
      <c r="F95" s="241"/>
      <c r="G95" s="241"/>
      <c r="H95" s="241"/>
      <c r="I95" s="241"/>
      <c r="J95" s="241"/>
      <c r="K95" s="241"/>
      <c r="L95" s="241"/>
      <c r="M95" s="242"/>
    </row>
    <row r="96" spans="2:13" ht="27" customHeight="1">
      <c r="B96" s="243"/>
      <c r="C96" s="244" t="str">
        <f>"Tariffs for Charging Year: "&amp; " "&amp;D7&amp;""</f>
        <v>Tariffs for Charging Year:  2018/19</v>
      </c>
      <c r="D96" s="244"/>
      <c r="E96" s="244"/>
      <c r="F96" s="244"/>
      <c r="G96" s="244"/>
      <c r="H96" s="244"/>
      <c r="I96" s="245"/>
      <c r="J96" s="245"/>
      <c r="K96" s="245"/>
      <c r="L96" s="245"/>
      <c r="M96" s="246"/>
    </row>
    <row r="97" spans="2:13" ht="27" customHeight="1">
      <c r="B97" s="243"/>
      <c r="C97" s="229"/>
      <c r="D97" s="245"/>
      <c r="E97" s="245"/>
      <c r="F97" s="245"/>
      <c r="G97" s="245"/>
      <c r="H97" s="245"/>
      <c r="I97" s="245"/>
      <c r="J97" s="245"/>
      <c r="K97" s="245"/>
      <c r="L97" s="245"/>
      <c r="M97" s="246"/>
    </row>
    <row r="98" spans="2:13" ht="27" customHeight="1">
      <c r="B98" s="243"/>
      <c r="C98" s="229"/>
      <c r="D98" s="245"/>
      <c r="E98" s="245"/>
      <c r="F98" s="245"/>
      <c r="G98" s="245"/>
      <c r="H98" s="245"/>
      <c r="I98" s="245"/>
      <c r="J98" s="245"/>
      <c r="K98" s="245"/>
      <c r="L98" s="245"/>
      <c r="M98" s="246"/>
    </row>
    <row r="99" spans="2:13" ht="27" customHeight="1">
      <c r="B99" s="243"/>
      <c r="C99" s="247"/>
      <c r="D99" s="218" t="s">
        <v>1196</v>
      </c>
      <c r="E99" s="218" t="s">
        <v>1197</v>
      </c>
      <c r="F99" s="218" t="s">
        <v>1116</v>
      </c>
      <c r="G99" s="218" t="s">
        <v>1117</v>
      </c>
      <c r="H99" s="218" t="s">
        <v>1118</v>
      </c>
      <c r="I99" s="218" t="s">
        <v>1119</v>
      </c>
      <c r="J99" s="218" t="s">
        <v>1120</v>
      </c>
      <c r="K99" s="218" t="s">
        <v>776</v>
      </c>
      <c r="L99" s="218" t="s">
        <v>1198</v>
      </c>
      <c r="M99" s="246"/>
    </row>
    <row r="100" spans="2:13" ht="27" customHeight="1">
      <c r="B100" s="243"/>
      <c r="C100" s="217" t="s">
        <v>92</v>
      </c>
      <c r="D100" s="248" t="s">
        <v>1867</v>
      </c>
      <c r="E100" s="248">
        <v>1</v>
      </c>
      <c r="F100" s="260">
        <v>2.3140000000000001</v>
      </c>
      <c r="G100" s="260">
        <v>0</v>
      </c>
      <c r="H100" s="260">
        <v>0</v>
      </c>
      <c r="I100" s="261">
        <v>4.18</v>
      </c>
      <c r="J100" s="261">
        <v>0</v>
      </c>
      <c r="K100" s="260">
        <v>0</v>
      </c>
      <c r="L100" s="248" t="s">
        <v>1859</v>
      </c>
      <c r="M100" s="246"/>
    </row>
    <row r="101" spans="2:13" ht="27" customHeight="1">
      <c r="B101" s="243"/>
      <c r="C101" s="217" t="s">
        <v>93</v>
      </c>
      <c r="D101" s="248" t="s">
        <v>1868</v>
      </c>
      <c r="E101" s="248">
        <v>2</v>
      </c>
      <c r="F101" s="260">
        <v>2.75</v>
      </c>
      <c r="G101" s="260">
        <v>7.1999999999999995E-2</v>
      </c>
      <c r="H101" s="260">
        <v>0</v>
      </c>
      <c r="I101" s="261">
        <v>4.18</v>
      </c>
      <c r="J101" s="261">
        <v>0</v>
      </c>
      <c r="K101" s="260">
        <v>0</v>
      </c>
      <c r="L101" s="248" t="s">
        <v>1860</v>
      </c>
      <c r="M101" s="246"/>
    </row>
    <row r="102" spans="2:13" ht="27" customHeight="1">
      <c r="B102" s="243"/>
      <c r="C102" s="217" t="s">
        <v>129</v>
      </c>
      <c r="D102" s="248" t="s">
        <v>1869</v>
      </c>
      <c r="E102" s="248">
        <v>2</v>
      </c>
      <c r="F102" s="260">
        <v>0.20499999999999999</v>
      </c>
      <c r="G102" s="260">
        <v>0</v>
      </c>
      <c r="H102" s="260">
        <v>0</v>
      </c>
      <c r="I102" s="261">
        <v>0</v>
      </c>
      <c r="J102" s="261">
        <v>0</v>
      </c>
      <c r="K102" s="260">
        <v>0</v>
      </c>
      <c r="L102" s="248" t="s">
        <v>1861</v>
      </c>
      <c r="M102" s="246"/>
    </row>
    <row r="103" spans="2:13" ht="27" customHeight="1">
      <c r="B103" s="243"/>
      <c r="C103" s="217" t="s">
        <v>94</v>
      </c>
      <c r="D103" s="248" t="s">
        <v>1870</v>
      </c>
      <c r="E103" s="248">
        <v>3</v>
      </c>
      <c r="F103" s="260">
        <v>2.16</v>
      </c>
      <c r="G103" s="260">
        <v>0</v>
      </c>
      <c r="H103" s="260">
        <v>0</v>
      </c>
      <c r="I103" s="261">
        <v>6.43</v>
      </c>
      <c r="J103" s="261">
        <v>0</v>
      </c>
      <c r="K103" s="260">
        <v>0</v>
      </c>
      <c r="L103" s="248" t="s">
        <v>1862</v>
      </c>
      <c r="M103" s="246"/>
    </row>
    <row r="104" spans="2:13" ht="27" customHeight="1">
      <c r="B104" s="243"/>
      <c r="C104" s="217" t="s">
        <v>95</v>
      </c>
      <c r="D104" s="248" t="s">
        <v>1871</v>
      </c>
      <c r="E104" s="248">
        <v>4</v>
      </c>
      <c r="F104" s="260">
        <v>2.4750000000000001</v>
      </c>
      <c r="G104" s="260">
        <v>6.9000000000000006E-2</v>
      </c>
      <c r="H104" s="260">
        <v>0</v>
      </c>
      <c r="I104" s="261">
        <v>6.43</v>
      </c>
      <c r="J104" s="261">
        <v>0</v>
      </c>
      <c r="K104" s="260">
        <v>0</v>
      </c>
      <c r="L104" s="248" t="s">
        <v>1863</v>
      </c>
      <c r="M104" s="246"/>
    </row>
    <row r="105" spans="2:13" ht="27" customHeight="1">
      <c r="B105" s="243"/>
      <c r="C105" s="217" t="s">
        <v>130</v>
      </c>
      <c r="D105" s="248" t="s">
        <v>1872</v>
      </c>
      <c r="E105" s="248">
        <v>4</v>
      </c>
      <c r="F105" s="260">
        <v>0.38600000000000001</v>
      </c>
      <c r="G105" s="260">
        <v>0</v>
      </c>
      <c r="H105" s="260">
        <v>0</v>
      </c>
      <c r="I105" s="261">
        <v>0</v>
      </c>
      <c r="J105" s="261">
        <v>0</v>
      </c>
      <c r="K105" s="260">
        <v>0</v>
      </c>
      <c r="L105" s="248" t="s">
        <v>1864</v>
      </c>
      <c r="M105" s="246"/>
    </row>
    <row r="106" spans="2:13" ht="27" customHeight="1">
      <c r="B106" s="243"/>
      <c r="C106" s="217" t="s">
        <v>96</v>
      </c>
      <c r="D106" s="248" t="s">
        <v>1873</v>
      </c>
      <c r="E106" s="248" t="s">
        <v>1199</v>
      </c>
      <c r="F106" s="260">
        <v>1.8140000000000001</v>
      </c>
      <c r="G106" s="260">
        <v>4.9000000000000002E-2</v>
      </c>
      <c r="H106" s="260">
        <v>0</v>
      </c>
      <c r="I106" s="261">
        <v>4.93</v>
      </c>
      <c r="J106" s="261">
        <v>0</v>
      </c>
      <c r="K106" s="260">
        <v>0</v>
      </c>
      <c r="L106" s="248" t="s">
        <v>1865</v>
      </c>
      <c r="M106" s="246"/>
    </row>
    <row r="107" spans="2:13" ht="27" customHeight="1">
      <c r="B107" s="243"/>
      <c r="C107" s="217" t="s">
        <v>97</v>
      </c>
      <c r="D107" s="248" t="s">
        <v>1874</v>
      </c>
      <c r="E107" s="248" t="s">
        <v>1199</v>
      </c>
      <c r="F107" s="260">
        <v>1.6339999999999999</v>
      </c>
      <c r="G107" s="260">
        <v>0.04</v>
      </c>
      <c r="H107" s="260">
        <v>0</v>
      </c>
      <c r="I107" s="261">
        <v>3.65</v>
      </c>
      <c r="J107" s="261">
        <v>0</v>
      </c>
      <c r="K107" s="260">
        <v>0</v>
      </c>
      <c r="L107" s="248"/>
      <c r="M107" s="246"/>
    </row>
    <row r="108" spans="2:13" ht="27" customHeight="1">
      <c r="B108" s="243"/>
      <c r="C108" s="217" t="s">
        <v>110</v>
      </c>
      <c r="D108" s="248" t="s">
        <v>1875</v>
      </c>
      <c r="E108" s="248" t="s">
        <v>1199</v>
      </c>
      <c r="F108" s="260">
        <v>1.101</v>
      </c>
      <c r="G108" s="260">
        <v>7.0000000000000001E-3</v>
      </c>
      <c r="H108" s="260">
        <v>0</v>
      </c>
      <c r="I108" s="261">
        <v>63.47</v>
      </c>
      <c r="J108" s="261">
        <v>0</v>
      </c>
      <c r="K108" s="260">
        <v>0</v>
      </c>
      <c r="L108" s="248" t="s">
        <v>1866</v>
      </c>
      <c r="M108" s="246"/>
    </row>
    <row r="109" spans="2:13" ht="27" customHeight="1">
      <c r="B109" s="243"/>
      <c r="C109" s="217" t="s">
        <v>1536</v>
      </c>
      <c r="D109" s="248">
        <v>632</v>
      </c>
      <c r="E109" s="248"/>
      <c r="F109" s="260">
        <v>13.218</v>
      </c>
      <c r="G109" s="260">
        <v>0.81399999999999995</v>
      </c>
      <c r="H109" s="260">
        <v>6.0999999999999999E-2</v>
      </c>
      <c r="I109" s="261">
        <v>4.18</v>
      </c>
      <c r="J109" s="261">
        <v>0</v>
      </c>
      <c r="K109" s="260">
        <v>0</v>
      </c>
      <c r="L109" s="248"/>
      <c r="M109" s="246"/>
    </row>
    <row r="110" spans="2:13" ht="27" customHeight="1">
      <c r="B110" s="243"/>
      <c r="C110" s="217" t="s">
        <v>1535</v>
      </c>
      <c r="D110" s="248">
        <v>633</v>
      </c>
      <c r="E110" s="248"/>
      <c r="F110" s="260">
        <v>13.295</v>
      </c>
      <c r="G110" s="260">
        <v>0.81799999999999995</v>
      </c>
      <c r="H110" s="260">
        <v>6.0999999999999999E-2</v>
      </c>
      <c r="I110" s="261">
        <v>6.43</v>
      </c>
      <c r="J110" s="261">
        <v>0</v>
      </c>
      <c r="K110" s="260">
        <v>0</v>
      </c>
      <c r="L110" s="248"/>
      <c r="M110" s="246"/>
    </row>
    <row r="111" spans="2:13" ht="27" customHeight="1">
      <c r="B111" s="243"/>
      <c r="C111" s="217" t="s">
        <v>98</v>
      </c>
      <c r="D111" s="248" t="s">
        <v>1876</v>
      </c>
      <c r="E111" s="248"/>
      <c r="F111" s="260">
        <v>11.506</v>
      </c>
      <c r="G111" s="260">
        <v>0.69499999999999995</v>
      </c>
      <c r="H111" s="260">
        <v>4.2999999999999997E-2</v>
      </c>
      <c r="I111" s="261">
        <v>8.31</v>
      </c>
      <c r="J111" s="261">
        <v>3.64</v>
      </c>
      <c r="K111" s="260">
        <v>0.41499999999999998</v>
      </c>
      <c r="L111" s="248"/>
      <c r="M111" s="246"/>
    </row>
    <row r="112" spans="2:13" ht="27" customHeight="1">
      <c r="B112" s="243"/>
      <c r="C112" s="217" t="s">
        <v>99</v>
      </c>
      <c r="D112" s="248" t="s">
        <v>1877</v>
      </c>
      <c r="E112" s="248"/>
      <c r="F112" s="260">
        <v>10.159000000000001</v>
      </c>
      <c r="G112" s="260">
        <v>0.59099999999999997</v>
      </c>
      <c r="H112" s="260">
        <v>0.02</v>
      </c>
      <c r="I112" s="261">
        <v>6.4</v>
      </c>
      <c r="J112" s="261">
        <v>4.7</v>
      </c>
      <c r="K112" s="260">
        <v>0.34899999999999998</v>
      </c>
      <c r="L112" s="248">
        <v>130</v>
      </c>
      <c r="M112" s="246"/>
    </row>
    <row r="113" spans="2:13" ht="27" customHeight="1">
      <c r="B113" s="243"/>
      <c r="C113" s="217" t="s">
        <v>111</v>
      </c>
      <c r="D113" s="248" t="s">
        <v>1878</v>
      </c>
      <c r="E113" s="248"/>
      <c r="F113" s="260">
        <v>7.4</v>
      </c>
      <c r="G113" s="260">
        <v>0.40600000000000003</v>
      </c>
      <c r="H113" s="260">
        <v>8.0000000000000002E-3</v>
      </c>
      <c r="I113" s="261">
        <v>63.47</v>
      </c>
      <c r="J113" s="261">
        <v>4.97</v>
      </c>
      <c r="K113" s="260">
        <v>0.23200000000000001</v>
      </c>
      <c r="L113" s="248"/>
      <c r="M113" s="246"/>
    </row>
    <row r="114" spans="2:13" ht="27" customHeight="1">
      <c r="B114" s="243"/>
      <c r="C114" s="217" t="s">
        <v>131</v>
      </c>
      <c r="D114" s="248" t="s">
        <v>1879</v>
      </c>
      <c r="E114" s="248">
        <v>8</v>
      </c>
      <c r="F114" s="260">
        <v>2.0720000000000001</v>
      </c>
      <c r="G114" s="260">
        <v>0</v>
      </c>
      <c r="H114" s="260">
        <v>0</v>
      </c>
      <c r="I114" s="261">
        <v>0</v>
      </c>
      <c r="J114" s="261">
        <v>0</v>
      </c>
      <c r="K114" s="260">
        <v>0</v>
      </c>
      <c r="L114" s="248"/>
      <c r="M114" s="246"/>
    </row>
    <row r="115" spans="2:13" ht="27" customHeight="1">
      <c r="B115" s="243"/>
      <c r="C115" s="217" t="s">
        <v>132</v>
      </c>
      <c r="D115" s="248" t="s">
        <v>1880</v>
      </c>
      <c r="E115" s="248">
        <v>1</v>
      </c>
      <c r="F115" s="260">
        <v>2.6640000000000001</v>
      </c>
      <c r="G115" s="260">
        <v>0</v>
      </c>
      <c r="H115" s="260">
        <v>0</v>
      </c>
      <c r="I115" s="261">
        <v>0</v>
      </c>
      <c r="J115" s="261">
        <v>0</v>
      </c>
      <c r="K115" s="260">
        <v>0</v>
      </c>
      <c r="L115" s="248"/>
      <c r="M115" s="246"/>
    </row>
    <row r="116" spans="2:13" ht="27" customHeight="1">
      <c r="B116" s="243"/>
      <c r="C116" s="217" t="s">
        <v>133</v>
      </c>
      <c r="D116" s="248" t="s">
        <v>1881</v>
      </c>
      <c r="E116" s="248">
        <v>1</v>
      </c>
      <c r="F116" s="260">
        <v>4.3099999999999996</v>
      </c>
      <c r="G116" s="260">
        <v>0</v>
      </c>
      <c r="H116" s="260">
        <v>0</v>
      </c>
      <c r="I116" s="261">
        <v>0</v>
      </c>
      <c r="J116" s="261">
        <v>0</v>
      </c>
      <c r="K116" s="260">
        <v>0</v>
      </c>
      <c r="L116" s="248"/>
      <c r="M116" s="246"/>
    </row>
    <row r="117" spans="2:13" ht="27" customHeight="1">
      <c r="B117" s="243"/>
      <c r="C117" s="217" t="s">
        <v>134</v>
      </c>
      <c r="D117" s="248" t="s">
        <v>1882</v>
      </c>
      <c r="E117" s="248">
        <v>1</v>
      </c>
      <c r="F117" s="260">
        <v>1.47</v>
      </c>
      <c r="G117" s="260">
        <v>0</v>
      </c>
      <c r="H117" s="260">
        <v>0</v>
      </c>
      <c r="I117" s="261">
        <v>0</v>
      </c>
      <c r="J117" s="261">
        <v>0</v>
      </c>
      <c r="K117" s="260">
        <v>0</v>
      </c>
      <c r="L117" s="248"/>
      <c r="M117" s="246"/>
    </row>
    <row r="118" spans="2:13" ht="27" customHeight="1">
      <c r="B118" s="243"/>
      <c r="C118" s="217" t="s">
        <v>135</v>
      </c>
      <c r="D118" s="248" t="s">
        <v>1883</v>
      </c>
      <c r="E118" s="248"/>
      <c r="F118" s="260">
        <v>40.337000000000003</v>
      </c>
      <c r="G118" s="260">
        <v>1.3160000000000001</v>
      </c>
      <c r="H118" s="260">
        <v>0.66600000000000004</v>
      </c>
      <c r="I118" s="261">
        <v>0</v>
      </c>
      <c r="J118" s="261">
        <v>0</v>
      </c>
      <c r="K118" s="260">
        <v>0</v>
      </c>
      <c r="L118" s="248"/>
      <c r="M118" s="246"/>
    </row>
    <row r="119" spans="2:13" ht="27" customHeight="1">
      <c r="B119" s="243"/>
      <c r="C119" s="217" t="s">
        <v>1534</v>
      </c>
      <c r="D119" s="248" t="s">
        <v>1884</v>
      </c>
      <c r="E119" s="248" t="s">
        <v>1527</v>
      </c>
      <c r="F119" s="260">
        <v>-0.59199999999999997</v>
      </c>
      <c r="G119" s="260">
        <v>0</v>
      </c>
      <c r="H119" s="260">
        <v>0</v>
      </c>
      <c r="I119" s="261">
        <v>0</v>
      </c>
      <c r="J119" s="261">
        <v>0</v>
      </c>
      <c r="K119" s="260">
        <v>0</v>
      </c>
      <c r="L119" s="248"/>
      <c r="M119" s="246"/>
    </row>
    <row r="120" spans="2:13" ht="27" customHeight="1">
      <c r="B120" s="243"/>
      <c r="C120" s="217" t="s">
        <v>100</v>
      </c>
      <c r="D120" s="248" t="s">
        <v>1885</v>
      </c>
      <c r="E120" s="248">
        <v>8</v>
      </c>
      <c r="F120" s="260">
        <v>-0.504</v>
      </c>
      <c r="G120" s="260">
        <v>0</v>
      </c>
      <c r="H120" s="260">
        <v>0</v>
      </c>
      <c r="I120" s="261">
        <v>0</v>
      </c>
      <c r="J120" s="261">
        <v>0</v>
      </c>
      <c r="K120" s="260">
        <v>0</v>
      </c>
      <c r="L120" s="248"/>
      <c r="M120" s="246"/>
    </row>
    <row r="121" spans="2:13" ht="27" customHeight="1">
      <c r="B121" s="243"/>
      <c r="C121" s="217" t="s">
        <v>101</v>
      </c>
      <c r="D121" s="248" t="s">
        <v>1886</v>
      </c>
      <c r="E121" s="248"/>
      <c r="F121" s="260">
        <v>-0.59199999999999997</v>
      </c>
      <c r="G121" s="260">
        <v>0</v>
      </c>
      <c r="H121" s="260">
        <v>0</v>
      </c>
      <c r="I121" s="261">
        <v>0</v>
      </c>
      <c r="J121" s="261">
        <v>0</v>
      </c>
      <c r="K121" s="260">
        <v>0.253</v>
      </c>
      <c r="L121" s="248"/>
      <c r="M121" s="246"/>
    </row>
    <row r="122" spans="2:13" ht="27" customHeight="1">
      <c r="B122" s="243"/>
      <c r="C122" s="217" t="s">
        <v>102</v>
      </c>
      <c r="D122" s="248" t="s">
        <v>1887</v>
      </c>
      <c r="E122" s="248"/>
      <c r="F122" s="260">
        <v>-4.99</v>
      </c>
      <c r="G122" s="260">
        <v>-0.38</v>
      </c>
      <c r="H122" s="260">
        <v>-4.9000000000000002E-2</v>
      </c>
      <c r="I122" s="261">
        <v>0</v>
      </c>
      <c r="J122" s="261">
        <v>0</v>
      </c>
      <c r="K122" s="260">
        <v>0.253</v>
      </c>
      <c r="L122" s="248"/>
      <c r="M122" s="246"/>
    </row>
    <row r="123" spans="2:13" ht="27" customHeight="1">
      <c r="B123" s="243"/>
      <c r="C123" s="217" t="s">
        <v>103</v>
      </c>
      <c r="D123" s="248" t="s">
        <v>1888</v>
      </c>
      <c r="E123" s="248"/>
      <c r="F123" s="260">
        <v>-0.504</v>
      </c>
      <c r="G123" s="260">
        <v>0</v>
      </c>
      <c r="H123" s="260">
        <v>0</v>
      </c>
      <c r="I123" s="261">
        <v>0</v>
      </c>
      <c r="J123" s="261">
        <v>0</v>
      </c>
      <c r="K123" s="260">
        <v>0.216</v>
      </c>
      <c r="L123" s="248"/>
      <c r="M123" s="246"/>
    </row>
    <row r="124" spans="2:13" ht="27" customHeight="1">
      <c r="B124" s="243"/>
      <c r="C124" s="217" t="s">
        <v>104</v>
      </c>
      <c r="D124" s="248" t="s">
        <v>1889</v>
      </c>
      <c r="E124" s="248"/>
      <c r="F124" s="260">
        <v>-4.2510000000000003</v>
      </c>
      <c r="G124" s="260">
        <v>-0.32700000000000001</v>
      </c>
      <c r="H124" s="260">
        <v>-0.04</v>
      </c>
      <c r="I124" s="261">
        <v>0</v>
      </c>
      <c r="J124" s="261">
        <v>0</v>
      </c>
      <c r="K124" s="260">
        <v>0.216</v>
      </c>
      <c r="L124" s="248"/>
      <c r="M124" s="246"/>
    </row>
    <row r="125" spans="2:13" ht="27" customHeight="1">
      <c r="B125" s="243"/>
      <c r="C125" s="217" t="s">
        <v>112</v>
      </c>
      <c r="D125" s="248" t="s">
        <v>1890</v>
      </c>
      <c r="E125" s="248"/>
      <c r="F125" s="260">
        <v>-0.255</v>
      </c>
      <c r="G125" s="260">
        <v>0</v>
      </c>
      <c r="H125" s="260">
        <v>0</v>
      </c>
      <c r="I125" s="261">
        <v>30.6</v>
      </c>
      <c r="J125" s="261">
        <v>0</v>
      </c>
      <c r="K125" s="260">
        <v>0.17499999999999999</v>
      </c>
      <c r="L125" s="248"/>
      <c r="M125" s="246"/>
    </row>
    <row r="126" spans="2:13" ht="27" customHeight="1">
      <c r="B126" s="243"/>
      <c r="C126" s="217" t="s">
        <v>113</v>
      </c>
      <c r="D126" s="248" t="s">
        <v>1891</v>
      </c>
      <c r="E126" s="248"/>
      <c r="F126" s="260">
        <v>-2.1549999999999998</v>
      </c>
      <c r="G126" s="260">
        <v>-0.17499999999999999</v>
      </c>
      <c r="H126" s="260">
        <v>-1.4E-2</v>
      </c>
      <c r="I126" s="261">
        <v>30.6</v>
      </c>
      <c r="J126" s="261">
        <v>0</v>
      </c>
      <c r="K126" s="260">
        <v>0.17499999999999999</v>
      </c>
      <c r="L126" s="248"/>
      <c r="M126" s="246"/>
    </row>
    <row r="127" spans="2:13" ht="27" customHeight="1">
      <c r="B127" s="243"/>
      <c r="C127" s="217" t="s">
        <v>147</v>
      </c>
      <c r="D127" s="248"/>
      <c r="E127" s="248">
        <v>1</v>
      </c>
      <c r="F127" s="260">
        <v>1.5489999999999999</v>
      </c>
      <c r="G127" s="260">
        <v>0</v>
      </c>
      <c r="H127" s="260">
        <v>0</v>
      </c>
      <c r="I127" s="261">
        <v>2.8</v>
      </c>
      <c r="J127" s="261">
        <v>0</v>
      </c>
      <c r="K127" s="260">
        <v>0</v>
      </c>
      <c r="L127" s="248"/>
      <c r="M127" s="246"/>
    </row>
    <row r="128" spans="2:13" ht="27" customHeight="1">
      <c r="B128" s="243"/>
      <c r="C128" s="217" t="s">
        <v>150</v>
      </c>
      <c r="D128" s="248"/>
      <c r="E128" s="248">
        <v>2</v>
      </c>
      <c r="F128" s="260">
        <v>1.841</v>
      </c>
      <c r="G128" s="260">
        <v>4.8000000000000001E-2</v>
      </c>
      <c r="H128" s="260">
        <v>0</v>
      </c>
      <c r="I128" s="261">
        <v>2.8</v>
      </c>
      <c r="J128" s="261">
        <v>0</v>
      </c>
      <c r="K128" s="260">
        <v>0</v>
      </c>
      <c r="L128" s="248"/>
      <c r="M128" s="246"/>
    </row>
    <row r="129" spans="2:13" ht="27" customHeight="1">
      <c r="B129" s="243"/>
      <c r="C129" s="217" t="s">
        <v>153</v>
      </c>
      <c r="D129" s="248"/>
      <c r="E129" s="248">
        <v>2</v>
      </c>
      <c r="F129" s="260">
        <v>0.13700000000000001</v>
      </c>
      <c r="G129" s="260">
        <v>0</v>
      </c>
      <c r="H129" s="260">
        <v>0</v>
      </c>
      <c r="I129" s="261">
        <v>0</v>
      </c>
      <c r="J129" s="261">
        <v>0</v>
      </c>
      <c r="K129" s="260">
        <v>0</v>
      </c>
      <c r="L129" s="248"/>
      <c r="M129" s="246"/>
    </row>
    <row r="130" spans="2:13" ht="27" customHeight="1">
      <c r="B130" s="243"/>
      <c r="C130" s="217" t="s">
        <v>156</v>
      </c>
      <c r="D130" s="248"/>
      <c r="E130" s="248">
        <v>3</v>
      </c>
      <c r="F130" s="260">
        <v>1.446</v>
      </c>
      <c r="G130" s="260">
        <v>0</v>
      </c>
      <c r="H130" s="260">
        <v>0</v>
      </c>
      <c r="I130" s="261">
        <v>4.3</v>
      </c>
      <c r="J130" s="261">
        <v>0</v>
      </c>
      <c r="K130" s="260">
        <v>0</v>
      </c>
      <c r="L130" s="248"/>
      <c r="M130" s="246"/>
    </row>
    <row r="131" spans="2:13" ht="27" customHeight="1">
      <c r="B131" s="243"/>
      <c r="C131" s="217" t="s">
        <v>159</v>
      </c>
      <c r="D131" s="248"/>
      <c r="E131" s="248">
        <v>4</v>
      </c>
      <c r="F131" s="260">
        <v>1.657</v>
      </c>
      <c r="G131" s="260">
        <v>4.5999999999999999E-2</v>
      </c>
      <c r="H131" s="260">
        <v>0</v>
      </c>
      <c r="I131" s="261">
        <v>4.3</v>
      </c>
      <c r="J131" s="261">
        <v>0</v>
      </c>
      <c r="K131" s="260">
        <v>0</v>
      </c>
      <c r="L131" s="248"/>
      <c r="M131" s="246"/>
    </row>
    <row r="132" spans="2:13" ht="27" customHeight="1">
      <c r="B132" s="243"/>
      <c r="C132" s="217" t="s">
        <v>162</v>
      </c>
      <c r="D132" s="248"/>
      <c r="E132" s="248">
        <v>4</v>
      </c>
      <c r="F132" s="260">
        <v>0.25800000000000001</v>
      </c>
      <c r="G132" s="260">
        <v>0</v>
      </c>
      <c r="H132" s="260">
        <v>0</v>
      </c>
      <c r="I132" s="261">
        <v>0</v>
      </c>
      <c r="J132" s="261">
        <v>0</v>
      </c>
      <c r="K132" s="260">
        <v>0</v>
      </c>
      <c r="L132" s="248"/>
      <c r="M132" s="246"/>
    </row>
    <row r="133" spans="2:13" ht="27" customHeight="1">
      <c r="B133" s="243"/>
      <c r="C133" s="217" t="s">
        <v>165</v>
      </c>
      <c r="D133" s="248"/>
      <c r="E133" s="248" t="s">
        <v>1199</v>
      </c>
      <c r="F133" s="260">
        <v>1.214</v>
      </c>
      <c r="G133" s="260">
        <v>3.3000000000000002E-2</v>
      </c>
      <c r="H133" s="260">
        <v>0</v>
      </c>
      <c r="I133" s="261">
        <v>3.3</v>
      </c>
      <c r="J133" s="261">
        <v>0</v>
      </c>
      <c r="K133" s="260">
        <v>0</v>
      </c>
      <c r="L133" s="248"/>
      <c r="M133" s="246"/>
    </row>
    <row r="134" spans="2:13" ht="27" customHeight="1">
      <c r="B134" s="243"/>
      <c r="C134" s="217" t="s">
        <v>1533</v>
      </c>
      <c r="D134" s="248"/>
      <c r="E134" s="248"/>
      <c r="F134" s="260">
        <v>8.8480000000000008</v>
      </c>
      <c r="G134" s="260">
        <v>0.54500000000000004</v>
      </c>
      <c r="H134" s="260">
        <v>4.1000000000000002E-2</v>
      </c>
      <c r="I134" s="261">
        <v>2.8</v>
      </c>
      <c r="J134" s="261">
        <v>0</v>
      </c>
      <c r="K134" s="260">
        <v>0</v>
      </c>
      <c r="L134" s="248"/>
      <c r="M134" s="246"/>
    </row>
    <row r="135" spans="2:13" ht="27" customHeight="1">
      <c r="B135" s="243"/>
      <c r="C135" s="217" t="s">
        <v>1532</v>
      </c>
      <c r="D135" s="248"/>
      <c r="E135" s="248"/>
      <c r="F135" s="260">
        <v>8.8989999999999991</v>
      </c>
      <c r="G135" s="260">
        <v>0.54800000000000004</v>
      </c>
      <c r="H135" s="260">
        <v>4.1000000000000002E-2</v>
      </c>
      <c r="I135" s="261">
        <v>4.3</v>
      </c>
      <c r="J135" s="261">
        <v>0</v>
      </c>
      <c r="K135" s="260">
        <v>0</v>
      </c>
      <c r="L135" s="248"/>
      <c r="M135" s="246"/>
    </row>
    <row r="136" spans="2:13" ht="27" customHeight="1">
      <c r="B136" s="243"/>
      <c r="C136" s="217" t="s">
        <v>170</v>
      </c>
      <c r="D136" s="248"/>
      <c r="E136" s="248"/>
      <c r="F136" s="260">
        <v>7.702</v>
      </c>
      <c r="G136" s="260">
        <v>0.46500000000000002</v>
      </c>
      <c r="H136" s="260">
        <v>2.9000000000000001E-2</v>
      </c>
      <c r="I136" s="261">
        <v>5.56</v>
      </c>
      <c r="J136" s="261">
        <v>2.44</v>
      </c>
      <c r="K136" s="260">
        <v>0.27800000000000002</v>
      </c>
      <c r="L136" s="248"/>
      <c r="M136" s="246"/>
    </row>
    <row r="137" spans="2:13" ht="27" customHeight="1">
      <c r="B137" s="243"/>
      <c r="C137" s="217" t="s">
        <v>177</v>
      </c>
      <c r="D137" s="248"/>
      <c r="E137" s="248">
        <v>8</v>
      </c>
      <c r="F137" s="260">
        <v>1.387</v>
      </c>
      <c r="G137" s="260">
        <v>0</v>
      </c>
      <c r="H137" s="260">
        <v>0</v>
      </c>
      <c r="I137" s="261">
        <v>0</v>
      </c>
      <c r="J137" s="261">
        <v>0</v>
      </c>
      <c r="K137" s="260">
        <v>0</v>
      </c>
      <c r="L137" s="248"/>
      <c r="M137" s="246"/>
    </row>
    <row r="138" spans="2:13" ht="27" customHeight="1">
      <c r="B138" s="243"/>
      <c r="C138" s="217" t="s">
        <v>180</v>
      </c>
      <c r="D138" s="248"/>
      <c r="E138" s="248">
        <v>1</v>
      </c>
      <c r="F138" s="260">
        <v>1.7829999999999999</v>
      </c>
      <c r="G138" s="260">
        <v>0</v>
      </c>
      <c r="H138" s="260">
        <v>0</v>
      </c>
      <c r="I138" s="261">
        <v>0</v>
      </c>
      <c r="J138" s="261">
        <v>0</v>
      </c>
      <c r="K138" s="260">
        <v>0</v>
      </c>
      <c r="L138" s="248"/>
      <c r="M138" s="246"/>
    </row>
    <row r="139" spans="2:13" ht="27" customHeight="1">
      <c r="B139" s="243"/>
      <c r="C139" s="217" t="s">
        <v>183</v>
      </c>
      <c r="D139" s="248"/>
      <c r="E139" s="248">
        <v>1</v>
      </c>
      <c r="F139" s="260">
        <v>2.8849999999999998</v>
      </c>
      <c r="G139" s="260">
        <v>0</v>
      </c>
      <c r="H139" s="260">
        <v>0</v>
      </c>
      <c r="I139" s="261">
        <v>0</v>
      </c>
      <c r="J139" s="261">
        <v>0</v>
      </c>
      <c r="K139" s="260">
        <v>0</v>
      </c>
      <c r="L139" s="248"/>
      <c r="M139" s="246"/>
    </row>
    <row r="140" spans="2:13" ht="27" customHeight="1">
      <c r="B140" s="243"/>
      <c r="C140" s="217" t="s">
        <v>186</v>
      </c>
      <c r="D140" s="248"/>
      <c r="E140" s="248">
        <v>1</v>
      </c>
      <c r="F140" s="260">
        <v>0.98399999999999999</v>
      </c>
      <c r="G140" s="260">
        <v>0</v>
      </c>
      <c r="H140" s="260">
        <v>0</v>
      </c>
      <c r="I140" s="261">
        <v>0</v>
      </c>
      <c r="J140" s="261">
        <v>0</v>
      </c>
      <c r="K140" s="260">
        <v>0</v>
      </c>
      <c r="L140" s="248"/>
      <c r="M140" s="246"/>
    </row>
    <row r="141" spans="2:13" ht="27" customHeight="1">
      <c r="B141" s="243"/>
      <c r="C141" s="217" t="s">
        <v>189</v>
      </c>
      <c r="D141" s="248"/>
      <c r="E141" s="248"/>
      <c r="F141" s="260">
        <v>27</v>
      </c>
      <c r="G141" s="260">
        <v>0.88100000000000001</v>
      </c>
      <c r="H141" s="260">
        <v>0.44600000000000001</v>
      </c>
      <c r="I141" s="261">
        <v>0</v>
      </c>
      <c r="J141" s="261">
        <v>0</v>
      </c>
      <c r="K141" s="260">
        <v>0</v>
      </c>
      <c r="L141" s="248"/>
      <c r="M141" s="246"/>
    </row>
    <row r="142" spans="2:13" ht="27" customHeight="1">
      <c r="B142" s="243"/>
      <c r="C142" s="217" t="s">
        <v>1531</v>
      </c>
      <c r="D142" s="248"/>
      <c r="E142" s="248" t="s">
        <v>1527</v>
      </c>
      <c r="F142" s="260">
        <v>-0.59199999999999997</v>
      </c>
      <c r="G142" s="260">
        <v>0</v>
      </c>
      <c r="H142" s="260">
        <v>0</v>
      </c>
      <c r="I142" s="261">
        <v>0</v>
      </c>
      <c r="J142" s="261">
        <v>0</v>
      </c>
      <c r="K142" s="260">
        <v>0</v>
      </c>
      <c r="L142" s="248"/>
      <c r="M142" s="246"/>
    </row>
    <row r="143" spans="2:13" ht="27" customHeight="1">
      <c r="B143" s="243"/>
      <c r="C143" s="217" t="s">
        <v>194</v>
      </c>
      <c r="D143" s="248"/>
      <c r="E143" s="248"/>
      <c r="F143" s="260">
        <v>-0.59199999999999997</v>
      </c>
      <c r="G143" s="260">
        <v>0</v>
      </c>
      <c r="H143" s="260">
        <v>0</v>
      </c>
      <c r="I143" s="261">
        <v>0</v>
      </c>
      <c r="J143" s="261">
        <v>0</v>
      </c>
      <c r="K143" s="260">
        <v>0.253</v>
      </c>
      <c r="L143" s="248"/>
      <c r="M143" s="246"/>
    </row>
    <row r="144" spans="2:13" ht="27" customHeight="1">
      <c r="B144" s="243"/>
      <c r="C144" s="217" t="s">
        <v>197</v>
      </c>
      <c r="D144" s="248"/>
      <c r="E144" s="248"/>
      <c r="F144" s="260">
        <v>-4.99</v>
      </c>
      <c r="G144" s="260">
        <v>-0.38</v>
      </c>
      <c r="H144" s="260">
        <v>-4.9000000000000002E-2</v>
      </c>
      <c r="I144" s="261">
        <v>0</v>
      </c>
      <c r="J144" s="261">
        <v>0</v>
      </c>
      <c r="K144" s="260">
        <v>0.253</v>
      </c>
      <c r="L144" s="248"/>
      <c r="M144" s="246"/>
    </row>
    <row r="145" spans="2:13" ht="27" customHeight="1">
      <c r="B145" s="243"/>
      <c r="C145" s="217" t="s">
        <v>148</v>
      </c>
      <c r="D145" s="248"/>
      <c r="E145" s="248">
        <v>1</v>
      </c>
      <c r="F145" s="260">
        <v>1.1240000000000001</v>
      </c>
      <c r="G145" s="260">
        <v>0</v>
      </c>
      <c r="H145" s="260">
        <v>0</v>
      </c>
      <c r="I145" s="261">
        <v>2.0299999999999998</v>
      </c>
      <c r="J145" s="261">
        <v>0</v>
      </c>
      <c r="K145" s="260">
        <v>0</v>
      </c>
      <c r="L145" s="248"/>
      <c r="M145" s="246"/>
    </row>
    <row r="146" spans="2:13" ht="27" customHeight="1">
      <c r="B146" s="243"/>
      <c r="C146" s="217" t="s">
        <v>151</v>
      </c>
      <c r="D146" s="248"/>
      <c r="E146" s="248">
        <v>2</v>
      </c>
      <c r="F146" s="260">
        <v>1.3360000000000001</v>
      </c>
      <c r="G146" s="260">
        <v>3.5000000000000003E-2</v>
      </c>
      <c r="H146" s="260">
        <v>0</v>
      </c>
      <c r="I146" s="261">
        <v>2.0299999999999998</v>
      </c>
      <c r="J146" s="261">
        <v>0</v>
      </c>
      <c r="K146" s="260">
        <v>0</v>
      </c>
      <c r="L146" s="248"/>
      <c r="M146" s="246"/>
    </row>
    <row r="147" spans="2:13" ht="27" customHeight="1">
      <c r="B147" s="243"/>
      <c r="C147" s="217" t="s">
        <v>154</v>
      </c>
      <c r="D147" s="248"/>
      <c r="E147" s="248">
        <v>2</v>
      </c>
      <c r="F147" s="260">
        <v>0.1</v>
      </c>
      <c r="G147" s="260">
        <v>0</v>
      </c>
      <c r="H147" s="260">
        <v>0</v>
      </c>
      <c r="I147" s="261">
        <v>0</v>
      </c>
      <c r="J147" s="261">
        <v>0</v>
      </c>
      <c r="K147" s="260">
        <v>0</v>
      </c>
      <c r="L147" s="248"/>
      <c r="M147" s="246"/>
    </row>
    <row r="148" spans="2:13" ht="27" customHeight="1">
      <c r="B148" s="243"/>
      <c r="C148" s="217" t="s">
        <v>157</v>
      </c>
      <c r="D148" s="248"/>
      <c r="E148" s="248">
        <v>3</v>
      </c>
      <c r="F148" s="260">
        <v>1.0489999999999999</v>
      </c>
      <c r="G148" s="260">
        <v>0</v>
      </c>
      <c r="H148" s="260">
        <v>0</v>
      </c>
      <c r="I148" s="261">
        <v>3.12</v>
      </c>
      <c r="J148" s="261">
        <v>0</v>
      </c>
      <c r="K148" s="260">
        <v>0</v>
      </c>
      <c r="L148" s="248"/>
      <c r="M148" s="246"/>
    </row>
    <row r="149" spans="2:13" ht="27" customHeight="1">
      <c r="B149" s="243"/>
      <c r="C149" s="217" t="s">
        <v>160</v>
      </c>
      <c r="D149" s="248"/>
      <c r="E149" s="248">
        <v>4</v>
      </c>
      <c r="F149" s="260">
        <v>1.202</v>
      </c>
      <c r="G149" s="260">
        <v>3.4000000000000002E-2</v>
      </c>
      <c r="H149" s="260">
        <v>0</v>
      </c>
      <c r="I149" s="261">
        <v>3.12</v>
      </c>
      <c r="J149" s="261">
        <v>0</v>
      </c>
      <c r="K149" s="260">
        <v>0</v>
      </c>
      <c r="L149" s="248"/>
      <c r="M149" s="246"/>
    </row>
    <row r="150" spans="2:13" ht="27" customHeight="1">
      <c r="B150" s="243"/>
      <c r="C150" s="217" t="s">
        <v>163</v>
      </c>
      <c r="D150" s="248"/>
      <c r="E150" s="248">
        <v>4</v>
      </c>
      <c r="F150" s="260">
        <v>0.188</v>
      </c>
      <c r="G150" s="260">
        <v>0</v>
      </c>
      <c r="H150" s="260">
        <v>0</v>
      </c>
      <c r="I150" s="261">
        <v>0</v>
      </c>
      <c r="J150" s="261">
        <v>0</v>
      </c>
      <c r="K150" s="260">
        <v>0</v>
      </c>
      <c r="L150" s="248"/>
      <c r="M150" s="246"/>
    </row>
    <row r="151" spans="2:13" ht="27" customHeight="1">
      <c r="B151" s="243"/>
      <c r="C151" s="217" t="s">
        <v>166</v>
      </c>
      <c r="D151" s="248"/>
      <c r="E151" s="248" t="s">
        <v>1199</v>
      </c>
      <c r="F151" s="260">
        <v>0.88100000000000001</v>
      </c>
      <c r="G151" s="260">
        <v>2.4E-2</v>
      </c>
      <c r="H151" s="260">
        <v>0</v>
      </c>
      <c r="I151" s="261">
        <v>2.4</v>
      </c>
      <c r="J151" s="261">
        <v>0</v>
      </c>
      <c r="K151" s="260">
        <v>0</v>
      </c>
      <c r="L151" s="248"/>
      <c r="M151" s="246"/>
    </row>
    <row r="152" spans="2:13" ht="27" customHeight="1">
      <c r="B152" s="243"/>
      <c r="C152" s="217" t="s">
        <v>1530</v>
      </c>
      <c r="D152" s="248"/>
      <c r="E152" s="248"/>
      <c r="F152" s="260">
        <v>6.4219999999999997</v>
      </c>
      <c r="G152" s="260">
        <v>0.39500000000000002</v>
      </c>
      <c r="H152" s="260">
        <v>0.03</v>
      </c>
      <c r="I152" s="261">
        <v>2.0299999999999998</v>
      </c>
      <c r="J152" s="261">
        <v>0</v>
      </c>
      <c r="K152" s="260">
        <v>0</v>
      </c>
      <c r="L152" s="248"/>
      <c r="M152" s="246"/>
    </row>
    <row r="153" spans="2:13" ht="27" customHeight="1">
      <c r="B153" s="243"/>
      <c r="C153" s="217" t="s">
        <v>1529</v>
      </c>
      <c r="D153" s="248"/>
      <c r="E153" s="248"/>
      <c r="F153" s="260">
        <v>6.4589999999999996</v>
      </c>
      <c r="G153" s="260">
        <v>0.39700000000000002</v>
      </c>
      <c r="H153" s="260">
        <v>0.03</v>
      </c>
      <c r="I153" s="261">
        <v>3.12</v>
      </c>
      <c r="J153" s="261">
        <v>0</v>
      </c>
      <c r="K153" s="260">
        <v>0</v>
      </c>
      <c r="L153" s="248"/>
      <c r="M153" s="246"/>
    </row>
    <row r="154" spans="2:13" ht="27" customHeight="1">
      <c r="B154" s="243"/>
      <c r="C154" s="217" t="s">
        <v>171</v>
      </c>
      <c r="D154" s="248"/>
      <c r="E154" s="248"/>
      <c r="F154" s="260">
        <v>5.59</v>
      </c>
      <c r="G154" s="260">
        <v>0.33800000000000002</v>
      </c>
      <c r="H154" s="260">
        <v>2.1000000000000001E-2</v>
      </c>
      <c r="I154" s="261">
        <v>4.04</v>
      </c>
      <c r="J154" s="261">
        <v>1.77</v>
      </c>
      <c r="K154" s="260">
        <v>0.20200000000000001</v>
      </c>
      <c r="L154" s="248"/>
      <c r="M154" s="246"/>
    </row>
    <row r="155" spans="2:13" ht="27" customHeight="1">
      <c r="B155" s="243"/>
      <c r="C155" s="217" t="s">
        <v>173</v>
      </c>
      <c r="D155" s="248"/>
      <c r="E155" s="248"/>
      <c r="F155" s="260">
        <v>7.5350000000000001</v>
      </c>
      <c r="G155" s="260">
        <v>0.438</v>
      </c>
      <c r="H155" s="260">
        <v>1.4999999999999999E-2</v>
      </c>
      <c r="I155" s="261">
        <v>4.75</v>
      </c>
      <c r="J155" s="261">
        <v>3.49</v>
      </c>
      <c r="K155" s="260">
        <v>0.25900000000000001</v>
      </c>
      <c r="L155" s="248"/>
      <c r="M155" s="246"/>
    </row>
    <row r="156" spans="2:13" ht="27" customHeight="1">
      <c r="B156" s="243"/>
      <c r="C156" s="217" t="s">
        <v>175</v>
      </c>
      <c r="D156" s="248"/>
      <c r="E156" s="248"/>
      <c r="F156" s="260">
        <v>6.2839999999999998</v>
      </c>
      <c r="G156" s="260">
        <v>0.34499999999999997</v>
      </c>
      <c r="H156" s="260">
        <v>7.0000000000000001E-3</v>
      </c>
      <c r="I156" s="261">
        <v>53.9</v>
      </c>
      <c r="J156" s="261">
        <v>4.22</v>
      </c>
      <c r="K156" s="260">
        <v>0.19700000000000001</v>
      </c>
      <c r="L156" s="248"/>
      <c r="M156" s="246"/>
    </row>
    <row r="157" spans="2:13" ht="27" customHeight="1">
      <c r="B157" s="243"/>
      <c r="C157" s="217" t="s">
        <v>178</v>
      </c>
      <c r="D157" s="248"/>
      <c r="E157" s="248">
        <v>8</v>
      </c>
      <c r="F157" s="260">
        <v>1.0069999999999999</v>
      </c>
      <c r="G157" s="260">
        <v>0</v>
      </c>
      <c r="H157" s="260">
        <v>0</v>
      </c>
      <c r="I157" s="261">
        <v>0</v>
      </c>
      <c r="J157" s="261">
        <v>0</v>
      </c>
      <c r="K157" s="260">
        <v>0</v>
      </c>
      <c r="L157" s="248"/>
      <c r="M157" s="246"/>
    </row>
    <row r="158" spans="2:13" ht="27" customHeight="1">
      <c r="B158" s="243"/>
      <c r="C158" s="217" t="s">
        <v>181</v>
      </c>
      <c r="D158" s="248"/>
      <c r="E158" s="248">
        <v>1</v>
      </c>
      <c r="F158" s="260">
        <v>1.294</v>
      </c>
      <c r="G158" s="260">
        <v>0</v>
      </c>
      <c r="H158" s="260">
        <v>0</v>
      </c>
      <c r="I158" s="261">
        <v>0</v>
      </c>
      <c r="J158" s="261">
        <v>0</v>
      </c>
      <c r="K158" s="260">
        <v>0</v>
      </c>
      <c r="L158" s="248"/>
      <c r="M158" s="246"/>
    </row>
    <row r="159" spans="2:13" ht="27" customHeight="1">
      <c r="B159" s="243"/>
      <c r="C159" s="217" t="s">
        <v>184</v>
      </c>
      <c r="D159" s="248"/>
      <c r="E159" s="248">
        <v>1</v>
      </c>
      <c r="F159" s="260">
        <v>2.0939999999999999</v>
      </c>
      <c r="G159" s="260">
        <v>0</v>
      </c>
      <c r="H159" s="260">
        <v>0</v>
      </c>
      <c r="I159" s="261">
        <v>0</v>
      </c>
      <c r="J159" s="261">
        <v>0</v>
      </c>
      <c r="K159" s="260">
        <v>0</v>
      </c>
      <c r="L159" s="248"/>
      <c r="M159" s="246"/>
    </row>
    <row r="160" spans="2:13" ht="27" customHeight="1">
      <c r="B160" s="243"/>
      <c r="C160" s="217" t="s">
        <v>187</v>
      </c>
      <c r="D160" s="248"/>
      <c r="E160" s="248">
        <v>1</v>
      </c>
      <c r="F160" s="260">
        <v>0.71399999999999997</v>
      </c>
      <c r="G160" s="260">
        <v>0</v>
      </c>
      <c r="H160" s="260">
        <v>0</v>
      </c>
      <c r="I160" s="261">
        <v>0</v>
      </c>
      <c r="J160" s="261">
        <v>0</v>
      </c>
      <c r="K160" s="260">
        <v>0</v>
      </c>
      <c r="L160" s="248"/>
      <c r="M160" s="246"/>
    </row>
    <row r="161" spans="2:13" ht="27" customHeight="1">
      <c r="B161" s="243"/>
      <c r="C161" s="217" t="s">
        <v>190</v>
      </c>
      <c r="D161" s="248"/>
      <c r="E161" s="248"/>
      <c r="F161" s="260">
        <v>19.597000000000001</v>
      </c>
      <c r="G161" s="260">
        <v>0.63900000000000001</v>
      </c>
      <c r="H161" s="260">
        <v>0.32400000000000001</v>
      </c>
      <c r="I161" s="261">
        <v>0</v>
      </c>
      <c r="J161" s="261">
        <v>0</v>
      </c>
      <c r="K161" s="260">
        <v>0</v>
      </c>
      <c r="L161" s="248"/>
      <c r="M161" s="246"/>
    </row>
    <row r="162" spans="2:13" ht="27" customHeight="1">
      <c r="B162" s="243"/>
      <c r="C162" s="217" t="s">
        <v>1528</v>
      </c>
      <c r="D162" s="248"/>
      <c r="E162" s="248" t="s">
        <v>1527</v>
      </c>
      <c r="F162" s="260">
        <v>-0.59199999999999997</v>
      </c>
      <c r="G162" s="260">
        <v>0</v>
      </c>
      <c r="H162" s="260">
        <v>0</v>
      </c>
      <c r="I162" s="261">
        <v>0</v>
      </c>
      <c r="J162" s="261">
        <v>0</v>
      </c>
      <c r="K162" s="260">
        <v>0</v>
      </c>
      <c r="L162" s="248"/>
      <c r="M162" s="246"/>
    </row>
    <row r="163" spans="2:13" ht="27" customHeight="1">
      <c r="B163" s="243"/>
      <c r="C163" s="217" t="s">
        <v>192</v>
      </c>
      <c r="D163" s="248"/>
      <c r="E163" s="248">
        <v>8</v>
      </c>
      <c r="F163" s="260">
        <v>-0.504</v>
      </c>
      <c r="G163" s="260">
        <v>0</v>
      </c>
      <c r="H163" s="260">
        <v>0</v>
      </c>
      <c r="I163" s="261">
        <v>0</v>
      </c>
      <c r="J163" s="261">
        <v>0</v>
      </c>
      <c r="K163" s="260">
        <v>0</v>
      </c>
      <c r="L163" s="248"/>
      <c r="M163" s="246"/>
    </row>
    <row r="164" spans="2:13" ht="27" customHeight="1">
      <c r="B164" s="243"/>
      <c r="C164" s="217" t="s">
        <v>195</v>
      </c>
      <c r="D164" s="248"/>
      <c r="E164" s="248"/>
      <c r="F164" s="260">
        <v>-0.59199999999999997</v>
      </c>
      <c r="G164" s="260">
        <v>0</v>
      </c>
      <c r="H164" s="260">
        <v>0</v>
      </c>
      <c r="I164" s="261">
        <v>0</v>
      </c>
      <c r="J164" s="261">
        <v>0</v>
      </c>
      <c r="K164" s="260">
        <v>0.253</v>
      </c>
      <c r="L164" s="248"/>
      <c r="M164" s="246"/>
    </row>
    <row r="165" spans="2:13" ht="27" customHeight="1">
      <c r="B165" s="243"/>
      <c r="C165" s="217" t="s">
        <v>198</v>
      </c>
      <c r="D165" s="248"/>
      <c r="E165" s="248"/>
      <c r="F165" s="260">
        <v>-4.99</v>
      </c>
      <c r="G165" s="260">
        <v>-0.38</v>
      </c>
      <c r="H165" s="260">
        <v>-4.9000000000000002E-2</v>
      </c>
      <c r="I165" s="261">
        <v>0</v>
      </c>
      <c r="J165" s="261">
        <v>0</v>
      </c>
      <c r="K165" s="260">
        <v>0.253</v>
      </c>
      <c r="L165" s="248"/>
      <c r="M165" s="246"/>
    </row>
    <row r="166" spans="2:13" ht="27" customHeight="1">
      <c r="B166" s="243"/>
      <c r="C166" s="217" t="s">
        <v>200</v>
      </c>
      <c r="D166" s="248"/>
      <c r="E166" s="248"/>
      <c r="F166" s="260">
        <v>-0.504</v>
      </c>
      <c r="G166" s="260">
        <v>0</v>
      </c>
      <c r="H166" s="260">
        <v>0</v>
      </c>
      <c r="I166" s="261">
        <v>0</v>
      </c>
      <c r="J166" s="261">
        <v>0</v>
      </c>
      <c r="K166" s="260">
        <v>0.216</v>
      </c>
      <c r="L166" s="248"/>
      <c r="M166" s="246"/>
    </row>
    <row r="167" spans="2:13" ht="27" customHeight="1">
      <c r="B167" s="243"/>
      <c r="C167" s="217" t="s">
        <v>202</v>
      </c>
      <c r="D167" s="248"/>
      <c r="E167" s="248"/>
      <c r="F167" s="260">
        <v>-4.2510000000000003</v>
      </c>
      <c r="G167" s="260">
        <v>-0.32700000000000001</v>
      </c>
      <c r="H167" s="260">
        <v>-0.04</v>
      </c>
      <c r="I167" s="261">
        <v>0</v>
      </c>
      <c r="J167" s="261">
        <v>0</v>
      </c>
      <c r="K167" s="260">
        <v>0.216</v>
      </c>
      <c r="L167" s="248"/>
      <c r="M167" s="246"/>
    </row>
    <row r="168" spans="2:13" ht="27" customHeight="1">
      <c r="B168" s="243"/>
      <c r="C168" s="217" t="s">
        <v>204</v>
      </c>
      <c r="D168" s="248"/>
      <c r="E168" s="248"/>
      <c r="F168" s="260">
        <v>-0.255</v>
      </c>
      <c r="G168" s="260">
        <v>0</v>
      </c>
      <c r="H168" s="260">
        <v>0</v>
      </c>
      <c r="I168" s="261">
        <v>0</v>
      </c>
      <c r="J168" s="261">
        <v>0</v>
      </c>
      <c r="K168" s="260">
        <v>0.17499999999999999</v>
      </c>
      <c r="L168" s="248"/>
      <c r="M168" s="246"/>
    </row>
    <row r="169" spans="2:13" ht="27" customHeight="1">
      <c r="B169" s="243"/>
      <c r="C169" s="217" t="s">
        <v>206</v>
      </c>
      <c r="D169" s="248"/>
      <c r="E169" s="248"/>
      <c r="F169" s="260">
        <v>-2.1549999999999998</v>
      </c>
      <c r="G169" s="260">
        <v>-0.17499999999999999</v>
      </c>
      <c r="H169" s="260">
        <v>-1.4E-2</v>
      </c>
      <c r="I169" s="261">
        <v>0</v>
      </c>
      <c r="J169" s="261">
        <v>0</v>
      </c>
      <c r="K169" s="260">
        <v>0.17499999999999999</v>
      </c>
      <c r="L169" s="248"/>
      <c r="M169" s="246"/>
    </row>
    <row r="170" spans="2:13" ht="27" customHeight="1" thickBot="1">
      <c r="B170" s="249"/>
      <c r="C170" s="250"/>
      <c r="D170" s="250"/>
      <c r="E170" s="250"/>
      <c r="F170" s="250"/>
      <c r="G170" s="250"/>
      <c r="H170" s="250"/>
      <c r="I170" s="250"/>
      <c r="J170" s="250"/>
      <c r="K170" s="250"/>
      <c r="L170" s="250"/>
      <c r="M170" s="251"/>
    </row>
    <row r="171" spans="2:13" ht="27" customHeight="1"/>
    <row r="172" spans="2:13" ht="27" customHeight="1"/>
    <row r="173" spans="2:13" ht="27" customHeight="1" thickBot="1"/>
    <row r="174" spans="2:13" ht="27" customHeight="1">
      <c r="B174" s="239"/>
      <c r="C174" s="240"/>
      <c r="D174" s="241"/>
      <c r="E174" s="241"/>
      <c r="F174" s="241"/>
      <c r="G174" s="241"/>
      <c r="H174" s="241"/>
      <c r="I174" s="241"/>
      <c r="J174" s="241"/>
      <c r="K174" s="241"/>
      <c r="L174" s="241"/>
      <c r="M174" s="242"/>
    </row>
    <row r="175" spans="2:13" ht="27" customHeight="1">
      <c r="B175" s="243"/>
      <c r="C175" s="244" t="str">
        <f>"Tariffs for Charging Year: "&amp; " "&amp;D8&amp;""</f>
        <v>Tariffs for Charging Year:  2019/20</v>
      </c>
      <c r="D175" s="244"/>
      <c r="E175" s="244"/>
      <c r="F175" s="244"/>
      <c r="G175" s="244"/>
      <c r="H175" s="244"/>
      <c r="I175" s="245"/>
      <c r="J175" s="245"/>
      <c r="K175" s="245"/>
      <c r="L175" s="245"/>
      <c r="M175" s="246"/>
    </row>
    <row r="176" spans="2:13" ht="27" customHeight="1">
      <c r="B176" s="243"/>
      <c r="C176" s="229"/>
      <c r="D176" s="245"/>
      <c r="E176" s="245"/>
      <c r="F176" s="245"/>
      <c r="G176" s="245"/>
      <c r="H176" s="245"/>
      <c r="I176" s="245"/>
      <c r="J176" s="245"/>
      <c r="K176" s="245"/>
      <c r="L176" s="245"/>
      <c r="M176" s="246"/>
    </row>
    <row r="177" spans="2:13" ht="27" customHeight="1">
      <c r="B177" s="243"/>
      <c r="C177" s="229"/>
      <c r="D177" s="245"/>
      <c r="E177" s="245"/>
      <c r="F177" s="245"/>
      <c r="G177" s="245"/>
      <c r="H177" s="245"/>
      <c r="I177" s="245"/>
      <c r="J177" s="245"/>
      <c r="K177" s="245"/>
      <c r="L177" s="245"/>
      <c r="M177" s="246"/>
    </row>
    <row r="178" spans="2:13" ht="27" customHeight="1">
      <c r="B178" s="243"/>
      <c r="C178" s="247"/>
      <c r="D178" s="218" t="s">
        <v>1196</v>
      </c>
      <c r="E178" s="218" t="s">
        <v>1197</v>
      </c>
      <c r="F178" s="218" t="s">
        <v>1116</v>
      </c>
      <c r="G178" s="218" t="s">
        <v>1117</v>
      </c>
      <c r="H178" s="218" t="s">
        <v>1118</v>
      </c>
      <c r="I178" s="218" t="s">
        <v>1119</v>
      </c>
      <c r="J178" s="218" t="s">
        <v>1120</v>
      </c>
      <c r="K178" s="218" t="s">
        <v>776</v>
      </c>
      <c r="L178" s="218" t="s">
        <v>1198</v>
      </c>
      <c r="M178" s="246"/>
    </row>
    <row r="179" spans="2:13" ht="27" customHeight="1">
      <c r="B179" s="243"/>
      <c r="C179" s="217" t="s">
        <v>92</v>
      </c>
      <c r="D179" s="248" t="s">
        <v>1867</v>
      </c>
      <c r="E179" s="248">
        <v>1</v>
      </c>
      <c r="F179" s="260">
        <v>2.3580000000000001</v>
      </c>
      <c r="G179" s="260">
        <v>0</v>
      </c>
      <c r="H179" s="260">
        <v>0</v>
      </c>
      <c r="I179" s="261">
        <v>4.51</v>
      </c>
      <c r="J179" s="261">
        <v>0</v>
      </c>
      <c r="K179" s="260">
        <v>0</v>
      </c>
      <c r="L179" s="248" t="s">
        <v>1859</v>
      </c>
      <c r="M179" s="246"/>
    </row>
    <row r="180" spans="2:13" ht="27" customHeight="1">
      <c r="B180" s="243"/>
      <c r="C180" s="217" t="s">
        <v>93</v>
      </c>
      <c r="D180" s="248" t="s">
        <v>1868</v>
      </c>
      <c r="E180" s="248">
        <v>2</v>
      </c>
      <c r="F180" s="260">
        <v>2.8029999999999999</v>
      </c>
      <c r="G180" s="260">
        <v>7.5999999999999998E-2</v>
      </c>
      <c r="H180" s="260">
        <v>0</v>
      </c>
      <c r="I180" s="261">
        <v>4.51</v>
      </c>
      <c r="J180" s="261">
        <v>0</v>
      </c>
      <c r="K180" s="260">
        <v>0</v>
      </c>
      <c r="L180" s="248" t="s">
        <v>1860</v>
      </c>
      <c r="M180" s="246"/>
    </row>
    <row r="181" spans="2:13" ht="27" customHeight="1">
      <c r="B181" s="243"/>
      <c r="C181" s="217" t="s">
        <v>129</v>
      </c>
      <c r="D181" s="248" t="s">
        <v>1869</v>
      </c>
      <c r="E181" s="248">
        <v>2</v>
      </c>
      <c r="F181" s="260">
        <v>0.21</v>
      </c>
      <c r="G181" s="260">
        <v>0</v>
      </c>
      <c r="H181" s="260">
        <v>0</v>
      </c>
      <c r="I181" s="261">
        <v>0</v>
      </c>
      <c r="J181" s="261">
        <v>0</v>
      </c>
      <c r="K181" s="260">
        <v>0</v>
      </c>
      <c r="L181" s="248" t="s">
        <v>1861</v>
      </c>
      <c r="M181" s="246"/>
    </row>
    <row r="182" spans="2:13" ht="27" customHeight="1">
      <c r="B182" s="243"/>
      <c r="C182" s="217" t="s">
        <v>94</v>
      </c>
      <c r="D182" s="248" t="s">
        <v>1870</v>
      </c>
      <c r="E182" s="248">
        <v>3</v>
      </c>
      <c r="F182" s="260">
        <v>2.202</v>
      </c>
      <c r="G182" s="260">
        <v>0</v>
      </c>
      <c r="H182" s="260">
        <v>0</v>
      </c>
      <c r="I182" s="261">
        <v>6.95</v>
      </c>
      <c r="J182" s="261">
        <v>0</v>
      </c>
      <c r="K182" s="260">
        <v>0</v>
      </c>
      <c r="L182" s="248" t="s">
        <v>1862</v>
      </c>
      <c r="M182" s="246"/>
    </row>
    <row r="183" spans="2:13" ht="27" customHeight="1">
      <c r="B183" s="243"/>
      <c r="C183" s="217" t="s">
        <v>95</v>
      </c>
      <c r="D183" s="248" t="s">
        <v>1871</v>
      </c>
      <c r="E183" s="248">
        <v>4</v>
      </c>
      <c r="F183" s="260">
        <v>2.5230000000000001</v>
      </c>
      <c r="G183" s="260">
        <v>7.2999999999999995E-2</v>
      </c>
      <c r="H183" s="260">
        <v>0</v>
      </c>
      <c r="I183" s="261">
        <v>6.95</v>
      </c>
      <c r="J183" s="261">
        <v>0</v>
      </c>
      <c r="K183" s="260">
        <v>0</v>
      </c>
      <c r="L183" s="248" t="s">
        <v>1863</v>
      </c>
      <c r="M183" s="246"/>
    </row>
    <row r="184" spans="2:13" ht="27" customHeight="1">
      <c r="B184" s="243"/>
      <c r="C184" s="217" t="s">
        <v>130</v>
      </c>
      <c r="D184" s="248" t="s">
        <v>1872</v>
      </c>
      <c r="E184" s="248">
        <v>4</v>
      </c>
      <c r="F184" s="260">
        <v>0.39300000000000002</v>
      </c>
      <c r="G184" s="260">
        <v>0</v>
      </c>
      <c r="H184" s="260">
        <v>0</v>
      </c>
      <c r="I184" s="261">
        <v>0</v>
      </c>
      <c r="J184" s="261">
        <v>0</v>
      </c>
      <c r="K184" s="260">
        <v>0</v>
      </c>
      <c r="L184" s="248" t="s">
        <v>1864</v>
      </c>
      <c r="M184" s="246"/>
    </row>
    <row r="185" spans="2:13" ht="27" customHeight="1">
      <c r="B185" s="243"/>
      <c r="C185" s="217" t="s">
        <v>96</v>
      </c>
      <c r="D185" s="248" t="s">
        <v>1873</v>
      </c>
      <c r="E185" s="248" t="s">
        <v>1199</v>
      </c>
      <c r="F185" s="260">
        <v>1.84</v>
      </c>
      <c r="G185" s="260">
        <v>5.0999999999999997E-2</v>
      </c>
      <c r="H185" s="260">
        <v>0</v>
      </c>
      <c r="I185" s="261">
        <v>5.36</v>
      </c>
      <c r="J185" s="261">
        <v>0</v>
      </c>
      <c r="K185" s="260">
        <v>0</v>
      </c>
      <c r="L185" s="248" t="s">
        <v>1865</v>
      </c>
      <c r="M185" s="246"/>
    </row>
    <row r="186" spans="2:13" ht="27" customHeight="1">
      <c r="B186" s="243"/>
      <c r="C186" s="217" t="s">
        <v>97</v>
      </c>
      <c r="D186" s="248" t="s">
        <v>1874</v>
      </c>
      <c r="E186" s="248" t="s">
        <v>1199</v>
      </c>
      <c r="F186" s="260">
        <v>1.653</v>
      </c>
      <c r="G186" s="260">
        <v>4.2000000000000003E-2</v>
      </c>
      <c r="H186" s="260">
        <v>0</v>
      </c>
      <c r="I186" s="261">
        <v>3.97</v>
      </c>
      <c r="J186" s="261">
        <v>0</v>
      </c>
      <c r="K186" s="260">
        <v>0</v>
      </c>
      <c r="L186" s="248"/>
      <c r="M186" s="246"/>
    </row>
    <row r="187" spans="2:13" ht="27" customHeight="1">
      <c r="B187" s="243"/>
      <c r="C187" s="217" t="s">
        <v>110</v>
      </c>
      <c r="D187" s="248" t="s">
        <v>1875</v>
      </c>
      <c r="E187" s="248" t="s">
        <v>1199</v>
      </c>
      <c r="F187" s="260">
        <v>1.097</v>
      </c>
      <c r="G187" s="260">
        <v>7.0000000000000001E-3</v>
      </c>
      <c r="H187" s="260">
        <v>0</v>
      </c>
      <c r="I187" s="261">
        <v>69.010000000000005</v>
      </c>
      <c r="J187" s="261">
        <v>0</v>
      </c>
      <c r="K187" s="260">
        <v>0</v>
      </c>
      <c r="L187" s="248" t="s">
        <v>1866</v>
      </c>
      <c r="M187" s="246"/>
    </row>
    <row r="188" spans="2:13" ht="27" customHeight="1">
      <c r="B188" s="243"/>
      <c r="C188" s="217" t="s">
        <v>1536</v>
      </c>
      <c r="D188" s="248">
        <v>632</v>
      </c>
      <c r="E188" s="248"/>
      <c r="F188" s="260">
        <v>13.454000000000001</v>
      </c>
      <c r="G188" s="260">
        <v>0.83399999999999996</v>
      </c>
      <c r="H188" s="260">
        <v>6.4000000000000001E-2</v>
      </c>
      <c r="I188" s="261">
        <v>4.51</v>
      </c>
      <c r="J188" s="261">
        <v>0</v>
      </c>
      <c r="K188" s="260">
        <v>0</v>
      </c>
      <c r="L188" s="248"/>
      <c r="M188" s="246"/>
    </row>
    <row r="189" spans="2:13" ht="27" customHeight="1">
      <c r="B189" s="243"/>
      <c r="C189" s="217" t="s">
        <v>1535</v>
      </c>
      <c r="D189" s="248">
        <v>633</v>
      </c>
      <c r="E189" s="248"/>
      <c r="F189" s="260">
        <v>13.532</v>
      </c>
      <c r="G189" s="260">
        <v>0.83899999999999997</v>
      </c>
      <c r="H189" s="260">
        <v>6.5000000000000002E-2</v>
      </c>
      <c r="I189" s="261">
        <v>6.95</v>
      </c>
      <c r="J189" s="261">
        <v>0</v>
      </c>
      <c r="K189" s="260">
        <v>0</v>
      </c>
      <c r="L189" s="248"/>
      <c r="M189" s="246"/>
    </row>
    <row r="190" spans="2:13" ht="27" customHeight="1">
      <c r="B190" s="243"/>
      <c r="C190" s="217" t="s">
        <v>98</v>
      </c>
      <c r="D190" s="248" t="s">
        <v>1876</v>
      </c>
      <c r="E190" s="248"/>
      <c r="F190" s="260">
        <v>11.66</v>
      </c>
      <c r="G190" s="260">
        <v>0.70899999999999996</v>
      </c>
      <c r="H190" s="260">
        <v>4.4999999999999998E-2</v>
      </c>
      <c r="I190" s="261">
        <v>9.0299999999999994</v>
      </c>
      <c r="J190" s="261">
        <v>3.88</v>
      </c>
      <c r="K190" s="260">
        <v>0.42199999999999999</v>
      </c>
      <c r="L190" s="248"/>
      <c r="M190" s="246"/>
    </row>
    <row r="191" spans="2:13" ht="27" customHeight="1">
      <c r="B191" s="243"/>
      <c r="C191" s="217" t="s">
        <v>99</v>
      </c>
      <c r="D191" s="248" t="s">
        <v>1877</v>
      </c>
      <c r="E191" s="248"/>
      <c r="F191" s="260">
        <v>10.214</v>
      </c>
      <c r="G191" s="260">
        <v>0.59799999999999998</v>
      </c>
      <c r="H191" s="260">
        <v>2.1000000000000001E-2</v>
      </c>
      <c r="I191" s="261">
        <v>6.96</v>
      </c>
      <c r="J191" s="261">
        <v>4.96</v>
      </c>
      <c r="K191" s="260">
        <v>0.35199999999999998</v>
      </c>
      <c r="L191" s="248">
        <v>130</v>
      </c>
      <c r="M191" s="246"/>
    </row>
    <row r="192" spans="2:13" ht="27" customHeight="1">
      <c r="B192" s="243"/>
      <c r="C192" s="217" t="s">
        <v>111</v>
      </c>
      <c r="D192" s="248" t="s">
        <v>1878</v>
      </c>
      <c r="E192" s="248"/>
      <c r="F192" s="260">
        <v>7.399</v>
      </c>
      <c r="G192" s="260">
        <v>0.40799999999999997</v>
      </c>
      <c r="H192" s="260">
        <v>8.0000000000000002E-3</v>
      </c>
      <c r="I192" s="261">
        <v>69.010000000000005</v>
      </c>
      <c r="J192" s="261">
        <v>5.24</v>
      </c>
      <c r="K192" s="260">
        <v>0.23200000000000001</v>
      </c>
      <c r="L192" s="248"/>
      <c r="M192" s="246"/>
    </row>
    <row r="193" spans="2:13" ht="27" customHeight="1">
      <c r="B193" s="243"/>
      <c r="C193" s="217" t="s">
        <v>131</v>
      </c>
      <c r="D193" s="248" t="s">
        <v>1879</v>
      </c>
      <c r="E193" s="248">
        <v>8</v>
      </c>
      <c r="F193" s="260">
        <v>2.161</v>
      </c>
      <c r="G193" s="260">
        <v>0</v>
      </c>
      <c r="H193" s="260">
        <v>0</v>
      </c>
      <c r="I193" s="261">
        <v>0</v>
      </c>
      <c r="J193" s="261">
        <v>0</v>
      </c>
      <c r="K193" s="260">
        <v>0</v>
      </c>
      <c r="L193" s="248"/>
      <c r="M193" s="246"/>
    </row>
    <row r="194" spans="2:13" ht="27" customHeight="1">
      <c r="B194" s="243"/>
      <c r="C194" s="217" t="s">
        <v>132</v>
      </c>
      <c r="D194" s="248" t="s">
        <v>1880</v>
      </c>
      <c r="E194" s="248">
        <v>1</v>
      </c>
      <c r="F194" s="260">
        <v>2.7679999999999998</v>
      </c>
      <c r="G194" s="260">
        <v>0</v>
      </c>
      <c r="H194" s="260">
        <v>0</v>
      </c>
      <c r="I194" s="261">
        <v>0</v>
      </c>
      <c r="J194" s="261">
        <v>0</v>
      </c>
      <c r="K194" s="260">
        <v>0</v>
      </c>
      <c r="L194" s="248"/>
      <c r="M194" s="246"/>
    </row>
    <row r="195" spans="2:13" ht="27" customHeight="1">
      <c r="B195" s="243"/>
      <c r="C195" s="217" t="s">
        <v>133</v>
      </c>
      <c r="D195" s="248" t="s">
        <v>1881</v>
      </c>
      <c r="E195" s="248">
        <v>1</v>
      </c>
      <c r="F195" s="260">
        <v>4.4509999999999996</v>
      </c>
      <c r="G195" s="260">
        <v>0</v>
      </c>
      <c r="H195" s="260">
        <v>0</v>
      </c>
      <c r="I195" s="261">
        <v>0</v>
      </c>
      <c r="J195" s="261">
        <v>0</v>
      </c>
      <c r="K195" s="260">
        <v>0</v>
      </c>
      <c r="L195" s="248"/>
      <c r="M195" s="246"/>
    </row>
    <row r="196" spans="2:13" ht="27" customHeight="1">
      <c r="B196" s="243"/>
      <c r="C196" s="217" t="s">
        <v>134</v>
      </c>
      <c r="D196" s="248" t="s">
        <v>1882</v>
      </c>
      <c r="E196" s="248">
        <v>1</v>
      </c>
      <c r="F196" s="260">
        <v>1.544</v>
      </c>
      <c r="G196" s="260">
        <v>0</v>
      </c>
      <c r="H196" s="260">
        <v>0</v>
      </c>
      <c r="I196" s="261">
        <v>0</v>
      </c>
      <c r="J196" s="261">
        <v>0</v>
      </c>
      <c r="K196" s="260">
        <v>0</v>
      </c>
      <c r="L196" s="248"/>
      <c r="M196" s="246"/>
    </row>
    <row r="197" spans="2:13" ht="27" customHeight="1">
      <c r="B197" s="243"/>
      <c r="C197" s="217" t="s">
        <v>135</v>
      </c>
      <c r="D197" s="248" t="s">
        <v>1883</v>
      </c>
      <c r="E197" s="248"/>
      <c r="F197" s="260">
        <v>41.31</v>
      </c>
      <c r="G197" s="260">
        <v>1.385</v>
      </c>
      <c r="H197" s="260">
        <v>0.72399999999999998</v>
      </c>
      <c r="I197" s="261">
        <v>0</v>
      </c>
      <c r="J197" s="261">
        <v>0</v>
      </c>
      <c r="K197" s="260">
        <v>0</v>
      </c>
      <c r="L197" s="248"/>
      <c r="M197" s="246"/>
    </row>
    <row r="198" spans="2:13" ht="27" customHeight="1">
      <c r="B198" s="243"/>
      <c r="C198" s="217" t="s">
        <v>1534</v>
      </c>
      <c r="D198" s="248" t="s">
        <v>1884</v>
      </c>
      <c r="E198" s="248" t="s">
        <v>1527</v>
      </c>
      <c r="F198" s="260">
        <v>-0.624</v>
      </c>
      <c r="G198" s="260">
        <v>0</v>
      </c>
      <c r="H198" s="260">
        <v>0</v>
      </c>
      <c r="I198" s="261">
        <v>0</v>
      </c>
      <c r="J198" s="261">
        <v>0</v>
      </c>
      <c r="K198" s="260">
        <v>0</v>
      </c>
      <c r="L198" s="248"/>
      <c r="M198" s="246"/>
    </row>
    <row r="199" spans="2:13" ht="27" customHeight="1">
      <c r="B199" s="243"/>
      <c r="C199" s="217" t="s">
        <v>100</v>
      </c>
      <c r="D199" s="248" t="s">
        <v>1885</v>
      </c>
      <c r="E199" s="248">
        <v>8</v>
      </c>
      <c r="F199" s="260">
        <v>-0.53100000000000003</v>
      </c>
      <c r="G199" s="260">
        <v>0</v>
      </c>
      <c r="H199" s="260">
        <v>0</v>
      </c>
      <c r="I199" s="261">
        <v>0</v>
      </c>
      <c r="J199" s="261">
        <v>0</v>
      </c>
      <c r="K199" s="260">
        <v>0</v>
      </c>
      <c r="L199" s="248"/>
      <c r="M199" s="246"/>
    </row>
    <row r="200" spans="2:13" ht="27" customHeight="1">
      <c r="B200" s="243"/>
      <c r="C200" s="217" t="s">
        <v>101</v>
      </c>
      <c r="D200" s="248" t="s">
        <v>1886</v>
      </c>
      <c r="E200" s="248"/>
      <c r="F200" s="260">
        <v>-0.624</v>
      </c>
      <c r="G200" s="260">
        <v>0</v>
      </c>
      <c r="H200" s="260">
        <v>0</v>
      </c>
      <c r="I200" s="261">
        <v>0</v>
      </c>
      <c r="J200" s="261">
        <v>0</v>
      </c>
      <c r="K200" s="260">
        <v>0.26800000000000002</v>
      </c>
      <c r="L200" s="248"/>
      <c r="M200" s="246"/>
    </row>
    <row r="201" spans="2:13" ht="27" customHeight="1">
      <c r="B201" s="243"/>
      <c r="C201" s="217" t="s">
        <v>102</v>
      </c>
      <c r="D201" s="248" t="s">
        <v>1887</v>
      </c>
      <c r="E201" s="248"/>
      <c r="F201" s="260">
        <v>-5.2389999999999999</v>
      </c>
      <c r="G201" s="260">
        <v>-0.39900000000000002</v>
      </c>
      <c r="H201" s="260">
        <v>-5.0999999999999997E-2</v>
      </c>
      <c r="I201" s="261">
        <v>0</v>
      </c>
      <c r="J201" s="261">
        <v>0</v>
      </c>
      <c r="K201" s="260">
        <v>0.26800000000000002</v>
      </c>
      <c r="L201" s="248"/>
      <c r="M201" s="246"/>
    </row>
    <row r="202" spans="2:13" ht="27" customHeight="1">
      <c r="B202" s="243"/>
      <c r="C202" s="217" t="s">
        <v>103</v>
      </c>
      <c r="D202" s="248" t="s">
        <v>1888</v>
      </c>
      <c r="E202" s="248"/>
      <c r="F202" s="260">
        <v>-0.53100000000000003</v>
      </c>
      <c r="G202" s="260">
        <v>0</v>
      </c>
      <c r="H202" s="260">
        <v>0</v>
      </c>
      <c r="I202" s="261">
        <v>0</v>
      </c>
      <c r="J202" s="261">
        <v>0</v>
      </c>
      <c r="K202" s="260">
        <v>0.22800000000000001</v>
      </c>
      <c r="L202" s="248"/>
      <c r="M202" s="246"/>
    </row>
    <row r="203" spans="2:13" ht="27" customHeight="1">
      <c r="B203" s="243"/>
      <c r="C203" s="217" t="s">
        <v>104</v>
      </c>
      <c r="D203" s="248" t="s">
        <v>1889</v>
      </c>
      <c r="E203" s="248"/>
      <c r="F203" s="260">
        <v>-4.4589999999999996</v>
      </c>
      <c r="G203" s="260">
        <v>-0.34200000000000003</v>
      </c>
      <c r="H203" s="260">
        <v>-4.2000000000000003E-2</v>
      </c>
      <c r="I203" s="261">
        <v>0</v>
      </c>
      <c r="J203" s="261">
        <v>0</v>
      </c>
      <c r="K203" s="260">
        <v>0.22800000000000001</v>
      </c>
      <c r="L203" s="248"/>
      <c r="M203" s="246"/>
    </row>
    <row r="204" spans="2:13" ht="27" customHeight="1">
      <c r="B204" s="243"/>
      <c r="C204" s="217" t="s">
        <v>112</v>
      </c>
      <c r="D204" s="248" t="s">
        <v>1890</v>
      </c>
      <c r="E204" s="248"/>
      <c r="F204" s="260">
        <v>-0.26900000000000002</v>
      </c>
      <c r="G204" s="260">
        <v>0</v>
      </c>
      <c r="H204" s="260">
        <v>0</v>
      </c>
      <c r="I204" s="261">
        <v>33.270000000000003</v>
      </c>
      <c r="J204" s="261">
        <v>0</v>
      </c>
      <c r="K204" s="260">
        <v>0.184</v>
      </c>
      <c r="L204" s="248"/>
      <c r="M204" s="246"/>
    </row>
    <row r="205" spans="2:13" ht="27" customHeight="1">
      <c r="B205" s="243"/>
      <c r="C205" s="217" t="s">
        <v>113</v>
      </c>
      <c r="D205" s="248" t="s">
        <v>1891</v>
      </c>
      <c r="E205" s="248"/>
      <c r="F205" s="260">
        <v>-2.2650000000000001</v>
      </c>
      <c r="G205" s="260">
        <v>-0.183</v>
      </c>
      <c r="H205" s="260">
        <v>-1.4999999999999999E-2</v>
      </c>
      <c r="I205" s="261">
        <v>33.270000000000003</v>
      </c>
      <c r="J205" s="261">
        <v>0</v>
      </c>
      <c r="K205" s="260">
        <v>0.184</v>
      </c>
      <c r="L205" s="248"/>
      <c r="M205" s="246"/>
    </row>
    <row r="206" spans="2:13" ht="27" customHeight="1">
      <c r="B206" s="243"/>
      <c r="C206" s="217" t="s">
        <v>147</v>
      </c>
      <c r="D206" s="248"/>
      <c r="E206" s="248">
        <v>1</v>
      </c>
      <c r="F206" s="260">
        <v>1.5780000000000001</v>
      </c>
      <c r="G206" s="260">
        <v>0</v>
      </c>
      <c r="H206" s="260">
        <v>0</v>
      </c>
      <c r="I206" s="261">
        <v>3.02</v>
      </c>
      <c r="J206" s="261">
        <v>0</v>
      </c>
      <c r="K206" s="260">
        <v>0</v>
      </c>
      <c r="L206" s="248"/>
      <c r="M206" s="246"/>
    </row>
    <row r="207" spans="2:13" ht="27" customHeight="1">
      <c r="B207" s="243"/>
      <c r="C207" s="217" t="s">
        <v>150</v>
      </c>
      <c r="D207" s="248"/>
      <c r="E207" s="248">
        <v>2</v>
      </c>
      <c r="F207" s="260">
        <v>1.8759999999999999</v>
      </c>
      <c r="G207" s="260">
        <v>5.0999999999999997E-2</v>
      </c>
      <c r="H207" s="260">
        <v>0</v>
      </c>
      <c r="I207" s="261">
        <v>3.02</v>
      </c>
      <c r="J207" s="261">
        <v>0</v>
      </c>
      <c r="K207" s="260">
        <v>0</v>
      </c>
      <c r="L207" s="248"/>
      <c r="M207" s="246"/>
    </row>
    <row r="208" spans="2:13" ht="27" customHeight="1">
      <c r="B208" s="243"/>
      <c r="C208" s="217" t="s">
        <v>153</v>
      </c>
      <c r="D208" s="248"/>
      <c r="E208" s="248">
        <v>2</v>
      </c>
      <c r="F208" s="260">
        <v>0.14099999999999999</v>
      </c>
      <c r="G208" s="260">
        <v>0</v>
      </c>
      <c r="H208" s="260">
        <v>0</v>
      </c>
      <c r="I208" s="261">
        <v>0</v>
      </c>
      <c r="J208" s="261">
        <v>0</v>
      </c>
      <c r="K208" s="260">
        <v>0</v>
      </c>
      <c r="L208" s="248"/>
      <c r="M208" s="246"/>
    </row>
    <row r="209" spans="2:13" ht="27" customHeight="1">
      <c r="B209" s="243"/>
      <c r="C209" s="217" t="s">
        <v>156</v>
      </c>
      <c r="D209" s="248"/>
      <c r="E209" s="248">
        <v>3</v>
      </c>
      <c r="F209" s="260">
        <v>1.474</v>
      </c>
      <c r="G209" s="260">
        <v>0</v>
      </c>
      <c r="H209" s="260">
        <v>0</v>
      </c>
      <c r="I209" s="261">
        <v>4.6500000000000004</v>
      </c>
      <c r="J209" s="261">
        <v>0</v>
      </c>
      <c r="K209" s="260">
        <v>0</v>
      </c>
      <c r="L209" s="248"/>
      <c r="M209" s="246"/>
    </row>
    <row r="210" spans="2:13" ht="27" customHeight="1">
      <c r="B210" s="243"/>
      <c r="C210" s="217" t="s">
        <v>159</v>
      </c>
      <c r="D210" s="248"/>
      <c r="E210" s="248">
        <v>4</v>
      </c>
      <c r="F210" s="260">
        <v>1.6890000000000001</v>
      </c>
      <c r="G210" s="260">
        <v>4.9000000000000002E-2</v>
      </c>
      <c r="H210" s="260">
        <v>0</v>
      </c>
      <c r="I210" s="261">
        <v>4.6500000000000004</v>
      </c>
      <c r="J210" s="261">
        <v>0</v>
      </c>
      <c r="K210" s="260">
        <v>0</v>
      </c>
      <c r="L210" s="248"/>
      <c r="M210" s="246"/>
    </row>
    <row r="211" spans="2:13" ht="27" customHeight="1">
      <c r="B211" s="243"/>
      <c r="C211" s="217" t="s">
        <v>162</v>
      </c>
      <c r="D211" s="248"/>
      <c r="E211" s="248">
        <v>4</v>
      </c>
      <c r="F211" s="260">
        <v>0.26300000000000001</v>
      </c>
      <c r="G211" s="260">
        <v>0</v>
      </c>
      <c r="H211" s="260">
        <v>0</v>
      </c>
      <c r="I211" s="261">
        <v>0</v>
      </c>
      <c r="J211" s="261">
        <v>0</v>
      </c>
      <c r="K211" s="260">
        <v>0</v>
      </c>
      <c r="L211" s="248"/>
      <c r="M211" s="246"/>
    </row>
    <row r="212" spans="2:13" ht="27" customHeight="1">
      <c r="B212" s="243"/>
      <c r="C212" s="217" t="s">
        <v>165</v>
      </c>
      <c r="D212" s="248"/>
      <c r="E212" s="248" t="s">
        <v>1199</v>
      </c>
      <c r="F212" s="260">
        <v>1.232</v>
      </c>
      <c r="G212" s="260">
        <v>3.4000000000000002E-2</v>
      </c>
      <c r="H212" s="260">
        <v>0</v>
      </c>
      <c r="I212" s="261">
        <v>3.59</v>
      </c>
      <c r="J212" s="261">
        <v>0</v>
      </c>
      <c r="K212" s="260">
        <v>0</v>
      </c>
      <c r="L212" s="248"/>
      <c r="M212" s="246"/>
    </row>
    <row r="213" spans="2:13" ht="27" customHeight="1">
      <c r="B213" s="243"/>
      <c r="C213" s="217" t="s">
        <v>1533</v>
      </c>
      <c r="D213" s="248"/>
      <c r="E213" s="248"/>
      <c r="F213" s="260">
        <v>9.0060000000000002</v>
      </c>
      <c r="G213" s="260">
        <v>0.55800000000000005</v>
      </c>
      <c r="H213" s="260">
        <v>4.2999999999999997E-2</v>
      </c>
      <c r="I213" s="261">
        <v>3.02</v>
      </c>
      <c r="J213" s="261">
        <v>0</v>
      </c>
      <c r="K213" s="260">
        <v>0</v>
      </c>
      <c r="L213" s="248"/>
      <c r="M213" s="246"/>
    </row>
    <row r="214" spans="2:13" ht="27" customHeight="1">
      <c r="B214" s="243"/>
      <c r="C214" s="217" t="s">
        <v>1532</v>
      </c>
      <c r="D214" s="248"/>
      <c r="E214" s="248"/>
      <c r="F214" s="260">
        <v>9.0579999999999998</v>
      </c>
      <c r="G214" s="260">
        <v>0.56200000000000006</v>
      </c>
      <c r="H214" s="260">
        <v>4.3999999999999997E-2</v>
      </c>
      <c r="I214" s="261">
        <v>4.6500000000000004</v>
      </c>
      <c r="J214" s="261">
        <v>0</v>
      </c>
      <c r="K214" s="260">
        <v>0</v>
      </c>
      <c r="L214" s="248"/>
      <c r="M214" s="246"/>
    </row>
    <row r="215" spans="2:13" ht="27" customHeight="1">
      <c r="B215" s="243"/>
      <c r="C215" s="217" t="s">
        <v>170</v>
      </c>
      <c r="D215" s="248"/>
      <c r="E215" s="248"/>
      <c r="F215" s="260">
        <v>7.8049999999999997</v>
      </c>
      <c r="G215" s="260">
        <v>0.47499999999999998</v>
      </c>
      <c r="H215" s="260">
        <v>0.03</v>
      </c>
      <c r="I215" s="261">
        <v>6.04</v>
      </c>
      <c r="J215" s="261">
        <v>2.6</v>
      </c>
      <c r="K215" s="260">
        <v>0.28199999999999997</v>
      </c>
      <c r="L215" s="248"/>
      <c r="M215" s="246"/>
    </row>
    <row r="216" spans="2:13" ht="27" customHeight="1">
      <c r="B216" s="243"/>
      <c r="C216" s="217" t="s">
        <v>177</v>
      </c>
      <c r="D216" s="248"/>
      <c r="E216" s="248">
        <v>8</v>
      </c>
      <c r="F216" s="260">
        <v>1.446</v>
      </c>
      <c r="G216" s="260">
        <v>0</v>
      </c>
      <c r="H216" s="260">
        <v>0</v>
      </c>
      <c r="I216" s="261">
        <v>0</v>
      </c>
      <c r="J216" s="261">
        <v>0</v>
      </c>
      <c r="K216" s="260">
        <v>0</v>
      </c>
      <c r="L216" s="248"/>
      <c r="M216" s="246"/>
    </row>
    <row r="217" spans="2:13" ht="27" customHeight="1">
      <c r="B217" s="243"/>
      <c r="C217" s="217" t="s">
        <v>180</v>
      </c>
      <c r="D217" s="248"/>
      <c r="E217" s="248">
        <v>1</v>
      </c>
      <c r="F217" s="260">
        <v>1.853</v>
      </c>
      <c r="G217" s="260">
        <v>0</v>
      </c>
      <c r="H217" s="260">
        <v>0</v>
      </c>
      <c r="I217" s="261">
        <v>0</v>
      </c>
      <c r="J217" s="261">
        <v>0</v>
      </c>
      <c r="K217" s="260">
        <v>0</v>
      </c>
      <c r="L217" s="248"/>
      <c r="M217" s="246"/>
    </row>
    <row r="218" spans="2:13" ht="27" customHeight="1">
      <c r="B218" s="243"/>
      <c r="C218" s="217" t="s">
        <v>183</v>
      </c>
      <c r="D218" s="248"/>
      <c r="E218" s="248">
        <v>1</v>
      </c>
      <c r="F218" s="260">
        <v>2.9790000000000001</v>
      </c>
      <c r="G218" s="260">
        <v>0</v>
      </c>
      <c r="H218" s="260">
        <v>0</v>
      </c>
      <c r="I218" s="261">
        <v>0</v>
      </c>
      <c r="J218" s="261">
        <v>0</v>
      </c>
      <c r="K218" s="260">
        <v>0</v>
      </c>
      <c r="L218" s="248"/>
      <c r="M218" s="246"/>
    </row>
    <row r="219" spans="2:13" ht="27" customHeight="1">
      <c r="B219" s="243"/>
      <c r="C219" s="217" t="s">
        <v>186</v>
      </c>
      <c r="D219" s="248"/>
      <c r="E219" s="248">
        <v>1</v>
      </c>
      <c r="F219" s="260">
        <v>1.0329999999999999</v>
      </c>
      <c r="G219" s="260">
        <v>0</v>
      </c>
      <c r="H219" s="260">
        <v>0</v>
      </c>
      <c r="I219" s="261">
        <v>0</v>
      </c>
      <c r="J219" s="261">
        <v>0</v>
      </c>
      <c r="K219" s="260">
        <v>0</v>
      </c>
      <c r="L219" s="248"/>
      <c r="M219" s="246"/>
    </row>
    <row r="220" spans="2:13" ht="27" customHeight="1">
      <c r="B220" s="243"/>
      <c r="C220" s="217" t="s">
        <v>189</v>
      </c>
      <c r="D220" s="248"/>
      <c r="E220" s="248"/>
      <c r="F220" s="260">
        <v>27.651</v>
      </c>
      <c r="G220" s="260">
        <v>0.92700000000000005</v>
      </c>
      <c r="H220" s="260">
        <v>0.48499999999999999</v>
      </c>
      <c r="I220" s="261">
        <v>0</v>
      </c>
      <c r="J220" s="261">
        <v>0</v>
      </c>
      <c r="K220" s="260">
        <v>0</v>
      </c>
      <c r="L220" s="248"/>
      <c r="M220" s="246"/>
    </row>
    <row r="221" spans="2:13" ht="27" customHeight="1">
      <c r="B221" s="243"/>
      <c r="C221" s="217" t="s">
        <v>1531</v>
      </c>
      <c r="D221" s="248"/>
      <c r="E221" s="248" t="s">
        <v>1527</v>
      </c>
      <c r="F221" s="260">
        <v>-0.624</v>
      </c>
      <c r="G221" s="260">
        <v>0</v>
      </c>
      <c r="H221" s="260">
        <v>0</v>
      </c>
      <c r="I221" s="261">
        <v>0</v>
      </c>
      <c r="J221" s="261">
        <v>0</v>
      </c>
      <c r="K221" s="260">
        <v>0</v>
      </c>
      <c r="L221" s="248"/>
      <c r="M221" s="246"/>
    </row>
    <row r="222" spans="2:13" ht="27" customHeight="1">
      <c r="B222" s="243"/>
      <c r="C222" s="217" t="s">
        <v>194</v>
      </c>
      <c r="D222" s="248"/>
      <c r="E222" s="248"/>
      <c r="F222" s="260">
        <v>-0.624</v>
      </c>
      <c r="G222" s="260">
        <v>0</v>
      </c>
      <c r="H222" s="260">
        <v>0</v>
      </c>
      <c r="I222" s="261">
        <v>0</v>
      </c>
      <c r="J222" s="261">
        <v>0</v>
      </c>
      <c r="K222" s="260">
        <v>0.26800000000000002</v>
      </c>
      <c r="L222" s="248"/>
      <c r="M222" s="246"/>
    </row>
    <row r="223" spans="2:13" ht="27" customHeight="1">
      <c r="B223" s="243"/>
      <c r="C223" s="217" t="s">
        <v>197</v>
      </c>
      <c r="D223" s="248"/>
      <c r="E223" s="248"/>
      <c r="F223" s="260">
        <v>-5.2389999999999999</v>
      </c>
      <c r="G223" s="260">
        <v>-0.39900000000000002</v>
      </c>
      <c r="H223" s="260">
        <v>-5.0999999999999997E-2</v>
      </c>
      <c r="I223" s="261">
        <v>0</v>
      </c>
      <c r="J223" s="261">
        <v>0</v>
      </c>
      <c r="K223" s="260">
        <v>0.26800000000000002</v>
      </c>
      <c r="L223" s="248"/>
      <c r="M223" s="246"/>
    </row>
    <row r="224" spans="2:13" ht="27" customHeight="1">
      <c r="B224" s="243"/>
      <c r="C224" s="217" t="s">
        <v>148</v>
      </c>
      <c r="D224" s="248"/>
      <c r="E224" s="248">
        <v>1</v>
      </c>
      <c r="F224" s="260">
        <v>1.1459999999999999</v>
      </c>
      <c r="G224" s="260">
        <v>0</v>
      </c>
      <c r="H224" s="260">
        <v>0</v>
      </c>
      <c r="I224" s="261">
        <v>2.19</v>
      </c>
      <c r="J224" s="261">
        <v>0</v>
      </c>
      <c r="K224" s="260">
        <v>0</v>
      </c>
      <c r="L224" s="248"/>
      <c r="M224" s="246"/>
    </row>
    <row r="225" spans="2:13" ht="27" customHeight="1">
      <c r="B225" s="243"/>
      <c r="C225" s="217" t="s">
        <v>151</v>
      </c>
      <c r="D225" s="248"/>
      <c r="E225" s="248">
        <v>2</v>
      </c>
      <c r="F225" s="260">
        <v>1.3620000000000001</v>
      </c>
      <c r="G225" s="260">
        <v>3.6999999999999998E-2</v>
      </c>
      <c r="H225" s="260">
        <v>0</v>
      </c>
      <c r="I225" s="261">
        <v>2.19</v>
      </c>
      <c r="J225" s="261">
        <v>0</v>
      </c>
      <c r="K225" s="260">
        <v>0</v>
      </c>
      <c r="L225" s="248"/>
      <c r="M225" s="246"/>
    </row>
    <row r="226" spans="2:13" ht="27" customHeight="1">
      <c r="B226" s="243"/>
      <c r="C226" s="217" t="s">
        <v>154</v>
      </c>
      <c r="D226" s="248"/>
      <c r="E226" s="248">
        <v>2</v>
      </c>
      <c r="F226" s="260">
        <v>0.10199999999999999</v>
      </c>
      <c r="G226" s="260">
        <v>0</v>
      </c>
      <c r="H226" s="260">
        <v>0</v>
      </c>
      <c r="I226" s="261">
        <v>0</v>
      </c>
      <c r="J226" s="261">
        <v>0</v>
      </c>
      <c r="K226" s="260">
        <v>0</v>
      </c>
      <c r="L226" s="248"/>
      <c r="M226" s="246"/>
    </row>
    <row r="227" spans="2:13" ht="27" customHeight="1">
      <c r="B227" s="243"/>
      <c r="C227" s="217" t="s">
        <v>157</v>
      </c>
      <c r="D227" s="248"/>
      <c r="E227" s="248">
        <v>3</v>
      </c>
      <c r="F227" s="260">
        <v>1.07</v>
      </c>
      <c r="G227" s="260">
        <v>0</v>
      </c>
      <c r="H227" s="260">
        <v>0</v>
      </c>
      <c r="I227" s="261">
        <v>3.38</v>
      </c>
      <c r="J227" s="261">
        <v>0</v>
      </c>
      <c r="K227" s="260">
        <v>0</v>
      </c>
      <c r="L227" s="248"/>
      <c r="M227" s="246"/>
    </row>
    <row r="228" spans="2:13" ht="27" customHeight="1">
      <c r="B228" s="243"/>
      <c r="C228" s="217" t="s">
        <v>160</v>
      </c>
      <c r="D228" s="248"/>
      <c r="E228" s="248">
        <v>4</v>
      </c>
      <c r="F228" s="260">
        <v>1.226</v>
      </c>
      <c r="G228" s="260">
        <v>3.5000000000000003E-2</v>
      </c>
      <c r="H228" s="260">
        <v>0</v>
      </c>
      <c r="I228" s="261">
        <v>3.38</v>
      </c>
      <c r="J228" s="261">
        <v>0</v>
      </c>
      <c r="K228" s="260">
        <v>0</v>
      </c>
      <c r="L228" s="248"/>
      <c r="M228" s="246"/>
    </row>
    <row r="229" spans="2:13" ht="27" customHeight="1">
      <c r="B229" s="243"/>
      <c r="C229" s="217" t="s">
        <v>163</v>
      </c>
      <c r="D229" s="248"/>
      <c r="E229" s="248">
        <v>4</v>
      </c>
      <c r="F229" s="260">
        <v>0.191</v>
      </c>
      <c r="G229" s="260">
        <v>0</v>
      </c>
      <c r="H229" s="260">
        <v>0</v>
      </c>
      <c r="I229" s="261">
        <v>0</v>
      </c>
      <c r="J229" s="261">
        <v>0</v>
      </c>
      <c r="K229" s="260">
        <v>0</v>
      </c>
      <c r="L229" s="248"/>
      <c r="M229" s="246"/>
    </row>
    <row r="230" spans="2:13" ht="27" customHeight="1">
      <c r="B230" s="243"/>
      <c r="C230" s="217" t="s">
        <v>166</v>
      </c>
      <c r="D230" s="248"/>
      <c r="E230" s="248" t="s">
        <v>1199</v>
      </c>
      <c r="F230" s="260">
        <v>0.89400000000000002</v>
      </c>
      <c r="G230" s="260">
        <v>2.5000000000000001E-2</v>
      </c>
      <c r="H230" s="260">
        <v>0</v>
      </c>
      <c r="I230" s="261">
        <v>2.6</v>
      </c>
      <c r="J230" s="261">
        <v>0</v>
      </c>
      <c r="K230" s="260">
        <v>0</v>
      </c>
      <c r="L230" s="248"/>
      <c r="M230" s="246"/>
    </row>
    <row r="231" spans="2:13" ht="27" customHeight="1">
      <c r="B231" s="243"/>
      <c r="C231" s="217" t="s">
        <v>1530</v>
      </c>
      <c r="D231" s="248"/>
      <c r="E231" s="248"/>
      <c r="F231" s="260">
        <v>6.5359999999999996</v>
      </c>
      <c r="G231" s="260">
        <v>0.40500000000000003</v>
      </c>
      <c r="H231" s="260">
        <v>3.1E-2</v>
      </c>
      <c r="I231" s="261">
        <v>2.19</v>
      </c>
      <c r="J231" s="261">
        <v>0</v>
      </c>
      <c r="K231" s="260">
        <v>0</v>
      </c>
      <c r="L231" s="248"/>
      <c r="M231" s="246"/>
    </row>
    <row r="232" spans="2:13" ht="27" customHeight="1">
      <c r="B232" s="243"/>
      <c r="C232" s="217" t="s">
        <v>1529</v>
      </c>
      <c r="D232" s="248"/>
      <c r="E232" s="248"/>
      <c r="F232" s="260">
        <v>6.5739999999999998</v>
      </c>
      <c r="G232" s="260">
        <v>0.40799999999999997</v>
      </c>
      <c r="H232" s="260">
        <v>3.2000000000000001E-2</v>
      </c>
      <c r="I232" s="261">
        <v>3.38</v>
      </c>
      <c r="J232" s="261">
        <v>0</v>
      </c>
      <c r="K232" s="260">
        <v>0</v>
      </c>
      <c r="L232" s="248"/>
      <c r="M232" s="246"/>
    </row>
    <row r="233" spans="2:13" ht="27" customHeight="1">
      <c r="B233" s="243"/>
      <c r="C233" s="217" t="s">
        <v>171</v>
      </c>
      <c r="D233" s="248"/>
      <c r="E233" s="248"/>
      <c r="F233" s="260">
        <v>5.665</v>
      </c>
      <c r="G233" s="260">
        <v>0.34399999999999997</v>
      </c>
      <c r="H233" s="260">
        <v>2.1999999999999999E-2</v>
      </c>
      <c r="I233" s="261">
        <v>4.3899999999999997</v>
      </c>
      <c r="J233" s="261">
        <v>1.89</v>
      </c>
      <c r="K233" s="260">
        <v>0.20499999999999999</v>
      </c>
      <c r="L233" s="248"/>
      <c r="M233" s="246"/>
    </row>
    <row r="234" spans="2:13" ht="27" customHeight="1">
      <c r="B234" s="243"/>
      <c r="C234" s="217" t="s">
        <v>173</v>
      </c>
      <c r="D234" s="248"/>
      <c r="E234" s="248"/>
      <c r="F234" s="260">
        <v>7.5750000000000002</v>
      </c>
      <c r="G234" s="260">
        <v>0.44400000000000001</v>
      </c>
      <c r="H234" s="260">
        <v>1.6E-2</v>
      </c>
      <c r="I234" s="261">
        <v>5.16</v>
      </c>
      <c r="J234" s="261">
        <v>3.68</v>
      </c>
      <c r="K234" s="260">
        <v>0.26100000000000001</v>
      </c>
      <c r="L234" s="248"/>
      <c r="M234" s="246"/>
    </row>
    <row r="235" spans="2:13" ht="27" customHeight="1">
      <c r="B235" s="243"/>
      <c r="C235" s="217" t="s">
        <v>175</v>
      </c>
      <c r="D235" s="248"/>
      <c r="E235" s="248"/>
      <c r="F235" s="260">
        <v>6.2830000000000004</v>
      </c>
      <c r="G235" s="260">
        <v>0.34599999999999997</v>
      </c>
      <c r="H235" s="260">
        <v>7.0000000000000001E-3</v>
      </c>
      <c r="I235" s="261">
        <v>58.6</v>
      </c>
      <c r="J235" s="261">
        <v>4.45</v>
      </c>
      <c r="K235" s="260">
        <v>0.19700000000000001</v>
      </c>
      <c r="L235" s="248"/>
      <c r="M235" s="246"/>
    </row>
    <row r="236" spans="2:13" ht="27" customHeight="1">
      <c r="B236" s="243"/>
      <c r="C236" s="217" t="s">
        <v>178</v>
      </c>
      <c r="D236" s="248"/>
      <c r="E236" s="248">
        <v>8</v>
      </c>
      <c r="F236" s="260">
        <v>1.05</v>
      </c>
      <c r="G236" s="260">
        <v>0</v>
      </c>
      <c r="H236" s="260">
        <v>0</v>
      </c>
      <c r="I236" s="261">
        <v>0</v>
      </c>
      <c r="J236" s="261">
        <v>0</v>
      </c>
      <c r="K236" s="260">
        <v>0</v>
      </c>
      <c r="L236" s="248"/>
      <c r="M236" s="246"/>
    </row>
    <row r="237" spans="2:13" ht="27" customHeight="1">
      <c r="B237" s="243"/>
      <c r="C237" s="217" t="s">
        <v>181</v>
      </c>
      <c r="D237" s="248"/>
      <c r="E237" s="248">
        <v>1</v>
      </c>
      <c r="F237" s="260">
        <v>1.345</v>
      </c>
      <c r="G237" s="260">
        <v>0</v>
      </c>
      <c r="H237" s="260">
        <v>0</v>
      </c>
      <c r="I237" s="261">
        <v>0</v>
      </c>
      <c r="J237" s="261">
        <v>0</v>
      </c>
      <c r="K237" s="260">
        <v>0</v>
      </c>
      <c r="L237" s="248"/>
      <c r="M237" s="246"/>
    </row>
    <row r="238" spans="2:13" ht="27" customHeight="1">
      <c r="B238" s="243"/>
      <c r="C238" s="217" t="s">
        <v>184</v>
      </c>
      <c r="D238" s="248"/>
      <c r="E238" s="248">
        <v>1</v>
      </c>
      <c r="F238" s="260">
        <v>2.1619999999999999</v>
      </c>
      <c r="G238" s="260">
        <v>0</v>
      </c>
      <c r="H238" s="260">
        <v>0</v>
      </c>
      <c r="I238" s="261">
        <v>0</v>
      </c>
      <c r="J238" s="261">
        <v>0</v>
      </c>
      <c r="K238" s="260">
        <v>0</v>
      </c>
      <c r="L238" s="248"/>
      <c r="M238" s="246"/>
    </row>
    <row r="239" spans="2:13" ht="27" customHeight="1">
      <c r="B239" s="243"/>
      <c r="C239" s="217" t="s">
        <v>187</v>
      </c>
      <c r="D239" s="248"/>
      <c r="E239" s="248">
        <v>1</v>
      </c>
      <c r="F239" s="260">
        <v>0.75</v>
      </c>
      <c r="G239" s="260">
        <v>0</v>
      </c>
      <c r="H239" s="260">
        <v>0</v>
      </c>
      <c r="I239" s="261">
        <v>0</v>
      </c>
      <c r="J239" s="261">
        <v>0</v>
      </c>
      <c r="K239" s="260">
        <v>0</v>
      </c>
      <c r="L239" s="248"/>
      <c r="M239" s="246"/>
    </row>
    <row r="240" spans="2:13" ht="27" customHeight="1">
      <c r="B240" s="243"/>
      <c r="C240" s="217" t="s">
        <v>190</v>
      </c>
      <c r="D240" s="248"/>
      <c r="E240" s="248"/>
      <c r="F240" s="260">
        <v>20.07</v>
      </c>
      <c r="G240" s="260">
        <v>0.67300000000000004</v>
      </c>
      <c r="H240" s="260">
        <v>0.35199999999999998</v>
      </c>
      <c r="I240" s="261">
        <v>0</v>
      </c>
      <c r="J240" s="261">
        <v>0</v>
      </c>
      <c r="K240" s="260">
        <v>0</v>
      </c>
      <c r="L240" s="248"/>
      <c r="M240" s="246"/>
    </row>
    <row r="241" spans="2:13" ht="27" customHeight="1">
      <c r="B241" s="243"/>
      <c r="C241" s="217" t="s">
        <v>1528</v>
      </c>
      <c r="D241" s="248"/>
      <c r="E241" s="248" t="s">
        <v>1527</v>
      </c>
      <c r="F241" s="260">
        <v>-0.624</v>
      </c>
      <c r="G241" s="260">
        <v>0</v>
      </c>
      <c r="H241" s="260">
        <v>0</v>
      </c>
      <c r="I241" s="261">
        <v>0</v>
      </c>
      <c r="J241" s="261">
        <v>0</v>
      </c>
      <c r="K241" s="260">
        <v>0</v>
      </c>
      <c r="L241" s="248"/>
      <c r="M241" s="246"/>
    </row>
    <row r="242" spans="2:13" ht="27" customHeight="1">
      <c r="B242" s="243"/>
      <c r="C242" s="217" t="s">
        <v>192</v>
      </c>
      <c r="D242" s="248"/>
      <c r="E242" s="248">
        <v>8</v>
      </c>
      <c r="F242" s="260">
        <v>-0.53100000000000003</v>
      </c>
      <c r="G242" s="260">
        <v>0</v>
      </c>
      <c r="H242" s="260">
        <v>0</v>
      </c>
      <c r="I242" s="261">
        <v>0</v>
      </c>
      <c r="J242" s="261">
        <v>0</v>
      </c>
      <c r="K242" s="260">
        <v>0</v>
      </c>
      <c r="L242" s="248"/>
      <c r="M242" s="246"/>
    </row>
    <row r="243" spans="2:13" ht="27" customHeight="1">
      <c r="B243" s="243"/>
      <c r="C243" s="217" t="s">
        <v>195</v>
      </c>
      <c r="D243" s="248"/>
      <c r="E243" s="248"/>
      <c r="F243" s="260">
        <v>-0.624</v>
      </c>
      <c r="G243" s="260">
        <v>0</v>
      </c>
      <c r="H243" s="260">
        <v>0</v>
      </c>
      <c r="I243" s="261">
        <v>0</v>
      </c>
      <c r="J243" s="261">
        <v>0</v>
      </c>
      <c r="K243" s="260">
        <v>0.26800000000000002</v>
      </c>
      <c r="L243" s="248"/>
      <c r="M243" s="246"/>
    </row>
    <row r="244" spans="2:13" ht="27" customHeight="1">
      <c r="B244" s="243"/>
      <c r="C244" s="217" t="s">
        <v>198</v>
      </c>
      <c r="D244" s="248"/>
      <c r="E244" s="248"/>
      <c r="F244" s="260">
        <v>-5.2389999999999999</v>
      </c>
      <c r="G244" s="260">
        <v>-0.39900000000000002</v>
      </c>
      <c r="H244" s="260">
        <v>-5.0999999999999997E-2</v>
      </c>
      <c r="I244" s="261">
        <v>0</v>
      </c>
      <c r="J244" s="261">
        <v>0</v>
      </c>
      <c r="K244" s="260">
        <v>0.26800000000000002</v>
      </c>
      <c r="L244" s="248"/>
      <c r="M244" s="246"/>
    </row>
    <row r="245" spans="2:13" ht="27" customHeight="1">
      <c r="B245" s="243"/>
      <c r="C245" s="217" t="s">
        <v>200</v>
      </c>
      <c r="D245" s="248"/>
      <c r="E245" s="248"/>
      <c r="F245" s="260">
        <v>-0.53100000000000003</v>
      </c>
      <c r="G245" s="260">
        <v>0</v>
      </c>
      <c r="H245" s="260">
        <v>0</v>
      </c>
      <c r="I245" s="261">
        <v>0</v>
      </c>
      <c r="J245" s="261">
        <v>0</v>
      </c>
      <c r="K245" s="260">
        <v>0.22800000000000001</v>
      </c>
      <c r="L245" s="248"/>
      <c r="M245" s="246"/>
    </row>
    <row r="246" spans="2:13" ht="27" customHeight="1">
      <c r="B246" s="243"/>
      <c r="C246" s="217" t="s">
        <v>202</v>
      </c>
      <c r="D246" s="248"/>
      <c r="E246" s="248"/>
      <c r="F246" s="260">
        <v>-4.4589999999999996</v>
      </c>
      <c r="G246" s="260">
        <v>-0.34200000000000003</v>
      </c>
      <c r="H246" s="260">
        <v>-4.2000000000000003E-2</v>
      </c>
      <c r="I246" s="261">
        <v>0</v>
      </c>
      <c r="J246" s="261">
        <v>0</v>
      </c>
      <c r="K246" s="260">
        <v>0.22800000000000001</v>
      </c>
      <c r="L246" s="248"/>
      <c r="M246" s="246"/>
    </row>
    <row r="247" spans="2:13" ht="27" customHeight="1">
      <c r="B247" s="243"/>
      <c r="C247" s="217" t="s">
        <v>204</v>
      </c>
      <c r="D247" s="248"/>
      <c r="E247" s="248"/>
      <c r="F247" s="260">
        <v>-0.26900000000000002</v>
      </c>
      <c r="G247" s="260">
        <v>0</v>
      </c>
      <c r="H247" s="260">
        <v>0</v>
      </c>
      <c r="I247" s="261">
        <v>0</v>
      </c>
      <c r="J247" s="261">
        <v>0</v>
      </c>
      <c r="K247" s="260">
        <v>0.184</v>
      </c>
      <c r="L247" s="248"/>
      <c r="M247" s="246"/>
    </row>
    <row r="248" spans="2:13" ht="27" customHeight="1">
      <c r="B248" s="243"/>
      <c r="C248" s="217" t="s">
        <v>206</v>
      </c>
      <c r="D248" s="248"/>
      <c r="E248" s="248"/>
      <c r="F248" s="260">
        <v>-2.2650000000000001</v>
      </c>
      <c r="G248" s="260">
        <v>-0.183</v>
      </c>
      <c r="H248" s="260">
        <v>-1.4999999999999999E-2</v>
      </c>
      <c r="I248" s="261">
        <v>0</v>
      </c>
      <c r="J248" s="261">
        <v>0</v>
      </c>
      <c r="K248" s="260">
        <v>0.184</v>
      </c>
      <c r="L248" s="248"/>
      <c r="M248" s="246"/>
    </row>
    <row r="249" spans="2:13" ht="27" customHeight="1" thickBot="1">
      <c r="B249" s="249"/>
      <c r="C249" s="250"/>
      <c r="D249" s="250"/>
      <c r="E249" s="250"/>
      <c r="F249" s="250"/>
      <c r="G249" s="250"/>
      <c r="H249" s="250"/>
      <c r="I249" s="250"/>
      <c r="J249" s="250"/>
      <c r="K249" s="250"/>
      <c r="L249" s="250"/>
      <c r="M249" s="251"/>
    </row>
    <row r="250" spans="2:13" ht="27" customHeight="1"/>
    <row r="251" spans="2:13" ht="27" customHeight="1"/>
    <row r="252" spans="2:13" ht="27" customHeight="1" thickBot="1"/>
    <row r="253" spans="2:13" ht="27" customHeight="1">
      <c r="B253" s="239"/>
      <c r="C253" s="240"/>
      <c r="D253" s="241"/>
      <c r="E253" s="241"/>
      <c r="F253" s="241"/>
      <c r="G253" s="241"/>
      <c r="H253" s="241"/>
      <c r="I253" s="241"/>
      <c r="J253" s="241"/>
      <c r="K253" s="241"/>
      <c r="L253" s="241"/>
      <c r="M253" s="242"/>
    </row>
    <row r="254" spans="2:13" ht="27" customHeight="1">
      <c r="B254" s="243"/>
      <c r="C254" s="244" t="str">
        <f>"Tariffs for Charging Year: "&amp; " "&amp;D9&amp;""</f>
        <v>Tariffs for Charging Year:  2020/21</v>
      </c>
      <c r="D254" s="244"/>
      <c r="E254" s="244"/>
      <c r="F254" s="244"/>
      <c r="G254" s="244"/>
      <c r="H254" s="244"/>
      <c r="I254" s="245"/>
      <c r="J254" s="245"/>
      <c r="K254" s="245"/>
      <c r="L254" s="245"/>
      <c r="M254" s="246"/>
    </row>
    <row r="255" spans="2:13" ht="27" customHeight="1">
      <c r="B255" s="243"/>
      <c r="C255" s="229"/>
      <c r="D255" s="245"/>
      <c r="E255" s="245"/>
      <c r="F255" s="245"/>
      <c r="G255" s="245"/>
      <c r="H255" s="245"/>
      <c r="I255" s="245"/>
      <c r="J255" s="245"/>
      <c r="K255" s="245"/>
      <c r="L255" s="245"/>
      <c r="M255" s="246"/>
    </row>
    <row r="256" spans="2:13" ht="27" customHeight="1">
      <c r="B256" s="243"/>
      <c r="C256" s="229"/>
      <c r="D256" s="245"/>
      <c r="E256" s="245"/>
      <c r="F256" s="245"/>
      <c r="G256" s="245"/>
      <c r="H256" s="245"/>
      <c r="I256" s="245"/>
      <c r="J256" s="245"/>
      <c r="K256" s="245"/>
      <c r="L256" s="245"/>
      <c r="M256" s="246"/>
    </row>
    <row r="257" spans="2:13" ht="27" customHeight="1">
      <c r="B257" s="243"/>
      <c r="C257" s="247"/>
      <c r="D257" s="218" t="s">
        <v>1196</v>
      </c>
      <c r="E257" s="218" t="s">
        <v>1197</v>
      </c>
      <c r="F257" s="218" t="s">
        <v>1116</v>
      </c>
      <c r="G257" s="218" t="s">
        <v>1117</v>
      </c>
      <c r="H257" s="218" t="s">
        <v>1118</v>
      </c>
      <c r="I257" s="218" t="s">
        <v>1119</v>
      </c>
      <c r="J257" s="218" t="s">
        <v>1120</v>
      </c>
      <c r="K257" s="218" t="s">
        <v>776</v>
      </c>
      <c r="L257" s="218" t="s">
        <v>1198</v>
      </c>
      <c r="M257" s="246"/>
    </row>
    <row r="258" spans="2:13" ht="27" customHeight="1">
      <c r="B258" s="243"/>
      <c r="C258" s="217" t="s">
        <v>92</v>
      </c>
      <c r="D258" s="248" t="s">
        <v>1867</v>
      </c>
      <c r="E258" s="248">
        <v>1</v>
      </c>
      <c r="F258" s="260">
        <v>2.4039999999999999</v>
      </c>
      <c r="G258" s="260">
        <v>0</v>
      </c>
      <c r="H258" s="260">
        <v>0</v>
      </c>
      <c r="I258" s="261">
        <v>4.6500000000000004</v>
      </c>
      <c r="J258" s="261">
        <v>0</v>
      </c>
      <c r="K258" s="260">
        <v>0</v>
      </c>
      <c r="L258" s="248" t="s">
        <v>1859</v>
      </c>
      <c r="M258" s="246"/>
    </row>
    <row r="259" spans="2:13" ht="27" customHeight="1">
      <c r="B259" s="243"/>
      <c r="C259" s="217" t="s">
        <v>93</v>
      </c>
      <c r="D259" s="248" t="s">
        <v>1868</v>
      </c>
      <c r="E259" s="248">
        <v>2</v>
      </c>
      <c r="F259" s="260">
        <v>2.8580000000000001</v>
      </c>
      <c r="G259" s="260">
        <v>7.8E-2</v>
      </c>
      <c r="H259" s="260">
        <v>0</v>
      </c>
      <c r="I259" s="261">
        <v>4.6500000000000004</v>
      </c>
      <c r="J259" s="261">
        <v>0</v>
      </c>
      <c r="K259" s="260">
        <v>0</v>
      </c>
      <c r="L259" s="248" t="s">
        <v>1860</v>
      </c>
      <c r="M259" s="246"/>
    </row>
    <row r="260" spans="2:13" ht="27" customHeight="1">
      <c r="B260" s="243"/>
      <c r="C260" s="217" t="s">
        <v>129</v>
      </c>
      <c r="D260" s="248" t="s">
        <v>1869</v>
      </c>
      <c r="E260" s="248">
        <v>2</v>
      </c>
      <c r="F260" s="260">
        <v>0.215</v>
      </c>
      <c r="G260" s="260">
        <v>0</v>
      </c>
      <c r="H260" s="260">
        <v>0</v>
      </c>
      <c r="I260" s="261">
        <v>0</v>
      </c>
      <c r="J260" s="261">
        <v>0</v>
      </c>
      <c r="K260" s="260">
        <v>0</v>
      </c>
      <c r="L260" s="248" t="s">
        <v>1861</v>
      </c>
      <c r="M260" s="246"/>
    </row>
    <row r="261" spans="2:13" ht="27" customHeight="1">
      <c r="B261" s="243"/>
      <c r="C261" s="217" t="s">
        <v>94</v>
      </c>
      <c r="D261" s="248" t="s">
        <v>1870</v>
      </c>
      <c r="E261" s="248">
        <v>3</v>
      </c>
      <c r="F261" s="260">
        <v>2.246</v>
      </c>
      <c r="G261" s="260">
        <v>0</v>
      </c>
      <c r="H261" s="260">
        <v>0</v>
      </c>
      <c r="I261" s="261">
        <v>7.17</v>
      </c>
      <c r="J261" s="261">
        <v>0</v>
      </c>
      <c r="K261" s="260">
        <v>0</v>
      </c>
      <c r="L261" s="248" t="s">
        <v>1862</v>
      </c>
      <c r="M261" s="246"/>
    </row>
    <row r="262" spans="2:13" ht="27" customHeight="1">
      <c r="B262" s="243"/>
      <c r="C262" s="217" t="s">
        <v>95</v>
      </c>
      <c r="D262" s="248" t="s">
        <v>1871</v>
      </c>
      <c r="E262" s="248">
        <v>4</v>
      </c>
      <c r="F262" s="260">
        <v>2.573</v>
      </c>
      <c r="G262" s="260">
        <v>7.4999999999999997E-2</v>
      </c>
      <c r="H262" s="260">
        <v>0</v>
      </c>
      <c r="I262" s="261">
        <v>7.17</v>
      </c>
      <c r="J262" s="261">
        <v>0</v>
      </c>
      <c r="K262" s="260">
        <v>0</v>
      </c>
      <c r="L262" s="248" t="s">
        <v>1863</v>
      </c>
      <c r="M262" s="246"/>
    </row>
    <row r="263" spans="2:13" ht="27" customHeight="1">
      <c r="B263" s="243"/>
      <c r="C263" s="217" t="s">
        <v>130</v>
      </c>
      <c r="D263" s="248" t="s">
        <v>1872</v>
      </c>
      <c r="E263" s="248">
        <v>4</v>
      </c>
      <c r="F263" s="260">
        <v>0.40200000000000002</v>
      </c>
      <c r="G263" s="260">
        <v>0</v>
      </c>
      <c r="H263" s="260">
        <v>0</v>
      </c>
      <c r="I263" s="261">
        <v>0</v>
      </c>
      <c r="J263" s="261">
        <v>0</v>
      </c>
      <c r="K263" s="260">
        <v>0</v>
      </c>
      <c r="L263" s="248" t="s">
        <v>1864</v>
      </c>
      <c r="M263" s="246"/>
    </row>
    <row r="264" spans="2:13" ht="27" customHeight="1">
      <c r="B264" s="243"/>
      <c r="C264" s="217" t="s">
        <v>96</v>
      </c>
      <c r="D264" s="248" t="s">
        <v>1873</v>
      </c>
      <c r="E264" s="248" t="s">
        <v>1199</v>
      </c>
      <c r="F264" s="260">
        <v>1.8779999999999999</v>
      </c>
      <c r="G264" s="260">
        <v>5.2999999999999999E-2</v>
      </c>
      <c r="H264" s="260">
        <v>0</v>
      </c>
      <c r="I264" s="261">
        <v>5.52</v>
      </c>
      <c r="J264" s="261">
        <v>0</v>
      </c>
      <c r="K264" s="260">
        <v>0</v>
      </c>
      <c r="L264" s="248" t="s">
        <v>1865</v>
      </c>
      <c r="M264" s="246"/>
    </row>
    <row r="265" spans="2:13" ht="27" customHeight="1">
      <c r="B265" s="243"/>
      <c r="C265" s="217" t="s">
        <v>97</v>
      </c>
      <c r="D265" s="248" t="s">
        <v>1874</v>
      </c>
      <c r="E265" s="248" t="s">
        <v>1199</v>
      </c>
      <c r="F265" s="260">
        <v>1.6859999999999999</v>
      </c>
      <c r="G265" s="260">
        <v>4.2999999999999997E-2</v>
      </c>
      <c r="H265" s="260">
        <v>0</v>
      </c>
      <c r="I265" s="261">
        <v>4.09</v>
      </c>
      <c r="J265" s="261">
        <v>0</v>
      </c>
      <c r="K265" s="260">
        <v>0</v>
      </c>
      <c r="L265" s="248"/>
      <c r="M265" s="246"/>
    </row>
    <row r="266" spans="2:13" ht="27" customHeight="1">
      <c r="B266" s="243"/>
      <c r="C266" s="217" t="s">
        <v>110</v>
      </c>
      <c r="D266" s="248" t="s">
        <v>1875</v>
      </c>
      <c r="E266" s="248" t="s">
        <v>1199</v>
      </c>
      <c r="F266" s="260">
        <v>1.113</v>
      </c>
      <c r="G266" s="260">
        <v>8.0000000000000002E-3</v>
      </c>
      <c r="H266" s="260">
        <v>0</v>
      </c>
      <c r="I266" s="261">
        <v>71.09</v>
      </c>
      <c r="J266" s="261">
        <v>0</v>
      </c>
      <c r="K266" s="260">
        <v>0</v>
      </c>
      <c r="L266" s="248" t="s">
        <v>1866</v>
      </c>
      <c r="M266" s="246"/>
    </row>
    <row r="267" spans="2:13" ht="27" customHeight="1">
      <c r="B267" s="243"/>
      <c r="C267" s="217" t="s">
        <v>1536</v>
      </c>
      <c r="D267" s="248">
        <v>632</v>
      </c>
      <c r="E267" s="248"/>
      <c r="F267" s="260">
        <v>13.71</v>
      </c>
      <c r="G267" s="260">
        <v>0.85199999999999998</v>
      </c>
      <c r="H267" s="260">
        <v>6.6000000000000003E-2</v>
      </c>
      <c r="I267" s="261">
        <v>4.6500000000000004</v>
      </c>
      <c r="J267" s="261">
        <v>0</v>
      </c>
      <c r="K267" s="260">
        <v>0</v>
      </c>
      <c r="L267" s="248"/>
      <c r="M267" s="246"/>
    </row>
    <row r="268" spans="2:13" ht="27" customHeight="1">
      <c r="B268" s="243"/>
      <c r="C268" s="217" t="s">
        <v>1535</v>
      </c>
      <c r="D268" s="248">
        <v>633</v>
      </c>
      <c r="E268" s="248"/>
      <c r="F268" s="260">
        <v>13.79</v>
      </c>
      <c r="G268" s="260">
        <v>0.85699999999999998</v>
      </c>
      <c r="H268" s="260">
        <v>6.7000000000000004E-2</v>
      </c>
      <c r="I268" s="261">
        <v>7.17</v>
      </c>
      <c r="J268" s="261">
        <v>0</v>
      </c>
      <c r="K268" s="260">
        <v>0</v>
      </c>
      <c r="L268" s="248"/>
      <c r="M268" s="246"/>
    </row>
    <row r="269" spans="2:13" ht="27" customHeight="1">
      <c r="B269" s="243"/>
      <c r="C269" s="217" t="s">
        <v>98</v>
      </c>
      <c r="D269" s="248" t="s">
        <v>1876</v>
      </c>
      <c r="E269" s="248"/>
      <c r="F269" s="260">
        <v>11.866</v>
      </c>
      <c r="G269" s="260">
        <v>0.72399999999999998</v>
      </c>
      <c r="H269" s="260">
        <v>4.5999999999999999E-2</v>
      </c>
      <c r="I269" s="261">
        <v>9.3000000000000007</v>
      </c>
      <c r="J269" s="261">
        <v>4</v>
      </c>
      <c r="K269" s="260">
        <v>0.42899999999999999</v>
      </c>
      <c r="L269" s="248"/>
      <c r="M269" s="246"/>
    </row>
    <row r="270" spans="2:13" ht="27" customHeight="1">
      <c r="B270" s="243"/>
      <c r="C270" s="217" t="s">
        <v>99</v>
      </c>
      <c r="D270" s="248" t="s">
        <v>1877</v>
      </c>
      <c r="E270" s="248"/>
      <c r="F270" s="260">
        <v>10.367000000000001</v>
      </c>
      <c r="G270" s="260">
        <v>0.60899999999999999</v>
      </c>
      <c r="H270" s="260">
        <v>2.1999999999999999E-2</v>
      </c>
      <c r="I270" s="261">
        <v>7.17</v>
      </c>
      <c r="J270" s="261">
        <v>5.1100000000000003</v>
      </c>
      <c r="K270" s="260">
        <v>0.35699999999999998</v>
      </c>
      <c r="L270" s="248">
        <v>130</v>
      </c>
      <c r="M270" s="246"/>
    </row>
    <row r="271" spans="2:13" ht="27" customHeight="1">
      <c r="B271" s="243"/>
      <c r="C271" s="217" t="s">
        <v>111</v>
      </c>
      <c r="D271" s="248" t="s">
        <v>1878</v>
      </c>
      <c r="E271" s="248"/>
      <c r="F271" s="260">
        <v>7.4930000000000003</v>
      </c>
      <c r="G271" s="260">
        <v>0.41399999999999998</v>
      </c>
      <c r="H271" s="260">
        <v>8.0000000000000002E-3</v>
      </c>
      <c r="I271" s="261">
        <v>71.09</v>
      </c>
      <c r="J271" s="261">
        <v>5.4</v>
      </c>
      <c r="K271" s="260">
        <v>0.23499999999999999</v>
      </c>
      <c r="L271" s="248"/>
      <c r="M271" s="246"/>
    </row>
    <row r="272" spans="2:13" ht="27" customHeight="1">
      <c r="B272" s="243"/>
      <c r="C272" s="217" t="s">
        <v>131</v>
      </c>
      <c r="D272" s="248" t="s">
        <v>1879</v>
      </c>
      <c r="E272" s="248">
        <v>8</v>
      </c>
      <c r="F272" s="260">
        <v>2.2069999999999999</v>
      </c>
      <c r="G272" s="260">
        <v>0</v>
      </c>
      <c r="H272" s="260">
        <v>0</v>
      </c>
      <c r="I272" s="261">
        <v>0</v>
      </c>
      <c r="J272" s="261">
        <v>0</v>
      </c>
      <c r="K272" s="260">
        <v>0</v>
      </c>
      <c r="L272" s="248"/>
      <c r="M272" s="246"/>
    </row>
    <row r="273" spans="2:13" ht="27" customHeight="1">
      <c r="B273" s="243"/>
      <c r="C273" s="217" t="s">
        <v>132</v>
      </c>
      <c r="D273" s="248" t="s">
        <v>1880</v>
      </c>
      <c r="E273" s="248">
        <v>1</v>
      </c>
      <c r="F273" s="260">
        <v>2.8279999999999998</v>
      </c>
      <c r="G273" s="260">
        <v>0</v>
      </c>
      <c r="H273" s="260">
        <v>0</v>
      </c>
      <c r="I273" s="261">
        <v>0</v>
      </c>
      <c r="J273" s="261">
        <v>0</v>
      </c>
      <c r="K273" s="260">
        <v>0</v>
      </c>
      <c r="L273" s="248"/>
      <c r="M273" s="246"/>
    </row>
    <row r="274" spans="2:13" ht="27" customHeight="1">
      <c r="B274" s="243"/>
      <c r="C274" s="217" t="s">
        <v>133</v>
      </c>
      <c r="D274" s="248" t="s">
        <v>1881</v>
      </c>
      <c r="E274" s="248">
        <v>1</v>
      </c>
      <c r="F274" s="260">
        <v>4.5449999999999999</v>
      </c>
      <c r="G274" s="260">
        <v>0</v>
      </c>
      <c r="H274" s="260">
        <v>0</v>
      </c>
      <c r="I274" s="261">
        <v>0</v>
      </c>
      <c r="J274" s="261">
        <v>0</v>
      </c>
      <c r="K274" s="260">
        <v>0</v>
      </c>
      <c r="L274" s="248"/>
      <c r="M274" s="246"/>
    </row>
    <row r="275" spans="2:13" ht="27" customHeight="1">
      <c r="B275" s="243"/>
      <c r="C275" s="217" t="s">
        <v>134</v>
      </c>
      <c r="D275" s="248" t="s">
        <v>1882</v>
      </c>
      <c r="E275" s="248">
        <v>1</v>
      </c>
      <c r="F275" s="260">
        <v>1.577</v>
      </c>
      <c r="G275" s="260">
        <v>0</v>
      </c>
      <c r="H275" s="260">
        <v>0</v>
      </c>
      <c r="I275" s="261">
        <v>0</v>
      </c>
      <c r="J275" s="261">
        <v>0</v>
      </c>
      <c r="K275" s="260">
        <v>0</v>
      </c>
      <c r="L275" s="248"/>
      <c r="M275" s="246"/>
    </row>
    <row r="276" spans="2:13" ht="27" customHeight="1">
      <c r="B276" s="243"/>
      <c r="C276" s="217" t="s">
        <v>135</v>
      </c>
      <c r="D276" s="248" t="s">
        <v>1883</v>
      </c>
      <c r="E276" s="248"/>
      <c r="F276" s="260">
        <v>42.146000000000001</v>
      </c>
      <c r="G276" s="260">
        <v>1.413</v>
      </c>
      <c r="H276" s="260">
        <v>0.74399999999999999</v>
      </c>
      <c r="I276" s="261">
        <v>0</v>
      </c>
      <c r="J276" s="261">
        <v>0</v>
      </c>
      <c r="K276" s="260">
        <v>0</v>
      </c>
      <c r="L276" s="248"/>
      <c r="M276" s="246"/>
    </row>
    <row r="277" spans="2:13" ht="27" customHeight="1">
      <c r="B277" s="243"/>
      <c r="C277" s="217" t="s">
        <v>1534</v>
      </c>
      <c r="D277" s="248" t="s">
        <v>1884</v>
      </c>
      <c r="E277" s="248" t="s">
        <v>1527</v>
      </c>
      <c r="F277" s="260">
        <v>-0.64600000000000002</v>
      </c>
      <c r="G277" s="260">
        <v>0</v>
      </c>
      <c r="H277" s="260">
        <v>0</v>
      </c>
      <c r="I277" s="261">
        <v>0</v>
      </c>
      <c r="J277" s="261">
        <v>0</v>
      </c>
      <c r="K277" s="260">
        <v>0</v>
      </c>
      <c r="L277" s="248"/>
      <c r="M277" s="246"/>
    </row>
    <row r="278" spans="2:13" ht="27" customHeight="1">
      <c r="B278" s="243"/>
      <c r="C278" s="217" t="s">
        <v>100</v>
      </c>
      <c r="D278" s="248" t="s">
        <v>1885</v>
      </c>
      <c r="E278" s="248">
        <v>8</v>
      </c>
      <c r="F278" s="260">
        <v>-0.55000000000000004</v>
      </c>
      <c r="G278" s="260">
        <v>0</v>
      </c>
      <c r="H278" s="260">
        <v>0</v>
      </c>
      <c r="I278" s="261">
        <v>0</v>
      </c>
      <c r="J278" s="261">
        <v>0</v>
      </c>
      <c r="K278" s="260">
        <v>0</v>
      </c>
      <c r="L278" s="248"/>
      <c r="M278" s="246"/>
    </row>
    <row r="279" spans="2:13" ht="27" customHeight="1">
      <c r="B279" s="243"/>
      <c r="C279" s="217" t="s">
        <v>101</v>
      </c>
      <c r="D279" s="248" t="s">
        <v>1886</v>
      </c>
      <c r="E279" s="248"/>
      <c r="F279" s="260">
        <v>-0.64600000000000002</v>
      </c>
      <c r="G279" s="260">
        <v>0</v>
      </c>
      <c r="H279" s="260">
        <v>0</v>
      </c>
      <c r="I279" s="261">
        <v>0</v>
      </c>
      <c r="J279" s="261">
        <v>0</v>
      </c>
      <c r="K279" s="260">
        <v>0.27600000000000002</v>
      </c>
      <c r="L279" s="248"/>
      <c r="M279" s="246"/>
    </row>
    <row r="280" spans="2:13" ht="27" customHeight="1">
      <c r="B280" s="243"/>
      <c r="C280" s="217" t="s">
        <v>102</v>
      </c>
      <c r="D280" s="248" t="s">
        <v>1887</v>
      </c>
      <c r="E280" s="248"/>
      <c r="F280" s="260">
        <v>-5.4260000000000002</v>
      </c>
      <c r="G280" s="260">
        <v>-0.41199999999999998</v>
      </c>
      <c r="H280" s="260">
        <v>-5.2999999999999999E-2</v>
      </c>
      <c r="I280" s="261">
        <v>0</v>
      </c>
      <c r="J280" s="261">
        <v>0</v>
      </c>
      <c r="K280" s="260">
        <v>0.27600000000000002</v>
      </c>
      <c r="L280" s="248"/>
      <c r="M280" s="246"/>
    </row>
    <row r="281" spans="2:13" ht="27" customHeight="1">
      <c r="B281" s="243"/>
      <c r="C281" s="217" t="s">
        <v>103</v>
      </c>
      <c r="D281" s="248" t="s">
        <v>1888</v>
      </c>
      <c r="E281" s="248"/>
      <c r="F281" s="260">
        <v>-0.55000000000000004</v>
      </c>
      <c r="G281" s="260">
        <v>0</v>
      </c>
      <c r="H281" s="260">
        <v>0</v>
      </c>
      <c r="I281" s="261">
        <v>0</v>
      </c>
      <c r="J281" s="261">
        <v>0</v>
      </c>
      <c r="K281" s="260">
        <v>0.23499999999999999</v>
      </c>
      <c r="L281" s="248"/>
      <c r="M281" s="246"/>
    </row>
    <row r="282" spans="2:13" ht="27" customHeight="1">
      <c r="B282" s="243"/>
      <c r="C282" s="217" t="s">
        <v>104</v>
      </c>
      <c r="D282" s="248" t="s">
        <v>1889</v>
      </c>
      <c r="E282" s="248"/>
      <c r="F282" s="260">
        <v>-4.6210000000000004</v>
      </c>
      <c r="G282" s="260">
        <v>-0.35399999999999998</v>
      </c>
      <c r="H282" s="260">
        <v>-4.2999999999999997E-2</v>
      </c>
      <c r="I282" s="261">
        <v>0</v>
      </c>
      <c r="J282" s="261">
        <v>0</v>
      </c>
      <c r="K282" s="260">
        <v>0.23499999999999999</v>
      </c>
      <c r="L282" s="248"/>
      <c r="M282" s="246"/>
    </row>
    <row r="283" spans="2:13" ht="27" customHeight="1">
      <c r="B283" s="243"/>
      <c r="C283" s="217" t="s">
        <v>112</v>
      </c>
      <c r="D283" s="248" t="s">
        <v>1890</v>
      </c>
      <c r="E283" s="248"/>
      <c r="F283" s="260">
        <v>-0.27900000000000003</v>
      </c>
      <c r="G283" s="260">
        <v>0</v>
      </c>
      <c r="H283" s="260">
        <v>0</v>
      </c>
      <c r="I283" s="261">
        <v>34.28</v>
      </c>
      <c r="J283" s="261">
        <v>0</v>
      </c>
      <c r="K283" s="260">
        <v>0.19</v>
      </c>
      <c r="L283" s="248"/>
      <c r="M283" s="246"/>
    </row>
    <row r="284" spans="2:13" ht="27" customHeight="1">
      <c r="B284" s="243"/>
      <c r="C284" s="217" t="s">
        <v>113</v>
      </c>
      <c r="D284" s="248" t="s">
        <v>1891</v>
      </c>
      <c r="E284" s="248"/>
      <c r="F284" s="260">
        <v>-2.355</v>
      </c>
      <c r="G284" s="260">
        <v>-0.19</v>
      </c>
      <c r="H284" s="260">
        <v>-1.4999999999999999E-2</v>
      </c>
      <c r="I284" s="261">
        <v>34.28</v>
      </c>
      <c r="J284" s="261">
        <v>0</v>
      </c>
      <c r="K284" s="260">
        <v>0.19</v>
      </c>
      <c r="L284" s="248"/>
      <c r="M284" s="246"/>
    </row>
    <row r="285" spans="2:13" ht="27" customHeight="1">
      <c r="B285" s="243"/>
      <c r="C285" s="217" t="s">
        <v>147</v>
      </c>
      <c r="D285" s="248"/>
      <c r="E285" s="248">
        <v>1</v>
      </c>
      <c r="F285" s="260">
        <v>1.609</v>
      </c>
      <c r="G285" s="260">
        <v>0</v>
      </c>
      <c r="H285" s="260">
        <v>0</v>
      </c>
      <c r="I285" s="261">
        <v>3.11</v>
      </c>
      <c r="J285" s="261">
        <v>0</v>
      </c>
      <c r="K285" s="260">
        <v>0</v>
      </c>
      <c r="L285" s="248"/>
      <c r="M285" s="246"/>
    </row>
    <row r="286" spans="2:13" ht="27" customHeight="1">
      <c r="B286" s="243"/>
      <c r="C286" s="217" t="s">
        <v>150</v>
      </c>
      <c r="D286" s="248"/>
      <c r="E286" s="248">
        <v>2</v>
      </c>
      <c r="F286" s="260">
        <v>1.913</v>
      </c>
      <c r="G286" s="260">
        <v>5.1999999999999998E-2</v>
      </c>
      <c r="H286" s="260">
        <v>0</v>
      </c>
      <c r="I286" s="261">
        <v>3.11</v>
      </c>
      <c r="J286" s="261">
        <v>0</v>
      </c>
      <c r="K286" s="260">
        <v>0</v>
      </c>
      <c r="L286" s="248"/>
      <c r="M286" s="246"/>
    </row>
    <row r="287" spans="2:13" ht="27" customHeight="1">
      <c r="B287" s="243"/>
      <c r="C287" s="217" t="s">
        <v>153</v>
      </c>
      <c r="D287" s="248"/>
      <c r="E287" s="248">
        <v>2</v>
      </c>
      <c r="F287" s="260">
        <v>0.14399999999999999</v>
      </c>
      <c r="G287" s="260">
        <v>0</v>
      </c>
      <c r="H287" s="260">
        <v>0</v>
      </c>
      <c r="I287" s="261">
        <v>0</v>
      </c>
      <c r="J287" s="261">
        <v>0</v>
      </c>
      <c r="K287" s="260">
        <v>0</v>
      </c>
      <c r="L287" s="248"/>
      <c r="M287" s="246"/>
    </row>
    <row r="288" spans="2:13" ht="27" customHeight="1">
      <c r="B288" s="243"/>
      <c r="C288" s="217" t="s">
        <v>156</v>
      </c>
      <c r="D288" s="248"/>
      <c r="E288" s="248">
        <v>3</v>
      </c>
      <c r="F288" s="260">
        <v>1.5029999999999999</v>
      </c>
      <c r="G288" s="260">
        <v>0</v>
      </c>
      <c r="H288" s="260">
        <v>0</v>
      </c>
      <c r="I288" s="261">
        <v>4.8</v>
      </c>
      <c r="J288" s="261">
        <v>0</v>
      </c>
      <c r="K288" s="260">
        <v>0</v>
      </c>
      <c r="L288" s="248"/>
      <c r="M288" s="246"/>
    </row>
    <row r="289" spans="2:13" ht="27" customHeight="1">
      <c r="B289" s="243"/>
      <c r="C289" s="217" t="s">
        <v>159</v>
      </c>
      <c r="D289" s="248"/>
      <c r="E289" s="248">
        <v>4</v>
      </c>
      <c r="F289" s="260">
        <v>1.722</v>
      </c>
      <c r="G289" s="260">
        <v>0.05</v>
      </c>
      <c r="H289" s="260">
        <v>0</v>
      </c>
      <c r="I289" s="261">
        <v>4.8</v>
      </c>
      <c r="J289" s="261">
        <v>0</v>
      </c>
      <c r="K289" s="260">
        <v>0</v>
      </c>
      <c r="L289" s="248"/>
      <c r="M289" s="246"/>
    </row>
    <row r="290" spans="2:13" ht="27" customHeight="1">
      <c r="B290" s="243"/>
      <c r="C290" s="217" t="s">
        <v>162</v>
      </c>
      <c r="D290" s="248"/>
      <c r="E290" s="248">
        <v>4</v>
      </c>
      <c r="F290" s="260">
        <v>0.26900000000000002</v>
      </c>
      <c r="G290" s="260">
        <v>0</v>
      </c>
      <c r="H290" s="260">
        <v>0</v>
      </c>
      <c r="I290" s="261">
        <v>0</v>
      </c>
      <c r="J290" s="261">
        <v>0</v>
      </c>
      <c r="K290" s="260">
        <v>0</v>
      </c>
      <c r="L290" s="248"/>
      <c r="M290" s="246"/>
    </row>
    <row r="291" spans="2:13" ht="27" customHeight="1">
      <c r="B291" s="243"/>
      <c r="C291" s="217" t="s">
        <v>165</v>
      </c>
      <c r="D291" s="248"/>
      <c r="E291" s="248" t="s">
        <v>1199</v>
      </c>
      <c r="F291" s="260">
        <v>1.2569999999999999</v>
      </c>
      <c r="G291" s="260">
        <v>3.5000000000000003E-2</v>
      </c>
      <c r="H291" s="260">
        <v>0</v>
      </c>
      <c r="I291" s="261">
        <v>3.69</v>
      </c>
      <c r="J291" s="261">
        <v>0</v>
      </c>
      <c r="K291" s="260">
        <v>0</v>
      </c>
      <c r="L291" s="248"/>
      <c r="M291" s="246"/>
    </row>
    <row r="292" spans="2:13" ht="27" customHeight="1">
      <c r="B292" s="243"/>
      <c r="C292" s="217" t="s">
        <v>1533</v>
      </c>
      <c r="D292" s="248"/>
      <c r="E292" s="248"/>
      <c r="F292" s="260">
        <v>9.1769999999999996</v>
      </c>
      <c r="G292" s="260">
        <v>0.56999999999999995</v>
      </c>
      <c r="H292" s="260">
        <v>4.3999999999999997E-2</v>
      </c>
      <c r="I292" s="261">
        <v>3.11</v>
      </c>
      <c r="J292" s="261">
        <v>0</v>
      </c>
      <c r="K292" s="260">
        <v>0</v>
      </c>
      <c r="L292" s="248"/>
      <c r="M292" s="246"/>
    </row>
    <row r="293" spans="2:13" ht="27" customHeight="1">
      <c r="B293" s="243"/>
      <c r="C293" s="217" t="s">
        <v>1532</v>
      </c>
      <c r="D293" s="248"/>
      <c r="E293" s="248"/>
      <c r="F293" s="260">
        <v>9.23</v>
      </c>
      <c r="G293" s="260">
        <v>0.57399999999999995</v>
      </c>
      <c r="H293" s="260">
        <v>4.4999999999999998E-2</v>
      </c>
      <c r="I293" s="261">
        <v>4.8</v>
      </c>
      <c r="J293" s="261">
        <v>0</v>
      </c>
      <c r="K293" s="260">
        <v>0</v>
      </c>
      <c r="L293" s="248"/>
      <c r="M293" s="246"/>
    </row>
    <row r="294" spans="2:13" ht="27" customHeight="1">
      <c r="B294" s="243"/>
      <c r="C294" s="217" t="s">
        <v>170</v>
      </c>
      <c r="D294" s="248"/>
      <c r="E294" s="248"/>
      <c r="F294" s="260">
        <v>7.9429999999999996</v>
      </c>
      <c r="G294" s="260">
        <v>0.48499999999999999</v>
      </c>
      <c r="H294" s="260">
        <v>3.1E-2</v>
      </c>
      <c r="I294" s="261">
        <v>6.23</v>
      </c>
      <c r="J294" s="261">
        <v>2.68</v>
      </c>
      <c r="K294" s="260">
        <v>0.28699999999999998</v>
      </c>
      <c r="L294" s="248"/>
      <c r="M294" s="246"/>
    </row>
    <row r="295" spans="2:13" ht="27" customHeight="1">
      <c r="B295" s="243"/>
      <c r="C295" s="217" t="s">
        <v>177</v>
      </c>
      <c r="D295" s="248"/>
      <c r="E295" s="248">
        <v>8</v>
      </c>
      <c r="F295" s="260">
        <v>1.4770000000000001</v>
      </c>
      <c r="G295" s="260">
        <v>0</v>
      </c>
      <c r="H295" s="260">
        <v>0</v>
      </c>
      <c r="I295" s="261">
        <v>0</v>
      </c>
      <c r="J295" s="261">
        <v>0</v>
      </c>
      <c r="K295" s="260">
        <v>0</v>
      </c>
      <c r="L295" s="248"/>
      <c r="M295" s="246"/>
    </row>
    <row r="296" spans="2:13" ht="27" customHeight="1">
      <c r="B296" s="243"/>
      <c r="C296" s="217" t="s">
        <v>180</v>
      </c>
      <c r="D296" s="248"/>
      <c r="E296" s="248">
        <v>1</v>
      </c>
      <c r="F296" s="260">
        <v>1.893</v>
      </c>
      <c r="G296" s="260">
        <v>0</v>
      </c>
      <c r="H296" s="260">
        <v>0</v>
      </c>
      <c r="I296" s="261">
        <v>0</v>
      </c>
      <c r="J296" s="261">
        <v>0</v>
      </c>
      <c r="K296" s="260">
        <v>0</v>
      </c>
      <c r="L296" s="248"/>
      <c r="M296" s="246"/>
    </row>
    <row r="297" spans="2:13" ht="27" customHeight="1">
      <c r="B297" s="243"/>
      <c r="C297" s="217" t="s">
        <v>183</v>
      </c>
      <c r="D297" s="248"/>
      <c r="E297" s="248">
        <v>1</v>
      </c>
      <c r="F297" s="260">
        <v>3.0419999999999998</v>
      </c>
      <c r="G297" s="260">
        <v>0</v>
      </c>
      <c r="H297" s="260">
        <v>0</v>
      </c>
      <c r="I297" s="261">
        <v>0</v>
      </c>
      <c r="J297" s="261">
        <v>0</v>
      </c>
      <c r="K297" s="260">
        <v>0</v>
      </c>
      <c r="L297" s="248"/>
      <c r="M297" s="246"/>
    </row>
    <row r="298" spans="2:13" ht="27" customHeight="1">
      <c r="B298" s="243"/>
      <c r="C298" s="217" t="s">
        <v>186</v>
      </c>
      <c r="D298" s="248"/>
      <c r="E298" s="248">
        <v>1</v>
      </c>
      <c r="F298" s="260">
        <v>1.056</v>
      </c>
      <c r="G298" s="260">
        <v>0</v>
      </c>
      <c r="H298" s="260">
        <v>0</v>
      </c>
      <c r="I298" s="261">
        <v>0</v>
      </c>
      <c r="J298" s="261">
        <v>0</v>
      </c>
      <c r="K298" s="260">
        <v>0</v>
      </c>
      <c r="L298" s="248"/>
      <c r="M298" s="246"/>
    </row>
    <row r="299" spans="2:13" ht="27" customHeight="1">
      <c r="B299" s="243"/>
      <c r="C299" s="217" t="s">
        <v>189</v>
      </c>
      <c r="D299" s="248"/>
      <c r="E299" s="248"/>
      <c r="F299" s="260">
        <v>28.210999999999999</v>
      </c>
      <c r="G299" s="260">
        <v>0.94599999999999995</v>
      </c>
      <c r="H299" s="260">
        <v>0.498</v>
      </c>
      <c r="I299" s="261">
        <v>0</v>
      </c>
      <c r="J299" s="261">
        <v>0</v>
      </c>
      <c r="K299" s="260">
        <v>0</v>
      </c>
      <c r="L299" s="248"/>
      <c r="M299" s="246"/>
    </row>
    <row r="300" spans="2:13" ht="27" customHeight="1">
      <c r="B300" s="243"/>
      <c r="C300" s="217" t="s">
        <v>1531</v>
      </c>
      <c r="D300" s="248"/>
      <c r="E300" s="248" t="s">
        <v>1527</v>
      </c>
      <c r="F300" s="260">
        <v>-0.64600000000000002</v>
      </c>
      <c r="G300" s="260">
        <v>0</v>
      </c>
      <c r="H300" s="260">
        <v>0</v>
      </c>
      <c r="I300" s="261">
        <v>0</v>
      </c>
      <c r="J300" s="261">
        <v>0</v>
      </c>
      <c r="K300" s="260">
        <v>0</v>
      </c>
      <c r="L300" s="248"/>
      <c r="M300" s="246"/>
    </row>
    <row r="301" spans="2:13" ht="27" customHeight="1">
      <c r="B301" s="243"/>
      <c r="C301" s="217" t="s">
        <v>194</v>
      </c>
      <c r="D301" s="248"/>
      <c r="E301" s="248"/>
      <c r="F301" s="260">
        <v>-0.64600000000000002</v>
      </c>
      <c r="G301" s="260">
        <v>0</v>
      </c>
      <c r="H301" s="260">
        <v>0</v>
      </c>
      <c r="I301" s="261">
        <v>0</v>
      </c>
      <c r="J301" s="261">
        <v>0</v>
      </c>
      <c r="K301" s="260">
        <v>0.27600000000000002</v>
      </c>
      <c r="L301" s="248"/>
      <c r="M301" s="246"/>
    </row>
    <row r="302" spans="2:13" ht="27" customHeight="1">
      <c r="B302" s="243"/>
      <c r="C302" s="217" t="s">
        <v>197</v>
      </c>
      <c r="D302" s="248"/>
      <c r="E302" s="248"/>
      <c r="F302" s="260">
        <v>-5.4260000000000002</v>
      </c>
      <c r="G302" s="260">
        <v>-0.41199999999999998</v>
      </c>
      <c r="H302" s="260">
        <v>-5.2999999999999999E-2</v>
      </c>
      <c r="I302" s="261">
        <v>0</v>
      </c>
      <c r="J302" s="261">
        <v>0</v>
      </c>
      <c r="K302" s="260">
        <v>0.27600000000000002</v>
      </c>
      <c r="L302" s="248"/>
      <c r="M302" s="246"/>
    </row>
    <row r="303" spans="2:13" ht="27" customHeight="1">
      <c r="B303" s="243"/>
      <c r="C303" s="217" t="s">
        <v>148</v>
      </c>
      <c r="D303" s="248"/>
      <c r="E303" s="248">
        <v>1</v>
      </c>
      <c r="F303" s="260">
        <v>1.1679999999999999</v>
      </c>
      <c r="G303" s="260">
        <v>0</v>
      </c>
      <c r="H303" s="260">
        <v>0</v>
      </c>
      <c r="I303" s="261">
        <v>2.2599999999999998</v>
      </c>
      <c r="J303" s="261">
        <v>0</v>
      </c>
      <c r="K303" s="260">
        <v>0</v>
      </c>
      <c r="L303" s="248"/>
      <c r="M303" s="246"/>
    </row>
    <row r="304" spans="2:13" ht="27" customHeight="1">
      <c r="B304" s="243"/>
      <c r="C304" s="217" t="s">
        <v>151</v>
      </c>
      <c r="D304" s="248"/>
      <c r="E304" s="248">
        <v>2</v>
      </c>
      <c r="F304" s="260">
        <v>1.389</v>
      </c>
      <c r="G304" s="260">
        <v>3.7999999999999999E-2</v>
      </c>
      <c r="H304" s="260">
        <v>0</v>
      </c>
      <c r="I304" s="261">
        <v>2.2599999999999998</v>
      </c>
      <c r="J304" s="261">
        <v>0</v>
      </c>
      <c r="K304" s="260">
        <v>0</v>
      </c>
      <c r="L304" s="248"/>
      <c r="M304" s="246"/>
    </row>
    <row r="305" spans="2:13" ht="27" customHeight="1">
      <c r="B305" s="243"/>
      <c r="C305" s="217" t="s">
        <v>154</v>
      </c>
      <c r="D305" s="248"/>
      <c r="E305" s="248">
        <v>2</v>
      </c>
      <c r="F305" s="260">
        <v>0.104</v>
      </c>
      <c r="G305" s="260">
        <v>0</v>
      </c>
      <c r="H305" s="260">
        <v>0</v>
      </c>
      <c r="I305" s="261">
        <v>0</v>
      </c>
      <c r="J305" s="261">
        <v>0</v>
      </c>
      <c r="K305" s="260">
        <v>0</v>
      </c>
      <c r="L305" s="248"/>
      <c r="M305" s="246"/>
    </row>
    <row r="306" spans="2:13" ht="27" customHeight="1">
      <c r="B306" s="243"/>
      <c r="C306" s="217" t="s">
        <v>157</v>
      </c>
      <c r="D306" s="248"/>
      <c r="E306" s="248">
        <v>3</v>
      </c>
      <c r="F306" s="260">
        <v>1.091</v>
      </c>
      <c r="G306" s="260">
        <v>0</v>
      </c>
      <c r="H306" s="260">
        <v>0</v>
      </c>
      <c r="I306" s="261">
        <v>3.48</v>
      </c>
      <c r="J306" s="261">
        <v>0</v>
      </c>
      <c r="K306" s="260">
        <v>0</v>
      </c>
      <c r="L306" s="248"/>
      <c r="M306" s="246"/>
    </row>
    <row r="307" spans="2:13" ht="27" customHeight="1">
      <c r="B307" s="243"/>
      <c r="C307" s="217" t="s">
        <v>160</v>
      </c>
      <c r="D307" s="248"/>
      <c r="E307" s="248">
        <v>4</v>
      </c>
      <c r="F307" s="260">
        <v>1.25</v>
      </c>
      <c r="G307" s="260">
        <v>3.5999999999999997E-2</v>
      </c>
      <c r="H307" s="260">
        <v>0</v>
      </c>
      <c r="I307" s="261">
        <v>3.48</v>
      </c>
      <c r="J307" s="261">
        <v>0</v>
      </c>
      <c r="K307" s="260">
        <v>0</v>
      </c>
      <c r="L307" s="248"/>
      <c r="M307" s="246"/>
    </row>
    <row r="308" spans="2:13" ht="27" customHeight="1">
      <c r="B308" s="243"/>
      <c r="C308" s="217" t="s">
        <v>163</v>
      </c>
      <c r="D308" s="248"/>
      <c r="E308" s="248">
        <v>4</v>
      </c>
      <c r="F308" s="260">
        <v>0.19500000000000001</v>
      </c>
      <c r="G308" s="260">
        <v>0</v>
      </c>
      <c r="H308" s="260">
        <v>0</v>
      </c>
      <c r="I308" s="261">
        <v>0</v>
      </c>
      <c r="J308" s="261">
        <v>0</v>
      </c>
      <c r="K308" s="260">
        <v>0</v>
      </c>
      <c r="L308" s="248"/>
      <c r="M308" s="246"/>
    </row>
    <row r="309" spans="2:13" ht="27" customHeight="1">
      <c r="B309" s="243"/>
      <c r="C309" s="217" t="s">
        <v>166</v>
      </c>
      <c r="D309" s="248"/>
      <c r="E309" s="248" t="s">
        <v>1199</v>
      </c>
      <c r="F309" s="260">
        <v>0.91200000000000003</v>
      </c>
      <c r="G309" s="260">
        <v>2.5999999999999999E-2</v>
      </c>
      <c r="H309" s="260">
        <v>0</v>
      </c>
      <c r="I309" s="261">
        <v>2.68</v>
      </c>
      <c r="J309" s="261">
        <v>0</v>
      </c>
      <c r="K309" s="260">
        <v>0</v>
      </c>
      <c r="L309" s="248"/>
      <c r="M309" s="246"/>
    </row>
    <row r="310" spans="2:13" ht="27" customHeight="1">
      <c r="B310" s="243"/>
      <c r="C310" s="217" t="s">
        <v>1530</v>
      </c>
      <c r="D310" s="248"/>
      <c r="E310" s="248"/>
      <c r="F310" s="260">
        <v>6.6609999999999996</v>
      </c>
      <c r="G310" s="260">
        <v>0.41399999999999998</v>
      </c>
      <c r="H310" s="260">
        <v>3.2000000000000001E-2</v>
      </c>
      <c r="I310" s="261">
        <v>2.2599999999999998</v>
      </c>
      <c r="J310" s="261">
        <v>0</v>
      </c>
      <c r="K310" s="260">
        <v>0</v>
      </c>
      <c r="L310" s="248"/>
      <c r="M310" s="246"/>
    </row>
    <row r="311" spans="2:13" ht="27" customHeight="1">
      <c r="B311" s="243"/>
      <c r="C311" s="217" t="s">
        <v>1529</v>
      </c>
      <c r="D311" s="248"/>
      <c r="E311" s="248"/>
      <c r="F311" s="260">
        <v>6.7</v>
      </c>
      <c r="G311" s="260">
        <v>0.41599999999999998</v>
      </c>
      <c r="H311" s="260">
        <v>3.3000000000000002E-2</v>
      </c>
      <c r="I311" s="261">
        <v>3.48</v>
      </c>
      <c r="J311" s="261">
        <v>0</v>
      </c>
      <c r="K311" s="260">
        <v>0</v>
      </c>
      <c r="L311" s="248"/>
      <c r="M311" s="246"/>
    </row>
    <row r="312" spans="2:13" ht="27" customHeight="1">
      <c r="B312" s="243"/>
      <c r="C312" s="217" t="s">
        <v>171</v>
      </c>
      <c r="D312" s="248"/>
      <c r="E312" s="248"/>
      <c r="F312" s="260">
        <v>5.7649999999999997</v>
      </c>
      <c r="G312" s="260">
        <v>0.35199999999999998</v>
      </c>
      <c r="H312" s="260">
        <v>2.1999999999999999E-2</v>
      </c>
      <c r="I312" s="261">
        <v>4.5199999999999996</v>
      </c>
      <c r="J312" s="261">
        <v>1.94</v>
      </c>
      <c r="K312" s="260">
        <v>0.20799999999999999</v>
      </c>
      <c r="L312" s="248"/>
      <c r="M312" s="246"/>
    </row>
    <row r="313" spans="2:13" ht="27" customHeight="1">
      <c r="B313" s="243"/>
      <c r="C313" s="217" t="s">
        <v>173</v>
      </c>
      <c r="D313" s="248"/>
      <c r="E313" s="248"/>
      <c r="F313" s="260">
        <v>7.6890000000000001</v>
      </c>
      <c r="G313" s="260">
        <v>0.45200000000000001</v>
      </c>
      <c r="H313" s="260">
        <v>1.6E-2</v>
      </c>
      <c r="I313" s="261">
        <v>5.32</v>
      </c>
      <c r="J313" s="261">
        <v>3.79</v>
      </c>
      <c r="K313" s="260">
        <v>0.26500000000000001</v>
      </c>
      <c r="L313" s="248"/>
      <c r="M313" s="246"/>
    </row>
    <row r="314" spans="2:13" ht="27" customHeight="1">
      <c r="B314" s="243"/>
      <c r="C314" s="217" t="s">
        <v>175</v>
      </c>
      <c r="D314" s="248"/>
      <c r="E314" s="248"/>
      <c r="F314" s="260">
        <v>6.3630000000000004</v>
      </c>
      <c r="G314" s="260">
        <v>0.35199999999999998</v>
      </c>
      <c r="H314" s="260">
        <v>7.0000000000000001E-3</v>
      </c>
      <c r="I314" s="261">
        <v>60.37</v>
      </c>
      <c r="J314" s="261">
        <v>4.59</v>
      </c>
      <c r="K314" s="260">
        <v>0.2</v>
      </c>
      <c r="L314" s="248"/>
      <c r="M314" s="246"/>
    </row>
    <row r="315" spans="2:13" ht="27" customHeight="1">
      <c r="B315" s="243"/>
      <c r="C315" s="217" t="s">
        <v>178</v>
      </c>
      <c r="D315" s="248"/>
      <c r="E315" s="248">
        <v>8</v>
      </c>
      <c r="F315" s="260">
        <v>1.0720000000000001</v>
      </c>
      <c r="G315" s="260">
        <v>0</v>
      </c>
      <c r="H315" s="260">
        <v>0</v>
      </c>
      <c r="I315" s="261">
        <v>0</v>
      </c>
      <c r="J315" s="261">
        <v>0</v>
      </c>
      <c r="K315" s="260">
        <v>0</v>
      </c>
      <c r="L315" s="248"/>
      <c r="M315" s="246"/>
    </row>
    <row r="316" spans="2:13" ht="27" customHeight="1">
      <c r="B316" s="243"/>
      <c r="C316" s="217" t="s">
        <v>181</v>
      </c>
      <c r="D316" s="248"/>
      <c r="E316" s="248">
        <v>1</v>
      </c>
      <c r="F316" s="260">
        <v>1.3740000000000001</v>
      </c>
      <c r="G316" s="260">
        <v>0</v>
      </c>
      <c r="H316" s="260">
        <v>0</v>
      </c>
      <c r="I316" s="261">
        <v>0</v>
      </c>
      <c r="J316" s="261">
        <v>0</v>
      </c>
      <c r="K316" s="260">
        <v>0</v>
      </c>
      <c r="L316" s="248"/>
      <c r="M316" s="246"/>
    </row>
    <row r="317" spans="2:13" ht="27" customHeight="1">
      <c r="B317" s="243"/>
      <c r="C317" s="217" t="s">
        <v>184</v>
      </c>
      <c r="D317" s="248"/>
      <c r="E317" s="248">
        <v>1</v>
      </c>
      <c r="F317" s="260">
        <v>2.2080000000000002</v>
      </c>
      <c r="G317" s="260">
        <v>0</v>
      </c>
      <c r="H317" s="260">
        <v>0</v>
      </c>
      <c r="I317" s="261">
        <v>0</v>
      </c>
      <c r="J317" s="261">
        <v>0</v>
      </c>
      <c r="K317" s="260">
        <v>0</v>
      </c>
      <c r="L317" s="248"/>
      <c r="M317" s="246"/>
    </row>
    <row r="318" spans="2:13" ht="27" customHeight="1">
      <c r="B318" s="243"/>
      <c r="C318" s="217" t="s">
        <v>187</v>
      </c>
      <c r="D318" s="248"/>
      <c r="E318" s="248">
        <v>1</v>
      </c>
      <c r="F318" s="260">
        <v>0.76600000000000001</v>
      </c>
      <c r="G318" s="260">
        <v>0</v>
      </c>
      <c r="H318" s="260">
        <v>0</v>
      </c>
      <c r="I318" s="261">
        <v>0</v>
      </c>
      <c r="J318" s="261">
        <v>0</v>
      </c>
      <c r="K318" s="260">
        <v>0</v>
      </c>
      <c r="L318" s="248"/>
      <c r="M318" s="246"/>
    </row>
    <row r="319" spans="2:13" ht="27" customHeight="1">
      <c r="B319" s="243"/>
      <c r="C319" s="217" t="s">
        <v>190</v>
      </c>
      <c r="D319" s="248"/>
      <c r="E319" s="248"/>
      <c r="F319" s="260">
        <v>20.475999999999999</v>
      </c>
      <c r="G319" s="260">
        <v>0.68600000000000005</v>
      </c>
      <c r="H319" s="260">
        <v>0.36099999999999999</v>
      </c>
      <c r="I319" s="261">
        <v>0</v>
      </c>
      <c r="J319" s="261">
        <v>0</v>
      </c>
      <c r="K319" s="260">
        <v>0</v>
      </c>
      <c r="L319" s="248"/>
      <c r="M319" s="246"/>
    </row>
    <row r="320" spans="2:13" ht="27" customHeight="1">
      <c r="B320" s="243"/>
      <c r="C320" s="217" t="s">
        <v>1528</v>
      </c>
      <c r="D320" s="248"/>
      <c r="E320" s="248" t="s">
        <v>1527</v>
      </c>
      <c r="F320" s="260">
        <v>-0.64600000000000002</v>
      </c>
      <c r="G320" s="260">
        <v>0</v>
      </c>
      <c r="H320" s="260">
        <v>0</v>
      </c>
      <c r="I320" s="261">
        <v>0</v>
      </c>
      <c r="J320" s="261">
        <v>0</v>
      </c>
      <c r="K320" s="260">
        <v>0</v>
      </c>
      <c r="L320" s="248"/>
      <c r="M320" s="246"/>
    </row>
    <row r="321" spans="2:13" ht="27" customHeight="1">
      <c r="B321" s="243"/>
      <c r="C321" s="217" t="s">
        <v>192</v>
      </c>
      <c r="D321" s="248"/>
      <c r="E321" s="248">
        <v>8</v>
      </c>
      <c r="F321" s="260">
        <v>-0.55000000000000004</v>
      </c>
      <c r="G321" s="260">
        <v>0</v>
      </c>
      <c r="H321" s="260">
        <v>0</v>
      </c>
      <c r="I321" s="261">
        <v>0</v>
      </c>
      <c r="J321" s="261">
        <v>0</v>
      </c>
      <c r="K321" s="260">
        <v>0</v>
      </c>
      <c r="L321" s="248"/>
      <c r="M321" s="246"/>
    </row>
    <row r="322" spans="2:13" ht="27" customHeight="1">
      <c r="B322" s="243"/>
      <c r="C322" s="217" t="s">
        <v>195</v>
      </c>
      <c r="D322" s="248"/>
      <c r="E322" s="248"/>
      <c r="F322" s="260">
        <v>-0.64600000000000002</v>
      </c>
      <c r="G322" s="260">
        <v>0</v>
      </c>
      <c r="H322" s="260">
        <v>0</v>
      </c>
      <c r="I322" s="261">
        <v>0</v>
      </c>
      <c r="J322" s="261">
        <v>0</v>
      </c>
      <c r="K322" s="260">
        <v>0.27600000000000002</v>
      </c>
      <c r="L322" s="248"/>
      <c r="M322" s="246"/>
    </row>
    <row r="323" spans="2:13" ht="27" customHeight="1">
      <c r="B323" s="243"/>
      <c r="C323" s="217" t="s">
        <v>198</v>
      </c>
      <c r="D323" s="248"/>
      <c r="E323" s="248"/>
      <c r="F323" s="260">
        <v>-5.4260000000000002</v>
      </c>
      <c r="G323" s="260">
        <v>-0.41199999999999998</v>
      </c>
      <c r="H323" s="260">
        <v>-5.2999999999999999E-2</v>
      </c>
      <c r="I323" s="261">
        <v>0</v>
      </c>
      <c r="J323" s="261">
        <v>0</v>
      </c>
      <c r="K323" s="260">
        <v>0.27600000000000002</v>
      </c>
      <c r="L323" s="248"/>
      <c r="M323" s="246"/>
    </row>
    <row r="324" spans="2:13" ht="27" customHeight="1">
      <c r="B324" s="243"/>
      <c r="C324" s="217" t="s">
        <v>200</v>
      </c>
      <c r="D324" s="248"/>
      <c r="E324" s="248"/>
      <c r="F324" s="260">
        <v>-0.55000000000000004</v>
      </c>
      <c r="G324" s="260">
        <v>0</v>
      </c>
      <c r="H324" s="260">
        <v>0</v>
      </c>
      <c r="I324" s="261">
        <v>0</v>
      </c>
      <c r="J324" s="261">
        <v>0</v>
      </c>
      <c r="K324" s="260">
        <v>0.23499999999999999</v>
      </c>
      <c r="L324" s="248"/>
      <c r="M324" s="246"/>
    </row>
    <row r="325" spans="2:13" ht="27" customHeight="1">
      <c r="B325" s="243"/>
      <c r="C325" s="217" t="s">
        <v>202</v>
      </c>
      <c r="D325" s="248"/>
      <c r="E325" s="248"/>
      <c r="F325" s="260">
        <v>-4.6210000000000004</v>
      </c>
      <c r="G325" s="260">
        <v>-0.35399999999999998</v>
      </c>
      <c r="H325" s="260">
        <v>-4.2999999999999997E-2</v>
      </c>
      <c r="I325" s="261">
        <v>0</v>
      </c>
      <c r="J325" s="261">
        <v>0</v>
      </c>
      <c r="K325" s="260">
        <v>0.23499999999999999</v>
      </c>
      <c r="L325" s="248"/>
      <c r="M325" s="246"/>
    </row>
    <row r="326" spans="2:13" ht="27" customHeight="1">
      <c r="B326" s="243"/>
      <c r="C326" s="217" t="s">
        <v>204</v>
      </c>
      <c r="D326" s="248"/>
      <c r="E326" s="248"/>
      <c r="F326" s="260">
        <v>-0.27900000000000003</v>
      </c>
      <c r="G326" s="260">
        <v>0</v>
      </c>
      <c r="H326" s="260">
        <v>0</v>
      </c>
      <c r="I326" s="261">
        <v>0</v>
      </c>
      <c r="J326" s="261">
        <v>0</v>
      </c>
      <c r="K326" s="260">
        <v>0.19</v>
      </c>
      <c r="L326" s="248"/>
      <c r="M326" s="246"/>
    </row>
    <row r="327" spans="2:13" ht="27" customHeight="1">
      <c r="B327" s="243"/>
      <c r="C327" s="217" t="s">
        <v>206</v>
      </c>
      <c r="D327" s="248"/>
      <c r="E327" s="248"/>
      <c r="F327" s="260">
        <v>-2.355</v>
      </c>
      <c r="G327" s="260">
        <v>-0.19</v>
      </c>
      <c r="H327" s="260">
        <v>-1.4999999999999999E-2</v>
      </c>
      <c r="I327" s="261">
        <v>0</v>
      </c>
      <c r="J327" s="261">
        <v>0</v>
      </c>
      <c r="K327" s="260">
        <v>0.19</v>
      </c>
      <c r="L327" s="248"/>
      <c r="M327" s="246"/>
    </row>
    <row r="328" spans="2:13" ht="27" customHeight="1" thickBot="1">
      <c r="B328" s="249"/>
      <c r="C328" s="250"/>
      <c r="D328" s="250"/>
      <c r="E328" s="250"/>
      <c r="F328" s="250"/>
      <c r="G328" s="250"/>
      <c r="H328" s="250"/>
      <c r="I328" s="250"/>
      <c r="J328" s="250"/>
      <c r="K328" s="250"/>
      <c r="L328" s="250"/>
      <c r="M328" s="251"/>
    </row>
    <row r="329" spans="2:13" ht="27" customHeight="1"/>
    <row r="330" spans="2:13" ht="27" customHeight="1"/>
    <row r="331" spans="2:13" ht="27" customHeight="1" thickBot="1"/>
    <row r="332" spans="2:13" ht="27" customHeight="1">
      <c r="B332" s="239"/>
      <c r="C332" s="240"/>
      <c r="D332" s="241"/>
      <c r="E332" s="241"/>
      <c r="F332" s="241"/>
      <c r="G332" s="241"/>
      <c r="H332" s="241"/>
      <c r="I332" s="241"/>
      <c r="J332" s="241"/>
      <c r="K332" s="241"/>
      <c r="L332" s="241"/>
      <c r="M332" s="242"/>
    </row>
    <row r="333" spans="2:13" ht="27" customHeight="1">
      <c r="B333" s="243"/>
      <c r="C333" s="244" t="str">
        <f>"Tariffs for Charging Year: "&amp; " "&amp;D10&amp;""</f>
        <v>Tariffs for Charging Year:  2021/22</v>
      </c>
      <c r="D333" s="244"/>
      <c r="E333" s="244"/>
      <c r="F333" s="244"/>
      <c r="G333" s="244"/>
      <c r="H333" s="244"/>
      <c r="I333" s="245"/>
      <c r="J333" s="245"/>
      <c r="K333" s="245"/>
      <c r="L333" s="245"/>
      <c r="M333" s="246"/>
    </row>
    <row r="334" spans="2:13" ht="27" customHeight="1">
      <c r="B334" s="243"/>
      <c r="C334" s="229"/>
      <c r="D334" s="245"/>
      <c r="E334" s="245"/>
      <c r="F334" s="245"/>
      <c r="G334" s="245"/>
      <c r="H334" s="245"/>
      <c r="I334" s="245"/>
      <c r="J334" s="245"/>
      <c r="K334" s="245"/>
      <c r="L334" s="245"/>
      <c r="M334" s="246"/>
    </row>
    <row r="335" spans="2:13" ht="27" customHeight="1">
      <c r="B335" s="243"/>
      <c r="C335" s="229"/>
      <c r="D335" s="245"/>
      <c r="E335" s="245"/>
      <c r="F335" s="245"/>
      <c r="G335" s="245"/>
      <c r="H335" s="245"/>
      <c r="I335" s="245"/>
      <c r="J335" s="245"/>
      <c r="K335" s="245"/>
      <c r="L335" s="245"/>
      <c r="M335" s="246"/>
    </row>
    <row r="336" spans="2:13" ht="27" customHeight="1">
      <c r="B336" s="243"/>
      <c r="C336" s="247"/>
      <c r="D336" s="218" t="s">
        <v>1196</v>
      </c>
      <c r="E336" s="218" t="s">
        <v>1197</v>
      </c>
      <c r="F336" s="218" t="s">
        <v>1116</v>
      </c>
      <c r="G336" s="218" t="s">
        <v>1117</v>
      </c>
      <c r="H336" s="218" t="s">
        <v>1118</v>
      </c>
      <c r="I336" s="218" t="s">
        <v>1119</v>
      </c>
      <c r="J336" s="218" t="s">
        <v>1120</v>
      </c>
      <c r="K336" s="218" t="s">
        <v>776</v>
      </c>
      <c r="L336" s="218" t="s">
        <v>1198</v>
      </c>
      <c r="M336" s="246"/>
    </row>
    <row r="337" spans="2:13" ht="27" customHeight="1">
      <c r="B337" s="243"/>
      <c r="C337" s="217" t="s">
        <v>92</v>
      </c>
      <c r="D337" s="248" t="s">
        <v>1867</v>
      </c>
      <c r="E337" s="248">
        <v>1</v>
      </c>
      <c r="F337" s="260">
        <v>2.5009999999999999</v>
      </c>
      <c r="G337" s="260">
        <v>0</v>
      </c>
      <c r="H337" s="260">
        <v>0</v>
      </c>
      <c r="I337" s="261">
        <v>4.8</v>
      </c>
      <c r="J337" s="261">
        <v>0</v>
      </c>
      <c r="K337" s="260">
        <v>0</v>
      </c>
      <c r="L337" s="248" t="s">
        <v>1859</v>
      </c>
      <c r="M337" s="246"/>
    </row>
    <row r="338" spans="2:13" ht="27" customHeight="1">
      <c r="B338" s="243"/>
      <c r="C338" s="217" t="s">
        <v>93</v>
      </c>
      <c r="D338" s="248" t="s">
        <v>1868</v>
      </c>
      <c r="E338" s="248">
        <v>2</v>
      </c>
      <c r="F338" s="260">
        <v>2.972</v>
      </c>
      <c r="G338" s="260">
        <v>8.1000000000000003E-2</v>
      </c>
      <c r="H338" s="260">
        <v>0</v>
      </c>
      <c r="I338" s="261">
        <v>4.8</v>
      </c>
      <c r="J338" s="261">
        <v>0</v>
      </c>
      <c r="K338" s="260">
        <v>0</v>
      </c>
      <c r="L338" s="248" t="s">
        <v>1860</v>
      </c>
      <c r="M338" s="246"/>
    </row>
    <row r="339" spans="2:13" ht="27" customHeight="1">
      <c r="B339" s="243"/>
      <c r="C339" s="217" t="s">
        <v>129</v>
      </c>
      <c r="D339" s="248" t="s">
        <v>1869</v>
      </c>
      <c r="E339" s="248">
        <v>2</v>
      </c>
      <c r="F339" s="260">
        <v>0.223</v>
      </c>
      <c r="G339" s="260">
        <v>0</v>
      </c>
      <c r="H339" s="260">
        <v>0</v>
      </c>
      <c r="I339" s="261">
        <v>0</v>
      </c>
      <c r="J339" s="261">
        <v>0</v>
      </c>
      <c r="K339" s="260">
        <v>0</v>
      </c>
      <c r="L339" s="248" t="s">
        <v>1861</v>
      </c>
      <c r="M339" s="246"/>
    </row>
    <row r="340" spans="2:13" ht="27" customHeight="1">
      <c r="B340" s="243"/>
      <c r="C340" s="217" t="s">
        <v>94</v>
      </c>
      <c r="D340" s="248" t="s">
        <v>1870</v>
      </c>
      <c r="E340" s="248">
        <v>3</v>
      </c>
      <c r="F340" s="260">
        <v>2.335</v>
      </c>
      <c r="G340" s="260">
        <v>0</v>
      </c>
      <c r="H340" s="260">
        <v>0</v>
      </c>
      <c r="I340" s="261">
        <v>7.39</v>
      </c>
      <c r="J340" s="261">
        <v>0</v>
      </c>
      <c r="K340" s="260">
        <v>0</v>
      </c>
      <c r="L340" s="248" t="s">
        <v>1862</v>
      </c>
      <c r="M340" s="246"/>
    </row>
    <row r="341" spans="2:13" ht="27" customHeight="1">
      <c r="B341" s="243"/>
      <c r="C341" s="217" t="s">
        <v>95</v>
      </c>
      <c r="D341" s="248" t="s">
        <v>1871</v>
      </c>
      <c r="E341" s="248">
        <v>4</v>
      </c>
      <c r="F341" s="260">
        <v>2.6760000000000002</v>
      </c>
      <c r="G341" s="260">
        <v>7.6999999999999999E-2</v>
      </c>
      <c r="H341" s="260">
        <v>0</v>
      </c>
      <c r="I341" s="261">
        <v>7.39</v>
      </c>
      <c r="J341" s="261">
        <v>0</v>
      </c>
      <c r="K341" s="260">
        <v>0</v>
      </c>
      <c r="L341" s="248" t="s">
        <v>1863</v>
      </c>
      <c r="M341" s="246"/>
    </row>
    <row r="342" spans="2:13" ht="27" customHeight="1">
      <c r="B342" s="243"/>
      <c r="C342" s="217" t="s">
        <v>130</v>
      </c>
      <c r="D342" s="248" t="s">
        <v>1872</v>
      </c>
      <c r="E342" s="248">
        <v>4</v>
      </c>
      <c r="F342" s="260">
        <v>0.41699999999999998</v>
      </c>
      <c r="G342" s="260">
        <v>0</v>
      </c>
      <c r="H342" s="260">
        <v>0</v>
      </c>
      <c r="I342" s="261">
        <v>0</v>
      </c>
      <c r="J342" s="261">
        <v>0</v>
      </c>
      <c r="K342" s="260">
        <v>0</v>
      </c>
      <c r="L342" s="248" t="s">
        <v>1864</v>
      </c>
      <c r="M342" s="246"/>
    </row>
    <row r="343" spans="2:13" ht="27" customHeight="1">
      <c r="B343" s="243"/>
      <c r="C343" s="217" t="s">
        <v>96</v>
      </c>
      <c r="D343" s="248" t="s">
        <v>1873</v>
      </c>
      <c r="E343" s="248" t="s">
        <v>1199</v>
      </c>
      <c r="F343" s="260">
        <v>1.9530000000000001</v>
      </c>
      <c r="G343" s="260">
        <v>5.5E-2</v>
      </c>
      <c r="H343" s="260">
        <v>0</v>
      </c>
      <c r="I343" s="261">
        <v>5.69</v>
      </c>
      <c r="J343" s="261">
        <v>0</v>
      </c>
      <c r="K343" s="260">
        <v>0</v>
      </c>
      <c r="L343" s="248" t="s">
        <v>1865</v>
      </c>
      <c r="M343" s="246"/>
    </row>
    <row r="344" spans="2:13" ht="27" customHeight="1">
      <c r="B344" s="243"/>
      <c r="C344" s="217" t="s">
        <v>97</v>
      </c>
      <c r="D344" s="248" t="s">
        <v>1874</v>
      </c>
      <c r="E344" s="248" t="s">
        <v>1199</v>
      </c>
      <c r="F344" s="260">
        <v>1.754</v>
      </c>
      <c r="G344" s="260">
        <v>4.3999999999999997E-2</v>
      </c>
      <c r="H344" s="260">
        <v>0</v>
      </c>
      <c r="I344" s="261">
        <v>4.22</v>
      </c>
      <c r="J344" s="261">
        <v>0</v>
      </c>
      <c r="K344" s="260">
        <v>0</v>
      </c>
      <c r="L344" s="248"/>
      <c r="M344" s="246"/>
    </row>
    <row r="345" spans="2:13" ht="27" customHeight="1">
      <c r="B345" s="243"/>
      <c r="C345" s="217" t="s">
        <v>110</v>
      </c>
      <c r="D345" s="248" t="s">
        <v>1875</v>
      </c>
      <c r="E345" s="248" t="s">
        <v>1199</v>
      </c>
      <c r="F345" s="260">
        <v>1.163</v>
      </c>
      <c r="G345" s="260">
        <v>8.0000000000000002E-3</v>
      </c>
      <c r="H345" s="260">
        <v>0</v>
      </c>
      <c r="I345" s="261">
        <v>73.290000000000006</v>
      </c>
      <c r="J345" s="261">
        <v>0</v>
      </c>
      <c r="K345" s="260">
        <v>0</v>
      </c>
      <c r="L345" s="248" t="s">
        <v>1866</v>
      </c>
      <c r="M345" s="246"/>
    </row>
    <row r="346" spans="2:13" ht="27" customHeight="1">
      <c r="B346" s="243"/>
      <c r="C346" s="217" t="s">
        <v>1536</v>
      </c>
      <c r="D346" s="248">
        <v>632</v>
      </c>
      <c r="E346" s="248"/>
      <c r="F346" s="260">
        <v>14.263999999999999</v>
      </c>
      <c r="G346" s="260">
        <v>0.88500000000000001</v>
      </c>
      <c r="H346" s="260">
        <v>6.8000000000000005E-2</v>
      </c>
      <c r="I346" s="261">
        <v>4.8</v>
      </c>
      <c r="J346" s="261">
        <v>0</v>
      </c>
      <c r="K346" s="260">
        <v>0</v>
      </c>
      <c r="L346" s="248"/>
      <c r="M346" s="246"/>
    </row>
    <row r="347" spans="2:13" ht="27" customHeight="1">
      <c r="B347" s="243"/>
      <c r="C347" s="217" t="s">
        <v>1535</v>
      </c>
      <c r="D347" s="248">
        <v>633</v>
      </c>
      <c r="E347" s="248"/>
      <c r="F347" s="260">
        <v>14.347</v>
      </c>
      <c r="G347" s="260">
        <v>0.89</v>
      </c>
      <c r="H347" s="260">
        <v>6.9000000000000006E-2</v>
      </c>
      <c r="I347" s="261">
        <v>7.39</v>
      </c>
      <c r="J347" s="261">
        <v>0</v>
      </c>
      <c r="K347" s="260">
        <v>0</v>
      </c>
      <c r="L347" s="248"/>
      <c r="M347" s="246"/>
    </row>
    <row r="348" spans="2:13" ht="27" customHeight="1">
      <c r="B348" s="243"/>
      <c r="C348" s="217" t="s">
        <v>98</v>
      </c>
      <c r="D348" s="248" t="s">
        <v>1876</v>
      </c>
      <c r="E348" s="248"/>
      <c r="F348" s="260">
        <v>12.359</v>
      </c>
      <c r="G348" s="260">
        <v>0.752</v>
      </c>
      <c r="H348" s="260">
        <v>4.8000000000000001E-2</v>
      </c>
      <c r="I348" s="261">
        <v>9.59</v>
      </c>
      <c r="J348" s="261">
        <v>4.13</v>
      </c>
      <c r="K348" s="260">
        <v>0.44700000000000001</v>
      </c>
      <c r="L348" s="248"/>
      <c r="M348" s="246"/>
    </row>
    <row r="349" spans="2:13" ht="27" customHeight="1">
      <c r="B349" s="243"/>
      <c r="C349" s="217" t="s">
        <v>99</v>
      </c>
      <c r="D349" s="248" t="s">
        <v>1877</v>
      </c>
      <c r="E349" s="248"/>
      <c r="F349" s="260">
        <v>10.82</v>
      </c>
      <c r="G349" s="260">
        <v>0.63400000000000001</v>
      </c>
      <c r="H349" s="260">
        <v>2.1999999999999999E-2</v>
      </c>
      <c r="I349" s="261">
        <v>7.39</v>
      </c>
      <c r="J349" s="261">
        <v>5.27</v>
      </c>
      <c r="K349" s="260">
        <v>0.373</v>
      </c>
      <c r="L349" s="248">
        <v>130</v>
      </c>
      <c r="M349" s="246"/>
    </row>
    <row r="350" spans="2:13" ht="27" customHeight="1">
      <c r="B350" s="243"/>
      <c r="C350" s="217" t="s">
        <v>111</v>
      </c>
      <c r="D350" s="248" t="s">
        <v>1878</v>
      </c>
      <c r="E350" s="248"/>
      <c r="F350" s="260">
        <v>7.8339999999999996</v>
      </c>
      <c r="G350" s="260">
        <v>0.432</v>
      </c>
      <c r="H350" s="260">
        <v>8.9999999999999993E-3</v>
      </c>
      <c r="I350" s="261">
        <v>73.290000000000006</v>
      </c>
      <c r="J350" s="261">
        <v>5.57</v>
      </c>
      <c r="K350" s="260">
        <v>0.246</v>
      </c>
      <c r="L350" s="248"/>
      <c r="M350" s="246"/>
    </row>
    <row r="351" spans="2:13" ht="27" customHeight="1">
      <c r="B351" s="243"/>
      <c r="C351" s="217" t="s">
        <v>131</v>
      </c>
      <c r="D351" s="248" t="s">
        <v>1879</v>
      </c>
      <c r="E351" s="248">
        <v>8</v>
      </c>
      <c r="F351" s="260">
        <v>2.2919999999999998</v>
      </c>
      <c r="G351" s="260">
        <v>0</v>
      </c>
      <c r="H351" s="260">
        <v>0</v>
      </c>
      <c r="I351" s="261">
        <v>0</v>
      </c>
      <c r="J351" s="261">
        <v>0</v>
      </c>
      <c r="K351" s="260">
        <v>0</v>
      </c>
      <c r="L351" s="248"/>
      <c r="M351" s="246"/>
    </row>
    <row r="352" spans="2:13" ht="27" customHeight="1">
      <c r="B352" s="243"/>
      <c r="C352" s="217" t="s">
        <v>132</v>
      </c>
      <c r="D352" s="248" t="s">
        <v>1880</v>
      </c>
      <c r="E352" s="248">
        <v>1</v>
      </c>
      <c r="F352" s="260">
        <v>2.9350000000000001</v>
      </c>
      <c r="G352" s="260">
        <v>0</v>
      </c>
      <c r="H352" s="260">
        <v>0</v>
      </c>
      <c r="I352" s="261">
        <v>0</v>
      </c>
      <c r="J352" s="261">
        <v>0</v>
      </c>
      <c r="K352" s="260">
        <v>0</v>
      </c>
      <c r="L352" s="248"/>
      <c r="M352" s="246"/>
    </row>
    <row r="353" spans="2:13" ht="27" customHeight="1">
      <c r="B353" s="243"/>
      <c r="C353" s="217" t="s">
        <v>133</v>
      </c>
      <c r="D353" s="248" t="s">
        <v>1881</v>
      </c>
      <c r="E353" s="248">
        <v>1</v>
      </c>
      <c r="F353" s="260">
        <v>4.72</v>
      </c>
      <c r="G353" s="260">
        <v>0</v>
      </c>
      <c r="H353" s="260">
        <v>0</v>
      </c>
      <c r="I353" s="261">
        <v>0</v>
      </c>
      <c r="J353" s="261">
        <v>0</v>
      </c>
      <c r="K353" s="260">
        <v>0</v>
      </c>
      <c r="L353" s="248"/>
      <c r="M353" s="246"/>
    </row>
    <row r="354" spans="2:13" ht="27" customHeight="1">
      <c r="B354" s="243"/>
      <c r="C354" s="217" t="s">
        <v>134</v>
      </c>
      <c r="D354" s="248" t="s">
        <v>1882</v>
      </c>
      <c r="E354" s="248">
        <v>1</v>
      </c>
      <c r="F354" s="260">
        <v>1.639</v>
      </c>
      <c r="G354" s="260">
        <v>0</v>
      </c>
      <c r="H354" s="260">
        <v>0</v>
      </c>
      <c r="I354" s="261">
        <v>0</v>
      </c>
      <c r="J354" s="261">
        <v>0</v>
      </c>
      <c r="K354" s="260">
        <v>0</v>
      </c>
      <c r="L354" s="248"/>
      <c r="M354" s="246"/>
    </row>
    <row r="355" spans="2:13" ht="27" customHeight="1">
      <c r="B355" s="243"/>
      <c r="C355" s="217" t="s">
        <v>135</v>
      </c>
      <c r="D355" s="248" t="s">
        <v>1883</v>
      </c>
      <c r="E355" s="248"/>
      <c r="F355" s="260">
        <v>43.805999999999997</v>
      </c>
      <c r="G355" s="260">
        <v>1.4710000000000001</v>
      </c>
      <c r="H355" s="260">
        <v>0.76700000000000002</v>
      </c>
      <c r="I355" s="261">
        <v>0</v>
      </c>
      <c r="J355" s="261">
        <v>0</v>
      </c>
      <c r="K355" s="260">
        <v>0</v>
      </c>
      <c r="L355" s="248"/>
      <c r="M355" s="246"/>
    </row>
    <row r="356" spans="2:13" ht="27" customHeight="1">
      <c r="B356" s="243"/>
      <c r="C356" s="217" t="s">
        <v>1534</v>
      </c>
      <c r="D356" s="248" t="s">
        <v>1884</v>
      </c>
      <c r="E356" s="248" t="s">
        <v>1527</v>
      </c>
      <c r="F356" s="260">
        <v>-0.66600000000000004</v>
      </c>
      <c r="G356" s="260">
        <v>0</v>
      </c>
      <c r="H356" s="260">
        <v>0</v>
      </c>
      <c r="I356" s="261">
        <v>0</v>
      </c>
      <c r="J356" s="261">
        <v>0</v>
      </c>
      <c r="K356" s="260">
        <v>0</v>
      </c>
      <c r="L356" s="248"/>
      <c r="M356" s="246"/>
    </row>
    <row r="357" spans="2:13" ht="27" customHeight="1">
      <c r="B357" s="243"/>
      <c r="C357" s="217" t="s">
        <v>100</v>
      </c>
      <c r="D357" s="248" t="s">
        <v>1885</v>
      </c>
      <c r="E357" s="248">
        <v>8</v>
      </c>
      <c r="F357" s="260">
        <v>-0.56699999999999995</v>
      </c>
      <c r="G357" s="260">
        <v>0</v>
      </c>
      <c r="H357" s="260">
        <v>0</v>
      </c>
      <c r="I357" s="261">
        <v>0</v>
      </c>
      <c r="J357" s="261">
        <v>0</v>
      </c>
      <c r="K357" s="260">
        <v>0</v>
      </c>
      <c r="L357" s="248"/>
      <c r="M357" s="246"/>
    </row>
    <row r="358" spans="2:13" ht="27" customHeight="1">
      <c r="B358" s="243"/>
      <c r="C358" s="217" t="s">
        <v>101</v>
      </c>
      <c r="D358" s="248" t="s">
        <v>1886</v>
      </c>
      <c r="E358" s="248"/>
      <c r="F358" s="260">
        <v>-0.66600000000000004</v>
      </c>
      <c r="G358" s="260">
        <v>0</v>
      </c>
      <c r="H358" s="260">
        <v>0</v>
      </c>
      <c r="I358" s="261">
        <v>0</v>
      </c>
      <c r="J358" s="261">
        <v>0</v>
      </c>
      <c r="K358" s="260">
        <v>0.28499999999999998</v>
      </c>
      <c r="L358" s="248"/>
      <c r="M358" s="246"/>
    </row>
    <row r="359" spans="2:13" ht="27" customHeight="1">
      <c r="B359" s="243"/>
      <c r="C359" s="217" t="s">
        <v>102</v>
      </c>
      <c r="D359" s="248" t="s">
        <v>1887</v>
      </c>
      <c r="E359" s="248"/>
      <c r="F359" s="260">
        <v>-5.5940000000000003</v>
      </c>
      <c r="G359" s="260">
        <v>-0.42499999999999999</v>
      </c>
      <c r="H359" s="260">
        <v>-5.5E-2</v>
      </c>
      <c r="I359" s="261">
        <v>0</v>
      </c>
      <c r="J359" s="261">
        <v>0</v>
      </c>
      <c r="K359" s="260">
        <v>0.28499999999999998</v>
      </c>
      <c r="L359" s="248"/>
      <c r="M359" s="246"/>
    </row>
    <row r="360" spans="2:13" ht="27" customHeight="1">
      <c r="B360" s="243"/>
      <c r="C360" s="217" t="s">
        <v>103</v>
      </c>
      <c r="D360" s="248" t="s">
        <v>1888</v>
      </c>
      <c r="E360" s="248"/>
      <c r="F360" s="260">
        <v>-0.56699999999999995</v>
      </c>
      <c r="G360" s="260">
        <v>0</v>
      </c>
      <c r="H360" s="260">
        <v>0</v>
      </c>
      <c r="I360" s="261">
        <v>0</v>
      </c>
      <c r="J360" s="261">
        <v>0</v>
      </c>
      <c r="K360" s="260">
        <v>0.24299999999999999</v>
      </c>
      <c r="L360" s="248"/>
      <c r="M360" s="246"/>
    </row>
    <row r="361" spans="2:13" ht="27" customHeight="1">
      <c r="B361" s="243"/>
      <c r="C361" s="217" t="s">
        <v>104</v>
      </c>
      <c r="D361" s="248" t="s">
        <v>1889</v>
      </c>
      <c r="E361" s="248"/>
      <c r="F361" s="260">
        <v>-4.7640000000000002</v>
      </c>
      <c r="G361" s="260">
        <v>-0.36499999999999999</v>
      </c>
      <c r="H361" s="260">
        <v>-4.3999999999999997E-2</v>
      </c>
      <c r="I361" s="261">
        <v>0</v>
      </c>
      <c r="J361" s="261">
        <v>0</v>
      </c>
      <c r="K361" s="260">
        <v>0.24299999999999999</v>
      </c>
      <c r="L361" s="248"/>
      <c r="M361" s="246"/>
    </row>
    <row r="362" spans="2:13" ht="27" customHeight="1">
      <c r="B362" s="243"/>
      <c r="C362" s="217" t="s">
        <v>112</v>
      </c>
      <c r="D362" s="248" t="s">
        <v>1890</v>
      </c>
      <c r="E362" s="248"/>
      <c r="F362" s="260">
        <v>-0.28799999999999998</v>
      </c>
      <c r="G362" s="260">
        <v>0</v>
      </c>
      <c r="H362" s="260">
        <v>0</v>
      </c>
      <c r="I362" s="261">
        <v>35.33</v>
      </c>
      <c r="J362" s="261">
        <v>0</v>
      </c>
      <c r="K362" s="260">
        <v>0.19600000000000001</v>
      </c>
      <c r="L362" s="248"/>
      <c r="M362" s="246"/>
    </row>
    <row r="363" spans="2:13" ht="27" customHeight="1">
      <c r="B363" s="243"/>
      <c r="C363" s="217" t="s">
        <v>113</v>
      </c>
      <c r="D363" s="248" t="s">
        <v>1891</v>
      </c>
      <c r="E363" s="248"/>
      <c r="F363" s="260">
        <v>-2.4279999999999999</v>
      </c>
      <c r="G363" s="260">
        <v>-0.19600000000000001</v>
      </c>
      <c r="H363" s="260">
        <v>-1.6E-2</v>
      </c>
      <c r="I363" s="261">
        <v>35.33</v>
      </c>
      <c r="J363" s="261">
        <v>0</v>
      </c>
      <c r="K363" s="260">
        <v>0.19600000000000001</v>
      </c>
      <c r="L363" s="248"/>
      <c r="M363" s="246"/>
    </row>
    <row r="364" spans="2:13" ht="27" customHeight="1">
      <c r="B364" s="243"/>
      <c r="C364" s="217" t="s">
        <v>147</v>
      </c>
      <c r="D364" s="248"/>
      <c r="E364" s="248">
        <v>1</v>
      </c>
      <c r="F364" s="260">
        <v>1.6739999999999999</v>
      </c>
      <c r="G364" s="260">
        <v>0</v>
      </c>
      <c r="H364" s="260">
        <v>0</v>
      </c>
      <c r="I364" s="261">
        <v>3.21</v>
      </c>
      <c r="J364" s="261">
        <v>0</v>
      </c>
      <c r="K364" s="260">
        <v>0</v>
      </c>
      <c r="L364" s="248"/>
      <c r="M364" s="246"/>
    </row>
    <row r="365" spans="2:13" ht="27" customHeight="1">
      <c r="B365" s="243"/>
      <c r="C365" s="217" t="s">
        <v>150</v>
      </c>
      <c r="D365" s="248"/>
      <c r="E365" s="248">
        <v>2</v>
      </c>
      <c r="F365" s="260">
        <v>1.9890000000000001</v>
      </c>
      <c r="G365" s="260">
        <v>5.3999999999999999E-2</v>
      </c>
      <c r="H365" s="260">
        <v>0</v>
      </c>
      <c r="I365" s="261">
        <v>3.21</v>
      </c>
      <c r="J365" s="261">
        <v>0</v>
      </c>
      <c r="K365" s="260">
        <v>0</v>
      </c>
      <c r="L365" s="248"/>
      <c r="M365" s="246"/>
    </row>
    <row r="366" spans="2:13" ht="27" customHeight="1">
      <c r="B366" s="243"/>
      <c r="C366" s="217" t="s">
        <v>153</v>
      </c>
      <c r="D366" s="248"/>
      <c r="E366" s="248">
        <v>2</v>
      </c>
      <c r="F366" s="260">
        <v>0.14899999999999999</v>
      </c>
      <c r="G366" s="260">
        <v>0</v>
      </c>
      <c r="H366" s="260">
        <v>0</v>
      </c>
      <c r="I366" s="261">
        <v>0</v>
      </c>
      <c r="J366" s="261">
        <v>0</v>
      </c>
      <c r="K366" s="260">
        <v>0</v>
      </c>
      <c r="L366" s="248"/>
      <c r="M366" s="246"/>
    </row>
    <row r="367" spans="2:13" ht="27" customHeight="1">
      <c r="B367" s="243"/>
      <c r="C367" s="217" t="s">
        <v>156</v>
      </c>
      <c r="D367" s="248"/>
      <c r="E367" s="248">
        <v>3</v>
      </c>
      <c r="F367" s="260">
        <v>1.5629999999999999</v>
      </c>
      <c r="G367" s="260">
        <v>0</v>
      </c>
      <c r="H367" s="260">
        <v>0</v>
      </c>
      <c r="I367" s="261">
        <v>4.95</v>
      </c>
      <c r="J367" s="261">
        <v>0</v>
      </c>
      <c r="K367" s="260">
        <v>0</v>
      </c>
      <c r="L367" s="248"/>
      <c r="M367" s="246"/>
    </row>
    <row r="368" spans="2:13" ht="27" customHeight="1">
      <c r="B368" s="243"/>
      <c r="C368" s="217" t="s">
        <v>159</v>
      </c>
      <c r="D368" s="248"/>
      <c r="E368" s="248">
        <v>4</v>
      </c>
      <c r="F368" s="260">
        <v>1.7909999999999999</v>
      </c>
      <c r="G368" s="260">
        <v>5.1999999999999998E-2</v>
      </c>
      <c r="H368" s="260">
        <v>0</v>
      </c>
      <c r="I368" s="261">
        <v>4.95</v>
      </c>
      <c r="J368" s="261">
        <v>0</v>
      </c>
      <c r="K368" s="260">
        <v>0</v>
      </c>
      <c r="L368" s="248"/>
      <c r="M368" s="246"/>
    </row>
    <row r="369" spans="2:13" ht="27" customHeight="1">
      <c r="B369" s="243"/>
      <c r="C369" s="217" t="s">
        <v>162</v>
      </c>
      <c r="D369" s="248"/>
      <c r="E369" s="248">
        <v>4</v>
      </c>
      <c r="F369" s="260">
        <v>0.27900000000000003</v>
      </c>
      <c r="G369" s="260">
        <v>0</v>
      </c>
      <c r="H369" s="260">
        <v>0</v>
      </c>
      <c r="I369" s="261">
        <v>0</v>
      </c>
      <c r="J369" s="261">
        <v>0</v>
      </c>
      <c r="K369" s="260">
        <v>0</v>
      </c>
      <c r="L369" s="248"/>
      <c r="M369" s="246"/>
    </row>
    <row r="370" spans="2:13" ht="27" customHeight="1">
      <c r="B370" s="243"/>
      <c r="C370" s="217" t="s">
        <v>165</v>
      </c>
      <c r="D370" s="248"/>
      <c r="E370" s="248" t="s">
        <v>1199</v>
      </c>
      <c r="F370" s="260">
        <v>1.3069999999999999</v>
      </c>
      <c r="G370" s="260">
        <v>3.6999999999999998E-2</v>
      </c>
      <c r="H370" s="260">
        <v>0</v>
      </c>
      <c r="I370" s="261">
        <v>3.81</v>
      </c>
      <c r="J370" s="261">
        <v>0</v>
      </c>
      <c r="K370" s="260">
        <v>0</v>
      </c>
      <c r="L370" s="248"/>
      <c r="M370" s="246"/>
    </row>
    <row r="371" spans="2:13" ht="27" customHeight="1">
      <c r="B371" s="243"/>
      <c r="C371" s="217" t="s">
        <v>1533</v>
      </c>
      <c r="D371" s="248"/>
      <c r="E371" s="248"/>
      <c r="F371" s="260">
        <v>9.548</v>
      </c>
      <c r="G371" s="260">
        <v>0.59199999999999997</v>
      </c>
      <c r="H371" s="260">
        <v>4.5999999999999999E-2</v>
      </c>
      <c r="I371" s="261">
        <v>3.21</v>
      </c>
      <c r="J371" s="261">
        <v>0</v>
      </c>
      <c r="K371" s="260">
        <v>0</v>
      </c>
      <c r="L371" s="248"/>
      <c r="M371" s="246"/>
    </row>
    <row r="372" spans="2:13" ht="27" customHeight="1">
      <c r="B372" s="243"/>
      <c r="C372" s="217" t="s">
        <v>1532</v>
      </c>
      <c r="D372" s="248"/>
      <c r="E372" s="248"/>
      <c r="F372" s="260">
        <v>9.6029999999999998</v>
      </c>
      <c r="G372" s="260">
        <v>0.59599999999999997</v>
      </c>
      <c r="H372" s="260">
        <v>4.5999999999999999E-2</v>
      </c>
      <c r="I372" s="261">
        <v>4.95</v>
      </c>
      <c r="J372" s="261">
        <v>0</v>
      </c>
      <c r="K372" s="260">
        <v>0</v>
      </c>
      <c r="L372" s="248"/>
      <c r="M372" s="246"/>
    </row>
    <row r="373" spans="2:13" ht="27" customHeight="1">
      <c r="B373" s="243"/>
      <c r="C373" s="217" t="s">
        <v>170</v>
      </c>
      <c r="D373" s="248"/>
      <c r="E373" s="248"/>
      <c r="F373" s="260">
        <v>8.2729999999999997</v>
      </c>
      <c r="G373" s="260">
        <v>0.503</v>
      </c>
      <c r="H373" s="260">
        <v>3.2000000000000001E-2</v>
      </c>
      <c r="I373" s="261">
        <v>6.42</v>
      </c>
      <c r="J373" s="261">
        <v>2.76</v>
      </c>
      <c r="K373" s="260">
        <v>0.29899999999999999</v>
      </c>
      <c r="L373" s="248"/>
      <c r="M373" s="246"/>
    </row>
    <row r="374" spans="2:13" ht="27" customHeight="1">
      <c r="B374" s="243"/>
      <c r="C374" s="217" t="s">
        <v>177</v>
      </c>
      <c r="D374" s="248"/>
      <c r="E374" s="248">
        <v>8</v>
      </c>
      <c r="F374" s="260">
        <v>1.534</v>
      </c>
      <c r="G374" s="260">
        <v>0</v>
      </c>
      <c r="H374" s="260">
        <v>0</v>
      </c>
      <c r="I374" s="261">
        <v>0</v>
      </c>
      <c r="J374" s="261">
        <v>0</v>
      </c>
      <c r="K374" s="260">
        <v>0</v>
      </c>
      <c r="L374" s="248"/>
      <c r="M374" s="246"/>
    </row>
    <row r="375" spans="2:13" ht="27" customHeight="1">
      <c r="B375" s="243"/>
      <c r="C375" s="217" t="s">
        <v>180</v>
      </c>
      <c r="D375" s="248"/>
      <c r="E375" s="248">
        <v>1</v>
      </c>
      <c r="F375" s="260">
        <v>1.9650000000000001</v>
      </c>
      <c r="G375" s="260">
        <v>0</v>
      </c>
      <c r="H375" s="260">
        <v>0</v>
      </c>
      <c r="I375" s="261">
        <v>0</v>
      </c>
      <c r="J375" s="261">
        <v>0</v>
      </c>
      <c r="K375" s="260">
        <v>0</v>
      </c>
      <c r="L375" s="248"/>
      <c r="M375" s="246"/>
    </row>
    <row r="376" spans="2:13" ht="27" customHeight="1">
      <c r="B376" s="243"/>
      <c r="C376" s="217" t="s">
        <v>183</v>
      </c>
      <c r="D376" s="248"/>
      <c r="E376" s="248">
        <v>1</v>
      </c>
      <c r="F376" s="260">
        <v>3.1589999999999998</v>
      </c>
      <c r="G376" s="260">
        <v>0</v>
      </c>
      <c r="H376" s="260">
        <v>0</v>
      </c>
      <c r="I376" s="261">
        <v>0</v>
      </c>
      <c r="J376" s="261">
        <v>0</v>
      </c>
      <c r="K376" s="260">
        <v>0</v>
      </c>
      <c r="L376" s="248"/>
      <c r="M376" s="246"/>
    </row>
    <row r="377" spans="2:13" ht="27" customHeight="1">
      <c r="B377" s="243"/>
      <c r="C377" s="217" t="s">
        <v>186</v>
      </c>
      <c r="D377" s="248"/>
      <c r="E377" s="248">
        <v>1</v>
      </c>
      <c r="F377" s="260">
        <v>1.097</v>
      </c>
      <c r="G377" s="260">
        <v>0</v>
      </c>
      <c r="H377" s="260">
        <v>0</v>
      </c>
      <c r="I377" s="261">
        <v>0</v>
      </c>
      <c r="J377" s="261">
        <v>0</v>
      </c>
      <c r="K377" s="260">
        <v>0</v>
      </c>
      <c r="L377" s="248"/>
      <c r="M377" s="246"/>
    </row>
    <row r="378" spans="2:13" ht="27" customHeight="1">
      <c r="B378" s="243"/>
      <c r="C378" s="217" t="s">
        <v>189</v>
      </c>
      <c r="D378" s="248"/>
      <c r="E378" s="248"/>
      <c r="F378" s="260">
        <v>29.321999999999999</v>
      </c>
      <c r="G378" s="260">
        <v>0.98499999999999999</v>
      </c>
      <c r="H378" s="260">
        <v>0.51300000000000001</v>
      </c>
      <c r="I378" s="261">
        <v>0</v>
      </c>
      <c r="J378" s="261">
        <v>0</v>
      </c>
      <c r="K378" s="260">
        <v>0</v>
      </c>
      <c r="L378" s="248"/>
      <c r="M378" s="246"/>
    </row>
    <row r="379" spans="2:13" ht="27" customHeight="1">
      <c r="B379" s="243"/>
      <c r="C379" s="217" t="s">
        <v>1531</v>
      </c>
      <c r="D379" s="248"/>
      <c r="E379" s="248" t="s">
        <v>1527</v>
      </c>
      <c r="F379" s="260">
        <v>-0.66600000000000004</v>
      </c>
      <c r="G379" s="260">
        <v>0</v>
      </c>
      <c r="H379" s="260">
        <v>0</v>
      </c>
      <c r="I379" s="261">
        <v>0</v>
      </c>
      <c r="J379" s="261">
        <v>0</v>
      </c>
      <c r="K379" s="260">
        <v>0</v>
      </c>
      <c r="L379" s="248"/>
      <c r="M379" s="246"/>
    </row>
    <row r="380" spans="2:13" ht="27" customHeight="1">
      <c r="B380" s="243"/>
      <c r="C380" s="217" t="s">
        <v>194</v>
      </c>
      <c r="D380" s="248"/>
      <c r="E380" s="248"/>
      <c r="F380" s="260">
        <v>-0.66600000000000004</v>
      </c>
      <c r="G380" s="260">
        <v>0</v>
      </c>
      <c r="H380" s="260">
        <v>0</v>
      </c>
      <c r="I380" s="261">
        <v>0</v>
      </c>
      <c r="J380" s="261">
        <v>0</v>
      </c>
      <c r="K380" s="260">
        <v>0.28499999999999998</v>
      </c>
      <c r="L380" s="248"/>
      <c r="M380" s="246"/>
    </row>
    <row r="381" spans="2:13" ht="27" customHeight="1">
      <c r="B381" s="243"/>
      <c r="C381" s="217" t="s">
        <v>197</v>
      </c>
      <c r="D381" s="248"/>
      <c r="E381" s="248"/>
      <c r="F381" s="260">
        <v>-5.5940000000000003</v>
      </c>
      <c r="G381" s="260">
        <v>-0.42499999999999999</v>
      </c>
      <c r="H381" s="260">
        <v>-5.5E-2</v>
      </c>
      <c r="I381" s="261">
        <v>0</v>
      </c>
      <c r="J381" s="261">
        <v>0</v>
      </c>
      <c r="K381" s="260">
        <v>0.28499999999999998</v>
      </c>
      <c r="L381" s="248"/>
      <c r="M381" s="246"/>
    </row>
    <row r="382" spans="2:13" ht="27" customHeight="1">
      <c r="B382" s="243"/>
      <c r="C382" s="217" t="s">
        <v>148</v>
      </c>
      <c r="D382" s="248"/>
      <c r="E382" s="248">
        <v>1</v>
      </c>
      <c r="F382" s="260">
        <v>1.2150000000000001</v>
      </c>
      <c r="G382" s="260">
        <v>0</v>
      </c>
      <c r="H382" s="260">
        <v>0</v>
      </c>
      <c r="I382" s="261">
        <v>2.33</v>
      </c>
      <c r="J382" s="261">
        <v>0</v>
      </c>
      <c r="K382" s="260">
        <v>0</v>
      </c>
      <c r="L382" s="248"/>
      <c r="M382" s="246"/>
    </row>
    <row r="383" spans="2:13" ht="27" customHeight="1">
      <c r="B383" s="243"/>
      <c r="C383" s="217" t="s">
        <v>151</v>
      </c>
      <c r="D383" s="248"/>
      <c r="E383" s="248">
        <v>2</v>
      </c>
      <c r="F383" s="260">
        <v>1.444</v>
      </c>
      <c r="G383" s="260">
        <v>3.9E-2</v>
      </c>
      <c r="H383" s="260">
        <v>0</v>
      </c>
      <c r="I383" s="261">
        <v>2.33</v>
      </c>
      <c r="J383" s="261">
        <v>0</v>
      </c>
      <c r="K383" s="260">
        <v>0</v>
      </c>
      <c r="L383" s="248"/>
      <c r="M383" s="246"/>
    </row>
    <row r="384" spans="2:13" ht="27" customHeight="1">
      <c r="B384" s="243"/>
      <c r="C384" s="217" t="s">
        <v>154</v>
      </c>
      <c r="D384" s="248"/>
      <c r="E384" s="248">
        <v>2</v>
      </c>
      <c r="F384" s="260">
        <v>0.108</v>
      </c>
      <c r="G384" s="260">
        <v>0</v>
      </c>
      <c r="H384" s="260">
        <v>0</v>
      </c>
      <c r="I384" s="261">
        <v>0</v>
      </c>
      <c r="J384" s="261">
        <v>0</v>
      </c>
      <c r="K384" s="260">
        <v>0</v>
      </c>
      <c r="L384" s="248"/>
      <c r="M384" s="246"/>
    </row>
    <row r="385" spans="2:13" ht="27" customHeight="1">
      <c r="B385" s="243"/>
      <c r="C385" s="217" t="s">
        <v>157</v>
      </c>
      <c r="D385" s="248"/>
      <c r="E385" s="248">
        <v>3</v>
      </c>
      <c r="F385" s="260">
        <v>1.1339999999999999</v>
      </c>
      <c r="G385" s="260">
        <v>0</v>
      </c>
      <c r="H385" s="260">
        <v>0</v>
      </c>
      <c r="I385" s="261">
        <v>3.59</v>
      </c>
      <c r="J385" s="261">
        <v>0</v>
      </c>
      <c r="K385" s="260">
        <v>0</v>
      </c>
      <c r="L385" s="248"/>
      <c r="M385" s="246"/>
    </row>
    <row r="386" spans="2:13" ht="27" customHeight="1">
      <c r="B386" s="243"/>
      <c r="C386" s="217" t="s">
        <v>160</v>
      </c>
      <c r="D386" s="248"/>
      <c r="E386" s="248">
        <v>4</v>
      </c>
      <c r="F386" s="260">
        <v>1.3</v>
      </c>
      <c r="G386" s="260">
        <v>3.6999999999999998E-2</v>
      </c>
      <c r="H386" s="260">
        <v>0</v>
      </c>
      <c r="I386" s="261">
        <v>3.59</v>
      </c>
      <c r="J386" s="261">
        <v>0</v>
      </c>
      <c r="K386" s="260">
        <v>0</v>
      </c>
      <c r="L386" s="248"/>
      <c r="M386" s="246"/>
    </row>
    <row r="387" spans="2:13" ht="27" customHeight="1">
      <c r="B387" s="243"/>
      <c r="C387" s="217" t="s">
        <v>163</v>
      </c>
      <c r="D387" s="248"/>
      <c r="E387" s="248">
        <v>4</v>
      </c>
      <c r="F387" s="260">
        <v>0.20300000000000001</v>
      </c>
      <c r="G387" s="260">
        <v>0</v>
      </c>
      <c r="H387" s="260">
        <v>0</v>
      </c>
      <c r="I387" s="261">
        <v>0</v>
      </c>
      <c r="J387" s="261">
        <v>0</v>
      </c>
      <c r="K387" s="260">
        <v>0</v>
      </c>
      <c r="L387" s="248"/>
      <c r="M387" s="246"/>
    </row>
    <row r="388" spans="2:13" ht="27" customHeight="1">
      <c r="B388" s="243"/>
      <c r="C388" s="217" t="s">
        <v>166</v>
      </c>
      <c r="D388" s="248"/>
      <c r="E388" s="248" t="s">
        <v>1199</v>
      </c>
      <c r="F388" s="260">
        <v>0.94899999999999995</v>
      </c>
      <c r="G388" s="260">
        <v>2.7E-2</v>
      </c>
      <c r="H388" s="260">
        <v>0</v>
      </c>
      <c r="I388" s="261">
        <v>2.76</v>
      </c>
      <c r="J388" s="261">
        <v>0</v>
      </c>
      <c r="K388" s="260">
        <v>0</v>
      </c>
      <c r="L388" s="248"/>
      <c r="M388" s="246"/>
    </row>
    <row r="389" spans="2:13" ht="27" customHeight="1">
      <c r="B389" s="243"/>
      <c r="C389" s="217" t="s">
        <v>1530</v>
      </c>
      <c r="D389" s="248"/>
      <c r="E389" s="248"/>
      <c r="F389" s="260">
        <v>6.93</v>
      </c>
      <c r="G389" s="260">
        <v>0.43</v>
      </c>
      <c r="H389" s="260">
        <v>3.3000000000000002E-2</v>
      </c>
      <c r="I389" s="261">
        <v>2.33</v>
      </c>
      <c r="J389" s="261">
        <v>0</v>
      </c>
      <c r="K389" s="260">
        <v>0</v>
      </c>
      <c r="L389" s="248"/>
      <c r="M389" s="246"/>
    </row>
    <row r="390" spans="2:13" ht="27" customHeight="1">
      <c r="B390" s="243"/>
      <c r="C390" s="217" t="s">
        <v>1529</v>
      </c>
      <c r="D390" s="248"/>
      <c r="E390" s="248"/>
      <c r="F390" s="260">
        <v>6.97</v>
      </c>
      <c r="G390" s="260">
        <v>0.432</v>
      </c>
      <c r="H390" s="260">
        <v>3.4000000000000002E-2</v>
      </c>
      <c r="I390" s="261">
        <v>3.59</v>
      </c>
      <c r="J390" s="261">
        <v>0</v>
      </c>
      <c r="K390" s="260">
        <v>0</v>
      </c>
      <c r="L390" s="248"/>
      <c r="M390" s="246"/>
    </row>
    <row r="391" spans="2:13" ht="27" customHeight="1">
      <c r="B391" s="243"/>
      <c r="C391" s="217" t="s">
        <v>171</v>
      </c>
      <c r="D391" s="248"/>
      <c r="E391" s="248"/>
      <c r="F391" s="260">
        <v>6.0039999999999996</v>
      </c>
      <c r="G391" s="260">
        <v>0.36499999999999999</v>
      </c>
      <c r="H391" s="260">
        <v>2.3E-2</v>
      </c>
      <c r="I391" s="261">
        <v>4.66</v>
      </c>
      <c r="J391" s="261">
        <v>2.0099999999999998</v>
      </c>
      <c r="K391" s="260">
        <v>0.217</v>
      </c>
      <c r="L391" s="248"/>
      <c r="M391" s="246"/>
    </row>
    <row r="392" spans="2:13" ht="27" customHeight="1">
      <c r="B392" s="243"/>
      <c r="C392" s="217" t="s">
        <v>173</v>
      </c>
      <c r="D392" s="248"/>
      <c r="E392" s="248"/>
      <c r="F392" s="260">
        <v>8.0250000000000004</v>
      </c>
      <c r="G392" s="260">
        <v>0.47</v>
      </c>
      <c r="H392" s="260">
        <v>1.6E-2</v>
      </c>
      <c r="I392" s="261">
        <v>5.48</v>
      </c>
      <c r="J392" s="261">
        <v>3.91</v>
      </c>
      <c r="K392" s="260">
        <v>0.27700000000000002</v>
      </c>
      <c r="L392" s="248"/>
      <c r="M392" s="246"/>
    </row>
    <row r="393" spans="2:13" ht="27" customHeight="1">
      <c r="B393" s="243"/>
      <c r="C393" s="217" t="s">
        <v>175</v>
      </c>
      <c r="D393" s="248"/>
      <c r="E393" s="248"/>
      <c r="F393" s="260">
        <v>6.6529999999999996</v>
      </c>
      <c r="G393" s="260">
        <v>0.36699999999999999</v>
      </c>
      <c r="H393" s="260">
        <v>8.0000000000000002E-3</v>
      </c>
      <c r="I393" s="261">
        <v>62.24</v>
      </c>
      <c r="J393" s="261">
        <v>4.7300000000000004</v>
      </c>
      <c r="K393" s="260">
        <v>0.20899999999999999</v>
      </c>
      <c r="L393" s="248"/>
      <c r="M393" s="246"/>
    </row>
    <row r="394" spans="2:13" ht="27" customHeight="1">
      <c r="B394" s="243"/>
      <c r="C394" s="217" t="s">
        <v>178</v>
      </c>
      <c r="D394" s="248"/>
      <c r="E394" s="248">
        <v>8</v>
      </c>
      <c r="F394" s="260">
        <v>1.1140000000000001</v>
      </c>
      <c r="G394" s="260">
        <v>0</v>
      </c>
      <c r="H394" s="260">
        <v>0</v>
      </c>
      <c r="I394" s="261">
        <v>0</v>
      </c>
      <c r="J394" s="261">
        <v>0</v>
      </c>
      <c r="K394" s="260">
        <v>0</v>
      </c>
      <c r="L394" s="248"/>
      <c r="M394" s="246"/>
    </row>
    <row r="395" spans="2:13" ht="27" customHeight="1">
      <c r="B395" s="243"/>
      <c r="C395" s="217" t="s">
        <v>181</v>
      </c>
      <c r="D395" s="248"/>
      <c r="E395" s="248">
        <v>1</v>
      </c>
      <c r="F395" s="260">
        <v>1.4259999999999999</v>
      </c>
      <c r="G395" s="260">
        <v>0</v>
      </c>
      <c r="H395" s="260">
        <v>0</v>
      </c>
      <c r="I395" s="261">
        <v>0</v>
      </c>
      <c r="J395" s="261">
        <v>0</v>
      </c>
      <c r="K395" s="260">
        <v>0</v>
      </c>
      <c r="L395" s="248"/>
      <c r="M395" s="246"/>
    </row>
    <row r="396" spans="2:13" ht="27" customHeight="1">
      <c r="B396" s="243"/>
      <c r="C396" s="217" t="s">
        <v>184</v>
      </c>
      <c r="D396" s="248"/>
      <c r="E396" s="248">
        <v>1</v>
      </c>
      <c r="F396" s="260">
        <v>2.2930000000000001</v>
      </c>
      <c r="G396" s="260">
        <v>0</v>
      </c>
      <c r="H396" s="260">
        <v>0</v>
      </c>
      <c r="I396" s="261">
        <v>0</v>
      </c>
      <c r="J396" s="261">
        <v>0</v>
      </c>
      <c r="K396" s="260">
        <v>0</v>
      </c>
      <c r="L396" s="248"/>
      <c r="M396" s="246"/>
    </row>
    <row r="397" spans="2:13" ht="27" customHeight="1">
      <c r="B397" s="243"/>
      <c r="C397" s="217" t="s">
        <v>187</v>
      </c>
      <c r="D397" s="248"/>
      <c r="E397" s="248">
        <v>1</v>
      </c>
      <c r="F397" s="260">
        <v>0.79600000000000004</v>
      </c>
      <c r="G397" s="260">
        <v>0</v>
      </c>
      <c r="H397" s="260">
        <v>0</v>
      </c>
      <c r="I397" s="261">
        <v>0</v>
      </c>
      <c r="J397" s="261">
        <v>0</v>
      </c>
      <c r="K397" s="260">
        <v>0</v>
      </c>
      <c r="L397" s="248"/>
      <c r="M397" s="246"/>
    </row>
    <row r="398" spans="2:13" ht="27" customHeight="1">
      <c r="B398" s="243"/>
      <c r="C398" s="217" t="s">
        <v>190</v>
      </c>
      <c r="D398" s="248"/>
      <c r="E398" s="248"/>
      <c r="F398" s="260">
        <v>21.282</v>
      </c>
      <c r="G398" s="260">
        <v>0.71499999999999997</v>
      </c>
      <c r="H398" s="260">
        <v>0.373</v>
      </c>
      <c r="I398" s="261">
        <v>0</v>
      </c>
      <c r="J398" s="261">
        <v>0</v>
      </c>
      <c r="K398" s="260">
        <v>0</v>
      </c>
      <c r="L398" s="248"/>
      <c r="M398" s="246"/>
    </row>
    <row r="399" spans="2:13" ht="27" customHeight="1">
      <c r="B399" s="243"/>
      <c r="C399" s="217" t="s">
        <v>1528</v>
      </c>
      <c r="D399" s="248"/>
      <c r="E399" s="248" t="s">
        <v>1527</v>
      </c>
      <c r="F399" s="260">
        <v>-0.66600000000000004</v>
      </c>
      <c r="G399" s="260">
        <v>0</v>
      </c>
      <c r="H399" s="260">
        <v>0</v>
      </c>
      <c r="I399" s="261">
        <v>0</v>
      </c>
      <c r="J399" s="261">
        <v>0</v>
      </c>
      <c r="K399" s="260">
        <v>0</v>
      </c>
      <c r="L399" s="248"/>
      <c r="M399" s="246"/>
    </row>
    <row r="400" spans="2:13" ht="27" customHeight="1">
      <c r="B400" s="243"/>
      <c r="C400" s="217" t="s">
        <v>192</v>
      </c>
      <c r="D400" s="248"/>
      <c r="E400" s="248">
        <v>8</v>
      </c>
      <c r="F400" s="260">
        <v>-0.56699999999999995</v>
      </c>
      <c r="G400" s="260">
        <v>0</v>
      </c>
      <c r="H400" s="260">
        <v>0</v>
      </c>
      <c r="I400" s="261">
        <v>0</v>
      </c>
      <c r="J400" s="261">
        <v>0</v>
      </c>
      <c r="K400" s="260">
        <v>0</v>
      </c>
      <c r="L400" s="248"/>
      <c r="M400" s="246"/>
    </row>
    <row r="401" spans="2:13" ht="27" customHeight="1">
      <c r="B401" s="243"/>
      <c r="C401" s="217" t="s">
        <v>195</v>
      </c>
      <c r="D401" s="248"/>
      <c r="E401" s="248"/>
      <c r="F401" s="260">
        <v>-0.66600000000000004</v>
      </c>
      <c r="G401" s="260">
        <v>0</v>
      </c>
      <c r="H401" s="260">
        <v>0</v>
      </c>
      <c r="I401" s="261">
        <v>0</v>
      </c>
      <c r="J401" s="261">
        <v>0</v>
      </c>
      <c r="K401" s="260">
        <v>0.28499999999999998</v>
      </c>
      <c r="L401" s="248"/>
      <c r="M401" s="246"/>
    </row>
    <row r="402" spans="2:13" ht="27" customHeight="1">
      <c r="B402" s="243"/>
      <c r="C402" s="217" t="s">
        <v>198</v>
      </c>
      <c r="D402" s="248"/>
      <c r="E402" s="248"/>
      <c r="F402" s="260">
        <v>-5.5940000000000003</v>
      </c>
      <c r="G402" s="260">
        <v>-0.42499999999999999</v>
      </c>
      <c r="H402" s="260">
        <v>-5.5E-2</v>
      </c>
      <c r="I402" s="261">
        <v>0</v>
      </c>
      <c r="J402" s="261">
        <v>0</v>
      </c>
      <c r="K402" s="260">
        <v>0.28499999999999998</v>
      </c>
      <c r="L402" s="248"/>
      <c r="M402" s="246"/>
    </row>
    <row r="403" spans="2:13" ht="27" customHeight="1">
      <c r="B403" s="243"/>
      <c r="C403" s="217" t="s">
        <v>200</v>
      </c>
      <c r="D403" s="248"/>
      <c r="E403" s="248"/>
      <c r="F403" s="260">
        <v>-0.56699999999999995</v>
      </c>
      <c r="G403" s="260">
        <v>0</v>
      </c>
      <c r="H403" s="260">
        <v>0</v>
      </c>
      <c r="I403" s="261">
        <v>0</v>
      </c>
      <c r="J403" s="261">
        <v>0</v>
      </c>
      <c r="K403" s="260">
        <v>0.24299999999999999</v>
      </c>
      <c r="L403" s="248"/>
      <c r="M403" s="246"/>
    </row>
    <row r="404" spans="2:13" ht="27" customHeight="1">
      <c r="B404" s="243"/>
      <c r="C404" s="217" t="s">
        <v>202</v>
      </c>
      <c r="D404" s="248"/>
      <c r="E404" s="248"/>
      <c r="F404" s="260">
        <v>-4.7640000000000002</v>
      </c>
      <c r="G404" s="260">
        <v>-0.36499999999999999</v>
      </c>
      <c r="H404" s="260">
        <v>-4.3999999999999997E-2</v>
      </c>
      <c r="I404" s="261">
        <v>0</v>
      </c>
      <c r="J404" s="261">
        <v>0</v>
      </c>
      <c r="K404" s="260">
        <v>0.24299999999999999</v>
      </c>
      <c r="L404" s="248"/>
      <c r="M404" s="246"/>
    </row>
    <row r="405" spans="2:13" ht="27" customHeight="1">
      <c r="B405" s="243"/>
      <c r="C405" s="217" t="s">
        <v>204</v>
      </c>
      <c r="D405" s="248"/>
      <c r="E405" s="248"/>
      <c r="F405" s="260">
        <v>-0.28799999999999998</v>
      </c>
      <c r="G405" s="260">
        <v>0</v>
      </c>
      <c r="H405" s="260">
        <v>0</v>
      </c>
      <c r="I405" s="261">
        <v>0</v>
      </c>
      <c r="J405" s="261">
        <v>0</v>
      </c>
      <c r="K405" s="260">
        <v>0.19600000000000001</v>
      </c>
      <c r="L405" s="248"/>
      <c r="M405" s="246"/>
    </row>
    <row r="406" spans="2:13" ht="27" customHeight="1">
      <c r="B406" s="243"/>
      <c r="C406" s="217" t="s">
        <v>206</v>
      </c>
      <c r="D406" s="248"/>
      <c r="E406" s="248"/>
      <c r="F406" s="260">
        <v>-2.4279999999999999</v>
      </c>
      <c r="G406" s="260">
        <v>-0.19600000000000001</v>
      </c>
      <c r="H406" s="260">
        <v>-1.6E-2</v>
      </c>
      <c r="I406" s="261">
        <v>0</v>
      </c>
      <c r="J406" s="261">
        <v>0</v>
      </c>
      <c r="K406" s="260">
        <v>0.19600000000000001</v>
      </c>
      <c r="L406" s="248"/>
      <c r="M406" s="246"/>
    </row>
    <row r="407" spans="2:13" ht="13.5" thickBot="1">
      <c r="B407" s="249"/>
      <c r="C407" s="250"/>
      <c r="D407" s="250"/>
      <c r="E407" s="250"/>
      <c r="F407" s="250"/>
      <c r="G407" s="250"/>
      <c r="H407" s="250"/>
      <c r="I407" s="250"/>
      <c r="J407" s="250"/>
      <c r="K407" s="250"/>
      <c r="L407" s="250"/>
      <c r="M407" s="251"/>
    </row>
  </sheetData>
  <mergeCells count="1">
    <mergeCell ref="F5:J7"/>
  </mergeCells>
  <phoneticPr fontId="52" type="noConversion"/>
  <hyperlinks>
    <hyperlink ref="D6" location="'Tariffs ARP'!C20" display="'Tariffs ARP'!C20"/>
    <hyperlink ref="D7" location="'Tariffs ARP'!C99" display="'Tariffs ARP'!C99"/>
    <hyperlink ref="D8" location="'Tariffs ARP'!C178" display="'Tariffs ARP'!C178"/>
    <hyperlink ref="D9" location="'Tariffs ARP'!C257" display="'Tariffs ARP'!C257"/>
    <hyperlink ref="D10" location="'Tariffs ARP'!C336" display="'Tariffs ARP'!C336"/>
  </hyperlinks>
  <pageMargins left="0.75" right="0.75" top="0.98" bottom="0.98" header="0.51" footer="0.51"/>
  <pageSetup paperSize="9" scale="30" fitToHeight="4" orientation="portrait" r:id="rId1"/>
  <headerFooter alignWithMargins="0"/>
  <rowBreaks count="4" manualBreakCount="4">
    <brk id="93" min="1" max="12" man="1"/>
    <brk id="172" min="1" max="12" man="1"/>
    <brk id="251" min="1" max="12" man="1"/>
    <brk id="330" min="1" max="12" man="1"/>
  </rowBreaks>
  <drawing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indexed="47"/>
  </sheetPr>
  <dimension ref="B2:G116"/>
  <sheetViews>
    <sheetView showGridLines="0" view="pageBreakPreview" topLeftCell="C1" zoomScaleSheetLayoutView="55" workbookViewId="0">
      <selection activeCell="G20" sqref="G20:G116"/>
    </sheetView>
  </sheetViews>
  <sheetFormatPr defaultColWidth="8.85546875" defaultRowHeight="15.95" customHeight="1"/>
  <cols>
    <col min="1" max="1" width="8.85546875" style="28"/>
    <col min="2" max="2" width="87.42578125" style="28" customWidth="1"/>
    <col min="3" max="7" width="19.28515625" style="28" customWidth="1"/>
    <col min="8" max="226" width="20.7109375" style="28" customWidth="1"/>
    <col min="227" max="16384" width="8.85546875" style="28"/>
  </cols>
  <sheetData>
    <row r="2" spans="2:7" ht="15.95" customHeight="1">
      <c r="B2" s="220"/>
      <c r="D2" s="220"/>
      <c r="F2" s="220"/>
    </row>
    <row r="3" spans="2:7" ht="15.95" customHeight="1">
      <c r="B3" s="387" t="s">
        <v>1615</v>
      </c>
      <c r="C3" s="387"/>
      <c r="D3" s="387"/>
      <c r="E3" s="387"/>
      <c r="F3" s="387"/>
      <c r="G3" s="221"/>
    </row>
    <row r="4" spans="2:7" ht="15.95" customHeight="1">
      <c r="B4" s="387"/>
      <c r="C4" s="387"/>
      <c r="D4" s="387"/>
      <c r="E4" s="387"/>
      <c r="F4" s="387"/>
      <c r="G4" s="221"/>
    </row>
    <row r="5" spans="2:7" ht="15.95" customHeight="1">
      <c r="B5" s="387"/>
      <c r="C5" s="387"/>
      <c r="D5" s="387"/>
      <c r="E5" s="387"/>
      <c r="F5" s="387"/>
      <c r="G5" s="221"/>
    </row>
    <row r="6" spans="2:7" ht="15.95" customHeight="1">
      <c r="B6" s="222"/>
      <c r="D6" s="220"/>
      <c r="F6" s="220"/>
    </row>
    <row r="7" spans="2:7" ht="15.95" customHeight="1">
      <c r="B7" s="222"/>
      <c r="D7" s="220"/>
      <c r="F7" s="220"/>
    </row>
    <row r="8" spans="2:7" ht="15.95" customHeight="1">
      <c r="B8" s="222"/>
      <c r="D8" s="220"/>
      <c r="F8" s="220"/>
    </row>
    <row r="9" spans="2:7" ht="15.95" customHeight="1">
      <c r="F9" s="223"/>
    </row>
    <row r="10" spans="2:7" ht="15.95" customHeight="1">
      <c r="F10" s="220"/>
    </row>
    <row r="11" spans="2:7" ht="15.95" customHeight="1">
      <c r="B11" s="224"/>
    </row>
    <row r="12" spans="2:7" ht="15.95" customHeight="1">
      <c r="B12" s="225"/>
    </row>
    <row r="13" spans="2:7" ht="15.95" customHeight="1">
      <c r="B13" s="226" t="str">
        <f>'CDCM Forecast Data'!E3&amp;" - 5 Year Typical Bill"</f>
        <v>WPD West Mids - 5 Year Typical Bill</v>
      </c>
    </row>
    <row r="14" spans="2:7" ht="15.95" customHeight="1">
      <c r="B14" s="226"/>
    </row>
    <row r="15" spans="2:7" ht="15.95" customHeight="1">
      <c r="B15" s="227" t="s">
        <v>1466</v>
      </c>
      <c r="C15" s="227"/>
      <c r="D15" s="227"/>
      <c r="E15" s="227"/>
      <c r="F15" s="227"/>
      <c r="G15" s="227"/>
    </row>
    <row r="16" spans="2:7" ht="15.95" customHeight="1">
      <c r="B16" s="229"/>
      <c r="C16" s="228"/>
      <c r="D16" s="228"/>
      <c r="E16" s="228"/>
      <c r="F16" s="228"/>
      <c r="G16" s="228"/>
    </row>
    <row r="17" spans="2:7" ht="15.95" customHeight="1">
      <c r="B17" s="229"/>
      <c r="C17" s="228"/>
      <c r="D17" s="228"/>
      <c r="E17" s="228"/>
      <c r="F17" s="228"/>
      <c r="G17" s="228"/>
    </row>
    <row r="18" spans="2:7" ht="15.95" customHeight="1">
      <c r="B18" s="230"/>
      <c r="C18" s="231" t="str">
        <f>+'CDCM Forecast Data'!E10</f>
        <v>Y</v>
      </c>
      <c r="D18" s="231" t="str">
        <f>+'CDCM Forecast Data'!F10</f>
        <v>Y+1</v>
      </c>
      <c r="E18" s="231" t="str">
        <f>+'CDCM Forecast Data'!G10</f>
        <v>Y+2</v>
      </c>
      <c r="F18" s="231" t="str">
        <f>+'CDCM Forecast Data'!H10</f>
        <v>Y+3</v>
      </c>
      <c r="G18" s="231" t="str">
        <f>+'CDCM Forecast Data'!I10</f>
        <v>Y+4</v>
      </c>
    </row>
    <row r="19" spans="2:7" ht="15.95" customHeight="1">
      <c r="B19" s="21" t="s">
        <v>1465</v>
      </c>
      <c r="C19" s="232" t="str">
        <f>+'CDCM Forecast Data'!E11</f>
        <v>2017/18</v>
      </c>
      <c r="D19" s="232" t="str">
        <f>+'CDCM Forecast Data'!F11</f>
        <v>2018/19</v>
      </c>
      <c r="E19" s="232" t="str">
        <f>+'CDCM Forecast Data'!G11</f>
        <v>2019/20</v>
      </c>
      <c r="F19" s="232" t="str">
        <f>+'CDCM Forecast Data'!H11</f>
        <v>2020/21</v>
      </c>
      <c r="G19" s="232" t="str">
        <f>+'CDCM Forecast Data'!I11</f>
        <v>2021/22</v>
      </c>
    </row>
    <row r="20" spans="2:7" ht="15.95" customHeight="1">
      <c r="B20" s="12" t="s">
        <v>146</v>
      </c>
      <c r="C20" s="233"/>
      <c r="D20" s="233"/>
      <c r="E20" s="233"/>
      <c r="F20" s="233"/>
      <c r="G20" s="233"/>
    </row>
    <row r="21" spans="2:7" ht="15.95" customHeight="1">
      <c r="B21" s="8" t="s">
        <v>92</v>
      </c>
      <c r="C21" s="235">
        <v>93.546247415349498</v>
      </c>
      <c r="D21" s="235">
        <v>97.666621247920403</v>
      </c>
      <c r="E21" s="235">
        <v>100.48321491037005</v>
      </c>
      <c r="F21" s="235">
        <v>102.58733555747651</v>
      </c>
      <c r="G21" s="235">
        <v>106.58934431333141</v>
      </c>
    </row>
    <row r="22" spans="2:7" ht="15.95" customHeight="1">
      <c r="B22" s="8" t="s">
        <v>147</v>
      </c>
      <c r="C22" s="235">
        <v>53.912108880962187</v>
      </c>
      <c r="D22" s="235">
        <v>56.332212043333605</v>
      </c>
      <c r="E22" s="235">
        <v>58.028713624519327</v>
      </c>
      <c r="F22" s="235">
        <v>59.249853245786817</v>
      </c>
      <c r="G22" s="235">
        <v>61.549839548444453</v>
      </c>
    </row>
    <row r="23" spans="2:7" ht="15.95" customHeight="1">
      <c r="B23" s="8" t="s">
        <v>148</v>
      </c>
      <c r="C23" s="235">
        <v>39.501013771841528</v>
      </c>
      <c r="D23" s="235">
        <v>41.277545729713381</v>
      </c>
      <c r="E23" s="235">
        <v>42.546343421931965</v>
      </c>
      <c r="F23" s="235">
        <v>43.442841114150561</v>
      </c>
      <c r="G23" s="235">
        <v>45.114531638435722</v>
      </c>
    </row>
    <row r="24" spans="2:7" ht="15.95" customHeight="1">
      <c r="B24" s="12" t="s">
        <v>149</v>
      </c>
      <c r="C24" s="235"/>
      <c r="D24" s="235"/>
      <c r="E24" s="235"/>
      <c r="F24" s="235"/>
      <c r="G24" s="235"/>
    </row>
    <row r="25" spans="2:7" ht="15.95" customHeight="1">
      <c r="B25" s="8" t="s">
        <v>93</v>
      </c>
      <c r="C25" s="235">
        <v>98.090508828109719</v>
      </c>
      <c r="D25" s="235">
        <v>102.41532699712144</v>
      </c>
      <c r="E25" s="235">
        <v>105.40738852982498</v>
      </c>
      <c r="F25" s="235">
        <v>107.62989209859383</v>
      </c>
      <c r="G25" s="235">
        <v>111.79086739126068</v>
      </c>
    </row>
    <row r="26" spans="2:7" ht="15.95" customHeight="1">
      <c r="B26" s="8" t="s">
        <v>150</v>
      </c>
      <c r="C26" s="235">
        <v>56.320141865592014</v>
      </c>
      <c r="D26" s="235">
        <v>58.864857347007224</v>
      </c>
      <c r="E26" s="235">
        <v>60.641973702589709</v>
      </c>
      <c r="F26" s="235">
        <v>61.918250210912746</v>
      </c>
      <c r="G26" s="235">
        <v>64.291571995174252</v>
      </c>
    </row>
    <row r="27" spans="2:7" ht="15.95" customHeight="1">
      <c r="B27" s="8" t="s">
        <v>151</v>
      </c>
      <c r="C27" s="235">
        <v>48.93180284604415</v>
      </c>
      <c r="D27" s="235">
        <v>51.073021565782689</v>
      </c>
      <c r="E27" s="235">
        <v>52.545238502228607</v>
      </c>
      <c r="F27" s="235">
        <v>53.664938687241246</v>
      </c>
      <c r="G27" s="235">
        <v>55.712422305833243</v>
      </c>
    </row>
    <row r="28" spans="2:7" ht="15.95" customHeight="1">
      <c r="B28" s="12" t="s">
        <v>152</v>
      </c>
      <c r="C28" s="235"/>
      <c r="D28" s="235"/>
      <c r="E28" s="235"/>
      <c r="F28" s="235"/>
      <c r="G28" s="235"/>
    </row>
    <row r="29" spans="2:7" ht="15.95" customHeight="1">
      <c r="B29" s="8" t="s">
        <v>129</v>
      </c>
      <c r="C29" s="235" t="s">
        <v>262</v>
      </c>
      <c r="D29" s="235" t="s">
        <v>262</v>
      </c>
      <c r="E29" s="235" t="s">
        <v>262</v>
      </c>
      <c r="F29" s="235" t="s">
        <v>262</v>
      </c>
      <c r="G29" s="235" t="s">
        <v>262</v>
      </c>
    </row>
    <row r="30" spans="2:7" ht="15.95" customHeight="1">
      <c r="B30" s="8" t="s">
        <v>153</v>
      </c>
      <c r="C30" s="235" t="s">
        <v>262</v>
      </c>
      <c r="D30" s="235" t="s">
        <v>262</v>
      </c>
      <c r="E30" s="235" t="s">
        <v>262</v>
      </c>
      <c r="F30" s="235" t="s">
        <v>262</v>
      </c>
      <c r="G30" s="235" t="s">
        <v>262</v>
      </c>
    </row>
    <row r="31" spans="2:7" ht="15.95" customHeight="1">
      <c r="B31" s="8" t="s">
        <v>154</v>
      </c>
      <c r="C31" s="235" t="s">
        <v>262</v>
      </c>
      <c r="D31" s="235" t="s">
        <v>262</v>
      </c>
      <c r="E31" s="235" t="s">
        <v>262</v>
      </c>
      <c r="F31" s="235" t="s">
        <v>262</v>
      </c>
      <c r="G31" s="235" t="s">
        <v>262</v>
      </c>
    </row>
    <row r="32" spans="2:7" ht="15.95" customHeight="1">
      <c r="B32" s="12" t="s">
        <v>155</v>
      </c>
      <c r="C32" s="235"/>
      <c r="D32" s="235"/>
      <c r="E32" s="235"/>
      <c r="F32" s="235"/>
      <c r="G32" s="235"/>
    </row>
    <row r="33" spans="2:7" ht="15.95" customHeight="1">
      <c r="B33" s="8" t="s">
        <v>94</v>
      </c>
      <c r="C33" s="235">
        <v>269.92115624462582</v>
      </c>
      <c r="D33" s="235">
        <v>281.31576443137232</v>
      </c>
      <c r="E33" s="235">
        <v>288.29694179531572</v>
      </c>
      <c r="F33" s="235">
        <v>294.28286570039921</v>
      </c>
      <c r="G33" s="235">
        <v>305.71008678113628</v>
      </c>
    </row>
    <row r="34" spans="2:7" ht="15.95" customHeight="1">
      <c r="B34" s="8" t="s">
        <v>156</v>
      </c>
      <c r="C34" s="235">
        <v>19.567220506790232</v>
      </c>
      <c r="D34" s="235">
        <v>20.82068069936641</v>
      </c>
      <c r="E34" s="235">
        <v>22.243933161041554</v>
      </c>
      <c r="F34" s="235">
        <v>22.84773035349081</v>
      </c>
      <c r="G34" s="235">
        <v>23.607914199937554</v>
      </c>
    </row>
    <row r="35" spans="2:7" ht="15.95" customHeight="1">
      <c r="B35" s="8" t="s">
        <v>157</v>
      </c>
      <c r="C35" s="235">
        <v>182.51578978049673</v>
      </c>
      <c r="D35" s="235">
        <v>189.91979205914956</v>
      </c>
      <c r="E35" s="235">
        <v>194.47663174765498</v>
      </c>
      <c r="F35" s="235">
        <v>198.38187143616031</v>
      </c>
      <c r="G35" s="235">
        <v>206.10164317929039</v>
      </c>
    </row>
    <row r="36" spans="2:7" ht="15.95" customHeight="1">
      <c r="B36" s="12" t="s">
        <v>158</v>
      </c>
      <c r="C36" s="235"/>
      <c r="D36" s="235"/>
      <c r="E36" s="235"/>
      <c r="F36" s="235"/>
      <c r="G36" s="235"/>
    </row>
    <row r="37" spans="2:7" ht="15.95" customHeight="1">
      <c r="B37" s="8" t="s">
        <v>95</v>
      </c>
      <c r="C37" s="235">
        <v>374.73907365256559</v>
      </c>
      <c r="D37" s="235">
        <v>390.21068107869121</v>
      </c>
      <c r="E37" s="235">
        <v>399.45156871267073</v>
      </c>
      <c r="F37" s="235">
        <v>407.63060063178932</v>
      </c>
      <c r="G37" s="235">
        <v>423.6433025283244</v>
      </c>
    </row>
    <row r="38" spans="2:7" ht="15.95" customHeight="1">
      <c r="B38" s="8" t="s">
        <v>159</v>
      </c>
      <c r="C38" s="235">
        <v>802.11655832150336</v>
      </c>
      <c r="D38" s="235">
        <v>834.34609726060603</v>
      </c>
      <c r="E38" s="235">
        <v>851.86259267008791</v>
      </c>
      <c r="F38" s="235">
        <v>868.68264965161939</v>
      </c>
      <c r="G38" s="235">
        <v>903.33533863864261</v>
      </c>
    </row>
    <row r="39" spans="2:7" ht="15.95" customHeight="1">
      <c r="B39" s="8" t="s">
        <v>160</v>
      </c>
      <c r="C39" s="235">
        <v>569.54806585701408</v>
      </c>
      <c r="D39" s="235">
        <v>592.15656476187337</v>
      </c>
      <c r="E39" s="235">
        <v>604.7793158734994</v>
      </c>
      <c r="F39" s="235">
        <v>616.75046698512585</v>
      </c>
      <c r="G39" s="235">
        <v>641.25374685615895</v>
      </c>
    </row>
    <row r="40" spans="2:7" ht="15.95" customHeight="1">
      <c r="B40" s="12" t="s">
        <v>161</v>
      </c>
      <c r="C40" s="235"/>
      <c r="D40" s="235"/>
      <c r="E40" s="235"/>
      <c r="F40" s="235"/>
      <c r="G40" s="235"/>
    </row>
    <row r="41" spans="2:7" ht="15.95" customHeight="1">
      <c r="B41" s="8" t="s">
        <v>130</v>
      </c>
      <c r="C41" s="235" t="s">
        <v>262</v>
      </c>
      <c r="D41" s="235" t="s">
        <v>262</v>
      </c>
      <c r="E41" s="235" t="s">
        <v>262</v>
      </c>
      <c r="F41" s="235" t="s">
        <v>262</v>
      </c>
      <c r="G41" s="235" t="s">
        <v>262</v>
      </c>
    </row>
    <row r="42" spans="2:7" ht="15.95" customHeight="1">
      <c r="B42" s="8" t="s">
        <v>162</v>
      </c>
      <c r="C42" s="235" t="s">
        <v>262</v>
      </c>
      <c r="D42" s="235" t="s">
        <v>262</v>
      </c>
      <c r="E42" s="235" t="s">
        <v>262</v>
      </c>
      <c r="F42" s="235" t="s">
        <v>262</v>
      </c>
      <c r="G42" s="235" t="s">
        <v>262</v>
      </c>
    </row>
    <row r="43" spans="2:7" ht="15.95" customHeight="1">
      <c r="B43" s="8" t="s">
        <v>163</v>
      </c>
      <c r="C43" s="235" t="s">
        <v>262</v>
      </c>
      <c r="D43" s="235" t="s">
        <v>262</v>
      </c>
      <c r="E43" s="235" t="s">
        <v>262</v>
      </c>
      <c r="F43" s="235" t="s">
        <v>262</v>
      </c>
      <c r="G43" s="235" t="s">
        <v>262</v>
      </c>
    </row>
    <row r="44" spans="2:7" ht="15.95" customHeight="1">
      <c r="B44" s="12" t="s">
        <v>164</v>
      </c>
      <c r="C44" s="235"/>
      <c r="D44" s="235"/>
      <c r="E44" s="235"/>
      <c r="F44" s="235"/>
      <c r="G44" s="235"/>
    </row>
    <row r="45" spans="2:7" ht="15.95" customHeight="1">
      <c r="B45" s="8" t="s">
        <v>96</v>
      </c>
      <c r="C45" s="235" t="s">
        <v>262</v>
      </c>
      <c r="D45" s="235" t="s">
        <v>262</v>
      </c>
      <c r="E45" s="235" t="s">
        <v>262</v>
      </c>
      <c r="F45" s="235" t="s">
        <v>262</v>
      </c>
      <c r="G45" s="235" t="s">
        <v>262</v>
      </c>
    </row>
    <row r="46" spans="2:7" ht="15.95" customHeight="1">
      <c r="B46" s="8" t="s">
        <v>165</v>
      </c>
      <c r="C46" s="235" t="s">
        <v>262</v>
      </c>
      <c r="D46" s="235" t="s">
        <v>262</v>
      </c>
      <c r="E46" s="235" t="s">
        <v>262</v>
      </c>
      <c r="F46" s="235" t="s">
        <v>262</v>
      </c>
      <c r="G46" s="235" t="s">
        <v>262</v>
      </c>
    </row>
    <row r="47" spans="2:7" ht="15.95" customHeight="1">
      <c r="B47" s="8" t="s">
        <v>166</v>
      </c>
      <c r="C47" s="235" t="s">
        <v>262</v>
      </c>
      <c r="D47" s="235" t="s">
        <v>262</v>
      </c>
      <c r="E47" s="235" t="s">
        <v>262</v>
      </c>
      <c r="F47" s="235" t="s">
        <v>262</v>
      </c>
      <c r="G47" s="235" t="s">
        <v>262</v>
      </c>
    </row>
    <row r="48" spans="2:7" ht="15.95" customHeight="1">
      <c r="B48" s="12" t="s">
        <v>167</v>
      </c>
      <c r="C48" s="235"/>
      <c r="D48" s="235"/>
      <c r="E48" s="235"/>
      <c r="F48" s="235"/>
      <c r="G48" s="235"/>
    </row>
    <row r="49" spans="2:7" ht="15.95" customHeight="1">
      <c r="B49" s="8" t="s">
        <v>97</v>
      </c>
      <c r="C49" s="235" t="s">
        <v>262</v>
      </c>
      <c r="D49" s="235" t="s">
        <v>262</v>
      </c>
      <c r="E49" s="235" t="s">
        <v>262</v>
      </c>
      <c r="F49" s="235" t="s">
        <v>262</v>
      </c>
      <c r="G49" s="235" t="s">
        <v>262</v>
      </c>
    </row>
    <row r="50" spans="2:7" ht="15.95" customHeight="1">
      <c r="B50" s="12" t="s">
        <v>168</v>
      </c>
      <c r="C50" s="235"/>
      <c r="D50" s="235"/>
      <c r="E50" s="235"/>
      <c r="F50" s="235"/>
      <c r="G50" s="235"/>
    </row>
    <row r="51" spans="2:7" ht="15.95" customHeight="1">
      <c r="B51" s="8" t="s">
        <v>110</v>
      </c>
      <c r="C51" s="235" t="s">
        <v>262</v>
      </c>
      <c r="D51" s="235" t="s">
        <v>262</v>
      </c>
      <c r="E51" s="235" t="s">
        <v>262</v>
      </c>
      <c r="F51" s="235" t="s">
        <v>262</v>
      </c>
      <c r="G51" s="235" t="s">
        <v>262</v>
      </c>
    </row>
    <row r="52" spans="2:7" ht="15.95" customHeight="1">
      <c r="B52" s="12" t="s">
        <v>1539</v>
      </c>
      <c r="C52" s="235"/>
      <c r="D52" s="235"/>
      <c r="E52" s="235"/>
      <c r="F52" s="235"/>
      <c r="G52" s="235"/>
    </row>
    <row r="53" spans="2:7" ht="15.95" customHeight="1">
      <c r="B53" s="8" t="s">
        <v>1536</v>
      </c>
      <c r="C53" s="235" t="s">
        <v>262</v>
      </c>
      <c r="D53" s="235" t="s">
        <v>262</v>
      </c>
      <c r="E53" s="235" t="s">
        <v>262</v>
      </c>
      <c r="F53" s="235" t="s">
        <v>262</v>
      </c>
      <c r="G53" s="235" t="s">
        <v>262</v>
      </c>
    </row>
    <row r="54" spans="2:7" ht="15.95" customHeight="1">
      <c r="B54" s="8" t="s">
        <v>1533</v>
      </c>
      <c r="C54" s="235" t="s">
        <v>262</v>
      </c>
      <c r="D54" s="235" t="s">
        <v>262</v>
      </c>
      <c r="E54" s="235" t="s">
        <v>262</v>
      </c>
      <c r="F54" s="235" t="s">
        <v>262</v>
      </c>
      <c r="G54" s="235" t="s">
        <v>262</v>
      </c>
    </row>
    <row r="55" spans="2:7" ht="15.95" customHeight="1">
      <c r="B55" s="8" t="s">
        <v>1530</v>
      </c>
      <c r="C55" s="235" t="s">
        <v>262</v>
      </c>
      <c r="D55" s="235" t="s">
        <v>262</v>
      </c>
      <c r="E55" s="235" t="s">
        <v>262</v>
      </c>
      <c r="F55" s="235" t="s">
        <v>262</v>
      </c>
      <c r="G55" s="235" t="s">
        <v>262</v>
      </c>
    </row>
    <row r="56" spans="2:7" ht="15.95" customHeight="1">
      <c r="B56" s="12" t="s">
        <v>1538</v>
      </c>
      <c r="C56" s="235"/>
      <c r="D56" s="235"/>
      <c r="E56" s="235"/>
      <c r="F56" s="235"/>
      <c r="G56" s="235"/>
    </row>
    <row r="57" spans="2:7" ht="15.95" customHeight="1">
      <c r="B57" s="8" t="s">
        <v>1535</v>
      </c>
      <c r="C57" s="235">
        <v>1068.8231804671586</v>
      </c>
      <c r="D57" s="235">
        <v>1111.3344389372839</v>
      </c>
      <c r="E57" s="235">
        <v>1135.0949426046798</v>
      </c>
      <c r="F57" s="235">
        <v>1157.6934752560776</v>
      </c>
      <c r="G57" s="235">
        <v>1203.6036715025605</v>
      </c>
    </row>
    <row r="58" spans="2:7" ht="15.95" customHeight="1">
      <c r="B58" s="8" t="s">
        <v>1532</v>
      </c>
      <c r="C58" s="235">
        <v>524.93564759997412</v>
      </c>
      <c r="D58" s="235">
        <v>545.98666108455063</v>
      </c>
      <c r="E58" s="235">
        <v>558.06779491703185</v>
      </c>
      <c r="F58" s="235">
        <v>569.12049410220379</v>
      </c>
      <c r="G58" s="235">
        <v>591.55456634258269</v>
      </c>
    </row>
    <row r="59" spans="2:7" ht="15.95" customHeight="1">
      <c r="B59" s="8" t="s">
        <v>1529</v>
      </c>
      <c r="C59" s="235">
        <v>613.54575917381158</v>
      </c>
      <c r="D59" s="235">
        <v>638.03397855143783</v>
      </c>
      <c r="E59" s="235">
        <v>651.80798196387093</v>
      </c>
      <c r="F59" s="235">
        <v>664.5731479176352</v>
      </c>
      <c r="G59" s="235">
        <v>690.91193956613836</v>
      </c>
    </row>
    <row r="60" spans="2:7" ht="15.95" customHeight="1">
      <c r="B60" s="12" t="s">
        <v>169</v>
      </c>
      <c r="C60" s="235"/>
      <c r="D60" s="235"/>
      <c r="E60" s="235"/>
      <c r="F60" s="235"/>
      <c r="G60" s="235"/>
    </row>
    <row r="61" spans="2:7" ht="15.95" customHeight="1">
      <c r="B61" s="8" t="s">
        <v>98</v>
      </c>
      <c r="C61" s="235">
        <v>4462.9087430435529</v>
      </c>
      <c r="D61" s="235">
        <v>4659.9788027455015</v>
      </c>
      <c r="E61" s="235">
        <v>4810.6073657230863</v>
      </c>
      <c r="F61" s="235">
        <v>4914.3252772374553</v>
      </c>
      <c r="G61" s="235">
        <v>5102.0683710364647</v>
      </c>
    </row>
    <row r="62" spans="2:7" ht="15.95" customHeight="1">
      <c r="B62" s="8" t="s">
        <v>170</v>
      </c>
      <c r="C62" s="235">
        <v>1615.0010481757656</v>
      </c>
      <c r="D62" s="235">
        <v>1691.4362898221334</v>
      </c>
      <c r="E62" s="235">
        <v>1754.4760207244703</v>
      </c>
      <c r="F62" s="235">
        <v>1794.0062740156911</v>
      </c>
      <c r="G62" s="235">
        <v>1858.6468996132137</v>
      </c>
    </row>
    <row r="63" spans="2:7" ht="15.95" customHeight="1">
      <c r="B63" s="8" t="s">
        <v>171</v>
      </c>
      <c r="C63" s="235">
        <v>4351.3519268662249</v>
      </c>
      <c r="D63" s="235">
        <v>4548.6403899680899</v>
      </c>
      <c r="E63" s="235">
        <v>4703.0916969463296</v>
      </c>
      <c r="F63" s="235">
        <v>4798.3935563320347</v>
      </c>
      <c r="G63" s="235">
        <v>4985.7934106236644</v>
      </c>
    </row>
    <row r="64" spans="2:7" ht="15.95" customHeight="1">
      <c r="B64" s="12" t="s">
        <v>172</v>
      </c>
      <c r="C64" s="235"/>
      <c r="D64" s="235"/>
      <c r="E64" s="235"/>
      <c r="F64" s="235"/>
      <c r="G64" s="235"/>
    </row>
    <row r="65" spans="2:7" ht="15.95" customHeight="1">
      <c r="B65" s="8" t="s">
        <v>99</v>
      </c>
      <c r="C65" s="235">
        <v>13833.493163907748</v>
      </c>
      <c r="D65" s="235">
        <v>14417.76749889223</v>
      </c>
      <c r="E65" s="235">
        <v>14882.30949895</v>
      </c>
      <c r="F65" s="235">
        <v>15204.907780563763</v>
      </c>
      <c r="G65" s="235">
        <v>15767.859354023909</v>
      </c>
    </row>
    <row r="66" spans="2:7" ht="15.95" customHeight="1">
      <c r="B66" s="8" t="s">
        <v>173</v>
      </c>
      <c r="C66" s="235">
        <v>15860.758713414267</v>
      </c>
      <c r="D66" s="235">
        <v>16539.346923297922</v>
      </c>
      <c r="E66" s="235">
        <v>17045.54985305791</v>
      </c>
      <c r="F66" s="235">
        <v>17403.238767025414</v>
      </c>
      <c r="G66" s="235">
        <v>18055.079905217113</v>
      </c>
    </row>
    <row r="67" spans="2:7" ht="15.95" customHeight="1">
      <c r="B67" s="12" t="s">
        <v>174</v>
      </c>
      <c r="C67" s="235"/>
      <c r="D67" s="235"/>
      <c r="E67" s="235"/>
      <c r="F67" s="235"/>
      <c r="G67" s="235"/>
    </row>
    <row r="68" spans="2:7" ht="15.95" customHeight="1">
      <c r="B68" s="8" t="s">
        <v>111</v>
      </c>
      <c r="C68" s="235">
        <v>29820.485907147813</v>
      </c>
      <c r="D68" s="235">
        <v>31069.925804351882</v>
      </c>
      <c r="E68" s="235">
        <v>31864.753209154402</v>
      </c>
      <c r="F68" s="235">
        <v>32489.609565347459</v>
      </c>
      <c r="G68" s="235">
        <v>33762.412988393633</v>
      </c>
    </row>
    <row r="69" spans="2:7" ht="15.95" customHeight="1">
      <c r="B69" s="8" t="s">
        <v>175</v>
      </c>
      <c r="C69" s="235">
        <v>25033.614442691916</v>
      </c>
      <c r="D69" s="235">
        <v>26143.037132773861</v>
      </c>
      <c r="E69" s="235">
        <v>27094.272360729814</v>
      </c>
      <c r="F69" s="235">
        <v>27721.728149744431</v>
      </c>
      <c r="G69" s="235">
        <v>28714.852777078409</v>
      </c>
    </row>
    <row r="70" spans="2:7" ht="15.95" customHeight="1">
      <c r="B70" s="12" t="s">
        <v>176</v>
      </c>
      <c r="C70" s="235"/>
      <c r="D70" s="235"/>
      <c r="E70" s="235"/>
      <c r="F70" s="235"/>
      <c r="G70" s="235"/>
    </row>
    <row r="71" spans="2:7" ht="15.95" customHeight="1">
      <c r="B71" s="8" t="s">
        <v>131</v>
      </c>
      <c r="C71" s="235">
        <v>1119.0553867884328</v>
      </c>
      <c r="D71" s="235">
        <v>1176.3991686583627</v>
      </c>
      <c r="E71" s="235">
        <v>1226.9298279298848</v>
      </c>
      <c r="F71" s="235">
        <v>1253.0467978904467</v>
      </c>
      <c r="G71" s="235">
        <v>1301.3064162958333</v>
      </c>
    </row>
    <row r="72" spans="2:7" ht="15.95" customHeight="1">
      <c r="B72" s="8" t="s">
        <v>177</v>
      </c>
      <c r="C72" s="235" t="s">
        <v>262</v>
      </c>
      <c r="D72" s="235" t="s">
        <v>262</v>
      </c>
      <c r="E72" s="235" t="s">
        <v>262</v>
      </c>
      <c r="F72" s="235" t="s">
        <v>262</v>
      </c>
      <c r="G72" s="235" t="s">
        <v>262</v>
      </c>
    </row>
    <row r="73" spans="2:7" ht="15.95" customHeight="1">
      <c r="B73" s="8" t="s">
        <v>178</v>
      </c>
      <c r="C73" s="235" t="s">
        <v>262</v>
      </c>
      <c r="D73" s="235" t="s">
        <v>262</v>
      </c>
      <c r="E73" s="235" t="s">
        <v>262</v>
      </c>
      <c r="F73" s="235" t="s">
        <v>262</v>
      </c>
      <c r="G73" s="235" t="s">
        <v>262</v>
      </c>
    </row>
    <row r="74" spans="2:7" ht="15.95" customHeight="1">
      <c r="B74" s="12" t="s">
        <v>179</v>
      </c>
      <c r="C74" s="235"/>
      <c r="D74" s="235"/>
      <c r="E74" s="235"/>
      <c r="F74" s="235"/>
      <c r="G74" s="235"/>
    </row>
    <row r="75" spans="2:7" ht="15.95" customHeight="1">
      <c r="B75" s="8" t="s">
        <v>132</v>
      </c>
      <c r="C75" s="235">
        <v>599.69384691650862</v>
      </c>
      <c r="D75" s="235">
        <v>628.97023944314139</v>
      </c>
      <c r="E75" s="235">
        <v>653.52463317515583</v>
      </c>
      <c r="F75" s="235">
        <v>667.6906295590104</v>
      </c>
      <c r="G75" s="235">
        <v>692.95332311021764</v>
      </c>
    </row>
    <row r="76" spans="2:7" ht="15.95" customHeight="1">
      <c r="B76" s="8" t="s">
        <v>180</v>
      </c>
      <c r="C76" s="235" t="s">
        <v>262</v>
      </c>
      <c r="D76" s="235" t="s">
        <v>262</v>
      </c>
      <c r="E76" s="235" t="s">
        <v>262</v>
      </c>
      <c r="F76" s="235" t="s">
        <v>262</v>
      </c>
      <c r="G76" s="235" t="s">
        <v>262</v>
      </c>
    </row>
    <row r="77" spans="2:7" ht="15.95" customHeight="1">
      <c r="B77" s="8" t="s">
        <v>181</v>
      </c>
      <c r="C77" s="235" t="s">
        <v>262</v>
      </c>
      <c r="D77" s="235" t="s">
        <v>262</v>
      </c>
      <c r="E77" s="235" t="s">
        <v>262</v>
      </c>
      <c r="F77" s="235" t="s">
        <v>262</v>
      </c>
      <c r="G77" s="235" t="s">
        <v>262</v>
      </c>
    </row>
    <row r="78" spans="2:7" ht="15.95" customHeight="1">
      <c r="B78" s="12" t="s">
        <v>182</v>
      </c>
      <c r="C78" s="235"/>
      <c r="D78" s="235"/>
      <c r="E78" s="235"/>
      <c r="F78" s="235"/>
      <c r="G78" s="235"/>
    </row>
    <row r="79" spans="2:7" ht="15.95" customHeight="1">
      <c r="B79" s="8" t="s">
        <v>133</v>
      </c>
      <c r="C79" s="235">
        <v>225.36708666334286</v>
      </c>
      <c r="D79" s="235">
        <v>235.76022900946788</v>
      </c>
      <c r="E79" s="235">
        <v>243.47303464527639</v>
      </c>
      <c r="F79" s="235">
        <v>248.61490506914885</v>
      </c>
      <c r="G79" s="235">
        <v>258.18753617742186</v>
      </c>
    </row>
    <row r="80" spans="2:7" ht="15.95" customHeight="1">
      <c r="B80" s="8" t="s">
        <v>183</v>
      </c>
      <c r="C80" s="235" t="s">
        <v>262</v>
      </c>
      <c r="D80" s="235" t="s">
        <v>262</v>
      </c>
      <c r="E80" s="235" t="s">
        <v>262</v>
      </c>
      <c r="F80" s="235" t="s">
        <v>262</v>
      </c>
      <c r="G80" s="235" t="s">
        <v>262</v>
      </c>
    </row>
    <row r="81" spans="2:7" ht="15.95" customHeight="1">
      <c r="B81" s="8" t="s">
        <v>184</v>
      </c>
      <c r="C81" s="235" t="s">
        <v>262</v>
      </c>
      <c r="D81" s="235" t="s">
        <v>262</v>
      </c>
      <c r="E81" s="235" t="s">
        <v>262</v>
      </c>
      <c r="F81" s="235" t="s">
        <v>262</v>
      </c>
      <c r="G81" s="235" t="s">
        <v>262</v>
      </c>
    </row>
    <row r="82" spans="2:7" ht="15.95" customHeight="1">
      <c r="B82" s="12" t="s">
        <v>185</v>
      </c>
      <c r="C82" s="235"/>
      <c r="D82" s="235"/>
      <c r="E82" s="235"/>
      <c r="F82" s="235"/>
      <c r="G82" s="235"/>
    </row>
    <row r="83" spans="2:7" ht="15.95" customHeight="1">
      <c r="B83" s="8" t="s">
        <v>134</v>
      </c>
      <c r="C83" s="235">
        <v>1655.7828382328621</v>
      </c>
      <c r="D83" s="235">
        <v>1747.3085227582967</v>
      </c>
      <c r="E83" s="235">
        <v>1835.2682715230001</v>
      </c>
      <c r="F83" s="235">
        <v>1874.4935648910434</v>
      </c>
      <c r="G83" s="235">
        <v>1948.1895706128219</v>
      </c>
    </row>
    <row r="84" spans="2:7" ht="15.95" customHeight="1">
      <c r="B84" s="8" t="s">
        <v>186</v>
      </c>
      <c r="C84" s="235" t="s">
        <v>262</v>
      </c>
      <c r="D84" s="235" t="s">
        <v>262</v>
      </c>
      <c r="E84" s="235" t="s">
        <v>262</v>
      </c>
      <c r="F84" s="235" t="s">
        <v>262</v>
      </c>
      <c r="G84" s="235" t="s">
        <v>262</v>
      </c>
    </row>
    <row r="85" spans="2:7" ht="15.95" customHeight="1">
      <c r="B85" s="8" t="s">
        <v>187</v>
      </c>
      <c r="C85" s="235" t="s">
        <v>262</v>
      </c>
      <c r="D85" s="235" t="s">
        <v>262</v>
      </c>
      <c r="E85" s="235" t="s">
        <v>262</v>
      </c>
      <c r="F85" s="235" t="s">
        <v>262</v>
      </c>
      <c r="G85" s="235" t="s">
        <v>262</v>
      </c>
    </row>
    <row r="86" spans="2:7" ht="15.95" customHeight="1">
      <c r="B86" s="12" t="s">
        <v>188</v>
      </c>
      <c r="C86" s="235"/>
      <c r="D86" s="235"/>
      <c r="E86" s="235"/>
      <c r="F86" s="235"/>
      <c r="G86" s="235"/>
    </row>
    <row r="87" spans="2:7" ht="15.95" customHeight="1">
      <c r="B87" s="8" t="s">
        <v>135</v>
      </c>
      <c r="C87" s="235">
        <v>323896.68471909629</v>
      </c>
      <c r="D87" s="235">
        <v>339640.0435879585</v>
      </c>
      <c r="E87" s="235">
        <v>352650.53605277772</v>
      </c>
      <c r="F87" s="235">
        <v>360330.81184972101</v>
      </c>
      <c r="G87" s="235">
        <v>373916.66055653058</v>
      </c>
    </row>
    <row r="88" spans="2:7" ht="15.95" customHeight="1">
      <c r="B88" s="8" t="s">
        <v>189</v>
      </c>
      <c r="C88" s="235" t="s">
        <v>262</v>
      </c>
      <c r="D88" s="235" t="s">
        <v>262</v>
      </c>
      <c r="E88" s="235" t="s">
        <v>262</v>
      </c>
      <c r="F88" s="235" t="s">
        <v>262</v>
      </c>
      <c r="G88" s="235" t="s">
        <v>262</v>
      </c>
    </row>
    <row r="89" spans="2:7" ht="15.95" customHeight="1">
      <c r="B89" s="8" t="s">
        <v>190</v>
      </c>
      <c r="C89" s="235" t="s">
        <v>262</v>
      </c>
      <c r="D89" s="235" t="s">
        <v>262</v>
      </c>
      <c r="E89" s="235" t="s">
        <v>262</v>
      </c>
      <c r="F89" s="235" t="s">
        <v>262</v>
      </c>
      <c r="G89" s="235" t="s">
        <v>262</v>
      </c>
    </row>
    <row r="90" spans="2:7" ht="15.95" customHeight="1">
      <c r="B90" s="12" t="s">
        <v>1537</v>
      </c>
      <c r="C90" s="235"/>
      <c r="D90" s="235"/>
      <c r="E90" s="235"/>
      <c r="F90" s="235"/>
      <c r="G90" s="235"/>
    </row>
    <row r="91" spans="2:7" ht="15.95" customHeight="1">
      <c r="B91" s="8" t="s">
        <v>1534</v>
      </c>
      <c r="C91" s="235">
        <v>-78.62177289622413</v>
      </c>
      <c r="D91" s="235">
        <v>-82.233373771315698</v>
      </c>
      <c r="E91" s="235">
        <v>-86.678421002197638</v>
      </c>
      <c r="F91" s="235">
        <v>-89.734390973428944</v>
      </c>
      <c r="G91" s="235">
        <v>-92.512545492730169</v>
      </c>
    </row>
    <row r="92" spans="2:7" ht="15.95" customHeight="1">
      <c r="B92" s="8" t="s">
        <v>1531</v>
      </c>
      <c r="C92" s="235" t="s">
        <v>262</v>
      </c>
      <c r="D92" s="235" t="s">
        <v>262</v>
      </c>
      <c r="E92" s="235" t="s">
        <v>262</v>
      </c>
      <c r="F92" s="235" t="s">
        <v>262</v>
      </c>
      <c r="G92" s="235" t="s">
        <v>262</v>
      </c>
    </row>
    <row r="93" spans="2:7" ht="15.95" customHeight="1">
      <c r="B93" s="8" t="s">
        <v>1528</v>
      </c>
      <c r="C93" s="235" t="s">
        <v>262</v>
      </c>
      <c r="D93" s="235" t="s">
        <v>262</v>
      </c>
      <c r="E93" s="235" t="s">
        <v>262</v>
      </c>
      <c r="F93" s="235" t="s">
        <v>262</v>
      </c>
      <c r="G93" s="235" t="s">
        <v>262</v>
      </c>
    </row>
    <row r="94" spans="2:7" ht="15.95" customHeight="1">
      <c r="B94" s="12" t="s">
        <v>191</v>
      </c>
      <c r="C94" s="235"/>
      <c r="D94" s="235"/>
      <c r="E94" s="235"/>
      <c r="F94" s="235"/>
      <c r="G94" s="235"/>
    </row>
    <row r="95" spans="2:7" ht="15.95" customHeight="1">
      <c r="B95" s="8" t="s">
        <v>100</v>
      </c>
      <c r="C95" s="235" t="s">
        <v>262</v>
      </c>
      <c r="D95" s="235" t="s">
        <v>262</v>
      </c>
      <c r="E95" s="235" t="s">
        <v>262</v>
      </c>
      <c r="F95" s="235" t="s">
        <v>262</v>
      </c>
      <c r="G95" s="235" t="s">
        <v>262</v>
      </c>
    </row>
    <row r="96" spans="2:7" ht="15.95" customHeight="1">
      <c r="B96" s="8" t="s">
        <v>192</v>
      </c>
      <c r="C96" s="235" t="s">
        <v>262</v>
      </c>
      <c r="D96" s="235" t="s">
        <v>262</v>
      </c>
      <c r="E96" s="235" t="s">
        <v>262</v>
      </c>
      <c r="F96" s="235" t="s">
        <v>262</v>
      </c>
      <c r="G96" s="235" t="s">
        <v>262</v>
      </c>
    </row>
    <row r="97" spans="2:7" ht="15.95" customHeight="1">
      <c r="B97" s="12" t="s">
        <v>193</v>
      </c>
      <c r="C97" s="235"/>
      <c r="D97" s="235"/>
      <c r="E97" s="235"/>
      <c r="F97" s="235"/>
      <c r="G97" s="235"/>
    </row>
    <row r="98" spans="2:7" ht="15.95" customHeight="1">
      <c r="B98" s="8" t="s">
        <v>101</v>
      </c>
      <c r="C98" s="235">
        <v>-819.76711600686019</v>
      </c>
      <c r="D98" s="235">
        <v>-857.43705352429038</v>
      </c>
      <c r="E98" s="235">
        <v>-903.63973564940898</v>
      </c>
      <c r="F98" s="235">
        <v>-935.65774049245636</v>
      </c>
      <c r="G98" s="235">
        <v>-964.57555101774119</v>
      </c>
    </row>
    <row r="99" spans="2:7" ht="15.95" customHeight="1">
      <c r="B99" s="8" t="s">
        <v>194</v>
      </c>
      <c r="C99" s="235" t="s">
        <v>262</v>
      </c>
      <c r="D99" s="235" t="s">
        <v>262</v>
      </c>
      <c r="E99" s="235" t="s">
        <v>262</v>
      </c>
      <c r="F99" s="235" t="s">
        <v>262</v>
      </c>
      <c r="G99" s="235" t="s">
        <v>262</v>
      </c>
    </row>
    <row r="100" spans="2:7" ht="15.95" customHeight="1">
      <c r="B100" s="8" t="s">
        <v>195</v>
      </c>
      <c r="C100" s="235" t="s">
        <v>262</v>
      </c>
      <c r="D100" s="235" t="s">
        <v>262</v>
      </c>
      <c r="E100" s="235" t="s">
        <v>262</v>
      </c>
      <c r="F100" s="235" t="s">
        <v>262</v>
      </c>
      <c r="G100" s="235" t="s">
        <v>262</v>
      </c>
    </row>
    <row r="101" spans="2:7" ht="15.95" customHeight="1">
      <c r="B101" s="12" t="s">
        <v>196</v>
      </c>
      <c r="C101" s="235"/>
      <c r="D101" s="235"/>
      <c r="E101" s="235"/>
      <c r="F101" s="235"/>
      <c r="G101" s="235"/>
    </row>
    <row r="102" spans="2:7" ht="15.95" customHeight="1">
      <c r="B102" s="8" t="s">
        <v>102</v>
      </c>
      <c r="C102" s="235">
        <v>-628.71132141587054</v>
      </c>
      <c r="D102" s="235">
        <v>-657.68619768083227</v>
      </c>
      <c r="E102" s="235">
        <v>-690.12515304449164</v>
      </c>
      <c r="F102" s="235">
        <v>-714.41511149919302</v>
      </c>
      <c r="G102" s="235">
        <v>-736.82298272987259</v>
      </c>
    </row>
    <row r="103" spans="2:7" ht="15.95" customHeight="1">
      <c r="B103" s="8" t="s">
        <v>197</v>
      </c>
      <c r="C103" s="235" t="s">
        <v>262</v>
      </c>
      <c r="D103" s="235" t="s">
        <v>262</v>
      </c>
      <c r="E103" s="235" t="s">
        <v>262</v>
      </c>
      <c r="F103" s="235" t="s">
        <v>262</v>
      </c>
      <c r="G103" s="235" t="s">
        <v>262</v>
      </c>
    </row>
    <row r="104" spans="2:7" ht="15.95" customHeight="1">
      <c r="B104" s="8" t="s">
        <v>198</v>
      </c>
      <c r="C104" s="235" t="s">
        <v>262</v>
      </c>
      <c r="D104" s="235" t="s">
        <v>262</v>
      </c>
      <c r="E104" s="235" t="s">
        <v>262</v>
      </c>
      <c r="F104" s="235" t="s">
        <v>262</v>
      </c>
      <c r="G104" s="235" t="s">
        <v>262</v>
      </c>
    </row>
    <row r="105" spans="2:7" ht="15.95" customHeight="1">
      <c r="B105" s="12" t="s">
        <v>199</v>
      </c>
      <c r="C105" s="235"/>
      <c r="D105" s="235"/>
      <c r="E105" s="235"/>
      <c r="F105" s="235"/>
      <c r="G105" s="235"/>
    </row>
    <row r="106" spans="2:7" ht="15.95" customHeight="1">
      <c r="B106" s="8" t="s">
        <v>103</v>
      </c>
      <c r="C106" s="235">
        <v>-1106.2276956453009</v>
      </c>
      <c r="D106" s="235">
        <v>-1154.3245519777054</v>
      </c>
      <c r="E106" s="235">
        <v>-1216.0579147448825</v>
      </c>
      <c r="F106" s="235">
        <v>-1259.8553248061623</v>
      </c>
      <c r="G106" s="235">
        <v>-1298.6151209749185</v>
      </c>
    </row>
    <row r="107" spans="2:7" ht="15.95" customHeight="1">
      <c r="B107" s="8" t="s">
        <v>200</v>
      </c>
      <c r="C107" s="235" t="s">
        <v>262</v>
      </c>
      <c r="D107" s="235" t="s">
        <v>262</v>
      </c>
      <c r="E107" s="235" t="s">
        <v>262</v>
      </c>
      <c r="F107" s="235" t="s">
        <v>262</v>
      </c>
      <c r="G107" s="235" t="s">
        <v>262</v>
      </c>
    </row>
    <row r="108" spans="2:7" ht="15.95" customHeight="1">
      <c r="B108" s="12" t="s">
        <v>201</v>
      </c>
      <c r="C108" s="235"/>
      <c r="D108" s="235"/>
      <c r="E108" s="235"/>
      <c r="F108" s="235"/>
      <c r="G108" s="235"/>
    </row>
    <row r="109" spans="2:7" ht="15.95" customHeight="1">
      <c r="B109" s="8" t="s">
        <v>104</v>
      </c>
      <c r="C109" s="235">
        <v>-17070.282031848892</v>
      </c>
      <c r="D109" s="235">
        <v>-17834.75082839264</v>
      </c>
      <c r="E109" s="235">
        <v>-18700.168675509016</v>
      </c>
      <c r="F109" s="235">
        <v>-19368.304303006826</v>
      </c>
      <c r="G109" s="235">
        <v>-19963.008642562938</v>
      </c>
    </row>
    <row r="110" spans="2:7" ht="15.95" customHeight="1">
      <c r="B110" s="8" t="s">
        <v>202</v>
      </c>
      <c r="C110" s="235" t="s">
        <v>262</v>
      </c>
      <c r="D110" s="235" t="s">
        <v>262</v>
      </c>
      <c r="E110" s="235" t="s">
        <v>262</v>
      </c>
      <c r="F110" s="235" t="s">
        <v>262</v>
      </c>
      <c r="G110" s="235" t="s">
        <v>262</v>
      </c>
    </row>
    <row r="111" spans="2:7" ht="15.95" customHeight="1">
      <c r="B111" s="12" t="s">
        <v>203</v>
      </c>
      <c r="C111" s="235"/>
      <c r="D111" s="235"/>
      <c r="E111" s="235"/>
      <c r="F111" s="235"/>
      <c r="G111" s="235"/>
    </row>
    <row r="112" spans="2:7" ht="15.95" customHeight="1">
      <c r="B112" s="8" t="s">
        <v>112</v>
      </c>
      <c r="C112" s="235">
        <v>-4012.4718898859155</v>
      </c>
      <c r="D112" s="235">
        <v>-4189.9281956908444</v>
      </c>
      <c r="E112" s="235">
        <v>-4416.3625752057751</v>
      </c>
      <c r="F112" s="235">
        <v>-4582.1897966195793</v>
      </c>
      <c r="G112" s="235">
        <v>-4730.2793654276074</v>
      </c>
    </row>
    <row r="113" spans="2:7" ht="15.95" customHeight="1">
      <c r="B113" s="8" t="s">
        <v>204</v>
      </c>
      <c r="C113" s="235" t="s">
        <v>262</v>
      </c>
      <c r="D113" s="235" t="s">
        <v>262</v>
      </c>
      <c r="E113" s="235" t="s">
        <v>262</v>
      </c>
      <c r="F113" s="235" t="s">
        <v>262</v>
      </c>
      <c r="G113" s="235" t="s">
        <v>262</v>
      </c>
    </row>
    <row r="114" spans="2:7" ht="15.95" customHeight="1">
      <c r="B114" s="12" t="s">
        <v>205</v>
      </c>
      <c r="C114" s="235"/>
      <c r="D114" s="235"/>
      <c r="E114" s="235"/>
      <c r="F114" s="235"/>
      <c r="G114" s="235"/>
    </row>
    <row r="115" spans="2:7" ht="15.95" customHeight="1">
      <c r="B115" s="8" t="s">
        <v>113</v>
      </c>
      <c r="C115" s="235">
        <v>-14770.730112818585</v>
      </c>
      <c r="D115" s="235">
        <v>-15420.26692290852</v>
      </c>
      <c r="E115" s="235">
        <v>-16196.265672138212</v>
      </c>
      <c r="F115" s="235">
        <v>-16817.3905919229</v>
      </c>
      <c r="G115" s="235">
        <v>-17358.599876301985</v>
      </c>
    </row>
    <row r="116" spans="2:7" ht="15.95" customHeight="1">
      <c r="B116" s="8" t="s">
        <v>206</v>
      </c>
      <c r="C116" s="235" t="s">
        <v>262</v>
      </c>
      <c r="D116" s="235" t="s">
        <v>262</v>
      </c>
      <c r="E116" s="235" t="s">
        <v>262</v>
      </c>
      <c r="F116" s="235" t="s">
        <v>262</v>
      </c>
      <c r="G116" s="235" t="s">
        <v>262</v>
      </c>
    </row>
  </sheetData>
  <mergeCells count="1">
    <mergeCell ref="B3:F5"/>
  </mergeCells>
  <pageMargins left="0.74803149606299213" right="0.74803149606299213" top="0.98425196850393704" bottom="0.98425196850393704" header="0.51181102362204722" footer="0.51181102362204722"/>
  <pageSetup paperSize="9" scale="41" fitToHeight="2" orientation="portrait" r:id="rId1"/>
  <headerFooter alignWithMargins="0"/>
  <rowBreaks count="1" manualBreakCount="1">
    <brk id="69" min="1" max="6" man="1"/>
  </rowBreaks>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K298"/>
  <sheetViews>
    <sheetView showFormulas="1" showGridLines="0" topLeftCell="A82" workbookViewId="0"/>
  </sheetViews>
  <sheetFormatPr defaultColWidth="8.85546875" defaultRowHeight="12.75"/>
  <cols>
    <col min="1" max="1" width="50.7109375" style="26" customWidth="1"/>
    <col min="2" max="251" width="20.7109375" style="26" customWidth="1"/>
    <col min="252" max="16384" width="8.85546875" style="26"/>
  </cols>
  <sheetData>
    <row r="1" spans="1:7" ht="15.75">
      <c r="A1" s="259" t="s">
        <v>1526</v>
      </c>
    </row>
    <row r="4" spans="1:7" ht="15.75">
      <c r="A4" s="150" t="s">
        <v>0</v>
      </c>
    </row>
    <row r="5" spans="1:7" ht="14.25">
      <c r="A5" s="213" t="s">
        <v>262</v>
      </c>
    </row>
    <row r="6" spans="1:7">
      <c r="B6" s="212" t="s">
        <v>1</v>
      </c>
      <c r="C6" s="212" t="s">
        <v>2</v>
      </c>
      <c r="D6" s="212" t="s">
        <v>3</v>
      </c>
    </row>
    <row r="7" spans="1:7" ht="14.25">
      <c r="A7" s="172" t="s">
        <v>4</v>
      </c>
      <c r="B7" s="258">
        <v>2</v>
      </c>
      <c r="C7" s="258">
        <v>3</v>
      </c>
      <c r="D7" s="258">
        <v>4</v>
      </c>
      <c r="E7" s="211" t="s">
        <v>262</v>
      </c>
    </row>
    <row r="9" spans="1:7" ht="15.75">
      <c r="A9" s="150" t="s">
        <v>45</v>
      </c>
    </row>
    <row r="10" spans="1:7" ht="14.25">
      <c r="A10" s="176"/>
    </row>
    <row r="11" spans="1:7">
      <c r="A11" s="26" t="s">
        <v>46</v>
      </c>
    </row>
    <row r="12" spans="1:7">
      <c r="A12" s="26" t="s">
        <v>47</v>
      </c>
    </row>
    <row r="13" spans="1:7" ht="38.25">
      <c r="B13" s="212" t="s">
        <v>48</v>
      </c>
      <c r="C13" s="212" t="s">
        <v>49</v>
      </c>
      <c r="D13" s="212" t="s">
        <v>50</v>
      </c>
      <c r="E13" s="212" t="s">
        <v>51</v>
      </c>
      <c r="F13" s="212" t="s">
        <v>1398</v>
      </c>
    </row>
    <row r="14" spans="1:7" ht="14.25">
      <c r="A14" s="172" t="s">
        <v>52</v>
      </c>
      <c r="B14" s="258">
        <v>6</v>
      </c>
      <c r="C14" s="258">
        <v>7</v>
      </c>
      <c r="D14" s="258"/>
      <c r="E14" s="258">
        <v>8</v>
      </c>
      <c r="F14" s="258">
        <v>9</v>
      </c>
      <c r="G14" s="211" t="s">
        <v>262</v>
      </c>
    </row>
    <row r="16" spans="1:7" ht="15.75">
      <c r="A16" s="150" t="s">
        <v>53</v>
      </c>
    </row>
    <row r="17" spans="1:3" ht="14.25">
      <c r="A17" s="176"/>
    </row>
    <row r="18" spans="1:3">
      <c r="A18" s="26" t="s">
        <v>54</v>
      </c>
    </row>
    <row r="19" spans="1:3">
      <c r="A19" s="26" t="s">
        <v>55</v>
      </c>
    </row>
    <row r="20" spans="1:3">
      <c r="A20" s="26" t="s">
        <v>56</v>
      </c>
    </row>
    <row r="21" spans="1:3">
      <c r="A21" s="26" t="s">
        <v>57</v>
      </c>
    </row>
    <row r="22" spans="1:3">
      <c r="A22" s="26" t="s">
        <v>58</v>
      </c>
    </row>
    <row r="23" spans="1:3" ht="51">
      <c r="B23" s="212" t="s">
        <v>59</v>
      </c>
    </row>
    <row r="24" spans="1:3" ht="14.25">
      <c r="A24" s="172" t="s">
        <v>60</v>
      </c>
      <c r="B24" s="258">
        <v>11</v>
      </c>
      <c r="C24" s="211" t="s">
        <v>262</v>
      </c>
    </row>
    <row r="25" spans="1:3" ht="14.25">
      <c r="A25" s="172" t="s">
        <v>61</v>
      </c>
      <c r="B25" s="258">
        <v>12</v>
      </c>
      <c r="C25" s="211" t="s">
        <v>262</v>
      </c>
    </row>
    <row r="26" spans="1:3" ht="14.25">
      <c r="A26" s="172" t="s">
        <v>62</v>
      </c>
      <c r="B26" s="258"/>
      <c r="C26" s="211" t="s">
        <v>262</v>
      </c>
    </row>
    <row r="27" spans="1:3" ht="14.25">
      <c r="A27" s="172" t="s">
        <v>63</v>
      </c>
      <c r="B27" s="258">
        <v>13</v>
      </c>
      <c r="C27" s="211" t="s">
        <v>262</v>
      </c>
    </row>
    <row r="28" spans="1:3" ht="14.25">
      <c r="A28" s="172" t="s">
        <v>64</v>
      </c>
      <c r="B28" s="258"/>
      <c r="C28" s="211" t="s">
        <v>262</v>
      </c>
    </row>
    <row r="29" spans="1:3" ht="14.25">
      <c r="A29" s="172" t="s">
        <v>65</v>
      </c>
      <c r="B29" s="258">
        <v>14</v>
      </c>
      <c r="C29" s="211" t="s">
        <v>262</v>
      </c>
    </row>
    <row r="30" spans="1:3" ht="14.25">
      <c r="A30" s="172" t="s">
        <v>66</v>
      </c>
      <c r="B30" s="258"/>
      <c r="C30" s="211" t="s">
        <v>262</v>
      </c>
    </row>
    <row r="31" spans="1:3" ht="14.25">
      <c r="A31" s="172" t="s">
        <v>67</v>
      </c>
      <c r="B31" s="258"/>
      <c r="C31" s="211" t="s">
        <v>262</v>
      </c>
    </row>
    <row r="33" spans="1:3" ht="15.75">
      <c r="A33" s="150" t="s">
        <v>68</v>
      </c>
    </row>
    <row r="34" spans="1:3" ht="14.25">
      <c r="A34" s="213" t="s">
        <v>262</v>
      </c>
    </row>
    <row r="35" spans="1:3">
      <c r="B35" s="212" t="s">
        <v>69</v>
      </c>
    </row>
    <row r="36" spans="1:3" ht="14.25">
      <c r="A36" s="172" t="s">
        <v>64</v>
      </c>
      <c r="B36" s="258">
        <v>15</v>
      </c>
      <c r="C36" s="211" t="s">
        <v>262</v>
      </c>
    </row>
    <row r="38" spans="1:3" ht="15.75">
      <c r="A38" s="150" t="s">
        <v>70</v>
      </c>
    </row>
    <row r="39" spans="1:3" ht="14.25">
      <c r="A39" s="176"/>
    </row>
    <row r="40" spans="1:3" ht="25.5">
      <c r="B40" s="212" t="s">
        <v>71</v>
      </c>
    </row>
    <row r="41" spans="1:3" ht="14.25">
      <c r="A41" s="172" t="s">
        <v>71</v>
      </c>
      <c r="B41" s="258">
        <v>16</v>
      </c>
      <c r="C41" s="211" t="s">
        <v>262</v>
      </c>
    </row>
    <row r="43" spans="1:3" ht="15.75">
      <c r="A43" s="150" t="s">
        <v>72</v>
      </c>
    </row>
    <row r="44" spans="1:3" ht="14.25">
      <c r="A44" s="176"/>
    </row>
    <row r="45" spans="1:3">
      <c r="B45" s="212" t="s">
        <v>73</v>
      </c>
    </row>
    <row r="46" spans="1:3" ht="14.25">
      <c r="A46" s="172" t="s">
        <v>61</v>
      </c>
      <c r="B46" s="258">
        <v>18</v>
      </c>
      <c r="C46" s="211" t="s">
        <v>262</v>
      </c>
    </row>
    <row r="47" spans="1:3" ht="14.25">
      <c r="A47" s="172" t="s">
        <v>62</v>
      </c>
      <c r="B47" s="258">
        <v>19</v>
      </c>
      <c r="C47" s="211" t="s">
        <v>262</v>
      </c>
    </row>
    <row r="48" spans="1:3" ht="14.25">
      <c r="A48" s="172" t="s">
        <v>63</v>
      </c>
      <c r="B48" s="258">
        <v>20</v>
      </c>
      <c r="C48" s="211" t="s">
        <v>262</v>
      </c>
    </row>
    <row r="49" spans="1:10" ht="14.25">
      <c r="A49" s="172" t="s">
        <v>64</v>
      </c>
      <c r="B49" s="258">
        <v>21</v>
      </c>
      <c r="C49" s="211" t="s">
        <v>262</v>
      </c>
    </row>
    <row r="50" spans="1:10" ht="14.25">
      <c r="A50" s="172" t="s">
        <v>69</v>
      </c>
      <c r="B50" s="258">
        <v>22</v>
      </c>
      <c r="C50" s="211" t="s">
        <v>262</v>
      </c>
    </row>
    <row r="51" spans="1:10" ht="14.25">
      <c r="A51" s="172" t="s">
        <v>65</v>
      </c>
      <c r="B51" s="258">
        <v>23</v>
      </c>
      <c r="C51" s="211" t="s">
        <v>262</v>
      </c>
    </row>
    <row r="52" spans="1:10" ht="14.25">
      <c r="A52" s="172" t="s">
        <v>66</v>
      </c>
      <c r="B52" s="258">
        <v>24</v>
      </c>
      <c r="C52" s="211" t="s">
        <v>262</v>
      </c>
    </row>
    <row r="53" spans="1:10" ht="14.25">
      <c r="A53" s="172" t="s">
        <v>67</v>
      </c>
      <c r="B53" s="258">
        <v>25</v>
      </c>
      <c r="C53" s="211" t="s">
        <v>262</v>
      </c>
    </row>
    <row r="55" spans="1:10" ht="15.75">
      <c r="A55" s="150" t="s">
        <v>74</v>
      </c>
    </row>
    <row r="56" spans="1:10" ht="14.25">
      <c r="A56" s="176"/>
    </row>
    <row r="57" spans="1:10">
      <c r="B57" s="212" t="s">
        <v>75</v>
      </c>
      <c r="C57" s="212" t="s">
        <v>76</v>
      </c>
      <c r="D57" s="212" t="s">
        <v>77</v>
      </c>
      <c r="E57" s="212" t="s">
        <v>78</v>
      </c>
      <c r="F57" s="212" t="s">
        <v>79</v>
      </c>
      <c r="G57" s="212" t="s">
        <v>80</v>
      </c>
      <c r="H57" s="212" t="s">
        <v>81</v>
      </c>
      <c r="I57" s="212" t="s">
        <v>82</v>
      </c>
    </row>
    <row r="58" spans="1:10" ht="14.25">
      <c r="A58" s="172" t="s">
        <v>83</v>
      </c>
      <c r="B58" s="258">
        <v>27</v>
      </c>
      <c r="C58" s="258">
        <v>28</v>
      </c>
      <c r="D58" s="258">
        <v>29</v>
      </c>
      <c r="E58" s="258">
        <v>30</v>
      </c>
      <c r="F58" s="258">
        <v>31</v>
      </c>
      <c r="G58" s="258">
        <v>32</v>
      </c>
      <c r="H58" s="258">
        <v>33</v>
      </c>
      <c r="I58" s="258">
        <v>34</v>
      </c>
      <c r="J58" s="211" t="s">
        <v>262</v>
      </c>
    </row>
    <row r="60" spans="1:10" ht="15.75">
      <c r="A60" s="150" t="s">
        <v>84</v>
      </c>
    </row>
    <row r="61" spans="1:10" ht="14.25">
      <c r="A61" s="176"/>
    </row>
    <row r="62" spans="1:10">
      <c r="B62" s="212" t="s">
        <v>85</v>
      </c>
      <c r="C62" s="212" t="s">
        <v>86</v>
      </c>
      <c r="D62" s="212" t="s">
        <v>87</v>
      </c>
      <c r="E62" s="212" t="s">
        <v>88</v>
      </c>
      <c r="F62" s="212" t="s">
        <v>89</v>
      </c>
    </row>
    <row r="63" spans="1:10" ht="14.25">
      <c r="A63" s="172" t="s">
        <v>90</v>
      </c>
      <c r="B63" s="258">
        <v>36</v>
      </c>
      <c r="C63" s="258">
        <v>37</v>
      </c>
      <c r="D63" s="258">
        <v>38</v>
      </c>
      <c r="E63" s="258">
        <v>39</v>
      </c>
      <c r="F63" s="258">
        <v>40</v>
      </c>
      <c r="G63" s="211" t="s">
        <v>262</v>
      </c>
    </row>
    <row r="65" spans="1:9" ht="15.75">
      <c r="A65" s="150" t="s">
        <v>114</v>
      </c>
    </row>
    <row r="66" spans="1:9" ht="14.25">
      <c r="A66" s="213" t="s">
        <v>262</v>
      </c>
    </row>
    <row r="67" spans="1:9">
      <c r="A67" s="26" t="s">
        <v>115</v>
      </c>
    </row>
    <row r="68" spans="1:9">
      <c r="B68" s="212" t="s">
        <v>61</v>
      </c>
      <c r="C68" s="212" t="s">
        <v>62</v>
      </c>
      <c r="D68" s="212" t="s">
        <v>63</v>
      </c>
      <c r="E68" s="212" t="s">
        <v>64</v>
      </c>
      <c r="F68" s="212" t="s">
        <v>65</v>
      </c>
      <c r="G68" s="212" t="s">
        <v>66</v>
      </c>
      <c r="H68" s="212" t="s">
        <v>67</v>
      </c>
    </row>
    <row r="69" spans="1:9" ht="14.25">
      <c r="A69" s="172" t="s">
        <v>116</v>
      </c>
      <c r="B69" s="258">
        <v>45</v>
      </c>
      <c r="C69" s="258">
        <v>46</v>
      </c>
      <c r="D69" s="258">
        <v>47</v>
      </c>
      <c r="E69" s="258">
        <v>48</v>
      </c>
      <c r="F69" s="258">
        <v>49</v>
      </c>
      <c r="G69" s="258">
        <v>50</v>
      </c>
      <c r="H69" s="258">
        <v>51</v>
      </c>
      <c r="I69" s="211" t="s">
        <v>262</v>
      </c>
    </row>
    <row r="71" spans="1:9" ht="15.75">
      <c r="A71" s="150" t="s">
        <v>117</v>
      </c>
    </row>
    <row r="72" spans="1:9" ht="14.25">
      <c r="A72" s="213" t="s">
        <v>262</v>
      </c>
    </row>
    <row r="73" spans="1:9">
      <c r="A73" s="26" t="s">
        <v>118</v>
      </c>
    </row>
    <row r="74" spans="1:9" ht="25.5">
      <c r="B74" s="212" t="s">
        <v>119</v>
      </c>
      <c r="C74" s="212" t="s">
        <v>120</v>
      </c>
      <c r="D74" s="212" t="s">
        <v>121</v>
      </c>
      <c r="E74" s="212" t="s">
        <v>122</v>
      </c>
      <c r="F74" s="212" t="s">
        <v>123</v>
      </c>
    </row>
    <row r="75" spans="1:9" ht="14.25">
      <c r="A75" s="172" t="s">
        <v>124</v>
      </c>
      <c r="B75" s="258"/>
      <c r="C75" s="258">
        <v>53</v>
      </c>
      <c r="D75" s="258">
        <v>54</v>
      </c>
      <c r="E75" s="258">
        <v>55</v>
      </c>
      <c r="F75" s="258">
        <v>56</v>
      </c>
      <c r="G75" s="211" t="s">
        <v>262</v>
      </c>
    </row>
    <row r="77" spans="1:9" ht="15.75">
      <c r="A77" s="150" t="s">
        <v>125</v>
      </c>
    </row>
    <row r="78" spans="1:9" ht="14.25">
      <c r="A78" s="176"/>
    </row>
    <row r="79" spans="1:9">
      <c r="A79" s="26" t="s">
        <v>126</v>
      </c>
    </row>
    <row r="80" spans="1:9">
      <c r="B80" s="212" t="s">
        <v>127</v>
      </c>
      <c r="C80" s="212" t="s">
        <v>128</v>
      </c>
    </row>
    <row r="81" spans="1:4" ht="15">
      <c r="A81" s="8" t="s">
        <v>92</v>
      </c>
      <c r="B81" s="258">
        <f>'CDCM Forecast Data'!A71</f>
        <v>58</v>
      </c>
      <c r="C81" s="258">
        <f>'CDCM Forecast Data'!A91</f>
        <v>78</v>
      </c>
      <c r="D81" s="211" t="s">
        <v>262</v>
      </c>
    </row>
    <row r="82" spans="1:4" ht="15">
      <c r="A82" s="8" t="s">
        <v>93</v>
      </c>
      <c r="B82" s="258">
        <f>'CDCM Forecast Data'!A72</f>
        <v>59</v>
      </c>
      <c r="C82" s="258">
        <f>'CDCM Forecast Data'!A92</f>
        <v>79</v>
      </c>
      <c r="D82" s="211" t="s">
        <v>262</v>
      </c>
    </row>
    <row r="83" spans="1:4" ht="15">
      <c r="A83" s="8" t="s">
        <v>129</v>
      </c>
      <c r="B83" s="258">
        <f>'CDCM Forecast Data'!A73</f>
        <v>60</v>
      </c>
      <c r="C83" s="258">
        <f>'CDCM Forecast Data'!A93</f>
        <v>80</v>
      </c>
      <c r="D83" s="211" t="s">
        <v>262</v>
      </c>
    </row>
    <row r="84" spans="1:4" ht="15">
      <c r="A84" s="8" t="s">
        <v>94</v>
      </c>
      <c r="B84" s="258">
        <f>'CDCM Forecast Data'!A74</f>
        <v>61</v>
      </c>
      <c r="C84" s="258">
        <f>'CDCM Forecast Data'!A94</f>
        <v>81</v>
      </c>
      <c r="D84" s="211" t="s">
        <v>262</v>
      </c>
    </row>
    <row r="85" spans="1:4" ht="15">
      <c r="A85" s="8" t="s">
        <v>95</v>
      </c>
      <c r="B85" s="258">
        <f>'CDCM Forecast Data'!A75</f>
        <v>62</v>
      </c>
      <c r="C85" s="258">
        <f>'CDCM Forecast Data'!A95</f>
        <v>82</v>
      </c>
      <c r="D85" s="211" t="s">
        <v>262</v>
      </c>
    </row>
    <row r="86" spans="1:4" ht="15">
      <c r="A86" s="8" t="s">
        <v>130</v>
      </c>
      <c r="B86" s="258">
        <f>'CDCM Forecast Data'!A76</f>
        <v>63</v>
      </c>
      <c r="C86" s="258">
        <f>'CDCM Forecast Data'!A96</f>
        <v>83</v>
      </c>
      <c r="D86" s="211" t="s">
        <v>262</v>
      </c>
    </row>
    <row r="87" spans="1:4" ht="15">
      <c r="A87" s="8" t="s">
        <v>96</v>
      </c>
      <c r="B87" s="258">
        <f>'CDCM Forecast Data'!A77</f>
        <v>64</v>
      </c>
      <c r="C87" s="258">
        <f>'CDCM Forecast Data'!A97</f>
        <v>84</v>
      </c>
      <c r="D87" s="211" t="s">
        <v>262</v>
      </c>
    </row>
    <row r="88" spans="1:4" ht="15">
      <c r="A88" s="8" t="s">
        <v>97</v>
      </c>
      <c r="B88" s="258">
        <f>'CDCM Forecast Data'!A78</f>
        <v>65</v>
      </c>
      <c r="C88" s="258">
        <f>'CDCM Forecast Data'!A98</f>
        <v>85</v>
      </c>
      <c r="D88" s="211" t="s">
        <v>262</v>
      </c>
    </row>
    <row r="89" spans="1:4" ht="15">
      <c r="A89" s="8" t="s">
        <v>110</v>
      </c>
      <c r="B89" s="258">
        <f>'CDCM Forecast Data'!A79</f>
        <v>66</v>
      </c>
      <c r="C89" s="258">
        <f>'CDCM Forecast Data'!A99</f>
        <v>86</v>
      </c>
      <c r="D89" s="211" t="s">
        <v>262</v>
      </c>
    </row>
    <row r="90" spans="1:4" ht="15">
      <c r="A90" s="8" t="s">
        <v>1536</v>
      </c>
      <c r="B90" s="258">
        <f>'CDCM Forecast Data'!A80</f>
        <v>67</v>
      </c>
      <c r="C90" s="258">
        <f>'CDCM Forecast Data'!A100</f>
        <v>87</v>
      </c>
      <c r="D90" s="211"/>
    </row>
    <row r="91" spans="1:4" ht="15">
      <c r="A91" s="8" t="s">
        <v>1535</v>
      </c>
      <c r="B91" s="258">
        <f>'CDCM Forecast Data'!A81</f>
        <v>68</v>
      </c>
      <c r="C91" s="258">
        <f>'CDCM Forecast Data'!A101</f>
        <v>88</v>
      </c>
      <c r="D91" s="211" t="s">
        <v>262</v>
      </c>
    </row>
    <row r="92" spans="1:4" ht="15">
      <c r="A92" s="8" t="s">
        <v>98</v>
      </c>
      <c r="B92" s="258">
        <f>'CDCM Forecast Data'!A82</f>
        <v>69</v>
      </c>
      <c r="C92" s="258">
        <f>'CDCM Forecast Data'!A102</f>
        <v>89</v>
      </c>
      <c r="D92" s="211" t="s">
        <v>262</v>
      </c>
    </row>
    <row r="93" spans="1:4" ht="15">
      <c r="A93" s="8" t="s">
        <v>99</v>
      </c>
      <c r="B93" s="258">
        <f>'CDCM Forecast Data'!A83</f>
        <v>70</v>
      </c>
      <c r="C93" s="258">
        <f>'CDCM Forecast Data'!A103</f>
        <v>90</v>
      </c>
      <c r="D93" s="211" t="s">
        <v>262</v>
      </c>
    </row>
    <row r="94" spans="1:4" ht="15">
      <c r="A94" s="8" t="s">
        <v>111</v>
      </c>
      <c r="B94" s="258">
        <f>'CDCM Forecast Data'!A84</f>
        <v>71</v>
      </c>
      <c r="C94" s="258">
        <f>'CDCM Forecast Data'!A104</f>
        <v>91</v>
      </c>
      <c r="D94" s="211" t="s">
        <v>262</v>
      </c>
    </row>
    <row r="95" spans="1:4" ht="15">
      <c r="A95" s="8" t="s">
        <v>131</v>
      </c>
      <c r="B95" s="258">
        <f>'CDCM Forecast Data'!A85</f>
        <v>72</v>
      </c>
      <c r="C95" s="258">
        <f>'CDCM Forecast Data'!A105</f>
        <v>92</v>
      </c>
      <c r="D95" s="211" t="s">
        <v>262</v>
      </c>
    </row>
    <row r="96" spans="1:4" ht="15">
      <c r="A96" s="8" t="s">
        <v>132</v>
      </c>
      <c r="B96" s="258">
        <f>'CDCM Forecast Data'!A86</f>
        <v>73</v>
      </c>
      <c r="C96" s="258">
        <f>'CDCM Forecast Data'!A106</f>
        <v>93</v>
      </c>
      <c r="D96" s="211" t="s">
        <v>262</v>
      </c>
    </row>
    <row r="97" spans="1:4" ht="15">
      <c r="A97" s="8" t="s">
        <v>133</v>
      </c>
      <c r="B97" s="258">
        <f>'CDCM Forecast Data'!A87</f>
        <v>74</v>
      </c>
      <c r="C97" s="258">
        <f>'CDCM Forecast Data'!A107</f>
        <v>94</v>
      </c>
      <c r="D97" s="211" t="s">
        <v>262</v>
      </c>
    </row>
    <row r="98" spans="1:4" ht="15">
      <c r="A98" s="8" t="s">
        <v>134</v>
      </c>
      <c r="B98" s="258">
        <f>'CDCM Forecast Data'!A88</f>
        <v>75</v>
      </c>
      <c r="C98" s="258">
        <f>'CDCM Forecast Data'!A108</f>
        <v>95</v>
      </c>
      <c r="D98" s="211" t="s">
        <v>262</v>
      </c>
    </row>
    <row r="99" spans="1:4" ht="15">
      <c r="A99" s="8" t="s">
        <v>135</v>
      </c>
      <c r="B99" s="258">
        <f>'CDCM Forecast Data'!A89</f>
        <v>76</v>
      </c>
      <c r="C99" s="258">
        <f>'CDCM Forecast Data'!A109</f>
        <v>96</v>
      </c>
      <c r="D99" s="211" t="s">
        <v>262</v>
      </c>
    </row>
    <row r="101" spans="1:4" ht="15.75">
      <c r="A101" s="150" t="s">
        <v>136</v>
      </c>
    </row>
    <row r="102" spans="1:4" ht="14.25">
      <c r="A102" s="213" t="s">
        <v>262</v>
      </c>
    </row>
    <row r="103" spans="1:4">
      <c r="A103" s="26" t="s">
        <v>137</v>
      </c>
    </row>
    <row r="104" spans="1:4">
      <c r="A104" s="26" t="s">
        <v>138</v>
      </c>
    </row>
    <row r="105" spans="1:4">
      <c r="A105" s="26" t="s">
        <v>139</v>
      </c>
    </row>
    <row r="106" spans="1:4">
      <c r="B106" s="212" t="s">
        <v>140</v>
      </c>
    </row>
    <row r="107" spans="1:4" ht="15">
      <c r="A107" s="12" t="s">
        <v>146</v>
      </c>
      <c r="B107" s="258">
        <v>1</v>
      </c>
    </row>
    <row r="108" spans="1:4" ht="15">
      <c r="A108" s="8" t="s">
        <v>92</v>
      </c>
      <c r="B108" s="258">
        <f>B107+1</f>
        <v>2</v>
      </c>
    </row>
    <row r="109" spans="1:4" ht="15">
      <c r="A109" s="8" t="s">
        <v>147</v>
      </c>
      <c r="B109" s="258">
        <f t="shared" ref="B109:B172" si="0">B108+1</f>
        <v>3</v>
      </c>
    </row>
    <row r="110" spans="1:4" ht="15">
      <c r="A110" s="8" t="s">
        <v>148</v>
      </c>
      <c r="B110" s="258">
        <f t="shared" si="0"/>
        <v>4</v>
      </c>
    </row>
    <row r="111" spans="1:4" ht="15">
      <c r="A111" s="12" t="s">
        <v>149</v>
      </c>
      <c r="B111" s="258">
        <f t="shared" si="0"/>
        <v>5</v>
      </c>
    </row>
    <row r="112" spans="1:4" ht="15">
      <c r="A112" s="8" t="s">
        <v>93</v>
      </c>
      <c r="B112" s="258">
        <f t="shared" si="0"/>
        <v>6</v>
      </c>
    </row>
    <row r="113" spans="1:2" ht="15">
      <c r="A113" s="8" t="s">
        <v>150</v>
      </c>
      <c r="B113" s="258">
        <f t="shared" si="0"/>
        <v>7</v>
      </c>
    </row>
    <row r="114" spans="1:2" ht="15">
      <c r="A114" s="8" t="s">
        <v>151</v>
      </c>
      <c r="B114" s="258">
        <f t="shared" si="0"/>
        <v>8</v>
      </c>
    </row>
    <row r="115" spans="1:2" ht="15">
      <c r="A115" s="12" t="s">
        <v>152</v>
      </c>
      <c r="B115" s="258">
        <f t="shared" si="0"/>
        <v>9</v>
      </c>
    </row>
    <row r="116" spans="1:2" ht="15">
      <c r="A116" s="8" t="s">
        <v>129</v>
      </c>
      <c r="B116" s="258">
        <f t="shared" si="0"/>
        <v>10</v>
      </c>
    </row>
    <row r="117" spans="1:2" ht="15">
      <c r="A117" s="8" t="s">
        <v>153</v>
      </c>
      <c r="B117" s="258">
        <f t="shared" si="0"/>
        <v>11</v>
      </c>
    </row>
    <row r="118" spans="1:2" ht="15">
      <c r="A118" s="8" t="s">
        <v>154</v>
      </c>
      <c r="B118" s="258">
        <f t="shared" si="0"/>
        <v>12</v>
      </c>
    </row>
    <row r="119" spans="1:2" ht="15">
      <c r="A119" s="12" t="s">
        <v>155</v>
      </c>
      <c r="B119" s="258">
        <f t="shared" si="0"/>
        <v>13</v>
      </c>
    </row>
    <row r="120" spans="1:2" ht="15">
      <c r="A120" s="8" t="s">
        <v>94</v>
      </c>
      <c r="B120" s="258">
        <f t="shared" si="0"/>
        <v>14</v>
      </c>
    </row>
    <row r="121" spans="1:2" ht="15">
      <c r="A121" s="8" t="s">
        <v>156</v>
      </c>
      <c r="B121" s="258">
        <f t="shared" si="0"/>
        <v>15</v>
      </c>
    </row>
    <row r="122" spans="1:2" ht="15">
      <c r="A122" s="8" t="s">
        <v>157</v>
      </c>
      <c r="B122" s="258">
        <f t="shared" si="0"/>
        <v>16</v>
      </c>
    </row>
    <row r="123" spans="1:2" ht="15">
      <c r="A123" s="12" t="s">
        <v>158</v>
      </c>
      <c r="B123" s="258">
        <f t="shared" si="0"/>
        <v>17</v>
      </c>
    </row>
    <row r="124" spans="1:2" ht="15">
      <c r="A124" s="8" t="s">
        <v>95</v>
      </c>
      <c r="B124" s="258">
        <f t="shared" si="0"/>
        <v>18</v>
      </c>
    </row>
    <row r="125" spans="1:2" ht="15">
      <c r="A125" s="8" t="s">
        <v>159</v>
      </c>
      <c r="B125" s="258">
        <f t="shared" si="0"/>
        <v>19</v>
      </c>
    </row>
    <row r="126" spans="1:2" ht="15">
      <c r="A126" s="8" t="s">
        <v>160</v>
      </c>
      <c r="B126" s="258">
        <f t="shared" si="0"/>
        <v>20</v>
      </c>
    </row>
    <row r="127" spans="1:2" ht="15">
      <c r="A127" s="12" t="s">
        <v>161</v>
      </c>
      <c r="B127" s="258">
        <f t="shared" si="0"/>
        <v>21</v>
      </c>
    </row>
    <row r="128" spans="1:2" ht="15">
      <c r="A128" s="8" t="s">
        <v>130</v>
      </c>
      <c r="B128" s="258">
        <f t="shared" si="0"/>
        <v>22</v>
      </c>
    </row>
    <row r="129" spans="1:2" ht="30">
      <c r="A129" s="8" t="s">
        <v>162</v>
      </c>
      <c r="B129" s="258">
        <f t="shared" si="0"/>
        <v>23</v>
      </c>
    </row>
    <row r="130" spans="1:2" ht="30">
      <c r="A130" s="8" t="s">
        <v>163</v>
      </c>
      <c r="B130" s="258">
        <f t="shared" si="0"/>
        <v>24</v>
      </c>
    </row>
    <row r="131" spans="1:2" ht="15">
      <c r="A131" s="12" t="s">
        <v>164</v>
      </c>
      <c r="B131" s="258">
        <f t="shared" si="0"/>
        <v>25</v>
      </c>
    </row>
    <row r="132" spans="1:2" ht="15">
      <c r="A132" s="8" t="s">
        <v>96</v>
      </c>
      <c r="B132" s="258">
        <f t="shared" si="0"/>
        <v>26</v>
      </c>
    </row>
    <row r="133" spans="1:2" ht="15">
      <c r="A133" s="8" t="s">
        <v>165</v>
      </c>
      <c r="B133" s="258">
        <f t="shared" si="0"/>
        <v>27</v>
      </c>
    </row>
    <row r="134" spans="1:2" ht="15">
      <c r="A134" s="8" t="s">
        <v>166</v>
      </c>
      <c r="B134" s="258">
        <f t="shared" si="0"/>
        <v>28</v>
      </c>
    </row>
    <row r="135" spans="1:2" ht="15">
      <c r="A135" s="12" t="s">
        <v>167</v>
      </c>
      <c r="B135" s="258">
        <f t="shared" si="0"/>
        <v>29</v>
      </c>
    </row>
    <row r="136" spans="1:2" ht="15">
      <c r="A136" s="8" t="s">
        <v>97</v>
      </c>
      <c r="B136" s="258">
        <f t="shared" si="0"/>
        <v>30</v>
      </c>
    </row>
    <row r="137" spans="1:2" ht="15">
      <c r="A137" s="12" t="s">
        <v>168</v>
      </c>
      <c r="B137" s="258">
        <f t="shared" si="0"/>
        <v>31</v>
      </c>
    </row>
    <row r="138" spans="1:2" ht="15">
      <c r="A138" s="8" t="s">
        <v>110</v>
      </c>
      <c r="B138" s="258">
        <f t="shared" si="0"/>
        <v>32</v>
      </c>
    </row>
    <row r="139" spans="1:2" ht="15">
      <c r="A139" s="12" t="s">
        <v>1539</v>
      </c>
      <c r="B139" s="258">
        <f t="shared" si="0"/>
        <v>33</v>
      </c>
    </row>
    <row r="140" spans="1:2" ht="15">
      <c r="A140" s="8" t="s">
        <v>1536</v>
      </c>
      <c r="B140" s="258">
        <f t="shared" si="0"/>
        <v>34</v>
      </c>
    </row>
    <row r="141" spans="1:2" ht="15">
      <c r="A141" s="8" t="s">
        <v>1533</v>
      </c>
      <c r="B141" s="258">
        <f t="shared" si="0"/>
        <v>35</v>
      </c>
    </row>
    <row r="142" spans="1:2" ht="15">
      <c r="A142" s="8" t="s">
        <v>1530</v>
      </c>
      <c r="B142" s="258">
        <f t="shared" si="0"/>
        <v>36</v>
      </c>
    </row>
    <row r="143" spans="1:2" ht="15">
      <c r="A143" s="12" t="s">
        <v>1538</v>
      </c>
      <c r="B143" s="258">
        <f t="shared" si="0"/>
        <v>37</v>
      </c>
    </row>
    <row r="144" spans="1:2" ht="15">
      <c r="A144" s="8" t="s">
        <v>1535</v>
      </c>
      <c r="B144" s="258">
        <f t="shared" si="0"/>
        <v>38</v>
      </c>
    </row>
    <row r="145" spans="1:2" ht="15">
      <c r="A145" s="8" t="s">
        <v>1532</v>
      </c>
      <c r="B145" s="258">
        <f t="shared" si="0"/>
        <v>39</v>
      </c>
    </row>
    <row r="146" spans="1:2" ht="15">
      <c r="A146" s="8" t="s">
        <v>1529</v>
      </c>
      <c r="B146" s="258">
        <f t="shared" si="0"/>
        <v>40</v>
      </c>
    </row>
    <row r="147" spans="1:2" ht="15">
      <c r="A147" s="12" t="s">
        <v>169</v>
      </c>
      <c r="B147" s="258">
        <f t="shared" si="0"/>
        <v>41</v>
      </c>
    </row>
    <row r="148" spans="1:2" ht="15">
      <c r="A148" s="8" t="s">
        <v>98</v>
      </c>
      <c r="B148" s="258">
        <f t="shared" si="0"/>
        <v>42</v>
      </c>
    </row>
    <row r="149" spans="1:2" ht="15">
      <c r="A149" s="8" t="s">
        <v>170</v>
      </c>
      <c r="B149" s="258">
        <f t="shared" si="0"/>
        <v>43</v>
      </c>
    </row>
    <row r="150" spans="1:2" ht="15">
      <c r="A150" s="8" t="s">
        <v>171</v>
      </c>
      <c r="B150" s="258">
        <f t="shared" si="0"/>
        <v>44</v>
      </c>
    </row>
    <row r="151" spans="1:2" ht="15">
      <c r="A151" s="12" t="s">
        <v>172</v>
      </c>
      <c r="B151" s="258">
        <f t="shared" si="0"/>
        <v>45</v>
      </c>
    </row>
    <row r="152" spans="1:2" ht="15">
      <c r="A152" s="8" t="s">
        <v>99</v>
      </c>
      <c r="B152" s="258">
        <f t="shared" si="0"/>
        <v>46</v>
      </c>
    </row>
    <row r="153" spans="1:2" ht="15">
      <c r="A153" s="8" t="s">
        <v>173</v>
      </c>
      <c r="B153" s="258">
        <f t="shared" si="0"/>
        <v>47</v>
      </c>
    </row>
    <row r="154" spans="1:2" ht="15">
      <c r="A154" s="12" t="s">
        <v>174</v>
      </c>
      <c r="B154" s="258">
        <f t="shared" si="0"/>
        <v>48</v>
      </c>
    </row>
    <row r="155" spans="1:2" ht="15">
      <c r="A155" s="8" t="s">
        <v>111</v>
      </c>
      <c r="B155" s="258">
        <f t="shared" si="0"/>
        <v>49</v>
      </c>
    </row>
    <row r="156" spans="1:2" ht="15">
      <c r="A156" s="8" t="s">
        <v>175</v>
      </c>
      <c r="B156" s="258">
        <f t="shared" si="0"/>
        <v>50</v>
      </c>
    </row>
    <row r="157" spans="1:2" ht="15">
      <c r="A157" s="12" t="s">
        <v>176</v>
      </c>
      <c r="B157" s="258">
        <f t="shared" si="0"/>
        <v>51</v>
      </c>
    </row>
    <row r="158" spans="1:2" ht="15">
      <c r="A158" s="8" t="s">
        <v>131</v>
      </c>
      <c r="B158" s="258">
        <f t="shared" si="0"/>
        <v>52</v>
      </c>
    </row>
    <row r="159" spans="1:2" ht="15">
      <c r="A159" s="8" t="s">
        <v>177</v>
      </c>
      <c r="B159" s="258">
        <f t="shared" si="0"/>
        <v>53</v>
      </c>
    </row>
    <row r="160" spans="1:2" ht="15">
      <c r="A160" s="8" t="s">
        <v>178</v>
      </c>
      <c r="B160" s="258">
        <f t="shared" si="0"/>
        <v>54</v>
      </c>
    </row>
    <row r="161" spans="1:2" ht="15">
      <c r="A161" s="12" t="s">
        <v>179</v>
      </c>
      <c r="B161" s="258">
        <f t="shared" si="0"/>
        <v>55</v>
      </c>
    </row>
    <row r="162" spans="1:2" ht="15">
      <c r="A162" s="8" t="s">
        <v>132</v>
      </c>
      <c r="B162" s="258">
        <f t="shared" si="0"/>
        <v>56</v>
      </c>
    </row>
    <row r="163" spans="1:2" ht="15">
      <c r="A163" s="8" t="s">
        <v>180</v>
      </c>
      <c r="B163" s="258">
        <f t="shared" si="0"/>
        <v>57</v>
      </c>
    </row>
    <row r="164" spans="1:2" ht="15">
      <c r="A164" s="8" t="s">
        <v>181</v>
      </c>
      <c r="B164" s="258">
        <f t="shared" si="0"/>
        <v>58</v>
      </c>
    </row>
    <row r="165" spans="1:2" ht="15">
      <c r="A165" s="12" t="s">
        <v>182</v>
      </c>
      <c r="B165" s="258">
        <f t="shared" si="0"/>
        <v>59</v>
      </c>
    </row>
    <row r="166" spans="1:2" ht="15">
      <c r="A166" s="8" t="s">
        <v>133</v>
      </c>
      <c r="B166" s="258">
        <f t="shared" si="0"/>
        <v>60</v>
      </c>
    </row>
    <row r="167" spans="1:2" ht="15">
      <c r="A167" s="8" t="s">
        <v>183</v>
      </c>
      <c r="B167" s="258">
        <f t="shared" si="0"/>
        <v>61</v>
      </c>
    </row>
    <row r="168" spans="1:2" ht="15">
      <c r="A168" s="8" t="s">
        <v>184</v>
      </c>
      <c r="B168" s="258">
        <f t="shared" si="0"/>
        <v>62</v>
      </c>
    </row>
    <row r="169" spans="1:2" ht="15">
      <c r="A169" s="12" t="s">
        <v>185</v>
      </c>
      <c r="B169" s="258">
        <f t="shared" si="0"/>
        <v>63</v>
      </c>
    </row>
    <row r="170" spans="1:2" ht="15">
      <c r="A170" s="8" t="s">
        <v>134</v>
      </c>
      <c r="B170" s="258">
        <f t="shared" si="0"/>
        <v>64</v>
      </c>
    </row>
    <row r="171" spans="1:2" ht="15">
      <c r="A171" s="8" t="s">
        <v>186</v>
      </c>
      <c r="B171" s="258">
        <f t="shared" si="0"/>
        <v>65</v>
      </c>
    </row>
    <row r="172" spans="1:2" ht="15">
      <c r="A172" s="8" t="s">
        <v>187</v>
      </c>
      <c r="B172" s="258">
        <f t="shared" si="0"/>
        <v>66</v>
      </c>
    </row>
    <row r="173" spans="1:2" ht="15">
      <c r="A173" s="12" t="s">
        <v>188</v>
      </c>
      <c r="B173" s="258">
        <f t="shared" ref="B173:B203" si="1">B172+1</f>
        <v>67</v>
      </c>
    </row>
    <row r="174" spans="1:2" ht="15">
      <c r="A174" s="8" t="s">
        <v>135</v>
      </c>
      <c r="B174" s="258">
        <f t="shared" si="1"/>
        <v>68</v>
      </c>
    </row>
    <row r="175" spans="1:2" ht="15">
      <c r="A175" s="8" t="s">
        <v>189</v>
      </c>
      <c r="B175" s="258">
        <f t="shared" si="1"/>
        <v>69</v>
      </c>
    </row>
    <row r="176" spans="1:2" ht="15">
      <c r="A176" s="8" t="s">
        <v>190</v>
      </c>
      <c r="B176" s="258">
        <f t="shared" si="1"/>
        <v>70</v>
      </c>
    </row>
    <row r="177" spans="1:2" ht="15">
      <c r="A177" s="12" t="s">
        <v>1537</v>
      </c>
      <c r="B177" s="258">
        <f t="shared" si="1"/>
        <v>71</v>
      </c>
    </row>
    <row r="178" spans="1:2" ht="15">
      <c r="A178" s="8" t="s">
        <v>1534</v>
      </c>
      <c r="B178" s="258">
        <f t="shared" si="1"/>
        <v>72</v>
      </c>
    </row>
    <row r="179" spans="1:2" ht="15">
      <c r="A179" s="8" t="s">
        <v>1531</v>
      </c>
      <c r="B179" s="258">
        <f t="shared" si="1"/>
        <v>73</v>
      </c>
    </row>
    <row r="180" spans="1:2" ht="15">
      <c r="A180" s="8" t="s">
        <v>1528</v>
      </c>
      <c r="B180" s="258">
        <f t="shared" si="1"/>
        <v>74</v>
      </c>
    </row>
    <row r="181" spans="1:2" ht="15">
      <c r="A181" s="12" t="s">
        <v>191</v>
      </c>
      <c r="B181" s="258">
        <f t="shared" si="1"/>
        <v>75</v>
      </c>
    </row>
    <row r="182" spans="1:2" ht="15">
      <c r="A182" s="8" t="s">
        <v>100</v>
      </c>
      <c r="B182" s="258">
        <f t="shared" si="1"/>
        <v>76</v>
      </c>
    </row>
    <row r="183" spans="1:2" ht="15">
      <c r="A183" s="8" t="s">
        <v>192</v>
      </c>
      <c r="B183" s="258">
        <f t="shared" si="1"/>
        <v>77</v>
      </c>
    </row>
    <row r="184" spans="1:2" ht="15">
      <c r="A184" s="12" t="s">
        <v>193</v>
      </c>
      <c r="B184" s="258">
        <f t="shared" si="1"/>
        <v>78</v>
      </c>
    </row>
    <row r="185" spans="1:2" ht="15">
      <c r="A185" s="8" t="s">
        <v>101</v>
      </c>
      <c r="B185" s="258">
        <f t="shared" si="1"/>
        <v>79</v>
      </c>
    </row>
    <row r="186" spans="1:2" ht="15">
      <c r="A186" s="8" t="s">
        <v>194</v>
      </c>
      <c r="B186" s="258">
        <f t="shared" si="1"/>
        <v>80</v>
      </c>
    </row>
    <row r="187" spans="1:2" ht="15">
      <c r="A187" s="8" t="s">
        <v>195</v>
      </c>
      <c r="B187" s="258">
        <f t="shared" si="1"/>
        <v>81</v>
      </c>
    </row>
    <row r="188" spans="1:2" ht="15">
      <c r="A188" s="12" t="s">
        <v>196</v>
      </c>
      <c r="B188" s="258">
        <f t="shared" si="1"/>
        <v>82</v>
      </c>
    </row>
    <row r="189" spans="1:2" ht="15">
      <c r="A189" s="8" t="s">
        <v>102</v>
      </c>
      <c r="B189" s="258">
        <f t="shared" si="1"/>
        <v>83</v>
      </c>
    </row>
    <row r="190" spans="1:2" ht="15">
      <c r="A190" s="8" t="s">
        <v>197</v>
      </c>
      <c r="B190" s="258">
        <f t="shared" si="1"/>
        <v>84</v>
      </c>
    </row>
    <row r="191" spans="1:2" ht="15">
      <c r="A191" s="8" t="s">
        <v>198</v>
      </c>
      <c r="B191" s="258">
        <f t="shared" si="1"/>
        <v>85</v>
      </c>
    </row>
    <row r="192" spans="1:2" ht="15">
      <c r="A192" s="12" t="s">
        <v>199</v>
      </c>
      <c r="B192" s="258">
        <f t="shared" si="1"/>
        <v>86</v>
      </c>
    </row>
    <row r="193" spans="1:2" ht="15">
      <c r="A193" s="8" t="s">
        <v>103</v>
      </c>
      <c r="B193" s="258">
        <f t="shared" si="1"/>
        <v>87</v>
      </c>
    </row>
    <row r="194" spans="1:2" ht="15">
      <c r="A194" s="8" t="s">
        <v>200</v>
      </c>
      <c r="B194" s="258">
        <f t="shared" si="1"/>
        <v>88</v>
      </c>
    </row>
    <row r="195" spans="1:2" ht="15">
      <c r="A195" s="12" t="s">
        <v>201</v>
      </c>
      <c r="B195" s="258">
        <f t="shared" si="1"/>
        <v>89</v>
      </c>
    </row>
    <row r="196" spans="1:2" ht="15">
      <c r="A196" s="8" t="s">
        <v>104</v>
      </c>
      <c r="B196" s="258">
        <f t="shared" si="1"/>
        <v>90</v>
      </c>
    </row>
    <row r="197" spans="1:2" ht="15">
      <c r="A197" s="8" t="s">
        <v>202</v>
      </c>
      <c r="B197" s="258">
        <f t="shared" si="1"/>
        <v>91</v>
      </c>
    </row>
    <row r="198" spans="1:2" ht="15">
      <c r="A198" s="12" t="s">
        <v>203</v>
      </c>
      <c r="B198" s="258">
        <f t="shared" si="1"/>
        <v>92</v>
      </c>
    </row>
    <row r="199" spans="1:2" ht="15">
      <c r="A199" s="8" t="s">
        <v>112</v>
      </c>
      <c r="B199" s="258">
        <f t="shared" si="1"/>
        <v>93</v>
      </c>
    </row>
    <row r="200" spans="1:2" ht="15">
      <c r="A200" s="8" t="s">
        <v>204</v>
      </c>
      <c r="B200" s="258">
        <f t="shared" si="1"/>
        <v>94</v>
      </c>
    </row>
    <row r="201" spans="1:2" ht="15">
      <c r="A201" s="12" t="s">
        <v>205</v>
      </c>
      <c r="B201" s="258">
        <f t="shared" si="1"/>
        <v>95</v>
      </c>
    </row>
    <row r="202" spans="1:2" ht="15">
      <c r="A202" s="8" t="s">
        <v>113</v>
      </c>
      <c r="B202" s="258">
        <f t="shared" si="1"/>
        <v>96</v>
      </c>
    </row>
    <row r="203" spans="1:2" ht="15">
      <c r="A203" s="8" t="s">
        <v>206</v>
      </c>
      <c r="B203" s="258">
        <f t="shared" si="1"/>
        <v>97</v>
      </c>
    </row>
    <row r="205" spans="1:2" ht="15.75">
      <c r="A205" s="150" t="s">
        <v>207</v>
      </c>
    </row>
    <row r="206" spans="1:2" ht="14.25">
      <c r="A206" s="213" t="s">
        <v>262</v>
      </c>
    </row>
    <row r="207" spans="1:2">
      <c r="A207" s="26" t="s">
        <v>137</v>
      </c>
    </row>
    <row r="208" spans="1:2" ht="25.5">
      <c r="B208" s="212" t="s">
        <v>208</v>
      </c>
    </row>
    <row r="209" spans="1:10" ht="14.25">
      <c r="A209" s="172" t="s">
        <v>209</v>
      </c>
      <c r="B209" s="258">
        <f>'CDCM Forecast Data'!A111</f>
        <v>98</v>
      </c>
      <c r="C209" s="211" t="s">
        <v>262</v>
      </c>
    </row>
    <row r="211" spans="1:10" ht="15.75">
      <c r="A211" s="150" t="s">
        <v>210</v>
      </c>
    </row>
    <row r="212" spans="1:10" ht="14.25">
      <c r="A212" s="213" t="s">
        <v>262</v>
      </c>
    </row>
    <row r="213" spans="1:10" ht="25.5">
      <c r="B213" s="212" t="s">
        <v>211</v>
      </c>
      <c r="C213" s="212" t="s">
        <v>212</v>
      </c>
      <c r="D213" s="212" t="s">
        <v>213</v>
      </c>
      <c r="E213" s="212" t="s">
        <v>214</v>
      </c>
    </row>
    <row r="214" spans="1:10" ht="14.25">
      <c r="A214" s="172" t="s">
        <v>215</v>
      </c>
      <c r="B214" s="258">
        <f>'CDCM Forecast Data'!A113</f>
        <v>100</v>
      </c>
      <c r="C214" s="258">
        <f>'CDCM Forecast Data'!A114</f>
        <v>101</v>
      </c>
      <c r="D214" s="258">
        <f>'CDCM Forecast Data'!A115</f>
        <v>102</v>
      </c>
      <c r="E214" s="258">
        <f>'CDCM Forecast Data'!A116</f>
        <v>103</v>
      </c>
      <c r="F214" s="211" t="s">
        <v>262</v>
      </c>
    </row>
    <row r="216" spans="1:10" ht="15.75">
      <c r="A216" s="150" t="s">
        <v>216</v>
      </c>
    </row>
    <row r="217" spans="1:10" ht="14.25">
      <c r="A217" s="176"/>
    </row>
    <row r="218" spans="1:10">
      <c r="A218" s="26" t="s">
        <v>217</v>
      </c>
    </row>
    <row r="219" spans="1:10">
      <c r="A219" s="26" t="s">
        <v>218</v>
      </c>
    </row>
    <row r="220" spans="1:10">
      <c r="A220" s="26" t="s">
        <v>219</v>
      </c>
    </row>
    <row r="221" spans="1:10" ht="25.5">
      <c r="B221" s="212" t="s">
        <v>220</v>
      </c>
      <c r="C221" s="212" t="s">
        <v>221</v>
      </c>
      <c r="D221" s="212" t="s">
        <v>222</v>
      </c>
      <c r="E221" s="212" t="s">
        <v>223</v>
      </c>
      <c r="F221" s="212" t="s">
        <v>224</v>
      </c>
      <c r="G221" s="212" t="s">
        <v>225</v>
      </c>
      <c r="H221" s="212" t="s">
        <v>226</v>
      </c>
      <c r="I221" s="212" t="s">
        <v>227</v>
      </c>
    </row>
    <row r="222" spans="1:10" ht="14.25">
      <c r="A222" s="172" t="s">
        <v>228</v>
      </c>
      <c r="B222" s="258">
        <f>'CDCM Forecast Data'!A119</f>
        <v>106</v>
      </c>
      <c r="C222" s="258">
        <f>'CDCM Forecast Data'!A120</f>
        <v>107</v>
      </c>
      <c r="D222" s="258">
        <f>'CDCM Forecast Data'!A121</f>
        <v>108</v>
      </c>
      <c r="E222" s="258">
        <f>'CDCM Forecast Data'!A122</f>
        <v>109</v>
      </c>
      <c r="F222" s="258">
        <f>'CDCM Forecast Data'!A123</f>
        <v>110</v>
      </c>
      <c r="G222" s="258">
        <f>'CDCM Forecast Data'!A124</f>
        <v>111</v>
      </c>
      <c r="H222" s="258">
        <f>'CDCM Forecast Data'!A125</f>
        <v>112</v>
      </c>
      <c r="I222" s="258">
        <f>'CDCM Forecast Data'!A126</f>
        <v>113</v>
      </c>
      <c r="J222" s="211" t="s">
        <v>262</v>
      </c>
    </row>
    <row r="223" spans="1:10" ht="14.25">
      <c r="A223" s="172" t="s">
        <v>229</v>
      </c>
      <c r="B223" s="258">
        <f>'CDCM Forecast Data'!A128</f>
        <v>115</v>
      </c>
      <c r="C223" s="258">
        <f>'CDCM Forecast Data'!A129</f>
        <v>116</v>
      </c>
      <c r="D223" s="258">
        <f>'CDCM Forecast Data'!A130</f>
        <v>117</v>
      </c>
      <c r="E223" s="258">
        <f>'CDCM Forecast Data'!A131</f>
        <v>118</v>
      </c>
      <c r="F223" s="258">
        <f>'CDCM Forecast Data'!A132</f>
        <v>119</v>
      </c>
      <c r="G223" s="258">
        <f>'CDCM Forecast Data'!A133</f>
        <v>120</v>
      </c>
      <c r="H223" s="258">
        <f>'CDCM Forecast Data'!A134</f>
        <v>121</v>
      </c>
      <c r="I223" s="258"/>
      <c r="J223" s="211" t="s">
        <v>262</v>
      </c>
    </row>
    <row r="224" spans="1:10" ht="14.25">
      <c r="A224" s="172" t="s">
        <v>230</v>
      </c>
      <c r="B224" s="258">
        <f>'CDCM Forecast Data'!A136</f>
        <v>123</v>
      </c>
      <c r="C224" s="258">
        <f>'CDCM Forecast Data'!A137</f>
        <v>124</v>
      </c>
      <c r="D224" s="258">
        <f>'CDCM Forecast Data'!A138</f>
        <v>125</v>
      </c>
      <c r="E224" s="258">
        <f>'CDCM Forecast Data'!A139</f>
        <v>126</v>
      </c>
      <c r="F224" s="258">
        <f>'CDCM Forecast Data'!A140</f>
        <v>127</v>
      </c>
      <c r="G224" s="258">
        <f>'CDCM Forecast Data'!A141</f>
        <v>128</v>
      </c>
      <c r="H224" s="258"/>
      <c r="I224" s="258"/>
      <c r="J224" s="211" t="s">
        <v>262</v>
      </c>
    </row>
    <row r="225" spans="1:10" ht="14.25">
      <c r="A225" s="172" t="s">
        <v>231</v>
      </c>
      <c r="B225" s="258">
        <f>'CDCM Forecast Data'!A143</f>
        <v>130</v>
      </c>
      <c r="C225" s="258">
        <f>'CDCM Forecast Data'!A144</f>
        <v>131</v>
      </c>
      <c r="D225" s="258">
        <f>'CDCM Forecast Data'!A145</f>
        <v>132</v>
      </c>
      <c r="E225" s="258">
        <f>'CDCM Forecast Data'!A146</f>
        <v>133</v>
      </c>
      <c r="F225" s="258"/>
      <c r="G225" s="258"/>
      <c r="H225" s="258"/>
      <c r="I225" s="258"/>
      <c r="J225" s="211" t="s">
        <v>262</v>
      </c>
    </row>
    <row r="227" spans="1:10" ht="15.75">
      <c r="A227" s="150" t="s">
        <v>232</v>
      </c>
    </row>
    <row r="228" spans="1:10" ht="14.25">
      <c r="A228" s="176"/>
    </row>
    <row r="229" spans="1:10">
      <c r="A229" s="26" t="s">
        <v>126</v>
      </c>
    </row>
    <row r="230" spans="1:10">
      <c r="A230" s="26" t="s">
        <v>1473</v>
      </c>
    </row>
    <row r="231" spans="1:10">
      <c r="A231" s="26" t="s">
        <v>1472</v>
      </c>
    </row>
    <row r="232" spans="1:10">
      <c r="A232" s="26" t="s">
        <v>1471</v>
      </c>
    </row>
    <row r="233" spans="1:10">
      <c r="A233" s="26" t="s">
        <v>1470</v>
      </c>
    </row>
    <row r="234" spans="1:10">
      <c r="B234" s="212" t="s">
        <v>233</v>
      </c>
      <c r="C234" s="212" t="s">
        <v>234</v>
      </c>
      <c r="D234" s="212" t="s">
        <v>235</v>
      </c>
    </row>
    <row r="235" spans="1:10" ht="14.25">
      <c r="A235" s="172" t="s">
        <v>92</v>
      </c>
      <c r="B235" s="258">
        <f>'CDCM Forecast Data'!A149</f>
        <v>136</v>
      </c>
      <c r="C235" s="258">
        <f>'CDCM Forecast Data'!A159</f>
        <v>146</v>
      </c>
      <c r="D235" s="262">
        <f>'CDCM Forecast Data'!A169</f>
        <v>156</v>
      </c>
      <c r="E235" s="211" t="s">
        <v>262</v>
      </c>
    </row>
    <row r="236" spans="1:10" ht="14.25">
      <c r="A236" s="172" t="s">
        <v>93</v>
      </c>
      <c r="B236" s="258">
        <f>'CDCM Forecast Data'!A150</f>
        <v>137</v>
      </c>
      <c r="C236" s="258">
        <f>'CDCM Forecast Data'!A160</f>
        <v>147</v>
      </c>
      <c r="D236" s="262">
        <f>'CDCM Forecast Data'!A170</f>
        <v>157</v>
      </c>
      <c r="E236" s="211" t="s">
        <v>262</v>
      </c>
    </row>
    <row r="237" spans="1:10" ht="14.25">
      <c r="A237" s="172" t="s">
        <v>129</v>
      </c>
      <c r="B237" s="258">
        <f>'CDCM Forecast Data'!A151</f>
        <v>138</v>
      </c>
      <c r="C237" s="258">
        <f>'CDCM Forecast Data'!A161</f>
        <v>148</v>
      </c>
      <c r="D237" s="262">
        <f>'CDCM Forecast Data'!A171</f>
        <v>158</v>
      </c>
      <c r="E237" s="211"/>
    </row>
    <row r="238" spans="1:10" ht="14.25">
      <c r="A238" s="172" t="s">
        <v>94</v>
      </c>
      <c r="B238" s="258">
        <f>'CDCM Forecast Data'!A152</f>
        <v>139</v>
      </c>
      <c r="C238" s="258">
        <f>'CDCM Forecast Data'!A162</f>
        <v>149</v>
      </c>
      <c r="D238" s="262">
        <f>'CDCM Forecast Data'!A172</f>
        <v>159</v>
      </c>
      <c r="E238" s="211"/>
    </row>
    <row r="239" spans="1:10" ht="14.25">
      <c r="A239" s="172" t="s">
        <v>95</v>
      </c>
      <c r="B239" s="258">
        <f>'CDCM Forecast Data'!A153</f>
        <v>140</v>
      </c>
      <c r="C239" s="258">
        <f>'CDCM Forecast Data'!A163</f>
        <v>150</v>
      </c>
      <c r="D239" s="262">
        <f>'CDCM Forecast Data'!A173</f>
        <v>160</v>
      </c>
      <c r="E239" s="211" t="s">
        <v>262</v>
      </c>
    </row>
    <row r="240" spans="1:10" ht="14.25">
      <c r="A240" s="172" t="s">
        <v>130</v>
      </c>
      <c r="B240" s="258">
        <f>'CDCM Forecast Data'!A154</f>
        <v>141</v>
      </c>
      <c r="C240" s="258">
        <f>'CDCM Forecast Data'!A164</f>
        <v>151</v>
      </c>
      <c r="D240" s="262">
        <f>'CDCM Forecast Data'!A174</f>
        <v>161</v>
      </c>
      <c r="E240" s="211" t="s">
        <v>262</v>
      </c>
    </row>
    <row r="241" spans="1:5" ht="14.25">
      <c r="A241" s="172" t="s">
        <v>96</v>
      </c>
      <c r="B241" s="258">
        <f>'CDCM Forecast Data'!A155</f>
        <v>142</v>
      </c>
      <c r="C241" s="258">
        <f>'CDCM Forecast Data'!A165</f>
        <v>152</v>
      </c>
      <c r="D241" s="262">
        <f>'CDCM Forecast Data'!A175</f>
        <v>162</v>
      </c>
      <c r="E241" s="211" t="s">
        <v>262</v>
      </c>
    </row>
    <row r="242" spans="1:5" ht="14.25">
      <c r="A242" s="172" t="s">
        <v>97</v>
      </c>
      <c r="B242" s="258">
        <f>'CDCM Forecast Data'!A156</f>
        <v>143</v>
      </c>
      <c r="C242" s="258">
        <f>'CDCM Forecast Data'!A166</f>
        <v>153</v>
      </c>
      <c r="D242" s="262">
        <f>'CDCM Forecast Data'!A176</f>
        <v>163</v>
      </c>
      <c r="E242" s="211" t="s">
        <v>262</v>
      </c>
    </row>
    <row r="243" spans="1:5" ht="14.25">
      <c r="A243" s="172" t="s">
        <v>110</v>
      </c>
      <c r="B243" s="258">
        <f>'CDCM Forecast Data'!A157</f>
        <v>144</v>
      </c>
      <c r="C243" s="258">
        <f>'CDCM Forecast Data'!A167</f>
        <v>154</v>
      </c>
      <c r="D243" s="262">
        <f>'CDCM Forecast Data'!A177</f>
        <v>164</v>
      </c>
      <c r="E243" s="211" t="s">
        <v>262</v>
      </c>
    </row>
    <row r="245" spans="1:5" ht="15.75">
      <c r="A245" s="150" t="s">
        <v>236</v>
      </c>
    </row>
    <row r="246" spans="1:5" ht="14.25">
      <c r="A246" s="176"/>
    </row>
    <row r="247" spans="1:5">
      <c r="A247" s="26" t="s">
        <v>126</v>
      </c>
    </row>
    <row r="248" spans="1:5">
      <c r="A248" s="26" t="s">
        <v>1469</v>
      </c>
    </row>
    <row r="249" spans="1:5">
      <c r="A249" s="26" t="s">
        <v>1468</v>
      </c>
    </row>
    <row r="250" spans="1:5">
      <c r="B250" s="212" t="s">
        <v>233</v>
      </c>
      <c r="C250" s="212" t="s">
        <v>234</v>
      </c>
      <c r="D250" s="212" t="s">
        <v>235</v>
      </c>
    </row>
    <row r="251" spans="1:5" ht="14.25">
      <c r="A251" s="172" t="s">
        <v>93</v>
      </c>
      <c r="B251" s="258">
        <f>'CDCM Forecast Data'!A180</f>
        <v>167</v>
      </c>
      <c r="C251" s="262">
        <f>'CDCM Forecast Data'!A186</f>
        <v>173</v>
      </c>
      <c r="D251" s="258">
        <f>'CDCM Forecast Data'!A192</f>
        <v>179</v>
      </c>
      <c r="E251" s="219" t="s">
        <v>262</v>
      </c>
    </row>
    <row r="252" spans="1:5" ht="14.25">
      <c r="A252" s="172" t="s">
        <v>95</v>
      </c>
      <c r="B252" s="258">
        <f>'CDCM Forecast Data'!A181</f>
        <v>168</v>
      </c>
      <c r="C252" s="262">
        <f>'CDCM Forecast Data'!A187</f>
        <v>174</v>
      </c>
      <c r="D252" s="258">
        <f>'CDCM Forecast Data'!A193</f>
        <v>180</v>
      </c>
      <c r="E252" s="219" t="s">
        <v>262</v>
      </c>
    </row>
    <row r="253" spans="1:5" ht="14.25">
      <c r="A253" s="172" t="s">
        <v>96</v>
      </c>
      <c r="B253" s="258">
        <f>'CDCM Forecast Data'!A182</f>
        <v>169</v>
      </c>
      <c r="C253" s="262">
        <f>'CDCM Forecast Data'!A188</f>
        <v>175</v>
      </c>
      <c r="D253" s="258">
        <f>'CDCM Forecast Data'!A194</f>
        <v>181</v>
      </c>
      <c r="E253" s="219" t="s">
        <v>262</v>
      </c>
    </row>
    <row r="254" spans="1:5" ht="14.25">
      <c r="A254" s="172" t="s">
        <v>97</v>
      </c>
      <c r="B254" s="258">
        <f>'CDCM Forecast Data'!A183</f>
        <v>170</v>
      </c>
      <c r="C254" s="262">
        <f>'CDCM Forecast Data'!A189</f>
        <v>176</v>
      </c>
      <c r="D254" s="258">
        <f>'CDCM Forecast Data'!A195</f>
        <v>182</v>
      </c>
      <c r="E254" s="219" t="s">
        <v>262</v>
      </c>
    </row>
    <row r="255" spans="1:5" ht="14.25">
      <c r="A255" s="172" t="s">
        <v>110</v>
      </c>
      <c r="B255" s="258">
        <f>'CDCM Forecast Data'!A184</f>
        <v>171</v>
      </c>
      <c r="C255" s="262">
        <f>'CDCM Forecast Data'!A190</f>
        <v>177</v>
      </c>
      <c r="D255" s="258">
        <f>'CDCM Forecast Data'!A196</f>
        <v>183</v>
      </c>
      <c r="E255" s="219" t="s">
        <v>262</v>
      </c>
    </row>
    <row r="257" spans="1:5" ht="16.5">
      <c r="A257" s="216" t="s">
        <v>237</v>
      </c>
    </row>
    <row r="259" spans="1:5">
      <c r="B259" s="212" t="s">
        <v>238</v>
      </c>
      <c r="C259" s="212" t="s">
        <v>239</v>
      </c>
      <c r="D259" s="212" t="s">
        <v>235</v>
      </c>
      <c r="E259" s="26" t="s">
        <v>262</v>
      </c>
    </row>
    <row r="260" spans="1:5">
      <c r="A260" s="172" t="s">
        <v>131</v>
      </c>
      <c r="B260" s="258">
        <f>'CDCM Forecast Data'!A199</f>
        <v>186</v>
      </c>
      <c r="C260" s="258">
        <f>'CDCM Forecast Data'!A204</f>
        <v>191</v>
      </c>
      <c r="D260" s="262">
        <f>'CDCM Forecast Data'!A209</f>
        <v>196</v>
      </c>
      <c r="E260" s="215" t="s">
        <v>262</v>
      </c>
    </row>
    <row r="261" spans="1:5">
      <c r="A261" s="172" t="s">
        <v>132</v>
      </c>
      <c r="B261" s="258">
        <f>'CDCM Forecast Data'!A200</f>
        <v>187</v>
      </c>
      <c r="C261" s="258">
        <f>'CDCM Forecast Data'!A205</f>
        <v>192</v>
      </c>
      <c r="D261" s="262">
        <f>'CDCM Forecast Data'!A210</f>
        <v>197</v>
      </c>
      <c r="E261" s="215" t="s">
        <v>262</v>
      </c>
    </row>
    <row r="262" spans="1:5">
      <c r="A262" s="172" t="s">
        <v>133</v>
      </c>
      <c r="B262" s="258">
        <f>'CDCM Forecast Data'!A201</f>
        <v>188</v>
      </c>
      <c r="C262" s="258">
        <f>'CDCM Forecast Data'!A206</f>
        <v>193</v>
      </c>
      <c r="D262" s="262">
        <f>'CDCM Forecast Data'!A211</f>
        <v>198</v>
      </c>
      <c r="E262" s="215" t="s">
        <v>262</v>
      </c>
    </row>
    <row r="263" spans="1:5">
      <c r="A263" s="172" t="s">
        <v>134</v>
      </c>
      <c r="B263" s="258">
        <f>'CDCM Forecast Data'!A202</f>
        <v>189</v>
      </c>
      <c r="C263" s="258">
        <f>'CDCM Forecast Data'!A207</f>
        <v>194</v>
      </c>
      <c r="D263" s="262">
        <f>'CDCM Forecast Data'!A212</f>
        <v>199</v>
      </c>
      <c r="E263" s="215" t="s">
        <v>262</v>
      </c>
    </row>
    <row r="265" spans="1:5" ht="16.5">
      <c r="A265" s="216" t="s">
        <v>240</v>
      </c>
    </row>
    <row r="266" spans="1:5">
      <c r="A266" s="214" t="s">
        <v>241</v>
      </c>
    </row>
    <row r="267" spans="1:5">
      <c r="A267" s="214" t="s">
        <v>242</v>
      </c>
    </row>
    <row r="269" spans="1:5">
      <c r="B269" s="212" t="s">
        <v>238</v>
      </c>
      <c r="C269" s="212" t="s">
        <v>239</v>
      </c>
      <c r="D269" s="212" t="s">
        <v>235</v>
      </c>
    </row>
    <row r="270" spans="1:5">
      <c r="A270" s="172" t="s">
        <v>243</v>
      </c>
      <c r="B270" s="262">
        <f>'CDCM Forecast Data'!A214</f>
        <v>201</v>
      </c>
      <c r="C270" s="258">
        <f>'CDCM Forecast Data'!A215</f>
        <v>202</v>
      </c>
      <c r="D270" s="258">
        <f>'CDCM Forecast Data'!A216</f>
        <v>203</v>
      </c>
      <c r="E270" s="215" t="s">
        <v>262</v>
      </c>
    </row>
    <row r="272" spans="1:5" ht="15.75">
      <c r="A272" s="150" t="s">
        <v>244</v>
      </c>
    </row>
    <row r="273" spans="1:6" ht="14.25">
      <c r="A273" s="176"/>
    </row>
    <row r="274" spans="1:6">
      <c r="A274" s="26" t="s">
        <v>241</v>
      </c>
    </row>
    <row r="275" spans="1:6">
      <c r="A275" s="26" t="s">
        <v>242</v>
      </c>
    </row>
    <row r="276" spans="1:6">
      <c r="B276" s="212" t="s">
        <v>233</v>
      </c>
      <c r="C276" s="212" t="s">
        <v>234</v>
      </c>
      <c r="D276" s="212" t="s">
        <v>235</v>
      </c>
    </row>
    <row r="277" spans="1:6" ht="14.25">
      <c r="A277" s="172" t="s">
        <v>243</v>
      </c>
      <c r="B277" s="258">
        <f>'CDCM Forecast Data'!A218</f>
        <v>205</v>
      </c>
      <c r="C277" s="258">
        <f>'CDCM Forecast Data'!A219</f>
        <v>206</v>
      </c>
      <c r="D277" s="258">
        <f>'CDCM Forecast Data'!A220</f>
        <v>207</v>
      </c>
      <c r="E277" s="211" t="s">
        <v>262</v>
      </c>
    </row>
    <row r="279" spans="1:6" ht="15.75">
      <c r="A279" s="150" t="s">
        <v>245</v>
      </c>
    </row>
    <row r="280" spans="1:6" ht="14.25">
      <c r="A280" s="176"/>
    </row>
    <row r="281" spans="1:6">
      <c r="A281" s="26" t="s">
        <v>1467</v>
      </c>
    </row>
    <row r="282" spans="1:6">
      <c r="B282" s="212" t="s">
        <v>233</v>
      </c>
      <c r="C282" s="212" t="s">
        <v>234</v>
      </c>
      <c r="D282" s="212" t="s">
        <v>235</v>
      </c>
      <c r="E282" s="212" t="s">
        <v>238</v>
      </c>
    </row>
    <row r="283" spans="1:6" ht="14.25">
      <c r="A283" s="172" t="s">
        <v>60</v>
      </c>
      <c r="B283" s="258">
        <f>'CDCM Forecast Data'!A223</f>
        <v>210</v>
      </c>
      <c r="C283" s="258">
        <f>'CDCM Forecast Data'!A233</f>
        <v>220</v>
      </c>
      <c r="D283" s="258">
        <f>'CDCM Forecast Data'!A243</f>
        <v>230</v>
      </c>
      <c r="E283" s="258">
        <f>'CDCM Forecast Data'!A253</f>
        <v>240</v>
      </c>
      <c r="F283" s="211" t="s">
        <v>262</v>
      </c>
    </row>
    <row r="284" spans="1:6" ht="14.25">
      <c r="A284" s="172" t="s">
        <v>61</v>
      </c>
      <c r="B284" s="258">
        <f>'CDCM Forecast Data'!A224</f>
        <v>211</v>
      </c>
      <c r="C284" s="258">
        <f>'CDCM Forecast Data'!A234</f>
        <v>221</v>
      </c>
      <c r="D284" s="258">
        <f>'CDCM Forecast Data'!A244</f>
        <v>231</v>
      </c>
      <c r="E284" s="258">
        <f>'CDCM Forecast Data'!A254</f>
        <v>241</v>
      </c>
      <c r="F284" s="211" t="s">
        <v>262</v>
      </c>
    </row>
    <row r="285" spans="1:6" ht="14.25">
      <c r="A285" s="172" t="s">
        <v>62</v>
      </c>
      <c r="B285" s="258">
        <f>'CDCM Forecast Data'!A225</f>
        <v>212</v>
      </c>
      <c r="C285" s="258">
        <f>'CDCM Forecast Data'!A235</f>
        <v>222</v>
      </c>
      <c r="D285" s="258">
        <f>'CDCM Forecast Data'!A245</f>
        <v>232</v>
      </c>
      <c r="E285" s="258">
        <f>'CDCM Forecast Data'!A255</f>
        <v>242</v>
      </c>
      <c r="F285" s="211" t="s">
        <v>262</v>
      </c>
    </row>
    <row r="286" spans="1:6" ht="14.25">
      <c r="A286" s="172" t="s">
        <v>63</v>
      </c>
      <c r="B286" s="258">
        <f>'CDCM Forecast Data'!A226</f>
        <v>213</v>
      </c>
      <c r="C286" s="258">
        <f>'CDCM Forecast Data'!A236</f>
        <v>223</v>
      </c>
      <c r="D286" s="258">
        <f>'CDCM Forecast Data'!A246</f>
        <v>233</v>
      </c>
      <c r="E286" s="258">
        <f>'CDCM Forecast Data'!A256</f>
        <v>243</v>
      </c>
      <c r="F286" s="211" t="s">
        <v>262</v>
      </c>
    </row>
    <row r="287" spans="1:6" ht="14.25">
      <c r="A287" s="172" t="s">
        <v>64</v>
      </c>
      <c r="B287" s="258">
        <f>'CDCM Forecast Data'!A227</f>
        <v>214</v>
      </c>
      <c r="C287" s="258">
        <f>'CDCM Forecast Data'!A237</f>
        <v>224</v>
      </c>
      <c r="D287" s="258">
        <f>'CDCM Forecast Data'!A247</f>
        <v>234</v>
      </c>
      <c r="E287" s="258">
        <f>'CDCM Forecast Data'!A257</f>
        <v>244</v>
      </c>
      <c r="F287" s="211" t="s">
        <v>262</v>
      </c>
    </row>
    <row r="288" spans="1:6" ht="14.25">
      <c r="A288" s="172" t="s">
        <v>69</v>
      </c>
      <c r="B288" s="258">
        <f>'CDCM Forecast Data'!A228</f>
        <v>215</v>
      </c>
      <c r="C288" s="258">
        <f>'CDCM Forecast Data'!A238</f>
        <v>225</v>
      </c>
      <c r="D288" s="258">
        <f>'CDCM Forecast Data'!A248</f>
        <v>235</v>
      </c>
      <c r="E288" s="258">
        <f>'CDCM Forecast Data'!A258</f>
        <v>245</v>
      </c>
      <c r="F288" s="211" t="s">
        <v>262</v>
      </c>
    </row>
    <row r="289" spans="1:11" ht="14.25">
      <c r="A289" s="172" t="s">
        <v>65</v>
      </c>
      <c r="B289" s="258">
        <f>'CDCM Forecast Data'!A229</f>
        <v>216</v>
      </c>
      <c r="C289" s="258">
        <f>'CDCM Forecast Data'!A239</f>
        <v>226</v>
      </c>
      <c r="D289" s="258">
        <f>'CDCM Forecast Data'!A249</f>
        <v>236</v>
      </c>
      <c r="E289" s="258">
        <f>'CDCM Forecast Data'!A259</f>
        <v>246</v>
      </c>
      <c r="F289" s="211" t="s">
        <v>262</v>
      </c>
    </row>
    <row r="290" spans="1:11" ht="14.25">
      <c r="A290" s="172" t="s">
        <v>66</v>
      </c>
      <c r="B290" s="258">
        <f>'CDCM Forecast Data'!A230</f>
        <v>217</v>
      </c>
      <c r="C290" s="258">
        <f>'CDCM Forecast Data'!A240</f>
        <v>227</v>
      </c>
      <c r="D290" s="258">
        <f>'CDCM Forecast Data'!A250</f>
        <v>237</v>
      </c>
      <c r="E290" s="258">
        <f>'CDCM Forecast Data'!A260</f>
        <v>247</v>
      </c>
      <c r="F290" s="211" t="s">
        <v>262</v>
      </c>
    </row>
    <row r="291" spans="1:11" ht="14.25">
      <c r="A291" s="172" t="s">
        <v>67</v>
      </c>
      <c r="B291" s="258">
        <f>'CDCM Forecast Data'!A231</f>
        <v>218</v>
      </c>
      <c r="C291" s="258">
        <f>'CDCM Forecast Data'!A241</f>
        <v>228</v>
      </c>
      <c r="D291" s="258">
        <f>'CDCM Forecast Data'!A251</f>
        <v>238</v>
      </c>
      <c r="E291" s="258">
        <f>'CDCM Forecast Data'!A261</f>
        <v>248</v>
      </c>
      <c r="F291" s="211" t="s">
        <v>262</v>
      </c>
    </row>
    <row r="293" spans="1:11" ht="15.75">
      <c r="A293" s="150" t="s">
        <v>248</v>
      </c>
    </row>
    <row r="294" spans="1:11" ht="14.25">
      <c r="A294" s="213" t="s">
        <v>262</v>
      </c>
    </row>
    <row r="295" spans="1:11">
      <c r="A295" s="26" t="s">
        <v>249</v>
      </c>
    </row>
    <row r="296" spans="1:11">
      <c r="A296" s="26" t="s">
        <v>250</v>
      </c>
    </row>
    <row r="297" spans="1:11">
      <c r="B297" s="212" t="s">
        <v>60</v>
      </c>
      <c r="C297" s="212" t="s">
        <v>61</v>
      </c>
      <c r="D297" s="212" t="s">
        <v>62</v>
      </c>
      <c r="E297" s="212" t="s">
        <v>63</v>
      </c>
      <c r="F297" s="212" t="s">
        <v>64</v>
      </c>
      <c r="G297" s="212" t="s">
        <v>69</v>
      </c>
      <c r="H297" s="212" t="s">
        <v>65</v>
      </c>
      <c r="I297" s="212" t="s">
        <v>66</v>
      </c>
      <c r="J297" s="212" t="s">
        <v>67</v>
      </c>
    </row>
    <row r="298" spans="1:11" ht="14.25">
      <c r="A298" s="172" t="s">
        <v>251</v>
      </c>
      <c r="B298" s="258">
        <f>'CDCM Forecast Data'!A263</f>
        <v>250</v>
      </c>
      <c r="C298" s="258">
        <f>'CDCM Forecast Data'!A264</f>
        <v>251</v>
      </c>
      <c r="D298" s="258">
        <f>'CDCM Forecast Data'!A265</f>
        <v>252</v>
      </c>
      <c r="E298" s="258">
        <f>'CDCM Forecast Data'!A266</f>
        <v>253</v>
      </c>
      <c r="F298" s="258">
        <f>'CDCM Forecast Data'!A267</f>
        <v>254</v>
      </c>
      <c r="G298" s="258">
        <f>'CDCM Forecast Data'!A268</f>
        <v>255</v>
      </c>
      <c r="H298" s="258">
        <f>'CDCM Forecast Data'!A269</f>
        <v>256</v>
      </c>
      <c r="I298" s="258">
        <f>'CDCM Forecast Data'!A270</f>
        <v>257</v>
      </c>
      <c r="J298" s="258">
        <f>'CDCM Forecast Data'!A271</f>
        <v>258</v>
      </c>
      <c r="K298" s="211" t="s">
        <v>262</v>
      </c>
    </row>
  </sheetData>
  <dataValidations count="3">
    <dataValidation type="decimal" allowBlank="1" showInputMessage="1" showErrorMessage="1" error="Must be a non-negative percentage value." sqref="B30:B31">
      <formula1>0</formula1>
      <formula2>4</formula2>
    </dataValidation>
    <dataValidation type="decimal" allowBlank="1" showInputMessage="1" showErrorMessage="1" error="The LDNO discount must be between 0% and 100%." sqref="B75">
      <formula1>0</formula1>
      <formula2>1</formula2>
    </dataValidation>
    <dataValidation type="decimal" operator="greaterThanOrEqual" allowBlank="1" showInputMessage="1" showErrorMessage="1" sqref="B277:D277 B298:J298 B283:C291 E283:E291 C270:D270">
      <formula1>0</formula1>
    </dataValidation>
  </dataValidation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84"/>
  <sheetViews>
    <sheetView showGridLines="0" topLeftCell="A6" workbookViewId="0">
      <selection activeCell="A14" sqref="A14:J84"/>
    </sheetView>
  </sheetViews>
  <sheetFormatPr defaultRowHeight="15"/>
  <cols>
    <col min="1" max="1" width="50.7109375" customWidth="1"/>
    <col min="2" max="251" width="20.7109375" customWidth="1"/>
  </cols>
  <sheetData>
    <row r="1" spans="1:11" ht="21" customHeight="1">
      <c r="A1" s="1" t="str">
        <f>"Tariffs for "&amp;CDCM!B7&amp;" in "&amp;CDCM!C7&amp;" ("&amp;CDCM!D7&amp;")"</f>
        <v>Tariffs for West Mids in 0 (Forecast)</v>
      </c>
    </row>
    <row r="3" spans="1:11" ht="21" customHeight="1">
      <c r="A3" s="1" t="s">
        <v>1185</v>
      </c>
    </row>
    <row r="4" spans="1:11">
      <c r="A4" s="287" t="s">
        <v>255</v>
      </c>
    </row>
    <row r="5" spans="1:11">
      <c r="A5" s="301" t="s">
        <v>1186</v>
      </c>
    </row>
    <row r="6" spans="1:11">
      <c r="A6" s="301" t="s">
        <v>1187</v>
      </c>
    </row>
    <row r="7" spans="1:11">
      <c r="A7" s="301" t="s">
        <v>1188</v>
      </c>
    </row>
    <row r="8" spans="1:11">
      <c r="A8" s="301" t="s">
        <v>1189</v>
      </c>
    </row>
    <row r="9" spans="1:11">
      <c r="A9" s="301" t="s">
        <v>1190</v>
      </c>
    </row>
    <row r="10" spans="1:11">
      <c r="A10" s="301" t="s">
        <v>1191</v>
      </c>
    </row>
    <row r="11" spans="1:11">
      <c r="A11" s="302" t="s">
        <v>258</v>
      </c>
      <c r="B11" s="302" t="s">
        <v>1192</v>
      </c>
      <c r="C11" s="302" t="s">
        <v>259</v>
      </c>
      <c r="D11" s="302" t="s">
        <v>314</v>
      </c>
      <c r="E11" s="302" t="s">
        <v>314</v>
      </c>
      <c r="F11" s="302" t="s">
        <v>314</v>
      </c>
      <c r="G11" s="302" t="s">
        <v>314</v>
      </c>
      <c r="H11" s="302" t="s">
        <v>314</v>
      </c>
      <c r="I11" s="302" t="s">
        <v>314</v>
      </c>
      <c r="J11" s="302" t="s">
        <v>1192</v>
      </c>
    </row>
    <row r="12" spans="1:11">
      <c r="A12" s="302" t="s">
        <v>261</v>
      </c>
      <c r="B12" s="302" t="s">
        <v>262</v>
      </c>
      <c r="C12" s="302" t="s">
        <v>262</v>
      </c>
      <c r="D12" s="302" t="s">
        <v>734</v>
      </c>
      <c r="E12" s="302" t="s">
        <v>317</v>
      </c>
      <c r="F12" s="302" t="s">
        <v>1193</v>
      </c>
      <c r="G12" s="302" t="s">
        <v>1194</v>
      </c>
      <c r="H12" s="302" t="s">
        <v>648</v>
      </c>
      <c r="I12" s="302" t="s">
        <v>1195</v>
      </c>
      <c r="J12" s="302" t="s">
        <v>262</v>
      </c>
    </row>
    <row r="14" spans="1:11" ht="30">
      <c r="B14" s="288" t="s">
        <v>1196</v>
      </c>
      <c r="C14" s="288" t="s">
        <v>1197</v>
      </c>
      <c r="D14" s="288" t="s">
        <v>1116</v>
      </c>
      <c r="E14" s="288" t="s">
        <v>1117</v>
      </c>
      <c r="F14" s="288" t="s">
        <v>1118</v>
      </c>
      <c r="G14" s="288" t="s">
        <v>1119</v>
      </c>
      <c r="H14" s="288" t="s">
        <v>1120</v>
      </c>
      <c r="I14" s="288" t="s">
        <v>776</v>
      </c>
      <c r="J14" s="288" t="s">
        <v>1198</v>
      </c>
    </row>
    <row r="15" spans="1:11">
      <c r="A15" s="289" t="s">
        <v>92</v>
      </c>
      <c r="B15" s="290" t="s">
        <v>1867</v>
      </c>
      <c r="C15" s="318">
        <v>1</v>
      </c>
      <c r="D15" s="307">
        <f>CDCM!B$4178</f>
        <v>2.5009999999999999</v>
      </c>
      <c r="E15" s="307">
        <f>CDCM!C$4178</f>
        <v>0</v>
      </c>
      <c r="F15" s="307">
        <f>CDCM!D$4178</f>
        <v>0</v>
      </c>
      <c r="G15" s="317">
        <f>CDCM!E$4178</f>
        <v>4.8</v>
      </c>
      <c r="H15" s="317">
        <f>CDCM!F$4178</f>
        <v>0</v>
      </c>
      <c r="I15" s="307">
        <f>CDCM!G$4178</f>
        <v>0</v>
      </c>
      <c r="J15" s="290" t="s">
        <v>1859</v>
      </c>
      <c r="K15" s="291"/>
    </row>
    <row r="16" spans="1:11">
      <c r="A16" s="289" t="s">
        <v>93</v>
      </c>
      <c r="B16" s="290" t="s">
        <v>1868</v>
      </c>
      <c r="C16" s="318">
        <v>2</v>
      </c>
      <c r="D16" s="307">
        <f>CDCM!B$4182</f>
        <v>2.972</v>
      </c>
      <c r="E16" s="307">
        <f>CDCM!C$4182</f>
        <v>8.1000000000000003E-2</v>
      </c>
      <c r="F16" s="307">
        <f>CDCM!D$4182</f>
        <v>0</v>
      </c>
      <c r="G16" s="317">
        <f>CDCM!E$4182</f>
        <v>4.8</v>
      </c>
      <c r="H16" s="317">
        <f>CDCM!F$4182</f>
        <v>0</v>
      </c>
      <c r="I16" s="307">
        <f>CDCM!G$4182</f>
        <v>0</v>
      </c>
      <c r="J16" s="290" t="s">
        <v>1860</v>
      </c>
      <c r="K16" s="291"/>
    </row>
    <row r="17" spans="1:11">
      <c r="A17" s="289" t="s">
        <v>129</v>
      </c>
      <c r="B17" s="290" t="s">
        <v>1869</v>
      </c>
      <c r="C17" s="318">
        <v>2</v>
      </c>
      <c r="D17" s="307">
        <f>CDCM!B$4186</f>
        <v>0.223</v>
      </c>
      <c r="E17" s="307">
        <f>CDCM!C$4186</f>
        <v>0</v>
      </c>
      <c r="F17" s="307">
        <f>CDCM!D$4186</f>
        <v>0</v>
      </c>
      <c r="G17" s="317">
        <f>CDCM!E$4186</f>
        <v>0</v>
      </c>
      <c r="H17" s="317">
        <f>CDCM!F$4186</f>
        <v>0</v>
      </c>
      <c r="I17" s="307">
        <f>CDCM!G$4186</f>
        <v>0</v>
      </c>
      <c r="J17" s="290" t="s">
        <v>1861</v>
      </c>
      <c r="K17" s="291"/>
    </row>
    <row r="18" spans="1:11" ht="30">
      <c r="A18" s="289" t="s">
        <v>94</v>
      </c>
      <c r="B18" s="290" t="s">
        <v>1870</v>
      </c>
      <c r="C18" s="318">
        <v>3</v>
      </c>
      <c r="D18" s="307">
        <f>CDCM!B$4190</f>
        <v>2.335</v>
      </c>
      <c r="E18" s="307">
        <f>CDCM!C$4190</f>
        <v>0</v>
      </c>
      <c r="F18" s="307">
        <f>CDCM!D$4190</f>
        <v>0</v>
      </c>
      <c r="G18" s="317">
        <f>CDCM!E$4190</f>
        <v>7.39</v>
      </c>
      <c r="H18" s="317">
        <f>CDCM!F$4190</f>
        <v>0</v>
      </c>
      <c r="I18" s="307">
        <f>CDCM!G$4190</f>
        <v>0</v>
      </c>
      <c r="J18" s="290" t="s">
        <v>1862</v>
      </c>
      <c r="K18" s="291"/>
    </row>
    <row r="19" spans="1:11">
      <c r="A19" s="289" t="s">
        <v>95</v>
      </c>
      <c r="B19" s="290" t="s">
        <v>1871</v>
      </c>
      <c r="C19" s="318">
        <v>4</v>
      </c>
      <c r="D19" s="307">
        <f>CDCM!B$4194</f>
        <v>2.6760000000000002</v>
      </c>
      <c r="E19" s="307">
        <f>CDCM!C$4194</f>
        <v>7.6999999999999999E-2</v>
      </c>
      <c r="F19" s="307">
        <f>CDCM!D$4194</f>
        <v>0</v>
      </c>
      <c r="G19" s="317">
        <f>CDCM!E$4194</f>
        <v>7.39</v>
      </c>
      <c r="H19" s="317">
        <f>CDCM!F$4194</f>
        <v>0</v>
      </c>
      <c r="I19" s="307">
        <f>CDCM!G$4194</f>
        <v>0</v>
      </c>
      <c r="J19" s="290" t="s">
        <v>1863</v>
      </c>
      <c r="K19" s="291"/>
    </row>
    <row r="20" spans="1:11">
      <c r="A20" s="289" t="s">
        <v>130</v>
      </c>
      <c r="B20" s="290" t="s">
        <v>1872</v>
      </c>
      <c r="C20" s="318">
        <v>4</v>
      </c>
      <c r="D20" s="307">
        <f>CDCM!B$4198</f>
        <v>0.41699999999999998</v>
      </c>
      <c r="E20" s="307">
        <f>CDCM!C$4198</f>
        <v>0</v>
      </c>
      <c r="F20" s="307">
        <f>CDCM!D$4198</f>
        <v>0</v>
      </c>
      <c r="G20" s="317">
        <f>CDCM!E$4198</f>
        <v>0</v>
      </c>
      <c r="H20" s="317">
        <f>CDCM!F$4198</f>
        <v>0</v>
      </c>
      <c r="I20" s="307">
        <f>CDCM!G$4198</f>
        <v>0</v>
      </c>
      <c r="J20" s="290" t="s">
        <v>1864</v>
      </c>
      <c r="K20" s="291"/>
    </row>
    <row r="21" spans="1:11">
      <c r="A21" s="289" t="s">
        <v>96</v>
      </c>
      <c r="B21" s="290" t="s">
        <v>1873</v>
      </c>
      <c r="C21" s="318" t="s">
        <v>1199</v>
      </c>
      <c r="D21" s="307">
        <f>CDCM!B$4202</f>
        <v>1.9530000000000001</v>
      </c>
      <c r="E21" s="307">
        <f>CDCM!C$4202</f>
        <v>5.5E-2</v>
      </c>
      <c r="F21" s="307">
        <f>CDCM!D$4202</f>
        <v>0</v>
      </c>
      <c r="G21" s="317">
        <f>CDCM!E$4202</f>
        <v>5.69</v>
      </c>
      <c r="H21" s="317">
        <f>CDCM!F$4202</f>
        <v>0</v>
      </c>
      <c r="I21" s="307">
        <f>CDCM!G$4202</f>
        <v>0</v>
      </c>
      <c r="J21" s="290" t="s">
        <v>1865</v>
      </c>
      <c r="K21" s="291"/>
    </row>
    <row r="22" spans="1:11">
      <c r="A22" s="289" t="s">
        <v>97</v>
      </c>
      <c r="B22" s="290" t="s">
        <v>1874</v>
      </c>
      <c r="C22" s="318" t="s">
        <v>1199</v>
      </c>
      <c r="D22" s="307">
        <f>CDCM!B$4206</f>
        <v>1.754</v>
      </c>
      <c r="E22" s="307">
        <f>CDCM!C$4206</f>
        <v>4.3999999999999997E-2</v>
      </c>
      <c r="F22" s="307">
        <f>CDCM!D$4206</f>
        <v>0</v>
      </c>
      <c r="G22" s="317">
        <f>CDCM!E$4206</f>
        <v>4.22</v>
      </c>
      <c r="H22" s="317">
        <f>CDCM!F$4206</f>
        <v>0</v>
      </c>
      <c r="I22" s="307">
        <f>CDCM!G$4206</f>
        <v>0</v>
      </c>
      <c r="J22" s="290"/>
      <c r="K22" s="291"/>
    </row>
    <row r="23" spans="1:11">
      <c r="A23" s="289" t="s">
        <v>110</v>
      </c>
      <c r="B23" s="290" t="s">
        <v>1875</v>
      </c>
      <c r="C23" s="318" t="s">
        <v>1199</v>
      </c>
      <c r="D23" s="307">
        <f>CDCM!B$4208</f>
        <v>1.163</v>
      </c>
      <c r="E23" s="307">
        <f>CDCM!C$4208</f>
        <v>8.0000000000000002E-3</v>
      </c>
      <c r="F23" s="307">
        <f>CDCM!D$4208</f>
        <v>0</v>
      </c>
      <c r="G23" s="317">
        <f>CDCM!E$4208</f>
        <v>73.290000000000006</v>
      </c>
      <c r="H23" s="317">
        <f>CDCM!F$4208</f>
        <v>0</v>
      </c>
      <c r="I23" s="307">
        <f>CDCM!G$4208</f>
        <v>0</v>
      </c>
      <c r="J23" s="290" t="s">
        <v>1866</v>
      </c>
      <c r="K23" s="291"/>
    </row>
    <row r="24" spans="1:11">
      <c r="A24" s="289" t="s">
        <v>1536</v>
      </c>
      <c r="B24" s="290">
        <v>632</v>
      </c>
      <c r="C24" s="318"/>
      <c r="D24" s="307">
        <f>CDCM!B$4210</f>
        <v>14.263999999999999</v>
      </c>
      <c r="E24" s="307">
        <f>CDCM!C$4210</f>
        <v>0.88500000000000001</v>
      </c>
      <c r="F24" s="307">
        <f>CDCM!D$4210</f>
        <v>6.8000000000000005E-2</v>
      </c>
      <c r="G24" s="317">
        <f>CDCM!E$4210</f>
        <v>4.8</v>
      </c>
      <c r="H24" s="317">
        <f>CDCM!F$4210</f>
        <v>0</v>
      </c>
      <c r="I24" s="307">
        <f>CDCM!G$4210</f>
        <v>0</v>
      </c>
      <c r="J24" s="290"/>
      <c r="K24" s="291"/>
    </row>
    <row r="25" spans="1:11">
      <c r="A25" s="289" t="s">
        <v>1535</v>
      </c>
      <c r="B25" s="290">
        <v>633</v>
      </c>
      <c r="C25" s="318"/>
      <c r="D25" s="307">
        <f>CDCM!B$4214</f>
        <v>14.347</v>
      </c>
      <c r="E25" s="307">
        <f>CDCM!C$4214</f>
        <v>0.89</v>
      </c>
      <c r="F25" s="307">
        <f>CDCM!D$4214</f>
        <v>6.9000000000000006E-2</v>
      </c>
      <c r="G25" s="317">
        <f>CDCM!E$4214</f>
        <v>7.39</v>
      </c>
      <c r="H25" s="317">
        <f>CDCM!F$4214</f>
        <v>0</v>
      </c>
      <c r="I25" s="307">
        <f>CDCM!G$4214</f>
        <v>0</v>
      </c>
      <c r="J25" s="290"/>
      <c r="K25" s="291"/>
    </row>
    <row r="26" spans="1:11">
      <c r="A26" s="289" t="s">
        <v>98</v>
      </c>
      <c r="B26" s="290" t="s">
        <v>1876</v>
      </c>
      <c r="C26" s="318"/>
      <c r="D26" s="307">
        <f>CDCM!B$4218</f>
        <v>12.359</v>
      </c>
      <c r="E26" s="307">
        <f>CDCM!C$4218</f>
        <v>0.752</v>
      </c>
      <c r="F26" s="307">
        <f>CDCM!D$4218</f>
        <v>4.8000000000000001E-2</v>
      </c>
      <c r="G26" s="317">
        <f>CDCM!E$4218</f>
        <v>9.59</v>
      </c>
      <c r="H26" s="317">
        <f>CDCM!F$4218</f>
        <v>4.13</v>
      </c>
      <c r="I26" s="307">
        <f>CDCM!G$4218</f>
        <v>0.44700000000000001</v>
      </c>
      <c r="J26" s="290"/>
      <c r="K26" s="291"/>
    </row>
    <row r="27" spans="1:11">
      <c r="A27" s="289" t="s">
        <v>99</v>
      </c>
      <c r="B27" s="290" t="s">
        <v>1877</v>
      </c>
      <c r="C27" s="318"/>
      <c r="D27" s="307">
        <f>CDCM!B$4222</f>
        <v>10.82</v>
      </c>
      <c r="E27" s="307">
        <f>CDCM!C$4222</f>
        <v>0.63400000000000001</v>
      </c>
      <c r="F27" s="307">
        <f>CDCM!D$4222</f>
        <v>2.1999999999999999E-2</v>
      </c>
      <c r="G27" s="317">
        <f>CDCM!E$4222</f>
        <v>7.39</v>
      </c>
      <c r="H27" s="317">
        <f>CDCM!F$4222</f>
        <v>5.27</v>
      </c>
      <c r="I27" s="307">
        <f>CDCM!G$4222</f>
        <v>0.373</v>
      </c>
      <c r="J27" s="290">
        <v>130</v>
      </c>
      <c r="K27" s="291"/>
    </row>
    <row r="28" spans="1:11">
      <c r="A28" s="289" t="s">
        <v>111</v>
      </c>
      <c r="B28" s="290" t="s">
        <v>1878</v>
      </c>
      <c r="C28" s="318"/>
      <c r="D28" s="307">
        <f>CDCM!B$4225</f>
        <v>7.8339999999999996</v>
      </c>
      <c r="E28" s="307">
        <f>CDCM!C$4225</f>
        <v>0.432</v>
      </c>
      <c r="F28" s="307">
        <f>CDCM!D$4225</f>
        <v>8.9999999999999993E-3</v>
      </c>
      <c r="G28" s="317">
        <f>CDCM!E$4225</f>
        <v>73.290000000000006</v>
      </c>
      <c r="H28" s="317">
        <f>CDCM!F$4225</f>
        <v>5.57</v>
      </c>
      <c r="I28" s="307">
        <f>CDCM!G$4225</f>
        <v>0.246</v>
      </c>
      <c r="J28" s="290"/>
      <c r="K28" s="291"/>
    </row>
    <row r="29" spans="1:11">
      <c r="A29" s="289" t="s">
        <v>131</v>
      </c>
      <c r="B29" s="290" t="s">
        <v>1879</v>
      </c>
      <c r="C29" s="318">
        <v>8</v>
      </c>
      <c r="D29" s="307">
        <f>CDCM!B$4228</f>
        <v>2.2919999999999998</v>
      </c>
      <c r="E29" s="307">
        <f>CDCM!C$4228</f>
        <v>0</v>
      </c>
      <c r="F29" s="307">
        <f>CDCM!D$4228</f>
        <v>0</v>
      </c>
      <c r="G29" s="317">
        <f>CDCM!E$4228</f>
        <v>0</v>
      </c>
      <c r="H29" s="317">
        <f>CDCM!F$4228</f>
        <v>0</v>
      </c>
      <c r="I29" s="307">
        <f>CDCM!G$4228</f>
        <v>0</v>
      </c>
      <c r="J29" s="290"/>
      <c r="K29" s="291"/>
    </row>
    <row r="30" spans="1:11">
      <c r="A30" s="289" t="s">
        <v>132</v>
      </c>
      <c r="B30" s="290" t="s">
        <v>1880</v>
      </c>
      <c r="C30" s="318">
        <v>1</v>
      </c>
      <c r="D30" s="307">
        <f>CDCM!B$4232</f>
        <v>2.9350000000000001</v>
      </c>
      <c r="E30" s="307">
        <f>CDCM!C$4232</f>
        <v>0</v>
      </c>
      <c r="F30" s="307">
        <f>CDCM!D$4232</f>
        <v>0</v>
      </c>
      <c r="G30" s="317">
        <f>CDCM!E$4232</f>
        <v>0</v>
      </c>
      <c r="H30" s="317">
        <f>CDCM!F$4232</f>
        <v>0</v>
      </c>
      <c r="I30" s="307">
        <f>CDCM!G$4232</f>
        <v>0</v>
      </c>
      <c r="J30" s="290"/>
      <c r="K30" s="291"/>
    </row>
    <row r="31" spans="1:11">
      <c r="A31" s="289" t="s">
        <v>133</v>
      </c>
      <c r="B31" s="290" t="s">
        <v>1881</v>
      </c>
      <c r="C31" s="318">
        <v>1</v>
      </c>
      <c r="D31" s="307">
        <f>CDCM!B$4236</f>
        <v>4.72</v>
      </c>
      <c r="E31" s="307">
        <f>CDCM!C$4236</f>
        <v>0</v>
      </c>
      <c r="F31" s="307">
        <f>CDCM!D$4236</f>
        <v>0</v>
      </c>
      <c r="G31" s="317">
        <f>CDCM!E$4236</f>
        <v>0</v>
      </c>
      <c r="H31" s="317">
        <f>CDCM!F$4236</f>
        <v>0</v>
      </c>
      <c r="I31" s="307">
        <f>CDCM!G$4236</f>
        <v>0</v>
      </c>
      <c r="J31" s="290"/>
      <c r="K31" s="291"/>
    </row>
    <row r="32" spans="1:11">
      <c r="A32" s="289" t="s">
        <v>134</v>
      </c>
      <c r="B32" s="290" t="s">
        <v>1882</v>
      </c>
      <c r="C32" s="318">
        <v>1</v>
      </c>
      <c r="D32" s="307">
        <f>CDCM!B$4240</f>
        <v>1.639</v>
      </c>
      <c r="E32" s="307">
        <f>CDCM!C$4240</f>
        <v>0</v>
      </c>
      <c r="F32" s="307">
        <f>CDCM!D$4240</f>
        <v>0</v>
      </c>
      <c r="G32" s="317">
        <f>CDCM!E$4240</f>
        <v>0</v>
      </c>
      <c r="H32" s="317">
        <f>CDCM!F$4240</f>
        <v>0</v>
      </c>
      <c r="I32" s="307">
        <f>CDCM!G$4240</f>
        <v>0</v>
      </c>
      <c r="J32" s="290"/>
      <c r="K32" s="291"/>
    </row>
    <row r="33" spans="1:11">
      <c r="A33" s="289" t="s">
        <v>135</v>
      </c>
      <c r="B33" s="290" t="s">
        <v>1883</v>
      </c>
      <c r="C33" s="318"/>
      <c r="D33" s="307">
        <f>CDCM!B$4244</f>
        <v>43.805999999999997</v>
      </c>
      <c r="E33" s="307">
        <f>CDCM!C$4244</f>
        <v>1.4710000000000001</v>
      </c>
      <c r="F33" s="307">
        <f>CDCM!D$4244</f>
        <v>0.76700000000000002</v>
      </c>
      <c r="G33" s="317">
        <f>CDCM!E$4244</f>
        <v>0</v>
      </c>
      <c r="H33" s="317">
        <f>CDCM!F$4244</f>
        <v>0</v>
      </c>
      <c r="I33" s="307">
        <f>CDCM!G$4244</f>
        <v>0</v>
      </c>
      <c r="J33" s="290"/>
      <c r="K33" s="291"/>
    </row>
    <row r="34" spans="1:11">
      <c r="A34" s="289" t="s">
        <v>1534</v>
      </c>
      <c r="B34" s="290" t="s">
        <v>1884</v>
      </c>
      <c r="C34" s="318" t="s">
        <v>1527</v>
      </c>
      <c r="D34" s="307">
        <f>CDCM!B$4248</f>
        <v>-0.66600000000000004</v>
      </c>
      <c r="E34" s="307">
        <f>CDCM!C$4248</f>
        <v>0</v>
      </c>
      <c r="F34" s="307">
        <f>CDCM!D$4248</f>
        <v>0</v>
      </c>
      <c r="G34" s="317">
        <f>CDCM!E$4248</f>
        <v>0</v>
      </c>
      <c r="H34" s="317">
        <f>CDCM!F$4248</f>
        <v>0</v>
      </c>
      <c r="I34" s="307">
        <f>CDCM!G$4248</f>
        <v>0</v>
      </c>
      <c r="J34" s="290"/>
      <c r="K34" s="291"/>
    </row>
    <row r="35" spans="1:11">
      <c r="A35" s="289" t="s">
        <v>100</v>
      </c>
      <c r="B35" s="290" t="s">
        <v>1885</v>
      </c>
      <c r="C35" s="318">
        <v>8</v>
      </c>
      <c r="D35" s="307">
        <f>CDCM!B$4252</f>
        <v>-0.56699999999999995</v>
      </c>
      <c r="E35" s="307">
        <f>CDCM!C$4252</f>
        <v>0</v>
      </c>
      <c r="F35" s="307">
        <f>CDCM!D$4252</f>
        <v>0</v>
      </c>
      <c r="G35" s="317">
        <f>CDCM!E$4252</f>
        <v>0</v>
      </c>
      <c r="H35" s="317">
        <f>CDCM!F$4252</f>
        <v>0</v>
      </c>
      <c r="I35" s="307">
        <f>CDCM!G$4252</f>
        <v>0</v>
      </c>
      <c r="J35" s="290"/>
      <c r="K35" s="291"/>
    </row>
    <row r="36" spans="1:11">
      <c r="A36" s="289" t="s">
        <v>101</v>
      </c>
      <c r="B36" s="290" t="s">
        <v>1886</v>
      </c>
      <c r="C36" s="318"/>
      <c r="D36" s="307">
        <f>CDCM!B$4255</f>
        <v>-0.66600000000000004</v>
      </c>
      <c r="E36" s="307">
        <f>CDCM!C$4255</f>
        <v>0</v>
      </c>
      <c r="F36" s="307">
        <f>CDCM!D$4255</f>
        <v>0</v>
      </c>
      <c r="G36" s="317">
        <f>CDCM!E$4255</f>
        <v>0</v>
      </c>
      <c r="H36" s="317">
        <f>CDCM!F$4255</f>
        <v>0</v>
      </c>
      <c r="I36" s="307">
        <f>CDCM!G$4255</f>
        <v>0.28499999999999998</v>
      </c>
      <c r="J36" s="290"/>
      <c r="K36" s="291"/>
    </row>
    <row r="37" spans="1:11">
      <c r="A37" s="289" t="s">
        <v>102</v>
      </c>
      <c r="B37" s="290" t="s">
        <v>1887</v>
      </c>
      <c r="C37" s="318"/>
      <c r="D37" s="307">
        <f>CDCM!B$4259</f>
        <v>-5.5940000000000003</v>
      </c>
      <c r="E37" s="307">
        <f>CDCM!C$4259</f>
        <v>-0.42499999999999999</v>
      </c>
      <c r="F37" s="307">
        <f>CDCM!D$4259</f>
        <v>-5.5E-2</v>
      </c>
      <c r="G37" s="317">
        <f>CDCM!E$4259</f>
        <v>0</v>
      </c>
      <c r="H37" s="317">
        <f>CDCM!F$4259</f>
        <v>0</v>
      </c>
      <c r="I37" s="307">
        <f>CDCM!G$4259</f>
        <v>0.28499999999999998</v>
      </c>
      <c r="J37" s="290"/>
      <c r="K37" s="291"/>
    </row>
    <row r="38" spans="1:11">
      <c r="A38" s="289" t="s">
        <v>103</v>
      </c>
      <c r="B38" s="290" t="s">
        <v>1888</v>
      </c>
      <c r="C38" s="318"/>
      <c r="D38" s="307">
        <f>CDCM!B$4263</f>
        <v>-0.56699999999999995</v>
      </c>
      <c r="E38" s="307">
        <f>CDCM!C$4263</f>
        <v>0</v>
      </c>
      <c r="F38" s="307">
        <f>CDCM!D$4263</f>
        <v>0</v>
      </c>
      <c r="G38" s="317">
        <f>CDCM!E$4263</f>
        <v>0</v>
      </c>
      <c r="H38" s="317">
        <f>CDCM!F$4263</f>
        <v>0</v>
      </c>
      <c r="I38" s="307">
        <f>CDCM!G$4263</f>
        <v>0.24299999999999999</v>
      </c>
      <c r="J38" s="290"/>
      <c r="K38" s="291"/>
    </row>
    <row r="39" spans="1:11">
      <c r="A39" s="289" t="s">
        <v>104</v>
      </c>
      <c r="B39" s="290" t="s">
        <v>1889</v>
      </c>
      <c r="C39" s="318"/>
      <c r="D39" s="307">
        <f>CDCM!B$4266</f>
        <v>-4.7640000000000002</v>
      </c>
      <c r="E39" s="307">
        <f>CDCM!C$4266</f>
        <v>-0.36499999999999999</v>
      </c>
      <c r="F39" s="307">
        <f>CDCM!D$4266</f>
        <v>-4.3999999999999997E-2</v>
      </c>
      <c r="G39" s="317">
        <f>CDCM!E$4266</f>
        <v>0</v>
      </c>
      <c r="H39" s="317">
        <f>CDCM!F$4266</f>
        <v>0</v>
      </c>
      <c r="I39" s="307">
        <f>CDCM!G$4266</f>
        <v>0.24299999999999999</v>
      </c>
      <c r="J39" s="290"/>
      <c r="K39" s="291"/>
    </row>
    <row r="40" spans="1:11">
      <c r="A40" s="289" t="s">
        <v>112</v>
      </c>
      <c r="B40" s="290" t="s">
        <v>1890</v>
      </c>
      <c r="C40" s="318"/>
      <c r="D40" s="307">
        <f>CDCM!B$4269</f>
        <v>-0.28799999999999998</v>
      </c>
      <c r="E40" s="307">
        <f>CDCM!C$4269</f>
        <v>0</v>
      </c>
      <c r="F40" s="307">
        <f>CDCM!D$4269</f>
        <v>0</v>
      </c>
      <c r="G40" s="317">
        <f>CDCM!E$4269</f>
        <v>35.33</v>
      </c>
      <c r="H40" s="317">
        <f>CDCM!F$4269</f>
        <v>0</v>
      </c>
      <c r="I40" s="307">
        <f>CDCM!G$4269</f>
        <v>0.19600000000000001</v>
      </c>
      <c r="J40" s="290"/>
      <c r="K40" s="291"/>
    </row>
    <row r="41" spans="1:11">
      <c r="A41" s="289" t="s">
        <v>113</v>
      </c>
      <c r="B41" s="290" t="s">
        <v>1891</v>
      </c>
      <c r="C41" s="318"/>
      <c r="D41" s="307">
        <f>CDCM!B$4272</f>
        <v>-2.4279999999999999</v>
      </c>
      <c r="E41" s="307">
        <f>CDCM!C$4272</f>
        <v>-0.19600000000000001</v>
      </c>
      <c r="F41" s="307">
        <f>CDCM!D$4272</f>
        <v>-1.6E-2</v>
      </c>
      <c r="G41" s="317">
        <f>CDCM!E$4272</f>
        <v>35.33</v>
      </c>
      <c r="H41" s="317">
        <f>CDCM!F$4272</f>
        <v>0</v>
      </c>
      <c r="I41" s="307">
        <f>CDCM!G$4272</f>
        <v>0.19600000000000001</v>
      </c>
      <c r="J41" s="290"/>
      <c r="K41" s="291"/>
    </row>
    <row r="42" spans="1:11">
      <c r="A42" s="289" t="s">
        <v>147</v>
      </c>
      <c r="B42" s="290"/>
      <c r="C42" s="318">
        <v>1</v>
      </c>
      <c r="D42" s="307">
        <f>CDCM!B$4179</f>
        <v>1.6739999999999999</v>
      </c>
      <c r="E42" s="307">
        <f>CDCM!C$4179</f>
        <v>0</v>
      </c>
      <c r="F42" s="307">
        <f>CDCM!D$4179</f>
        <v>0</v>
      </c>
      <c r="G42" s="317">
        <f>CDCM!E$4179</f>
        <v>3.21</v>
      </c>
      <c r="H42" s="317">
        <f>CDCM!F$4179</f>
        <v>0</v>
      </c>
      <c r="I42" s="307">
        <f>CDCM!G$4179</f>
        <v>0</v>
      </c>
      <c r="J42" s="290"/>
      <c r="K42" s="291"/>
    </row>
    <row r="43" spans="1:11">
      <c r="A43" s="289" t="s">
        <v>150</v>
      </c>
      <c r="B43" s="290"/>
      <c r="C43" s="318">
        <v>2</v>
      </c>
      <c r="D43" s="307">
        <f>CDCM!B$4183</f>
        <v>1.9890000000000001</v>
      </c>
      <c r="E43" s="307">
        <f>CDCM!C$4183</f>
        <v>5.3999999999999999E-2</v>
      </c>
      <c r="F43" s="307">
        <f>CDCM!D$4183</f>
        <v>0</v>
      </c>
      <c r="G43" s="317">
        <f>CDCM!E$4183</f>
        <v>3.21</v>
      </c>
      <c r="H43" s="317">
        <f>CDCM!F$4183</f>
        <v>0</v>
      </c>
      <c r="I43" s="307">
        <f>CDCM!G$4183</f>
        <v>0</v>
      </c>
      <c r="J43" s="290"/>
      <c r="K43" s="291"/>
    </row>
    <row r="44" spans="1:11">
      <c r="A44" s="289" t="s">
        <v>153</v>
      </c>
      <c r="B44" s="290"/>
      <c r="C44" s="318">
        <v>2</v>
      </c>
      <c r="D44" s="307">
        <f>CDCM!B$4187</f>
        <v>0.14899999999999999</v>
      </c>
      <c r="E44" s="307">
        <f>CDCM!C$4187</f>
        <v>0</v>
      </c>
      <c r="F44" s="307">
        <f>CDCM!D$4187</f>
        <v>0</v>
      </c>
      <c r="G44" s="317">
        <f>CDCM!E$4187</f>
        <v>0</v>
      </c>
      <c r="H44" s="317">
        <f>CDCM!F$4187</f>
        <v>0</v>
      </c>
      <c r="I44" s="307">
        <f>CDCM!G$4187</f>
        <v>0</v>
      </c>
      <c r="J44" s="290"/>
      <c r="K44" s="291"/>
    </row>
    <row r="45" spans="1:11">
      <c r="A45" s="289" t="s">
        <v>156</v>
      </c>
      <c r="B45" s="290"/>
      <c r="C45" s="318">
        <v>3</v>
      </c>
      <c r="D45" s="307">
        <f>CDCM!B$4191</f>
        <v>1.5629999999999999</v>
      </c>
      <c r="E45" s="307">
        <f>CDCM!C$4191</f>
        <v>0</v>
      </c>
      <c r="F45" s="307">
        <f>CDCM!D$4191</f>
        <v>0</v>
      </c>
      <c r="G45" s="317">
        <f>CDCM!E$4191</f>
        <v>4.95</v>
      </c>
      <c r="H45" s="317">
        <f>CDCM!F$4191</f>
        <v>0</v>
      </c>
      <c r="I45" s="307">
        <f>CDCM!G$4191</f>
        <v>0</v>
      </c>
      <c r="J45" s="290"/>
      <c r="K45" s="291"/>
    </row>
    <row r="46" spans="1:11">
      <c r="A46" s="289" t="s">
        <v>159</v>
      </c>
      <c r="B46" s="290"/>
      <c r="C46" s="318">
        <v>4</v>
      </c>
      <c r="D46" s="307">
        <f>CDCM!B$4195</f>
        <v>1.7909999999999999</v>
      </c>
      <c r="E46" s="307">
        <f>CDCM!C$4195</f>
        <v>5.1999999999999998E-2</v>
      </c>
      <c r="F46" s="307">
        <f>CDCM!D$4195</f>
        <v>0</v>
      </c>
      <c r="G46" s="317">
        <f>CDCM!E$4195</f>
        <v>4.95</v>
      </c>
      <c r="H46" s="317">
        <f>CDCM!F$4195</f>
        <v>0</v>
      </c>
      <c r="I46" s="307">
        <f>CDCM!G$4195</f>
        <v>0</v>
      </c>
      <c r="J46" s="290"/>
      <c r="K46" s="291"/>
    </row>
    <row r="47" spans="1:11" ht="30">
      <c r="A47" s="289" t="s">
        <v>162</v>
      </c>
      <c r="B47" s="290"/>
      <c r="C47" s="318">
        <v>4</v>
      </c>
      <c r="D47" s="307">
        <f>CDCM!B$4199</f>
        <v>0.27900000000000003</v>
      </c>
      <c r="E47" s="307">
        <f>CDCM!C$4199</f>
        <v>0</v>
      </c>
      <c r="F47" s="307">
        <f>CDCM!D$4199</f>
        <v>0</v>
      </c>
      <c r="G47" s="317">
        <f>CDCM!E$4199</f>
        <v>0</v>
      </c>
      <c r="H47" s="317">
        <f>CDCM!F$4199</f>
        <v>0</v>
      </c>
      <c r="I47" s="307">
        <f>CDCM!G$4199</f>
        <v>0</v>
      </c>
      <c r="J47" s="290"/>
      <c r="K47" s="291"/>
    </row>
    <row r="48" spans="1:11">
      <c r="A48" s="289" t="s">
        <v>165</v>
      </c>
      <c r="B48" s="290"/>
      <c r="C48" s="318" t="s">
        <v>1199</v>
      </c>
      <c r="D48" s="307">
        <f>CDCM!B$4203</f>
        <v>1.3069999999999999</v>
      </c>
      <c r="E48" s="307">
        <f>CDCM!C$4203</f>
        <v>3.6999999999999998E-2</v>
      </c>
      <c r="F48" s="307">
        <f>CDCM!D$4203</f>
        <v>0</v>
      </c>
      <c r="G48" s="317">
        <f>CDCM!E$4203</f>
        <v>3.81</v>
      </c>
      <c r="H48" s="317">
        <f>CDCM!F$4203</f>
        <v>0</v>
      </c>
      <c r="I48" s="307">
        <f>CDCM!G$4203</f>
        <v>0</v>
      </c>
      <c r="J48" s="290"/>
      <c r="K48" s="291"/>
    </row>
    <row r="49" spans="1:11">
      <c r="A49" s="289" t="s">
        <v>1533</v>
      </c>
      <c r="B49" s="290"/>
      <c r="C49" s="318"/>
      <c r="D49" s="307">
        <f>CDCM!B$4211</f>
        <v>9.548</v>
      </c>
      <c r="E49" s="307">
        <f>CDCM!C$4211</f>
        <v>0.59199999999999997</v>
      </c>
      <c r="F49" s="307">
        <f>CDCM!D$4211</f>
        <v>4.5999999999999999E-2</v>
      </c>
      <c r="G49" s="317">
        <f>CDCM!E$4211</f>
        <v>3.21</v>
      </c>
      <c r="H49" s="317">
        <f>CDCM!F$4211</f>
        <v>0</v>
      </c>
      <c r="I49" s="307">
        <f>CDCM!G$4211</f>
        <v>0</v>
      </c>
      <c r="J49" s="290"/>
      <c r="K49" s="291"/>
    </row>
    <row r="50" spans="1:11">
      <c r="A50" s="289" t="s">
        <v>1532</v>
      </c>
      <c r="B50" s="290"/>
      <c r="C50" s="318"/>
      <c r="D50" s="307">
        <f>CDCM!B$4215</f>
        <v>9.6029999999999998</v>
      </c>
      <c r="E50" s="307">
        <f>CDCM!C$4215</f>
        <v>0.59599999999999997</v>
      </c>
      <c r="F50" s="307">
        <f>CDCM!D$4215</f>
        <v>4.5999999999999999E-2</v>
      </c>
      <c r="G50" s="317">
        <f>CDCM!E$4215</f>
        <v>4.95</v>
      </c>
      <c r="H50" s="317">
        <f>CDCM!F$4215</f>
        <v>0</v>
      </c>
      <c r="I50" s="307">
        <f>CDCM!G$4215</f>
        <v>0</v>
      </c>
      <c r="J50" s="290"/>
      <c r="K50" s="291"/>
    </row>
    <row r="51" spans="1:11">
      <c r="A51" s="289" t="s">
        <v>170</v>
      </c>
      <c r="B51" s="290"/>
      <c r="C51" s="318"/>
      <c r="D51" s="307">
        <f>CDCM!B$4219</f>
        <v>8.2729999999999997</v>
      </c>
      <c r="E51" s="307">
        <f>CDCM!C$4219</f>
        <v>0.503</v>
      </c>
      <c r="F51" s="307">
        <f>CDCM!D$4219</f>
        <v>3.2000000000000001E-2</v>
      </c>
      <c r="G51" s="317">
        <f>CDCM!E$4219</f>
        <v>6.42</v>
      </c>
      <c r="H51" s="317">
        <f>CDCM!F$4219</f>
        <v>2.76</v>
      </c>
      <c r="I51" s="307">
        <f>CDCM!G$4219</f>
        <v>0.29899999999999999</v>
      </c>
      <c r="J51" s="290"/>
      <c r="K51" s="291"/>
    </row>
    <row r="52" spans="1:11">
      <c r="A52" s="289" t="s">
        <v>177</v>
      </c>
      <c r="B52" s="290"/>
      <c r="C52" s="318">
        <v>8</v>
      </c>
      <c r="D52" s="307">
        <f>CDCM!B$4229</f>
        <v>1.534</v>
      </c>
      <c r="E52" s="307">
        <f>CDCM!C$4229</f>
        <v>0</v>
      </c>
      <c r="F52" s="307">
        <f>CDCM!D$4229</f>
        <v>0</v>
      </c>
      <c r="G52" s="317">
        <f>CDCM!E$4229</f>
        <v>0</v>
      </c>
      <c r="H52" s="317">
        <f>CDCM!F$4229</f>
        <v>0</v>
      </c>
      <c r="I52" s="307">
        <f>CDCM!G$4229</f>
        <v>0</v>
      </c>
      <c r="J52" s="290"/>
      <c r="K52" s="291"/>
    </row>
    <row r="53" spans="1:11">
      <c r="A53" s="289" t="s">
        <v>180</v>
      </c>
      <c r="B53" s="290"/>
      <c r="C53" s="318">
        <v>1</v>
      </c>
      <c r="D53" s="307">
        <f>CDCM!B$4233</f>
        <v>1.9650000000000001</v>
      </c>
      <c r="E53" s="307">
        <f>CDCM!C$4233</f>
        <v>0</v>
      </c>
      <c r="F53" s="307">
        <f>CDCM!D$4233</f>
        <v>0</v>
      </c>
      <c r="G53" s="317">
        <f>CDCM!E$4233</f>
        <v>0</v>
      </c>
      <c r="H53" s="317">
        <f>CDCM!F$4233</f>
        <v>0</v>
      </c>
      <c r="I53" s="307">
        <f>CDCM!G$4233</f>
        <v>0</v>
      </c>
      <c r="J53" s="290"/>
      <c r="K53" s="291"/>
    </row>
    <row r="54" spans="1:11">
      <c r="A54" s="289" t="s">
        <v>183</v>
      </c>
      <c r="B54" s="290"/>
      <c r="C54" s="318">
        <v>1</v>
      </c>
      <c r="D54" s="307">
        <f>CDCM!B$4237</f>
        <v>3.1589999999999998</v>
      </c>
      <c r="E54" s="307">
        <f>CDCM!C$4237</f>
        <v>0</v>
      </c>
      <c r="F54" s="307">
        <f>CDCM!D$4237</f>
        <v>0</v>
      </c>
      <c r="G54" s="317">
        <f>CDCM!E$4237</f>
        <v>0</v>
      </c>
      <c r="H54" s="317">
        <f>CDCM!F$4237</f>
        <v>0</v>
      </c>
      <c r="I54" s="307">
        <f>CDCM!G$4237</f>
        <v>0</v>
      </c>
      <c r="J54" s="290"/>
      <c r="K54" s="291"/>
    </row>
    <row r="55" spans="1:11">
      <c r="A55" s="289" t="s">
        <v>186</v>
      </c>
      <c r="B55" s="290"/>
      <c r="C55" s="318">
        <v>1</v>
      </c>
      <c r="D55" s="307">
        <f>CDCM!B$4241</f>
        <v>1.097</v>
      </c>
      <c r="E55" s="307">
        <f>CDCM!C$4241</f>
        <v>0</v>
      </c>
      <c r="F55" s="307">
        <f>CDCM!D$4241</f>
        <v>0</v>
      </c>
      <c r="G55" s="317">
        <f>CDCM!E$4241</f>
        <v>0</v>
      </c>
      <c r="H55" s="317">
        <f>CDCM!F$4241</f>
        <v>0</v>
      </c>
      <c r="I55" s="307">
        <f>CDCM!G$4241</f>
        <v>0</v>
      </c>
      <c r="J55" s="290"/>
      <c r="K55" s="291"/>
    </row>
    <row r="56" spans="1:11">
      <c r="A56" s="289" t="s">
        <v>189</v>
      </c>
      <c r="B56" s="290"/>
      <c r="C56" s="318"/>
      <c r="D56" s="307">
        <f>CDCM!B$4245</f>
        <v>29.321999999999999</v>
      </c>
      <c r="E56" s="307">
        <f>CDCM!C$4245</f>
        <v>0.98499999999999999</v>
      </c>
      <c r="F56" s="307">
        <f>CDCM!D$4245</f>
        <v>0.51300000000000001</v>
      </c>
      <c r="G56" s="317">
        <f>CDCM!E$4245</f>
        <v>0</v>
      </c>
      <c r="H56" s="317">
        <f>CDCM!F$4245</f>
        <v>0</v>
      </c>
      <c r="I56" s="307">
        <f>CDCM!G$4245</f>
        <v>0</v>
      </c>
      <c r="J56" s="290"/>
      <c r="K56" s="291"/>
    </row>
    <row r="57" spans="1:11">
      <c r="A57" s="289" t="s">
        <v>1531</v>
      </c>
      <c r="B57" s="290"/>
      <c r="C57" s="318" t="s">
        <v>1527</v>
      </c>
      <c r="D57" s="307">
        <f>CDCM!B$4249</f>
        <v>-0.66600000000000004</v>
      </c>
      <c r="E57" s="307">
        <f>CDCM!C$4249</f>
        <v>0</v>
      </c>
      <c r="F57" s="307">
        <f>CDCM!D$4249</f>
        <v>0</v>
      </c>
      <c r="G57" s="317">
        <f>CDCM!E$4249</f>
        <v>0</v>
      </c>
      <c r="H57" s="317">
        <f>CDCM!F$4249</f>
        <v>0</v>
      </c>
      <c r="I57" s="307">
        <f>CDCM!G$4249</f>
        <v>0</v>
      </c>
      <c r="J57" s="290"/>
      <c r="K57" s="291"/>
    </row>
    <row r="58" spans="1:11">
      <c r="A58" s="289" t="s">
        <v>194</v>
      </c>
      <c r="B58" s="290"/>
      <c r="C58" s="318"/>
      <c r="D58" s="307">
        <f>CDCM!B$4256</f>
        <v>-0.66600000000000004</v>
      </c>
      <c r="E58" s="307">
        <f>CDCM!C$4256</f>
        <v>0</v>
      </c>
      <c r="F58" s="307">
        <f>CDCM!D$4256</f>
        <v>0</v>
      </c>
      <c r="G58" s="317">
        <f>CDCM!E$4256</f>
        <v>0</v>
      </c>
      <c r="H58" s="317">
        <f>CDCM!F$4256</f>
        <v>0</v>
      </c>
      <c r="I58" s="307">
        <f>CDCM!G$4256</f>
        <v>0.28499999999999998</v>
      </c>
      <c r="J58" s="290"/>
      <c r="K58" s="291"/>
    </row>
    <row r="59" spans="1:11">
      <c r="A59" s="289" t="s">
        <v>197</v>
      </c>
      <c r="B59" s="290"/>
      <c r="C59" s="318"/>
      <c r="D59" s="307">
        <f>CDCM!B$4260</f>
        <v>-5.5940000000000003</v>
      </c>
      <c r="E59" s="307">
        <f>CDCM!C$4260</f>
        <v>-0.42499999999999999</v>
      </c>
      <c r="F59" s="307">
        <f>CDCM!D$4260</f>
        <v>-5.5E-2</v>
      </c>
      <c r="G59" s="317">
        <f>CDCM!E$4260</f>
        <v>0</v>
      </c>
      <c r="H59" s="317">
        <f>CDCM!F$4260</f>
        <v>0</v>
      </c>
      <c r="I59" s="307">
        <f>CDCM!G$4260</f>
        <v>0.28499999999999998</v>
      </c>
      <c r="J59" s="290"/>
      <c r="K59" s="291"/>
    </row>
    <row r="60" spans="1:11">
      <c r="A60" s="289" t="s">
        <v>148</v>
      </c>
      <c r="B60" s="290"/>
      <c r="C60" s="318">
        <v>1</v>
      </c>
      <c r="D60" s="307">
        <f>CDCM!B$4180</f>
        <v>1.2150000000000001</v>
      </c>
      <c r="E60" s="307">
        <f>CDCM!C$4180</f>
        <v>0</v>
      </c>
      <c r="F60" s="307">
        <f>CDCM!D$4180</f>
        <v>0</v>
      </c>
      <c r="G60" s="317">
        <f>CDCM!E$4180</f>
        <v>2.33</v>
      </c>
      <c r="H60" s="317">
        <f>CDCM!F$4180</f>
        <v>0</v>
      </c>
      <c r="I60" s="307">
        <f>CDCM!G$4180</f>
        <v>0</v>
      </c>
      <c r="J60" s="290"/>
      <c r="K60" s="291"/>
    </row>
    <row r="61" spans="1:11">
      <c r="A61" s="289" t="s">
        <v>151</v>
      </c>
      <c r="B61" s="290"/>
      <c r="C61" s="318">
        <v>2</v>
      </c>
      <c r="D61" s="307">
        <f>CDCM!B$4184</f>
        <v>1.444</v>
      </c>
      <c r="E61" s="307">
        <f>CDCM!C$4184</f>
        <v>3.9E-2</v>
      </c>
      <c r="F61" s="307">
        <f>CDCM!D$4184</f>
        <v>0</v>
      </c>
      <c r="G61" s="317">
        <f>CDCM!E$4184</f>
        <v>2.33</v>
      </c>
      <c r="H61" s="317">
        <f>CDCM!F$4184</f>
        <v>0</v>
      </c>
      <c r="I61" s="307">
        <f>CDCM!G$4184</f>
        <v>0</v>
      </c>
      <c r="J61" s="290"/>
      <c r="K61" s="291"/>
    </row>
    <row r="62" spans="1:11">
      <c r="A62" s="289" t="s">
        <v>154</v>
      </c>
      <c r="B62" s="290"/>
      <c r="C62" s="318">
        <v>2</v>
      </c>
      <c r="D62" s="307">
        <f>CDCM!B$4188</f>
        <v>0.108</v>
      </c>
      <c r="E62" s="307">
        <f>CDCM!C$4188</f>
        <v>0</v>
      </c>
      <c r="F62" s="307">
        <f>CDCM!D$4188</f>
        <v>0</v>
      </c>
      <c r="G62" s="317">
        <f>CDCM!E$4188</f>
        <v>0</v>
      </c>
      <c r="H62" s="317">
        <f>CDCM!F$4188</f>
        <v>0</v>
      </c>
      <c r="I62" s="307">
        <f>CDCM!G$4188</f>
        <v>0</v>
      </c>
      <c r="J62" s="290"/>
      <c r="K62" s="291"/>
    </row>
    <row r="63" spans="1:11">
      <c r="A63" s="289" t="s">
        <v>157</v>
      </c>
      <c r="B63" s="290"/>
      <c r="C63" s="318">
        <v>3</v>
      </c>
      <c r="D63" s="307">
        <f>CDCM!B$4192</f>
        <v>1.1339999999999999</v>
      </c>
      <c r="E63" s="307">
        <f>CDCM!C$4192</f>
        <v>0</v>
      </c>
      <c r="F63" s="307">
        <f>CDCM!D$4192</f>
        <v>0</v>
      </c>
      <c r="G63" s="317">
        <f>CDCM!E$4192</f>
        <v>3.59</v>
      </c>
      <c r="H63" s="317">
        <f>CDCM!F$4192</f>
        <v>0</v>
      </c>
      <c r="I63" s="307">
        <f>CDCM!G$4192</f>
        <v>0</v>
      </c>
      <c r="J63" s="290"/>
      <c r="K63" s="291"/>
    </row>
    <row r="64" spans="1:11">
      <c r="A64" s="289" t="s">
        <v>160</v>
      </c>
      <c r="B64" s="290"/>
      <c r="C64" s="318">
        <v>4</v>
      </c>
      <c r="D64" s="307">
        <f>CDCM!B$4196</f>
        <v>1.3</v>
      </c>
      <c r="E64" s="307">
        <f>CDCM!C$4196</f>
        <v>3.6999999999999998E-2</v>
      </c>
      <c r="F64" s="307">
        <f>CDCM!D$4196</f>
        <v>0</v>
      </c>
      <c r="G64" s="317">
        <f>CDCM!E$4196</f>
        <v>3.59</v>
      </c>
      <c r="H64" s="317">
        <f>CDCM!F$4196</f>
        <v>0</v>
      </c>
      <c r="I64" s="307">
        <f>CDCM!G$4196</f>
        <v>0</v>
      </c>
      <c r="J64" s="290"/>
      <c r="K64" s="291"/>
    </row>
    <row r="65" spans="1:11" ht="30">
      <c r="A65" s="289" t="s">
        <v>163</v>
      </c>
      <c r="B65" s="290"/>
      <c r="C65" s="318">
        <v>4</v>
      </c>
      <c r="D65" s="307">
        <f>CDCM!B$4200</f>
        <v>0.20300000000000001</v>
      </c>
      <c r="E65" s="307">
        <f>CDCM!C$4200</f>
        <v>0</v>
      </c>
      <c r="F65" s="307">
        <f>CDCM!D$4200</f>
        <v>0</v>
      </c>
      <c r="G65" s="317">
        <f>CDCM!E$4200</f>
        <v>0</v>
      </c>
      <c r="H65" s="317">
        <f>CDCM!F$4200</f>
        <v>0</v>
      </c>
      <c r="I65" s="307">
        <f>CDCM!G$4200</f>
        <v>0</v>
      </c>
      <c r="J65" s="290"/>
      <c r="K65" s="291"/>
    </row>
    <row r="66" spans="1:11">
      <c r="A66" s="289" t="s">
        <v>166</v>
      </c>
      <c r="B66" s="290"/>
      <c r="C66" s="318" t="s">
        <v>1199</v>
      </c>
      <c r="D66" s="307">
        <f>CDCM!B$4204</f>
        <v>0.94899999999999995</v>
      </c>
      <c r="E66" s="307">
        <f>CDCM!C$4204</f>
        <v>2.7E-2</v>
      </c>
      <c r="F66" s="307">
        <f>CDCM!D$4204</f>
        <v>0</v>
      </c>
      <c r="G66" s="317">
        <f>CDCM!E$4204</f>
        <v>2.76</v>
      </c>
      <c r="H66" s="317">
        <f>CDCM!F$4204</f>
        <v>0</v>
      </c>
      <c r="I66" s="307">
        <f>CDCM!G$4204</f>
        <v>0</v>
      </c>
      <c r="J66" s="290"/>
      <c r="K66" s="291"/>
    </row>
    <row r="67" spans="1:11">
      <c r="A67" s="289" t="s">
        <v>1530</v>
      </c>
      <c r="B67" s="290"/>
      <c r="C67" s="318"/>
      <c r="D67" s="307">
        <f>CDCM!B$4212</f>
        <v>6.93</v>
      </c>
      <c r="E67" s="307">
        <f>CDCM!C$4212</f>
        <v>0.43</v>
      </c>
      <c r="F67" s="307">
        <f>CDCM!D$4212</f>
        <v>3.3000000000000002E-2</v>
      </c>
      <c r="G67" s="317">
        <f>CDCM!E$4212</f>
        <v>2.33</v>
      </c>
      <c r="H67" s="317">
        <f>CDCM!F$4212</f>
        <v>0</v>
      </c>
      <c r="I67" s="307">
        <f>CDCM!G$4212</f>
        <v>0</v>
      </c>
      <c r="J67" s="290"/>
      <c r="K67" s="291"/>
    </row>
    <row r="68" spans="1:11">
      <c r="A68" s="289" t="s">
        <v>1529</v>
      </c>
      <c r="B68" s="290"/>
      <c r="C68" s="318"/>
      <c r="D68" s="307">
        <f>CDCM!B$4216</f>
        <v>6.97</v>
      </c>
      <c r="E68" s="307">
        <f>CDCM!C$4216</f>
        <v>0.432</v>
      </c>
      <c r="F68" s="307">
        <f>CDCM!D$4216</f>
        <v>3.4000000000000002E-2</v>
      </c>
      <c r="G68" s="317">
        <f>CDCM!E$4216</f>
        <v>3.59</v>
      </c>
      <c r="H68" s="317">
        <f>CDCM!F$4216</f>
        <v>0</v>
      </c>
      <c r="I68" s="307">
        <f>CDCM!G$4216</f>
        <v>0</v>
      </c>
      <c r="J68" s="290"/>
      <c r="K68" s="291"/>
    </row>
    <row r="69" spans="1:11">
      <c r="A69" s="289" t="s">
        <v>171</v>
      </c>
      <c r="B69" s="290"/>
      <c r="C69" s="318"/>
      <c r="D69" s="307">
        <f>CDCM!B$4220</f>
        <v>6.0039999999999996</v>
      </c>
      <c r="E69" s="307">
        <f>CDCM!C$4220</f>
        <v>0.36499999999999999</v>
      </c>
      <c r="F69" s="307">
        <f>CDCM!D$4220</f>
        <v>2.3E-2</v>
      </c>
      <c r="G69" s="317">
        <f>CDCM!E$4220</f>
        <v>4.66</v>
      </c>
      <c r="H69" s="317">
        <f>CDCM!F$4220</f>
        <v>2.0099999999999998</v>
      </c>
      <c r="I69" s="307">
        <f>CDCM!G$4220</f>
        <v>0.217</v>
      </c>
      <c r="J69" s="290"/>
      <c r="K69" s="291"/>
    </row>
    <row r="70" spans="1:11">
      <c r="A70" s="289" t="s">
        <v>173</v>
      </c>
      <c r="B70" s="290"/>
      <c r="C70" s="318"/>
      <c r="D70" s="307">
        <f>CDCM!B$4223</f>
        <v>8.0250000000000004</v>
      </c>
      <c r="E70" s="307">
        <f>CDCM!C$4223</f>
        <v>0.47</v>
      </c>
      <c r="F70" s="307">
        <f>CDCM!D$4223</f>
        <v>1.6E-2</v>
      </c>
      <c r="G70" s="317">
        <f>CDCM!E$4223</f>
        <v>5.48</v>
      </c>
      <c r="H70" s="317">
        <f>CDCM!F$4223</f>
        <v>3.91</v>
      </c>
      <c r="I70" s="307">
        <f>CDCM!G$4223</f>
        <v>0.27700000000000002</v>
      </c>
      <c r="J70" s="290"/>
      <c r="K70" s="291"/>
    </row>
    <row r="71" spans="1:11">
      <c r="A71" s="289" t="s">
        <v>175</v>
      </c>
      <c r="B71" s="290"/>
      <c r="C71" s="318"/>
      <c r="D71" s="307">
        <f>CDCM!B$4226</f>
        <v>6.6529999999999996</v>
      </c>
      <c r="E71" s="307">
        <f>CDCM!C$4226</f>
        <v>0.36699999999999999</v>
      </c>
      <c r="F71" s="307">
        <f>CDCM!D$4226</f>
        <v>8.0000000000000002E-3</v>
      </c>
      <c r="G71" s="317">
        <f>CDCM!E$4226</f>
        <v>62.24</v>
      </c>
      <c r="H71" s="317">
        <f>CDCM!F$4226</f>
        <v>4.7300000000000004</v>
      </c>
      <c r="I71" s="307">
        <f>CDCM!G$4226</f>
        <v>0.20899999999999999</v>
      </c>
      <c r="J71" s="290"/>
      <c r="K71" s="291"/>
    </row>
    <row r="72" spans="1:11">
      <c r="A72" s="289" t="s">
        <v>178</v>
      </c>
      <c r="B72" s="290"/>
      <c r="C72" s="318">
        <v>8</v>
      </c>
      <c r="D72" s="307">
        <f>CDCM!B$4230</f>
        <v>1.1140000000000001</v>
      </c>
      <c r="E72" s="307">
        <f>CDCM!C$4230</f>
        <v>0</v>
      </c>
      <c r="F72" s="307">
        <f>CDCM!D$4230</f>
        <v>0</v>
      </c>
      <c r="G72" s="317">
        <f>CDCM!E$4230</f>
        <v>0</v>
      </c>
      <c r="H72" s="317">
        <f>CDCM!F$4230</f>
        <v>0</v>
      </c>
      <c r="I72" s="307">
        <f>CDCM!G$4230</f>
        <v>0</v>
      </c>
      <c r="J72" s="290"/>
      <c r="K72" s="291"/>
    </row>
    <row r="73" spans="1:11">
      <c r="A73" s="289" t="s">
        <v>181</v>
      </c>
      <c r="B73" s="290"/>
      <c r="C73" s="318">
        <v>1</v>
      </c>
      <c r="D73" s="307">
        <f>CDCM!B$4234</f>
        <v>1.4259999999999999</v>
      </c>
      <c r="E73" s="307">
        <f>CDCM!C$4234</f>
        <v>0</v>
      </c>
      <c r="F73" s="307">
        <f>CDCM!D$4234</f>
        <v>0</v>
      </c>
      <c r="G73" s="317">
        <f>CDCM!E$4234</f>
        <v>0</v>
      </c>
      <c r="H73" s="317">
        <f>CDCM!F$4234</f>
        <v>0</v>
      </c>
      <c r="I73" s="307">
        <f>CDCM!G$4234</f>
        <v>0</v>
      </c>
      <c r="J73" s="290"/>
      <c r="K73" s="291"/>
    </row>
    <row r="74" spans="1:11">
      <c r="A74" s="289" t="s">
        <v>184</v>
      </c>
      <c r="B74" s="290"/>
      <c r="C74" s="318">
        <v>1</v>
      </c>
      <c r="D74" s="307">
        <f>CDCM!B$4238</f>
        <v>2.2930000000000001</v>
      </c>
      <c r="E74" s="307">
        <f>CDCM!C$4238</f>
        <v>0</v>
      </c>
      <c r="F74" s="307">
        <f>CDCM!D$4238</f>
        <v>0</v>
      </c>
      <c r="G74" s="317">
        <f>CDCM!E$4238</f>
        <v>0</v>
      </c>
      <c r="H74" s="317">
        <f>CDCM!F$4238</f>
        <v>0</v>
      </c>
      <c r="I74" s="307">
        <f>CDCM!G$4238</f>
        <v>0</v>
      </c>
      <c r="J74" s="290"/>
      <c r="K74" s="291"/>
    </row>
    <row r="75" spans="1:11">
      <c r="A75" s="289" t="s">
        <v>187</v>
      </c>
      <c r="B75" s="290"/>
      <c r="C75" s="318">
        <v>1</v>
      </c>
      <c r="D75" s="307">
        <f>CDCM!B$4242</f>
        <v>0.79600000000000004</v>
      </c>
      <c r="E75" s="307">
        <f>CDCM!C$4242</f>
        <v>0</v>
      </c>
      <c r="F75" s="307">
        <f>CDCM!D$4242</f>
        <v>0</v>
      </c>
      <c r="G75" s="317">
        <f>CDCM!E$4242</f>
        <v>0</v>
      </c>
      <c r="H75" s="317">
        <f>CDCM!F$4242</f>
        <v>0</v>
      </c>
      <c r="I75" s="307">
        <f>CDCM!G$4242</f>
        <v>0</v>
      </c>
      <c r="J75" s="290"/>
      <c r="K75" s="291"/>
    </row>
    <row r="76" spans="1:11">
      <c r="A76" s="289" t="s">
        <v>190</v>
      </c>
      <c r="B76" s="290"/>
      <c r="C76" s="318"/>
      <c r="D76" s="307">
        <f>CDCM!B$4246</f>
        <v>21.282</v>
      </c>
      <c r="E76" s="307">
        <f>CDCM!C$4246</f>
        <v>0.71499999999999997</v>
      </c>
      <c r="F76" s="307">
        <f>CDCM!D$4246</f>
        <v>0.373</v>
      </c>
      <c r="G76" s="317">
        <f>CDCM!E$4246</f>
        <v>0</v>
      </c>
      <c r="H76" s="317">
        <f>CDCM!F$4246</f>
        <v>0</v>
      </c>
      <c r="I76" s="307">
        <f>CDCM!G$4246</f>
        <v>0</v>
      </c>
      <c r="J76" s="290"/>
      <c r="K76" s="291"/>
    </row>
    <row r="77" spans="1:11">
      <c r="A77" s="289" t="s">
        <v>1528</v>
      </c>
      <c r="B77" s="290"/>
      <c r="C77" s="318" t="s">
        <v>1527</v>
      </c>
      <c r="D77" s="307">
        <f>CDCM!B$4250</f>
        <v>-0.66600000000000004</v>
      </c>
      <c r="E77" s="307">
        <f>CDCM!C$4250</f>
        <v>0</v>
      </c>
      <c r="F77" s="307">
        <f>CDCM!D$4250</f>
        <v>0</v>
      </c>
      <c r="G77" s="317">
        <f>CDCM!E$4250</f>
        <v>0</v>
      </c>
      <c r="H77" s="317">
        <f>CDCM!F$4250</f>
        <v>0</v>
      </c>
      <c r="I77" s="307">
        <f>CDCM!G$4250</f>
        <v>0</v>
      </c>
      <c r="J77" s="290"/>
      <c r="K77" s="291"/>
    </row>
    <row r="78" spans="1:11">
      <c r="A78" s="289" t="s">
        <v>192</v>
      </c>
      <c r="B78" s="290"/>
      <c r="C78" s="318">
        <v>8</v>
      </c>
      <c r="D78" s="307">
        <f>CDCM!B$4253</f>
        <v>-0.56699999999999995</v>
      </c>
      <c r="E78" s="307">
        <f>CDCM!C$4253</f>
        <v>0</v>
      </c>
      <c r="F78" s="307">
        <f>CDCM!D$4253</f>
        <v>0</v>
      </c>
      <c r="G78" s="317">
        <f>CDCM!E$4253</f>
        <v>0</v>
      </c>
      <c r="H78" s="317">
        <f>CDCM!F$4253</f>
        <v>0</v>
      </c>
      <c r="I78" s="307">
        <f>CDCM!G$4253</f>
        <v>0</v>
      </c>
      <c r="J78" s="290"/>
      <c r="K78" s="291"/>
    </row>
    <row r="79" spans="1:11">
      <c r="A79" s="289" t="s">
        <v>195</v>
      </c>
      <c r="B79" s="290"/>
      <c r="C79" s="318"/>
      <c r="D79" s="307">
        <f>CDCM!B$4257</f>
        <v>-0.66600000000000004</v>
      </c>
      <c r="E79" s="307">
        <f>CDCM!C$4257</f>
        <v>0</v>
      </c>
      <c r="F79" s="307">
        <f>CDCM!D$4257</f>
        <v>0</v>
      </c>
      <c r="G79" s="317">
        <f>CDCM!E$4257</f>
        <v>0</v>
      </c>
      <c r="H79" s="317">
        <f>CDCM!F$4257</f>
        <v>0</v>
      </c>
      <c r="I79" s="307">
        <f>CDCM!G$4257</f>
        <v>0.28499999999999998</v>
      </c>
      <c r="J79" s="290"/>
      <c r="K79" s="291"/>
    </row>
    <row r="80" spans="1:11">
      <c r="A80" s="289" t="s">
        <v>198</v>
      </c>
      <c r="B80" s="290"/>
      <c r="C80" s="318"/>
      <c r="D80" s="307">
        <f>CDCM!B$4261</f>
        <v>-5.5940000000000003</v>
      </c>
      <c r="E80" s="307">
        <f>CDCM!C$4261</f>
        <v>-0.42499999999999999</v>
      </c>
      <c r="F80" s="307">
        <f>CDCM!D$4261</f>
        <v>-5.5E-2</v>
      </c>
      <c r="G80" s="317">
        <f>CDCM!E$4261</f>
        <v>0</v>
      </c>
      <c r="H80" s="317">
        <f>CDCM!F$4261</f>
        <v>0</v>
      </c>
      <c r="I80" s="307">
        <f>CDCM!G$4261</f>
        <v>0.28499999999999998</v>
      </c>
      <c r="J80" s="290"/>
      <c r="K80" s="291"/>
    </row>
    <row r="81" spans="1:11">
      <c r="A81" s="289" t="s">
        <v>200</v>
      </c>
      <c r="B81" s="290"/>
      <c r="C81" s="318"/>
      <c r="D81" s="307">
        <f>CDCM!B$4264</f>
        <v>-0.56699999999999995</v>
      </c>
      <c r="E81" s="307">
        <f>CDCM!C$4264</f>
        <v>0</v>
      </c>
      <c r="F81" s="307">
        <f>CDCM!D$4264</f>
        <v>0</v>
      </c>
      <c r="G81" s="317">
        <f>CDCM!E$4264</f>
        <v>0</v>
      </c>
      <c r="H81" s="317">
        <f>CDCM!F$4264</f>
        <v>0</v>
      </c>
      <c r="I81" s="307">
        <f>CDCM!G$4264</f>
        <v>0.24299999999999999</v>
      </c>
      <c r="J81" s="290"/>
      <c r="K81" s="291"/>
    </row>
    <row r="82" spans="1:11">
      <c r="A82" s="289" t="s">
        <v>202</v>
      </c>
      <c r="B82" s="290"/>
      <c r="C82" s="318"/>
      <c r="D82" s="307">
        <f>CDCM!B$4267</f>
        <v>-4.7640000000000002</v>
      </c>
      <c r="E82" s="307">
        <f>CDCM!C$4267</f>
        <v>-0.36499999999999999</v>
      </c>
      <c r="F82" s="307">
        <f>CDCM!D$4267</f>
        <v>-4.3999999999999997E-2</v>
      </c>
      <c r="G82" s="317">
        <f>CDCM!E$4267</f>
        <v>0</v>
      </c>
      <c r="H82" s="317">
        <f>CDCM!F$4267</f>
        <v>0</v>
      </c>
      <c r="I82" s="307">
        <f>CDCM!G$4267</f>
        <v>0.24299999999999999</v>
      </c>
      <c r="J82" s="290"/>
      <c r="K82" s="291"/>
    </row>
    <row r="83" spans="1:11">
      <c r="A83" s="289" t="s">
        <v>204</v>
      </c>
      <c r="B83" s="290"/>
      <c r="C83" s="318"/>
      <c r="D83" s="307">
        <f>CDCM!B$4270</f>
        <v>-0.28799999999999998</v>
      </c>
      <c r="E83" s="307">
        <f>CDCM!C$4270</f>
        <v>0</v>
      </c>
      <c r="F83" s="307">
        <f>CDCM!D$4270</f>
        <v>0</v>
      </c>
      <c r="G83" s="317">
        <f>CDCM!E$4270</f>
        <v>0</v>
      </c>
      <c r="H83" s="317">
        <f>CDCM!F$4270</f>
        <v>0</v>
      </c>
      <c r="I83" s="307">
        <f>CDCM!G$4270</f>
        <v>0.19600000000000001</v>
      </c>
      <c r="J83" s="290"/>
      <c r="K83" s="291"/>
    </row>
    <row r="84" spans="1:11">
      <c r="A84" s="289" t="s">
        <v>206</v>
      </c>
      <c r="B84" s="290"/>
      <c r="C84" s="318"/>
      <c r="D84" s="307">
        <f>CDCM!B$4273</f>
        <v>-2.4279999999999999</v>
      </c>
      <c r="E84" s="307">
        <f>CDCM!C$4273</f>
        <v>-0.19600000000000001</v>
      </c>
      <c r="F84" s="307">
        <f>CDCM!D$4273</f>
        <v>-1.6E-2</v>
      </c>
      <c r="G84" s="317">
        <f>CDCM!E$4273</f>
        <v>0</v>
      </c>
      <c r="H84" s="317">
        <f>CDCM!F$4273</f>
        <v>0</v>
      </c>
      <c r="I84" s="307">
        <f>CDCM!G$4273</f>
        <v>0.19600000000000001</v>
      </c>
      <c r="J84" s="290"/>
      <c r="K84" s="291"/>
    </row>
  </sheetData>
  <hyperlinks>
    <hyperlink ref="A5" location="'CDCM'!B4176" display="x1 = 3607. Unit rate 1 p/kWh (in Tariffs)"/>
    <hyperlink ref="A6" location="'CDCM'!C4176" display="x2 = 3607. Unit rate 2 p/kWh (in Tariffs)"/>
    <hyperlink ref="A7" location="'CDCM'!D4176" display="x3 = 3607. Unit rate 3 p/kWh (in Tariffs)"/>
    <hyperlink ref="A8" location="'CDCM'!E4176" display="x4 = 3607. Fixed charge p/MPAN/day (in Tariffs)"/>
    <hyperlink ref="A9" location="'CDCM'!F4176" display="x5 = 3607. Capacity charge p/kVA/day (in Tariffs)"/>
    <hyperlink ref="A10" location="'CDCM'!G4176" display="x6 = 3607. Reactive power charge p/kVArh (in Tariffs)"/>
  </hyperlinks>
  <pageMargins left="0.7" right="0.7" top="0.75" bottom="0.75" header="0.3" footer="0.3"/>
  <pageSetup paperSize="9" fitToHeight="0" orientation="portrait"/>
  <headerFooter>
    <oddHeader>&amp;L&amp;A&amp;C&amp;R&amp;P of &amp;N</oddHeader>
    <oddFooter>&amp;F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U144"/>
  <sheetViews>
    <sheetView showGridLines="0" workbookViewId="0">
      <pane xSplit="1" ySplit="1" topLeftCell="F16" activePane="bottomRight" state="frozen"/>
      <selection activeCell="C30" sqref="C30"/>
      <selection pane="topRight" activeCell="C30" sqref="C30"/>
      <selection pane="bottomLeft" activeCell="C30" sqref="C30"/>
      <selection pane="bottomRight" activeCell="J33" sqref="J33:J129"/>
    </sheetView>
  </sheetViews>
  <sheetFormatPr defaultRowHeight="15"/>
  <cols>
    <col min="1" max="1" width="50.7109375" customWidth="1"/>
    <col min="2" max="251" width="20.7109375" customWidth="1"/>
  </cols>
  <sheetData>
    <row r="1" spans="1:1" ht="21" customHeight="1">
      <c r="A1" s="1" t="str">
        <f>"Summary for "&amp;CDCM!B7&amp;" in "&amp;CDCM!C7&amp;" ("&amp;CDCM!D7&amp;")"</f>
        <v>Summary for West Mids in 0 (Forecast)</v>
      </c>
    </row>
    <row r="2" spans="1:1">
      <c r="A2" s="287" t="s">
        <v>1200</v>
      </c>
    </row>
    <row r="4" spans="1:1" ht="21" customHeight="1">
      <c r="A4" s="1" t="s">
        <v>1839</v>
      </c>
    </row>
    <row r="5" spans="1:1">
      <c r="A5" s="287" t="s">
        <v>255</v>
      </c>
    </row>
    <row r="6" spans="1:1">
      <c r="A6" s="301" t="s">
        <v>1202</v>
      </c>
    </row>
    <row r="7" spans="1:1">
      <c r="A7" s="301" t="s">
        <v>1203</v>
      </c>
    </row>
    <row r="8" spans="1:1">
      <c r="A8" s="301" t="s">
        <v>1204</v>
      </c>
    </row>
    <row r="9" spans="1:1">
      <c r="A9" s="301" t="s">
        <v>1205</v>
      </c>
    </row>
    <row r="10" spans="1:1">
      <c r="A10" s="301" t="s">
        <v>520</v>
      </c>
    </row>
    <row r="11" spans="1:1">
      <c r="A11" s="301" t="s">
        <v>1206</v>
      </c>
    </row>
    <row r="12" spans="1:1">
      <c r="A12" s="301" t="s">
        <v>1207</v>
      </c>
    </row>
    <row r="13" spans="1:1">
      <c r="A13" s="301" t="s">
        <v>1208</v>
      </c>
    </row>
    <row r="14" spans="1:1">
      <c r="A14" s="301" t="s">
        <v>1209</v>
      </c>
    </row>
    <row r="15" spans="1:1">
      <c r="A15" s="301" t="s">
        <v>1210</v>
      </c>
    </row>
    <row r="16" spans="1:1">
      <c r="A16" s="301" t="s">
        <v>1211</v>
      </c>
    </row>
    <row r="17" spans="1:20">
      <c r="A17" s="301" t="s">
        <v>1212</v>
      </c>
    </row>
    <row r="18" spans="1:20">
      <c r="A18" s="301" t="s">
        <v>1213</v>
      </c>
    </row>
    <row r="19" spans="1:20">
      <c r="A19" s="301" t="s">
        <v>1214</v>
      </c>
    </row>
    <row r="20" spans="1:20">
      <c r="A20" s="301" t="s">
        <v>1215</v>
      </c>
    </row>
    <row r="21" spans="1:20">
      <c r="A21" s="301" t="s">
        <v>1838</v>
      </c>
    </row>
    <row r="22" spans="1:20">
      <c r="A22" s="301" t="s">
        <v>1216</v>
      </c>
    </row>
    <row r="23" spans="1:20">
      <c r="A23" s="301" t="s">
        <v>1217</v>
      </c>
    </row>
    <row r="24" spans="1:20">
      <c r="A24" s="301" t="s">
        <v>1218</v>
      </c>
    </row>
    <row r="25" spans="1:20">
      <c r="A25" s="301" t="s">
        <v>1219</v>
      </c>
    </row>
    <row r="26" spans="1:20">
      <c r="A26" s="301" t="s">
        <v>1220</v>
      </c>
    </row>
    <row r="27" spans="1:20">
      <c r="A27" s="301" t="s">
        <v>1221</v>
      </c>
    </row>
    <row r="28" spans="1:20">
      <c r="A28" s="301" t="s">
        <v>1222</v>
      </c>
    </row>
    <row r="29" spans="1:20">
      <c r="A29" s="302" t="s">
        <v>258</v>
      </c>
      <c r="B29" s="302" t="s">
        <v>380</v>
      </c>
      <c r="C29" s="302" t="s">
        <v>314</v>
      </c>
      <c r="D29" s="302" t="s">
        <v>380</v>
      </c>
      <c r="E29" s="302" t="s">
        <v>380</v>
      </c>
      <c r="F29" s="302" t="s">
        <v>380</v>
      </c>
      <c r="G29" s="302" t="s">
        <v>380</v>
      </c>
      <c r="H29" s="302" t="s">
        <v>380</v>
      </c>
      <c r="I29" s="302" t="s">
        <v>380</v>
      </c>
      <c r="J29" s="302" t="s">
        <v>380</v>
      </c>
      <c r="K29" s="302" t="s">
        <v>380</v>
      </c>
      <c r="L29" s="302" t="s">
        <v>380</v>
      </c>
      <c r="M29" s="302" t="s">
        <v>380</v>
      </c>
      <c r="N29" s="302" t="s">
        <v>380</v>
      </c>
      <c r="O29" s="302" t="s">
        <v>380</v>
      </c>
      <c r="P29" s="302" t="s">
        <v>380</v>
      </c>
      <c r="Q29" s="302" t="s">
        <v>380</v>
      </c>
      <c r="R29" s="302" t="s">
        <v>380</v>
      </c>
      <c r="S29" s="302" t="s">
        <v>380</v>
      </c>
      <c r="T29" s="302" t="s">
        <v>380</v>
      </c>
    </row>
    <row r="30" spans="1:20" ht="45">
      <c r="A30" s="302" t="s">
        <v>261</v>
      </c>
      <c r="B30" s="302" t="s">
        <v>1223</v>
      </c>
      <c r="C30" s="302" t="s">
        <v>1194</v>
      </c>
      <c r="D30" s="302" t="s">
        <v>1224</v>
      </c>
      <c r="E30" s="302" t="s">
        <v>1225</v>
      </c>
      <c r="F30" s="302" t="s">
        <v>1226</v>
      </c>
      <c r="G30" s="302" t="s">
        <v>1227</v>
      </c>
      <c r="H30" s="302" t="s">
        <v>1228</v>
      </c>
      <c r="I30" s="302" t="s">
        <v>1229</v>
      </c>
      <c r="J30" s="302" t="s">
        <v>1230</v>
      </c>
      <c r="K30" s="302" t="s">
        <v>1231</v>
      </c>
      <c r="L30" s="302" t="s">
        <v>1232</v>
      </c>
      <c r="M30" s="302" t="s">
        <v>1233</v>
      </c>
      <c r="N30" s="302" t="s">
        <v>1234</v>
      </c>
      <c r="O30" s="302" t="s">
        <v>1235</v>
      </c>
      <c r="P30" s="302" t="s">
        <v>1236</v>
      </c>
      <c r="Q30" s="302" t="s">
        <v>1237</v>
      </c>
      <c r="R30" s="302" t="s">
        <v>1238</v>
      </c>
      <c r="S30" s="302" t="s">
        <v>1239</v>
      </c>
      <c r="T30" s="302" t="s">
        <v>1240</v>
      </c>
    </row>
    <row r="32" spans="1:20" ht="45">
      <c r="B32" s="288" t="s">
        <v>468</v>
      </c>
      <c r="C32" s="288" t="s">
        <v>143</v>
      </c>
      <c r="D32" s="288" t="s">
        <v>1241</v>
      </c>
      <c r="E32" s="288" t="s">
        <v>1242</v>
      </c>
      <c r="F32" s="288" t="s">
        <v>1243</v>
      </c>
      <c r="G32" s="288" t="s">
        <v>1244</v>
      </c>
      <c r="H32" s="288" t="s">
        <v>1245</v>
      </c>
      <c r="I32" s="288" t="s">
        <v>1246</v>
      </c>
      <c r="J32" s="288" t="s">
        <v>1247</v>
      </c>
      <c r="K32" s="288" t="s">
        <v>1248</v>
      </c>
      <c r="L32" s="288" t="s">
        <v>1249</v>
      </c>
      <c r="M32" s="288" t="s">
        <v>1250</v>
      </c>
      <c r="N32" s="288" t="s">
        <v>1251</v>
      </c>
      <c r="O32" s="288" t="s">
        <v>1252</v>
      </c>
      <c r="P32" s="288" t="s">
        <v>1253</v>
      </c>
      <c r="Q32" s="288" t="s">
        <v>1254</v>
      </c>
      <c r="R32" s="288" t="s">
        <v>1255</v>
      </c>
      <c r="S32" s="288" t="s">
        <v>1256</v>
      </c>
      <c r="T32" s="288" t="s">
        <v>1257</v>
      </c>
    </row>
    <row r="33" spans="1:21">
      <c r="A33" s="297" t="s">
        <v>146</v>
      </c>
      <c r="U33" s="291"/>
    </row>
    <row r="34" spans="1:21">
      <c r="A34" s="289" t="s">
        <v>92</v>
      </c>
      <c r="B34" s="312">
        <f>CDCM!B143+CDCM!C143+CDCM!D143</f>
        <v>7006599.2032143781</v>
      </c>
      <c r="C34" s="314">
        <f>CDCM!E143</f>
        <v>1967400.2028794924</v>
      </c>
      <c r="D34" s="312">
        <f>0.01*CDCM!F$14*(CDCM!$E4178*CDCM!E143+CDCM!$F4178*CDCM!F143)+10*(CDCM!$B4178*CDCM!B143+CDCM!$C4178*CDCM!C143+CDCM!$D4178*CDCM!D143+CDCM!$G4178*CDCM!G143)</f>
        <v>209703897.62684029</v>
      </c>
      <c r="E34" s="312">
        <f>10*(CDCM!$B4178*CDCM!B143+CDCM!$C4178*CDCM!C143+CDCM!$D4178*CDCM!D143)</f>
        <v>175235046.0723916</v>
      </c>
      <c r="F34" s="312">
        <f>CDCM!E4178*CDCM!$F$14*CDCM!$E143/100</f>
        <v>34468851.554448709</v>
      </c>
      <c r="G34" s="312">
        <f>CDCM!F4178*CDCM!$F$14*CDCM!$F143/100</f>
        <v>0</v>
      </c>
      <c r="H34" s="312">
        <f>CDCM!G4178*CDCM!$G143*10</f>
        <v>0</v>
      </c>
      <c r="I34" s="306">
        <f>IF(B34&lt;&gt;0,0.1*D34/B34,"")</f>
        <v>2.9929483840125415</v>
      </c>
      <c r="J34" s="316">
        <f>IF(C34&lt;&gt;0,D34/C34,"")</f>
        <v>106.58934431333141</v>
      </c>
      <c r="K34" s="306">
        <f>IF(B34&lt;&gt;0,0.1*E34/B34,0)</f>
        <v>2.5010000000000003</v>
      </c>
      <c r="L34" s="312">
        <f>CDCM!B4178*CDCM!$B143*10</f>
        <v>175235046.0723916</v>
      </c>
      <c r="M34" s="312">
        <f>CDCM!C4178*CDCM!$C143*10</f>
        <v>0</v>
      </c>
      <c r="N34" s="312">
        <f>CDCM!D4178*CDCM!$D143*10</f>
        <v>0</v>
      </c>
      <c r="O34" s="308">
        <f>IF(E34&lt;&gt;0,$L34/E34,"")</f>
        <v>1</v>
      </c>
      <c r="P34" s="308">
        <f>IF(E34&lt;&gt;0,$M34/E34,"")</f>
        <v>0</v>
      </c>
      <c r="Q34" s="308">
        <f>IF(E34&lt;&gt;0,$N34/E34,"")</f>
        <v>0</v>
      </c>
      <c r="R34" s="308">
        <f>IF(D34&lt;&gt;0,$F34/D34,"")</f>
        <v>0.16436915071452154</v>
      </c>
      <c r="S34" s="308">
        <f>IF(D34&lt;&gt;0,$G34/D34,"")</f>
        <v>0</v>
      </c>
      <c r="T34" s="308">
        <f>IF(D34&lt;&gt;0,$H34/D34,"")</f>
        <v>0</v>
      </c>
      <c r="U34" s="291"/>
    </row>
    <row r="35" spans="1:21">
      <c r="A35" s="289" t="s">
        <v>147</v>
      </c>
      <c r="B35" s="312">
        <f>CDCM!B144+CDCM!C144+CDCM!D144</f>
        <v>41568.678990041961</v>
      </c>
      <c r="C35" s="314">
        <f>CDCM!E144</f>
        <v>13963.737782751579</v>
      </c>
      <c r="D35" s="312">
        <f>0.01*CDCM!F$14*(CDCM!$E4179*CDCM!E144+CDCM!$F4179*CDCM!F144)+10*(CDCM!$B4179*CDCM!B144+CDCM!$C4179*CDCM!C144+CDCM!$D4179*CDCM!D144+CDCM!$G4179*CDCM!G144)</f>
        <v>859465.8200249112</v>
      </c>
      <c r="E35" s="312">
        <f>10*(CDCM!$B4179*CDCM!B144+CDCM!$C4179*CDCM!C144+CDCM!$D4179*CDCM!D144)</f>
        <v>695859.68629330234</v>
      </c>
      <c r="F35" s="312">
        <f>CDCM!E4179*CDCM!$F$14*CDCM!$E144/100</f>
        <v>163606.13373160889</v>
      </c>
      <c r="G35" s="312">
        <f>CDCM!F4179*CDCM!$F$14*CDCM!$F144/100</f>
        <v>0</v>
      </c>
      <c r="H35" s="312">
        <f>CDCM!G4179*CDCM!$G144*10</f>
        <v>0</v>
      </c>
      <c r="I35" s="306">
        <f>IF(B35&lt;&gt;0,0.1*D35/B35,"")</f>
        <v>2.0675803054285216</v>
      </c>
      <c r="J35" s="316">
        <f>IF(C35&lt;&gt;0,D35/C35,"")</f>
        <v>61.549839548444453</v>
      </c>
      <c r="K35" s="306">
        <f>IF(B35&lt;&gt;0,0.1*E35/B35,0)</f>
        <v>1.6739999999999999</v>
      </c>
      <c r="L35" s="312">
        <f>CDCM!B4179*CDCM!$B144*10</f>
        <v>695859.68629330234</v>
      </c>
      <c r="M35" s="312">
        <f>CDCM!C4179*CDCM!$C144*10</f>
        <v>0</v>
      </c>
      <c r="N35" s="312">
        <f>CDCM!D4179*CDCM!$D144*10</f>
        <v>0</v>
      </c>
      <c r="O35" s="308">
        <f>IF(E35&lt;&gt;0,$L35/E35,"")</f>
        <v>1</v>
      </c>
      <c r="P35" s="308">
        <f>IF(E35&lt;&gt;0,$M35/E35,"")</f>
        <v>0</v>
      </c>
      <c r="Q35" s="308">
        <f>IF(E35&lt;&gt;0,$N35/E35,"")</f>
        <v>0</v>
      </c>
      <c r="R35" s="308">
        <f>IF(D35&lt;&gt;0,$F35/D35,"")</f>
        <v>0.1903579292156922</v>
      </c>
      <c r="S35" s="308">
        <f>IF(D35&lt;&gt;0,$G35/D35,"")</f>
        <v>0</v>
      </c>
      <c r="T35" s="308">
        <f>IF(D35&lt;&gt;0,$H35/D35,"")</f>
        <v>0</v>
      </c>
      <c r="U35" s="291"/>
    </row>
    <row r="36" spans="1:21">
      <c r="A36" s="289" t="s">
        <v>148</v>
      </c>
      <c r="B36" s="312">
        <f>CDCM!B145+CDCM!C145+CDCM!D145</f>
        <v>74118.188048410288</v>
      </c>
      <c r="C36" s="314">
        <f>CDCM!E145</f>
        <v>24598.066280902651</v>
      </c>
      <c r="D36" s="312">
        <f>0.01*CDCM!F$14*(CDCM!$E4180*CDCM!E145+CDCM!$F4180*CDCM!F145)+10*(CDCM!$B4180*CDCM!B145+CDCM!$C4180*CDCM!C145+CDCM!$D4180*CDCM!D145+CDCM!$G4180*CDCM!G145)</f>
        <v>1109730.2394741215</v>
      </c>
      <c r="E36" s="312">
        <f>10*(CDCM!$B4180*CDCM!B145+CDCM!$C4180*CDCM!C145+CDCM!$D4180*CDCM!D145)</f>
        <v>900535.98478818499</v>
      </c>
      <c r="F36" s="312">
        <f>CDCM!E4180*CDCM!$F$14*CDCM!$E145/100</f>
        <v>209194.25468593661</v>
      </c>
      <c r="G36" s="312">
        <f>CDCM!F4180*CDCM!$F$14*CDCM!$F145/100</f>
        <v>0</v>
      </c>
      <c r="H36" s="312">
        <f>CDCM!G4180*CDCM!$G145*10</f>
        <v>0</v>
      </c>
      <c r="I36" s="306">
        <f>IF(B36&lt;&gt;0,0.1*D36/B36,"")</f>
        <v>1.4972441565210706</v>
      </c>
      <c r="J36" s="316">
        <f>IF(C36&lt;&gt;0,D36/C36,"")</f>
        <v>45.114531638435722</v>
      </c>
      <c r="K36" s="306">
        <f>IF(B36&lt;&gt;0,0.1*E36/B36,0)</f>
        <v>1.2150000000000001</v>
      </c>
      <c r="L36" s="312">
        <f>CDCM!B4180*CDCM!$B145*10</f>
        <v>900535.98478818499</v>
      </c>
      <c r="M36" s="312">
        <f>CDCM!C4180*CDCM!$C145*10</f>
        <v>0</v>
      </c>
      <c r="N36" s="312">
        <f>CDCM!D4180*CDCM!$D145*10</f>
        <v>0</v>
      </c>
      <c r="O36" s="308">
        <f>IF(E36&lt;&gt;0,$L36/E36,"")</f>
        <v>1</v>
      </c>
      <c r="P36" s="308">
        <f>IF(E36&lt;&gt;0,$M36/E36,"")</f>
        <v>0</v>
      </c>
      <c r="Q36" s="308">
        <f>IF(E36&lt;&gt;0,$N36/E36,"")</f>
        <v>0</v>
      </c>
      <c r="R36" s="308">
        <f>IF(D36&lt;&gt;0,$F36/D36,"")</f>
        <v>0.1885091054066162</v>
      </c>
      <c r="S36" s="308">
        <f>IF(D36&lt;&gt;0,$G36/D36,"")</f>
        <v>0</v>
      </c>
      <c r="T36" s="308">
        <f>IF(D36&lt;&gt;0,$H36/D36,"")</f>
        <v>0</v>
      </c>
      <c r="U36" s="291"/>
    </row>
    <row r="37" spans="1:21">
      <c r="A37" s="297" t="s">
        <v>149</v>
      </c>
      <c r="U37" s="291"/>
    </row>
    <row r="38" spans="1:21">
      <c r="A38" s="289" t="s">
        <v>93</v>
      </c>
      <c r="B38" s="312">
        <f>CDCM!B147+CDCM!C147+CDCM!D147</f>
        <v>1653544.5880335881</v>
      </c>
      <c r="C38" s="314">
        <f>CDCM!E147</f>
        <v>300314.63390594267</v>
      </c>
      <c r="D38" s="312">
        <f>0.01*CDCM!F$14*(CDCM!$E4182*CDCM!E147+CDCM!$F4182*CDCM!F147)+10*(CDCM!$B4182*CDCM!B147+CDCM!$C4182*CDCM!C147+CDCM!$D4182*CDCM!D147+CDCM!$G4182*CDCM!G147)</f>
        <v>33572433.414634235</v>
      </c>
      <c r="E38" s="312">
        <f>10*(CDCM!$B4182*CDCM!B147+CDCM!$C4182*CDCM!C147+CDCM!$D4182*CDCM!D147)</f>
        <v>28310921.02860212</v>
      </c>
      <c r="F38" s="312">
        <f>CDCM!E4182*CDCM!$F$14*CDCM!$E147/100</f>
        <v>5261512.3860321157</v>
      </c>
      <c r="G38" s="312">
        <f>CDCM!F4182*CDCM!$F$14*CDCM!$F147/100</f>
        <v>0</v>
      </c>
      <c r="H38" s="312">
        <f>CDCM!G4182*CDCM!$G147*10</f>
        <v>0</v>
      </c>
      <c r="I38" s="306">
        <f>IF(B38&lt;&gt;0,0.1*D38/B38,"")</f>
        <v>2.0303313051000891</v>
      </c>
      <c r="J38" s="316">
        <f>IF(C38&lt;&gt;0,D38/C38,"")</f>
        <v>111.79086739126068</v>
      </c>
      <c r="K38" s="306">
        <f>IF(B38&lt;&gt;0,0.1*E38/B38,0)</f>
        <v>1.7121353263457961</v>
      </c>
      <c r="L38" s="312">
        <f>CDCM!B4182*CDCM!$B147*10</f>
        <v>27727238.443217047</v>
      </c>
      <c r="M38" s="312">
        <f>CDCM!C4182*CDCM!$C147*10</f>
        <v>583682.58538507286</v>
      </c>
      <c r="N38" s="312">
        <f>CDCM!D4182*CDCM!$D147*10</f>
        <v>0</v>
      </c>
      <c r="O38" s="308">
        <f>IF(E38&lt;&gt;0,$L38/E38,"")</f>
        <v>0.97938312975422503</v>
      </c>
      <c r="P38" s="308">
        <f>IF(E38&lt;&gt;0,$M38/E38,"")</f>
        <v>2.0616870245775003E-2</v>
      </c>
      <c r="Q38" s="308">
        <f>IF(E38&lt;&gt;0,$N38/E38,"")</f>
        <v>0</v>
      </c>
      <c r="R38" s="308">
        <f>IF(D38&lt;&gt;0,$F38/D38,"")</f>
        <v>0.15672120995967545</v>
      </c>
      <c r="S38" s="308">
        <f>IF(D38&lt;&gt;0,$G38/D38,"")</f>
        <v>0</v>
      </c>
      <c r="T38" s="308">
        <f>IF(D38&lt;&gt;0,$H38/D38,"")</f>
        <v>0</v>
      </c>
      <c r="U38" s="291"/>
    </row>
    <row r="39" spans="1:21">
      <c r="A39" s="289" t="s">
        <v>150</v>
      </c>
      <c r="B39" s="312">
        <f>CDCM!B148+CDCM!C148+CDCM!D148</f>
        <v>3545.142400533598</v>
      </c>
      <c r="C39" s="314">
        <f>CDCM!E148</f>
        <v>1003.190066077544</v>
      </c>
      <c r="D39" s="312">
        <f>0.01*CDCM!F$14*(CDCM!$E4183*CDCM!E148+CDCM!$F4183*CDCM!F148)+10*(CDCM!$B4183*CDCM!B148+CDCM!$C4183*CDCM!C148+CDCM!$D4183*CDCM!D148+CDCM!$G4183*CDCM!G148)</f>
        <v>64496.666358068032</v>
      </c>
      <c r="E39" s="312">
        <f>10*(CDCM!$B4183*CDCM!B148+CDCM!$C4183*CDCM!C148+CDCM!$D4183*CDCM!D148)</f>
        <v>52742.789948870486</v>
      </c>
      <c r="F39" s="312">
        <f>CDCM!E4183*CDCM!$F$14*CDCM!$E148/100</f>
        <v>11753.876409197544</v>
      </c>
      <c r="G39" s="312">
        <f>CDCM!F4183*CDCM!$F$14*CDCM!$F148/100</f>
        <v>0</v>
      </c>
      <c r="H39" s="312">
        <f>CDCM!G4183*CDCM!$G148*10</f>
        <v>0</v>
      </c>
      <c r="I39" s="306">
        <f>IF(B39&lt;&gt;0,0.1*D39/B39,"")</f>
        <v>1.8192969159253038</v>
      </c>
      <c r="J39" s="316">
        <f>IF(C39&lt;&gt;0,D39/C39,"")</f>
        <v>64.291571995174252</v>
      </c>
      <c r="K39" s="306">
        <f>IF(B39&lt;&gt;0,0.1*E39/B39,0)</f>
        <v>1.4877481350518358</v>
      </c>
      <c r="L39" s="312">
        <f>CDCM!B4183*CDCM!$B148*10</f>
        <v>52246.880393584644</v>
      </c>
      <c r="M39" s="312">
        <f>CDCM!C4183*CDCM!$C148*10</f>
        <v>495.9095552858451</v>
      </c>
      <c r="N39" s="312">
        <f>CDCM!D4183*CDCM!$D148*10</f>
        <v>0</v>
      </c>
      <c r="O39" s="308">
        <f>IF(E39&lt;&gt;0,$L39/E39,"")</f>
        <v>0.99059758583558843</v>
      </c>
      <c r="P39" s="308">
        <f>IF(E39&lt;&gt;0,$M39/E39,"")</f>
        <v>9.4024141644115898E-3</v>
      </c>
      <c r="Q39" s="308">
        <f>IF(E39&lt;&gt;0,$N39/E39,"")</f>
        <v>0</v>
      </c>
      <c r="R39" s="308">
        <f>IF(D39&lt;&gt;0,$F39/D39,"")</f>
        <v>0.18224006096599171</v>
      </c>
      <c r="S39" s="308">
        <f>IF(D39&lt;&gt;0,$G39/D39,"")</f>
        <v>0</v>
      </c>
      <c r="T39" s="308">
        <f>IF(D39&lt;&gt;0,$H39/D39,"")</f>
        <v>0</v>
      </c>
      <c r="U39" s="291"/>
    </row>
    <row r="40" spans="1:21">
      <c r="A40" s="289" t="s">
        <v>151</v>
      </c>
      <c r="B40" s="312">
        <f>CDCM!B149+CDCM!C149+CDCM!D149</f>
        <v>5660.6610833066807</v>
      </c>
      <c r="C40" s="314">
        <f>CDCM!E149</f>
        <v>1260.0889306300521</v>
      </c>
      <c r="D40" s="312">
        <f>0.01*CDCM!F$14*(CDCM!$E4184*CDCM!E149+CDCM!$F4184*CDCM!F149)+10*(CDCM!$B4184*CDCM!B149+CDCM!$C4184*CDCM!C149+CDCM!$D4184*CDCM!D149+CDCM!$G4184*CDCM!G149)</f>
        <v>70202.606646167274</v>
      </c>
      <c r="E40" s="312">
        <f>10*(CDCM!$B4184*CDCM!B149+CDCM!$C4184*CDCM!C149+CDCM!$D4184*CDCM!D149)</f>
        <v>59486.180335623998</v>
      </c>
      <c r="F40" s="312">
        <f>CDCM!E4184*CDCM!$F$14*CDCM!$E149/100</f>
        <v>10716.426310543278</v>
      </c>
      <c r="G40" s="312">
        <f>CDCM!F4184*CDCM!$F$14*CDCM!$F149/100</f>
        <v>0</v>
      </c>
      <c r="H40" s="312">
        <f>CDCM!G4184*CDCM!$G149*10</f>
        <v>0</v>
      </c>
      <c r="I40" s="306">
        <f>IF(B40&lt;&gt;0,0.1*D40/B40,"")</f>
        <v>1.2401838868819604</v>
      </c>
      <c r="J40" s="316">
        <f>IF(C40&lt;&gt;0,D40/C40,"")</f>
        <v>55.712422305833243</v>
      </c>
      <c r="K40" s="306">
        <f>IF(B40&lt;&gt;0,0.1*E40/B40,0)</f>
        <v>1.0508698447085811</v>
      </c>
      <c r="L40" s="312">
        <f>CDCM!B4184*CDCM!$B149*10</f>
        <v>58868.460148730293</v>
      </c>
      <c r="M40" s="312">
        <f>CDCM!C4184*CDCM!$C149*10</f>
        <v>617.72018689370418</v>
      </c>
      <c r="N40" s="312">
        <f>CDCM!D4184*CDCM!$D149*10</f>
        <v>0</v>
      </c>
      <c r="O40" s="308">
        <f>IF(E40&lt;&gt;0,$L40/E40,"")</f>
        <v>0.98961573623640819</v>
      </c>
      <c r="P40" s="308">
        <f>IF(E40&lt;&gt;0,$M40/E40,"")</f>
        <v>1.0384263763591747E-2</v>
      </c>
      <c r="Q40" s="308">
        <f>IF(E40&lt;&gt;0,$N40/E40,"")</f>
        <v>0</v>
      </c>
      <c r="R40" s="308">
        <f>IF(D40&lt;&gt;0,$F40/D40,"")</f>
        <v>0.15264997729437363</v>
      </c>
      <c r="S40" s="308">
        <f>IF(D40&lt;&gt;0,$G40/D40,"")</f>
        <v>0</v>
      </c>
      <c r="T40" s="308">
        <f>IF(D40&lt;&gt;0,$H40/D40,"")</f>
        <v>0</v>
      </c>
      <c r="U40" s="291"/>
    </row>
    <row r="41" spans="1:21">
      <c r="A41" s="297" t="s">
        <v>152</v>
      </c>
      <c r="U41" s="291"/>
    </row>
    <row r="42" spans="1:21">
      <c r="A42" s="289" t="s">
        <v>129</v>
      </c>
      <c r="B42" s="312">
        <f>CDCM!B151+CDCM!C151+CDCM!D151</f>
        <v>36106.46318967735</v>
      </c>
      <c r="C42" s="314">
        <f>CDCM!E151</f>
        <v>0</v>
      </c>
      <c r="D42" s="312">
        <f>0.01*CDCM!F$14*(CDCM!$E4186*CDCM!E151+CDCM!$F4186*CDCM!F151)+10*(CDCM!$B4186*CDCM!B151+CDCM!$C4186*CDCM!C151+CDCM!$D4186*CDCM!D151+CDCM!$G4186*CDCM!G151)</f>
        <v>80517.412912980493</v>
      </c>
      <c r="E42" s="312">
        <f>10*(CDCM!$B4186*CDCM!B151+CDCM!$C4186*CDCM!C151+CDCM!$D4186*CDCM!D151)</f>
        <v>80517.412912980493</v>
      </c>
      <c r="F42" s="312">
        <f>CDCM!E4186*CDCM!$F$14*CDCM!$E151/100</f>
        <v>0</v>
      </c>
      <c r="G42" s="312">
        <f>CDCM!F4186*CDCM!$F$14*CDCM!$F151/100</f>
        <v>0</v>
      </c>
      <c r="H42" s="312">
        <f>CDCM!G4186*CDCM!$G151*10</f>
        <v>0</v>
      </c>
      <c r="I42" s="306">
        <f>IF(B42&lt;&gt;0,0.1*D42/B42,"")</f>
        <v>0.22300000000000003</v>
      </c>
      <c r="J42" s="316" t="str">
        <f>IF(C42&lt;&gt;0,D42/C42,"")</f>
        <v/>
      </c>
      <c r="K42" s="306">
        <f>IF(B42&lt;&gt;0,0.1*E42/B42,0)</f>
        <v>0.22300000000000003</v>
      </c>
      <c r="L42" s="312">
        <f>CDCM!B4186*CDCM!$B151*10</f>
        <v>80517.412912980493</v>
      </c>
      <c r="M42" s="312">
        <f>CDCM!C4186*CDCM!$C151*10</f>
        <v>0</v>
      </c>
      <c r="N42" s="312">
        <f>CDCM!D4186*CDCM!$D151*10</f>
        <v>0</v>
      </c>
      <c r="O42" s="308">
        <f>IF(E42&lt;&gt;0,$L42/E42,"")</f>
        <v>1</v>
      </c>
      <c r="P42" s="308">
        <f>IF(E42&lt;&gt;0,$M42/E42,"")</f>
        <v>0</v>
      </c>
      <c r="Q42" s="308">
        <f>IF(E42&lt;&gt;0,$N42/E42,"")</f>
        <v>0</v>
      </c>
      <c r="R42" s="308">
        <f>IF(D42&lt;&gt;0,$F42/D42,"")</f>
        <v>0</v>
      </c>
      <c r="S42" s="308">
        <f>IF(D42&lt;&gt;0,$G42/D42,"")</f>
        <v>0</v>
      </c>
      <c r="T42" s="308">
        <f>IF(D42&lt;&gt;0,$H42/D42,"")</f>
        <v>0</v>
      </c>
      <c r="U42" s="291"/>
    </row>
    <row r="43" spans="1:21">
      <c r="A43" s="289" t="s">
        <v>153</v>
      </c>
      <c r="B43" s="312">
        <f>CDCM!B152+CDCM!C152+CDCM!D152</f>
        <v>0</v>
      </c>
      <c r="C43" s="314">
        <f>CDCM!E152</f>
        <v>0</v>
      </c>
      <c r="D43" s="312">
        <f>0.01*CDCM!F$14*(CDCM!$E4187*CDCM!E152+CDCM!$F4187*CDCM!F152)+10*(CDCM!$B4187*CDCM!B152+CDCM!$C4187*CDCM!C152+CDCM!$D4187*CDCM!D152+CDCM!$G4187*CDCM!G152)</f>
        <v>0</v>
      </c>
      <c r="E43" s="312">
        <f>10*(CDCM!$B4187*CDCM!B152+CDCM!$C4187*CDCM!C152+CDCM!$D4187*CDCM!D152)</f>
        <v>0</v>
      </c>
      <c r="F43" s="312">
        <f>CDCM!E4187*CDCM!$F$14*CDCM!$E152/100</f>
        <v>0</v>
      </c>
      <c r="G43" s="312">
        <f>CDCM!F4187*CDCM!$F$14*CDCM!$F152/100</f>
        <v>0</v>
      </c>
      <c r="H43" s="312">
        <f>CDCM!G4187*CDCM!$G152*10</f>
        <v>0</v>
      </c>
      <c r="I43" s="306" t="str">
        <f>IF(B43&lt;&gt;0,0.1*D43/B43,"")</f>
        <v/>
      </c>
      <c r="J43" s="316" t="str">
        <f>IF(C43&lt;&gt;0,D43/C43,"")</f>
        <v/>
      </c>
      <c r="K43" s="306">
        <f>IF(B43&lt;&gt;0,0.1*E43/B43,0)</f>
        <v>0</v>
      </c>
      <c r="L43" s="312">
        <f>CDCM!B4187*CDCM!$B152*10</f>
        <v>0</v>
      </c>
      <c r="M43" s="312">
        <f>CDCM!C4187*CDCM!$C152*10</f>
        <v>0</v>
      </c>
      <c r="N43" s="312">
        <f>CDCM!D4187*CDCM!$D152*10</f>
        <v>0</v>
      </c>
      <c r="O43" s="308" t="str">
        <f>IF(E43&lt;&gt;0,$L43/E43,"")</f>
        <v/>
      </c>
      <c r="P43" s="308" t="str">
        <f>IF(E43&lt;&gt;0,$M43/E43,"")</f>
        <v/>
      </c>
      <c r="Q43" s="308" t="str">
        <f>IF(E43&lt;&gt;0,$N43/E43,"")</f>
        <v/>
      </c>
      <c r="R43" s="308" t="str">
        <f>IF(D43&lt;&gt;0,$F43/D43,"")</f>
        <v/>
      </c>
      <c r="S43" s="308" t="str">
        <f>IF(D43&lt;&gt;0,$G43/D43,"")</f>
        <v/>
      </c>
      <c r="T43" s="308" t="str">
        <f>IF(D43&lt;&gt;0,$H43/D43,"")</f>
        <v/>
      </c>
      <c r="U43" s="291"/>
    </row>
    <row r="44" spans="1:21">
      <c r="A44" s="289" t="s">
        <v>154</v>
      </c>
      <c r="B44" s="312">
        <f>CDCM!B153+CDCM!C153+CDCM!D153</f>
        <v>0</v>
      </c>
      <c r="C44" s="314">
        <f>CDCM!E153</f>
        <v>0</v>
      </c>
      <c r="D44" s="312">
        <f>0.01*CDCM!F$14*(CDCM!$E4188*CDCM!E153+CDCM!$F4188*CDCM!F153)+10*(CDCM!$B4188*CDCM!B153+CDCM!$C4188*CDCM!C153+CDCM!$D4188*CDCM!D153+CDCM!$G4188*CDCM!G153)</f>
        <v>0</v>
      </c>
      <c r="E44" s="312">
        <f>10*(CDCM!$B4188*CDCM!B153+CDCM!$C4188*CDCM!C153+CDCM!$D4188*CDCM!D153)</f>
        <v>0</v>
      </c>
      <c r="F44" s="312">
        <f>CDCM!E4188*CDCM!$F$14*CDCM!$E153/100</f>
        <v>0</v>
      </c>
      <c r="G44" s="312">
        <f>CDCM!F4188*CDCM!$F$14*CDCM!$F153/100</f>
        <v>0</v>
      </c>
      <c r="H44" s="312">
        <f>CDCM!G4188*CDCM!$G153*10</f>
        <v>0</v>
      </c>
      <c r="I44" s="306" t="str">
        <f>IF(B44&lt;&gt;0,0.1*D44/B44,"")</f>
        <v/>
      </c>
      <c r="J44" s="316" t="str">
        <f>IF(C44&lt;&gt;0,D44/C44,"")</f>
        <v/>
      </c>
      <c r="K44" s="306">
        <f>IF(B44&lt;&gt;0,0.1*E44/B44,0)</f>
        <v>0</v>
      </c>
      <c r="L44" s="312">
        <f>CDCM!B4188*CDCM!$B153*10</f>
        <v>0</v>
      </c>
      <c r="M44" s="312">
        <f>CDCM!C4188*CDCM!$C153*10</f>
        <v>0</v>
      </c>
      <c r="N44" s="312">
        <f>CDCM!D4188*CDCM!$D153*10</f>
        <v>0</v>
      </c>
      <c r="O44" s="308" t="str">
        <f>IF(E44&lt;&gt;0,$L44/E44,"")</f>
        <v/>
      </c>
      <c r="P44" s="308" t="str">
        <f>IF(E44&lt;&gt;0,$M44/E44,"")</f>
        <v/>
      </c>
      <c r="Q44" s="308" t="str">
        <f>IF(E44&lt;&gt;0,$N44/E44,"")</f>
        <v/>
      </c>
      <c r="R44" s="308" t="str">
        <f>IF(D44&lt;&gt;0,$F44/D44,"")</f>
        <v/>
      </c>
      <c r="S44" s="308" t="str">
        <f>IF(D44&lt;&gt;0,$G44/D44,"")</f>
        <v/>
      </c>
      <c r="T44" s="308" t="str">
        <f>IF(D44&lt;&gt;0,$H44/D44,"")</f>
        <v/>
      </c>
      <c r="U44" s="291"/>
    </row>
    <row r="45" spans="1:21">
      <c r="A45" s="297" t="s">
        <v>155</v>
      </c>
      <c r="U45" s="291"/>
    </row>
    <row r="46" spans="1:21">
      <c r="A46" s="289" t="s">
        <v>94</v>
      </c>
      <c r="B46" s="312">
        <f>CDCM!B155+CDCM!C155+CDCM!D155</f>
        <v>1619655.6585213088</v>
      </c>
      <c r="C46" s="314">
        <f>CDCM!E155</f>
        <v>135679.92656869252</v>
      </c>
      <c r="D46" s="312">
        <f>0.01*CDCM!F$14*(CDCM!$E4190*CDCM!E155+CDCM!$F4190*CDCM!F155)+10*(CDCM!$B4190*CDCM!B155+CDCM!$C4190*CDCM!C155+CDCM!$D4190*CDCM!D155+CDCM!$G4190*CDCM!G155)</f>
        <v>41478722.125773191</v>
      </c>
      <c r="E46" s="312">
        <f>10*(CDCM!$B4190*CDCM!B155+CDCM!$C4190*CDCM!C155+CDCM!$D4190*CDCM!D155)</f>
        <v>37818959.626472563</v>
      </c>
      <c r="F46" s="312">
        <f>CDCM!E4190*CDCM!$F$14*CDCM!$E155/100</f>
        <v>3659762.4993006275</v>
      </c>
      <c r="G46" s="312">
        <f>CDCM!F4190*CDCM!$F$14*CDCM!$F155/100</f>
        <v>0</v>
      </c>
      <c r="H46" s="312">
        <f>CDCM!G4190*CDCM!$G155*10</f>
        <v>0</v>
      </c>
      <c r="I46" s="306">
        <f>IF(B46&lt;&gt;0,0.1*D46/B46,"")</f>
        <v>2.5609592944985522</v>
      </c>
      <c r="J46" s="316">
        <f>IF(C46&lt;&gt;0,D46/C46,"")</f>
        <v>305.71008678113628</v>
      </c>
      <c r="K46" s="306">
        <f>IF(B46&lt;&gt;0,0.1*E46/B46,0)</f>
        <v>2.3350000000000004</v>
      </c>
      <c r="L46" s="312">
        <f>CDCM!B4190*CDCM!$B155*10</f>
        <v>37818959.626472563</v>
      </c>
      <c r="M46" s="312">
        <f>CDCM!C4190*CDCM!$C155*10</f>
        <v>0</v>
      </c>
      <c r="N46" s="312">
        <f>CDCM!D4190*CDCM!$D155*10</f>
        <v>0</v>
      </c>
      <c r="O46" s="308">
        <f>IF(E46&lt;&gt;0,$L46/E46,"")</f>
        <v>1</v>
      </c>
      <c r="P46" s="308">
        <f>IF(E46&lt;&gt;0,$M46/E46,"")</f>
        <v>0</v>
      </c>
      <c r="Q46" s="308">
        <f>IF(E46&lt;&gt;0,$N46/E46,"")</f>
        <v>0</v>
      </c>
      <c r="R46" s="308">
        <f>IF(D46&lt;&gt;0,$F46/D46,"")</f>
        <v>8.8232286621641121E-2</v>
      </c>
      <c r="S46" s="308">
        <f>IF(D46&lt;&gt;0,$G46/D46,"")</f>
        <v>0</v>
      </c>
      <c r="T46" s="308">
        <f>IF(D46&lt;&gt;0,$H46/D46,"")</f>
        <v>0</v>
      </c>
      <c r="U46" s="291"/>
    </row>
    <row r="47" spans="1:21">
      <c r="A47" s="289" t="s">
        <v>156</v>
      </c>
      <c r="B47" s="312">
        <f>CDCM!B156+CDCM!C156+CDCM!D156</f>
        <v>2891.2734624687741</v>
      </c>
      <c r="C47" s="314">
        <f>CDCM!E156</f>
        <v>8156.5389495421296</v>
      </c>
      <c r="D47" s="312">
        <f>0.01*CDCM!F$14*(CDCM!$E4191*CDCM!E156+CDCM!$F4191*CDCM!F156)+10*(CDCM!$B4191*CDCM!B156+CDCM!$C4191*CDCM!C156+CDCM!$D4191*CDCM!D156+CDCM!$G4191*CDCM!G156)</f>
        <v>192558.87168923937</v>
      </c>
      <c r="E47" s="312">
        <f>10*(CDCM!$B4191*CDCM!B156+CDCM!$C4191*CDCM!C156+CDCM!$D4191*CDCM!D156)</f>
        <v>45190.604218386936</v>
      </c>
      <c r="F47" s="312">
        <f>CDCM!E4191*CDCM!$F$14*CDCM!$E156/100</f>
        <v>147368.26747085244</v>
      </c>
      <c r="G47" s="312">
        <f>CDCM!F4191*CDCM!$F$14*CDCM!$F156/100</f>
        <v>0</v>
      </c>
      <c r="H47" s="312">
        <f>CDCM!G4191*CDCM!$G156*10</f>
        <v>0</v>
      </c>
      <c r="I47" s="306">
        <f>IF(B47&lt;&gt;0,0.1*D47/B47,"")</f>
        <v>6.6600020436952709</v>
      </c>
      <c r="J47" s="316">
        <f>IF(C47&lt;&gt;0,D47/C47,"")</f>
        <v>23.607914199937554</v>
      </c>
      <c r="K47" s="306">
        <f>IF(B47&lt;&gt;0,0.1*E47/B47,0)</f>
        <v>1.5629999999999997</v>
      </c>
      <c r="L47" s="312">
        <f>CDCM!B4191*CDCM!$B156*10</f>
        <v>45190.604218386936</v>
      </c>
      <c r="M47" s="312">
        <f>CDCM!C4191*CDCM!$C156*10</f>
        <v>0</v>
      </c>
      <c r="N47" s="312">
        <f>CDCM!D4191*CDCM!$D156*10</f>
        <v>0</v>
      </c>
      <c r="O47" s="308">
        <f>IF(E47&lt;&gt;0,$L47/E47,"")</f>
        <v>1</v>
      </c>
      <c r="P47" s="308">
        <f>IF(E47&lt;&gt;0,$M47/E47,"")</f>
        <v>0</v>
      </c>
      <c r="Q47" s="308">
        <f>IF(E47&lt;&gt;0,$N47/E47,"")</f>
        <v>0</v>
      </c>
      <c r="R47" s="308">
        <f>IF(D47&lt;&gt;0,$F47/D47,"")</f>
        <v>0.76531538733090587</v>
      </c>
      <c r="S47" s="308">
        <f>IF(D47&lt;&gt;0,$G47/D47,"")</f>
        <v>0</v>
      </c>
      <c r="T47" s="308">
        <f>IF(D47&lt;&gt;0,$H47/D47,"")</f>
        <v>0</v>
      </c>
      <c r="U47" s="291"/>
    </row>
    <row r="48" spans="1:21">
      <c r="A48" s="289" t="s">
        <v>157</v>
      </c>
      <c r="B48" s="312">
        <f>CDCM!B157+CDCM!C157+CDCM!D157</f>
        <v>15215.334512820744</v>
      </c>
      <c r="C48" s="314">
        <f>CDCM!E157</f>
        <v>894.00804864272811</v>
      </c>
      <c r="D48" s="312">
        <f>0.01*CDCM!F$14*(CDCM!$E4192*CDCM!E157+CDCM!$F4192*CDCM!F157)+10*(CDCM!$B4192*CDCM!B157+CDCM!$C4192*CDCM!C157+CDCM!$D4192*CDCM!D157+CDCM!$G4192*CDCM!G157)</f>
        <v>184256.52784077724</v>
      </c>
      <c r="E48" s="312">
        <f>10*(CDCM!$B4192*CDCM!B157+CDCM!$C4192*CDCM!C157+CDCM!$D4192*CDCM!D157)</f>
        <v>172541.89337538724</v>
      </c>
      <c r="F48" s="312">
        <f>CDCM!E4192*CDCM!$F$14*CDCM!$E157/100</f>
        <v>11714.634465389987</v>
      </c>
      <c r="G48" s="312">
        <f>CDCM!F4192*CDCM!$F$14*CDCM!$F157/100</f>
        <v>0</v>
      </c>
      <c r="H48" s="312">
        <f>CDCM!G4192*CDCM!$G157*10</f>
        <v>0</v>
      </c>
      <c r="I48" s="306">
        <f>IF(B48&lt;&gt;0,0.1*D48/B48,"")</f>
        <v>1.2109922899527383</v>
      </c>
      <c r="J48" s="316">
        <f>IF(C48&lt;&gt;0,D48/C48,"")</f>
        <v>206.10164317929039</v>
      </c>
      <c r="K48" s="306">
        <f>IF(B48&lt;&gt;0,0.1*E48/B48,0)</f>
        <v>1.1340000000000001</v>
      </c>
      <c r="L48" s="312">
        <f>CDCM!B4192*CDCM!$B157*10</f>
        <v>172541.89337538724</v>
      </c>
      <c r="M48" s="312">
        <f>CDCM!C4192*CDCM!$C157*10</f>
        <v>0</v>
      </c>
      <c r="N48" s="312">
        <f>CDCM!D4192*CDCM!$D157*10</f>
        <v>0</v>
      </c>
      <c r="O48" s="308">
        <f>IF(E48&lt;&gt;0,$L48/E48,"")</f>
        <v>1</v>
      </c>
      <c r="P48" s="308">
        <f>IF(E48&lt;&gt;0,$M48/E48,"")</f>
        <v>0</v>
      </c>
      <c r="Q48" s="308">
        <f>IF(E48&lt;&gt;0,$N48/E48,"")</f>
        <v>0</v>
      </c>
      <c r="R48" s="308">
        <f>IF(D48&lt;&gt;0,$F48/D48,"")</f>
        <v>6.3577853130462922E-2</v>
      </c>
      <c r="S48" s="308">
        <f>IF(D48&lt;&gt;0,$G48/D48,"")</f>
        <v>0</v>
      </c>
      <c r="T48" s="308">
        <f>IF(D48&lt;&gt;0,$H48/D48,"")</f>
        <v>0</v>
      </c>
      <c r="U48" s="291"/>
    </row>
    <row r="49" spans="1:21">
      <c r="A49" s="297" t="s">
        <v>158</v>
      </c>
      <c r="U49" s="291"/>
    </row>
    <row r="50" spans="1:21">
      <c r="A50" s="289" t="s">
        <v>95</v>
      </c>
      <c r="B50" s="312">
        <f>CDCM!B159+CDCM!C159+CDCM!D159</f>
        <v>713686.18266977696</v>
      </c>
      <c r="C50" s="314">
        <f>CDCM!E159</f>
        <v>34491.689344628736</v>
      </c>
      <c r="D50" s="312">
        <f>0.01*CDCM!F$14*(CDCM!$E4194*CDCM!E159+CDCM!$F4194*CDCM!F159)+10*(CDCM!$B4194*CDCM!B159+CDCM!$C4194*CDCM!C159+CDCM!$D4194*CDCM!D159+CDCM!$G4194*CDCM!G159)</f>
        <v>14612173.183739534</v>
      </c>
      <c r="E50" s="312">
        <f>10*(CDCM!$B4194*CDCM!B159+CDCM!$C4194*CDCM!C159+CDCM!$D4194*CDCM!D159)</f>
        <v>13681811.60120219</v>
      </c>
      <c r="F50" s="312">
        <f>CDCM!E4194*CDCM!$F$14*CDCM!$E159/100</f>
        <v>930361.58253734326</v>
      </c>
      <c r="G50" s="312">
        <f>CDCM!F4194*CDCM!$F$14*CDCM!$F159/100</f>
        <v>0</v>
      </c>
      <c r="H50" s="312">
        <f>CDCM!G4194*CDCM!$G159*10</f>
        <v>0</v>
      </c>
      <c r="I50" s="306">
        <f>IF(B50&lt;&gt;0,0.1*D50/B50,"")</f>
        <v>2.0474227382514139</v>
      </c>
      <c r="J50" s="316">
        <f>IF(C50&lt;&gt;0,D50/C50,"")</f>
        <v>423.6433025283244</v>
      </c>
      <c r="K50" s="306">
        <f>IF(B50&lt;&gt;0,0.1*E50/B50,0)</f>
        <v>1.9170626997458311</v>
      </c>
      <c r="L50" s="312">
        <f>CDCM!B4194*CDCM!$B159*10</f>
        <v>13521340.204579581</v>
      </c>
      <c r="M50" s="312">
        <f>CDCM!C4194*CDCM!$C159*10</f>
        <v>160471.39662260877</v>
      </c>
      <c r="N50" s="312">
        <f>CDCM!D4194*CDCM!$D159*10</f>
        <v>0</v>
      </c>
      <c r="O50" s="308">
        <f>IF(E50&lt;&gt;0,$L50/E50,"")</f>
        <v>0.98827118796106583</v>
      </c>
      <c r="P50" s="308">
        <f>IF(E50&lt;&gt;0,$M50/E50,"")</f>
        <v>1.1728812038934121E-2</v>
      </c>
      <c r="Q50" s="308">
        <f>IF(E50&lt;&gt;0,$N50/E50,"")</f>
        <v>0</v>
      </c>
      <c r="R50" s="308">
        <f>IF(D50&lt;&gt;0,$F50/D50,"")</f>
        <v>6.367030905249961E-2</v>
      </c>
      <c r="S50" s="308">
        <f>IF(D50&lt;&gt;0,$G50/D50,"")</f>
        <v>0</v>
      </c>
      <c r="T50" s="308">
        <f>IF(D50&lt;&gt;0,$H50/D50,"")</f>
        <v>0</v>
      </c>
      <c r="U50" s="291"/>
    </row>
    <row r="51" spans="1:21">
      <c r="A51" s="289" t="s">
        <v>159</v>
      </c>
      <c r="B51" s="312">
        <f>CDCM!B160+CDCM!C160+CDCM!D160</f>
        <v>1205.3173429962339</v>
      </c>
      <c r="C51" s="314">
        <f>CDCM!E160</f>
        <v>17.982920518675567</v>
      </c>
      <c r="D51" s="312">
        <f>0.01*CDCM!F$14*(CDCM!$E4195*CDCM!E160+CDCM!$F4195*CDCM!F160)+10*(CDCM!$B4195*CDCM!B160+CDCM!$C4195*CDCM!C160+CDCM!$D4195*CDCM!D160+CDCM!$G4195*CDCM!G160)</f>
        <v>16244.607596449587</v>
      </c>
      <c r="E51" s="312">
        <f>10*(CDCM!$B4195*CDCM!B160+CDCM!$C4195*CDCM!C160+CDCM!$D4195*CDCM!D160)</f>
        <v>15919.701179978416</v>
      </c>
      <c r="F51" s="312">
        <f>CDCM!E4195*CDCM!$F$14*CDCM!$E160/100</f>
        <v>324.90641647117081</v>
      </c>
      <c r="G51" s="312">
        <f>CDCM!F4195*CDCM!$F$14*CDCM!$F160/100</f>
        <v>0</v>
      </c>
      <c r="H51" s="312">
        <f>CDCM!G4195*CDCM!$G160*10</f>
        <v>0</v>
      </c>
      <c r="I51" s="306">
        <f>IF(B51&lt;&gt;0,0.1*D51/B51,"")</f>
        <v>1.3477452797674001</v>
      </c>
      <c r="J51" s="316">
        <f>IF(C51&lt;&gt;0,D51/C51,"")</f>
        <v>903.33533863864261</v>
      </c>
      <c r="K51" s="306">
        <f>IF(B51&lt;&gt;0,0.1*E51/B51,0)</f>
        <v>1.3207891907042906</v>
      </c>
      <c r="L51" s="312">
        <f>CDCM!B4195*CDCM!$B160*10</f>
        <v>15750.229249834438</v>
      </c>
      <c r="M51" s="312">
        <f>CDCM!C4195*CDCM!$C160*10</f>
        <v>169.47193014397638</v>
      </c>
      <c r="N51" s="312">
        <f>CDCM!D4195*CDCM!$D160*10</f>
        <v>0</v>
      </c>
      <c r="O51" s="308">
        <f>IF(E51&lt;&gt;0,$L51/E51,"")</f>
        <v>0.98935457844164088</v>
      </c>
      <c r="P51" s="308">
        <f>IF(E51&lt;&gt;0,$M51/E51,"")</f>
        <v>1.0645421558359059E-2</v>
      </c>
      <c r="Q51" s="308">
        <f>IF(E51&lt;&gt;0,$N51/E51,"")</f>
        <v>0</v>
      </c>
      <c r="R51" s="308">
        <f>IF(D51&lt;&gt;0,$F51/D51,"")</f>
        <v>2.0000878109372257E-2</v>
      </c>
      <c r="S51" s="308">
        <f>IF(D51&lt;&gt;0,$G51/D51,"")</f>
        <v>0</v>
      </c>
      <c r="T51" s="308">
        <f>IF(D51&lt;&gt;0,$H51/D51,"")</f>
        <v>0</v>
      </c>
      <c r="U51" s="291"/>
    </row>
    <row r="52" spans="1:21">
      <c r="A52" s="289" t="s">
        <v>160</v>
      </c>
      <c r="B52" s="312">
        <f>CDCM!B161+CDCM!C161+CDCM!D161</f>
        <v>4747.6888594644315</v>
      </c>
      <c r="C52" s="314">
        <f>CDCM!E161</f>
        <v>77.069659365752401</v>
      </c>
      <c r="D52" s="312">
        <f>0.01*CDCM!F$14*(CDCM!$E4196*CDCM!E161+CDCM!$F4196*CDCM!F161)+10*(CDCM!$B4196*CDCM!B161+CDCM!$C4196*CDCM!C161+CDCM!$D4196*CDCM!D161+CDCM!$G4196*CDCM!G161)</f>
        <v>49421.207837216592</v>
      </c>
      <c r="E52" s="312">
        <f>10*(CDCM!$B4196*CDCM!B161+CDCM!$C4196*CDCM!C161+CDCM!$D4196*CDCM!D161)</f>
        <v>48411.325555717456</v>
      </c>
      <c r="F52" s="312">
        <f>CDCM!E4196*CDCM!$F$14*CDCM!$E161/100</f>
        <v>1009.8822814991364</v>
      </c>
      <c r="G52" s="312">
        <f>CDCM!F4196*CDCM!$F$14*CDCM!$F161/100</f>
        <v>0</v>
      </c>
      <c r="H52" s="312">
        <f>CDCM!G4196*CDCM!$G161*10</f>
        <v>0</v>
      </c>
      <c r="I52" s="306">
        <f>IF(B52&lt;&gt;0,0.1*D52/B52,"")</f>
        <v>1.0409529625913947</v>
      </c>
      <c r="J52" s="316">
        <f>IF(C52&lt;&gt;0,D52/C52,"")</f>
        <v>641.25374685615895</v>
      </c>
      <c r="K52" s="306">
        <f>IF(B52&lt;&gt;0,0.1*E52/B52,0)</f>
        <v>1.0196819334361047</v>
      </c>
      <c r="L52" s="312">
        <f>CDCM!B4196*CDCM!$B161*10</f>
        <v>48021.444878092087</v>
      </c>
      <c r="M52" s="312">
        <f>CDCM!C4196*CDCM!$C161*10</f>
        <v>389.8806776253727</v>
      </c>
      <c r="N52" s="312">
        <f>CDCM!D4196*CDCM!$D161*10</f>
        <v>0</v>
      </c>
      <c r="O52" s="308">
        <f>IF(E52&lt;&gt;0,$L52/E52,"")</f>
        <v>0.99194649861060613</v>
      </c>
      <c r="P52" s="308">
        <f>IF(E52&lt;&gt;0,$M52/E52,"")</f>
        <v>8.0535013893939366E-3</v>
      </c>
      <c r="Q52" s="308">
        <f>IF(E52&lt;&gt;0,$N52/E52,"")</f>
        <v>0</v>
      </c>
      <c r="R52" s="308">
        <f>IF(D52&lt;&gt;0,$F52/D52,"")</f>
        <v>2.043418859420602E-2</v>
      </c>
      <c r="S52" s="308">
        <f>IF(D52&lt;&gt;0,$G52/D52,"")</f>
        <v>0</v>
      </c>
      <c r="T52" s="308">
        <f>IF(D52&lt;&gt;0,$H52/D52,"")</f>
        <v>0</v>
      </c>
      <c r="U52" s="291"/>
    </row>
    <row r="53" spans="1:21">
      <c r="A53" s="297" t="s">
        <v>161</v>
      </c>
      <c r="U53" s="291"/>
    </row>
    <row r="54" spans="1:21">
      <c r="A54" s="289" t="s">
        <v>130</v>
      </c>
      <c r="B54" s="312">
        <f>CDCM!B163+CDCM!C163+CDCM!D163</f>
        <v>6654.8554381718086</v>
      </c>
      <c r="C54" s="314">
        <f>CDCM!E163</f>
        <v>0</v>
      </c>
      <c r="D54" s="312">
        <f>0.01*CDCM!F$14*(CDCM!$E4198*CDCM!E163+CDCM!$F4198*CDCM!F163)+10*(CDCM!$B4198*CDCM!B163+CDCM!$C4198*CDCM!C163+CDCM!$D4198*CDCM!D163+CDCM!$G4198*CDCM!G163)</f>
        <v>27750.747177176439</v>
      </c>
      <c r="E54" s="312">
        <f>10*(CDCM!$B4198*CDCM!B163+CDCM!$C4198*CDCM!C163+CDCM!$D4198*CDCM!D163)</f>
        <v>27750.747177176439</v>
      </c>
      <c r="F54" s="312">
        <f>CDCM!E4198*CDCM!$F$14*CDCM!$E163/100</f>
        <v>0</v>
      </c>
      <c r="G54" s="312">
        <f>CDCM!F4198*CDCM!$F$14*CDCM!$F163/100</f>
        <v>0</v>
      </c>
      <c r="H54" s="312">
        <f>CDCM!G4198*CDCM!$G163*10</f>
        <v>0</v>
      </c>
      <c r="I54" s="306">
        <f>IF(B54&lt;&gt;0,0.1*D54/B54,"")</f>
        <v>0.41699999999999998</v>
      </c>
      <c r="J54" s="316" t="str">
        <f>IF(C54&lt;&gt;0,D54/C54,"")</f>
        <v/>
      </c>
      <c r="K54" s="306">
        <f>IF(B54&lt;&gt;0,0.1*E54/B54,0)</f>
        <v>0.41699999999999998</v>
      </c>
      <c r="L54" s="312">
        <f>CDCM!B4198*CDCM!$B163*10</f>
        <v>27750.747177176439</v>
      </c>
      <c r="M54" s="312">
        <f>CDCM!C4198*CDCM!$C163*10</f>
        <v>0</v>
      </c>
      <c r="N54" s="312">
        <f>CDCM!D4198*CDCM!$D163*10</f>
        <v>0</v>
      </c>
      <c r="O54" s="308">
        <f>IF(E54&lt;&gt;0,$L54/E54,"")</f>
        <v>1</v>
      </c>
      <c r="P54" s="308">
        <f>IF(E54&lt;&gt;0,$M54/E54,"")</f>
        <v>0</v>
      </c>
      <c r="Q54" s="308">
        <f>IF(E54&lt;&gt;0,$N54/E54,"")</f>
        <v>0</v>
      </c>
      <c r="R54" s="308">
        <f>IF(D54&lt;&gt;0,$F54/D54,"")</f>
        <v>0</v>
      </c>
      <c r="S54" s="308">
        <f>IF(D54&lt;&gt;0,$G54/D54,"")</f>
        <v>0</v>
      </c>
      <c r="T54" s="308">
        <f>IF(D54&lt;&gt;0,$H54/D54,"")</f>
        <v>0</v>
      </c>
      <c r="U54" s="291"/>
    </row>
    <row r="55" spans="1:21" ht="30">
      <c r="A55" s="289" t="s">
        <v>162</v>
      </c>
      <c r="B55" s="312">
        <f>CDCM!B164+CDCM!C164+CDCM!D164</f>
        <v>0</v>
      </c>
      <c r="C55" s="314">
        <f>CDCM!E164</f>
        <v>0</v>
      </c>
      <c r="D55" s="312">
        <f>0.01*CDCM!F$14*(CDCM!$E4199*CDCM!E164+CDCM!$F4199*CDCM!F164)+10*(CDCM!$B4199*CDCM!B164+CDCM!$C4199*CDCM!C164+CDCM!$D4199*CDCM!D164+CDCM!$G4199*CDCM!G164)</f>
        <v>0</v>
      </c>
      <c r="E55" s="312">
        <f>10*(CDCM!$B4199*CDCM!B164+CDCM!$C4199*CDCM!C164+CDCM!$D4199*CDCM!D164)</f>
        <v>0</v>
      </c>
      <c r="F55" s="312">
        <f>CDCM!E4199*CDCM!$F$14*CDCM!$E164/100</f>
        <v>0</v>
      </c>
      <c r="G55" s="312">
        <f>CDCM!F4199*CDCM!$F$14*CDCM!$F164/100</f>
        <v>0</v>
      </c>
      <c r="H55" s="312">
        <f>CDCM!G4199*CDCM!$G164*10</f>
        <v>0</v>
      </c>
      <c r="I55" s="306" t="str">
        <f>IF(B55&lt;&gt;0,0.1*D55/B55,"")</f>
        <v/>
      </c>
      <c r="J55" s="316" t="str">
        <f>IF(C55&lt;&gt;0,D55/C55,"")</f>
        <v/>
      </c>
      <c r="K55" s="306">
        <f>IF(B55&lt;&gt;0,0.1*E55/B55,0)</f>
        <v>0</v>
      </c>
      <c r="L55" s="312">
        <f>CDCM!B4199*CDCM!$B164*10</f>
        <v>0</v>
      </c>
      <c r="M55" s="312">
        <f>CDCM!C4199*CDCM!$C164*10</f>
        <v>0</v>
      </c>
      <c r="N55" s="312">
        <f>CDCM!D4199*CDCM!$D164*10</f>
        <v>0</v>
      </c>
      <c r="O55" s="308" t="str">
        <f>IF(E55&lt;&gt;0,$L55/E55,"")</f>
        <v/>
      </c>
      <c r="P55" s="308" t="str">
        <f>IF(E55&lt;&gt;0,$M55/E55,"")</f>
        <v/>
      </c>
      <c r="Q55" s="308" t="str">
        <f>IF(E55&lt;&gt;0,$N55/E55,"")</f>
        <v/>
      </c>
      <c r="R55" s="308" t="str">
        <f>IF(D55&lt;&gt;0,$F55/D55,"")</f>
        <v/>
      </c>
      <c r="S55" s="308" t="str">
        <f>IF(D55&lt;&gt;0,$G55/D55,"")</f>
        <v/>
      </c>
      <c r="T55" s="308" t="str">
        <f>IF(D55&lt;&gt;0,$H55/D55,"")</f>
        <v/>
      </c>
      <c r="U55" s="291"/>
    </row>
    <row r="56" spans="1:21" ht="30">
      <c r="A56" s="289" t="s">
        <v>163</v>
      </c>
      <c r="B56" s="312">
        <f>CDCM!B165+CDCM!C165+CDCM!D165</f>
        <v>0</v>
      </c>
      <c r="C56" s="314">
        <f>CDCM!E165</f>
        <v>0</v>
      </c>
      <c r="D56" s="312">
        <f>0.01*CDCM!F$14*(CDCM!$E4200*CDCM!E165+CDCM!$F4200*CDCM!F165)+10*(CDCM!$B4200*CDCM!B165+CDCM!$C4200*CDCM!C165+CDCM!$D4200*CDCM!D165+CDCM!$G4200*CDCM!G165)</f>
        <v>0</v>
      </c>
      <c r="E56" s="312">
        <f>10*(CDCM!$B4200*CDCM!B165+CDCM!$C4200*CDCM!C165+CDCM!$D4200*CDCM!D165)</f>
        <v>0</v>
      </c>
      <c r="F56" s="312">
        <f>CDCM!E4200*CDCM!$F$14*CDCM!$E165/100</f>
        <v>0</v>
      </c>
      <c r="G56" s="312">
        <f>CDCM!F4200*CDCM!$F$14*CDCM!$F165/100</f>
        <v>0</v>
      </c>
      <c r="H56" s="312">
        <f>CDCM!G4200*CDCM!$G165*10</f>
        <v>0</v>
      </c>
      <c r="I56" s="306" t="str">
        <f>IF(B56&lt;&gt;0,0.1*D56/B56,"")</f>
        <v/>
      </c>
      <c r="J56" s="316" t="str">
        <f>IF(C56&lt;&gt;0,D56/C56,"")</f>
        <v/>
      </c>
      <c r="K56" s="306">
        <f>IF(B56&lt;&gt;0,0.1*E56/B56,0)</f>
        <v>0</v>
      </c>
      <c r="L56" s="312">
        <f>CDCM!B4200*CDCM!$B165*10</f>
        <v>0</v>
      </c>
      <c r="M56" s="312">
        <f>CDCM!C4200*CDCM!$C165*10</f>
        <v>0</v>
      </c>
      <c r="N56" s="312">
        <f>CDCM!D4200*CDCM!$D165*10</f>
        <v>0</v>
      </c>
      <c r="O56" s="308" t="str">
        <f>IF(E56&lt;&gt;0,$L56/E56,"")</f>
        <v/>
      </c>
      <c r="P56" s="308" t="str">
        <f>IF(E56&lt;&gt;0,$M56/E56,"")</f>
        <v/>
      </c>
      <c r="Q56" s="308" t="str">
        <f>IF(E56&lt;&gt;0,$N56/E56,"")</f>
        <v/>
      </c>
      <c r="R56" s="308" t="str">
        <f>IF(D56&lt;&gt;0,$F56/D56,"")</f>
        <v/>
      </c>
      <c r="S56" s="308" t="str">
        <f>IF(D56&lt;&gt;0,$G56/D56,"")</f>
        <v/>
      </c>
      <c r="T56" s="308" t="str">
        <f>IF(D56&lt;&gt;0,$H56/D56,"")</f>
        <v/>
      </c>
      <c r="U56" s="291"/>
    </row>
    <row r="57" spans="1:21">
      <c r="A57" s="297" t="s">
        <v>164</v>
      </c>
      <c r="U57" s="291"/>
    </row>
    <row r="58" spans="1:21">
      <c r="A58" s="289" t="s">
        <v>96</v>
      </c>
      <c r="B58" s="312">
        <f>CDCM!B167+CDCM!C167+CDCM!D167</f>
        <v>0</v>
      </c>
      <c r="C58" s="314">
        <f>CDCM!E167</f>
        <v>0</v>
      </c>
      <c r="D58" s="312">
        <f>0.01*CDCM!F$14*(CDCM!$E4202*CDCM!E167+CDCM!$F4202*CDCM!F167)+10*(CDCM!$B4202*CDCM!B167+CDCM!$C4202*CDCM!C167+CDCM!$D4202*CDCM!D167+CDCM!$G4202*CDCM!G167)</f>
        <v>0</v>
      </c>
      <c r="E58" s="312">
        <f>10*(CDCM!$B4202*CDCM!B167+CDCM!$C4202*CDCM!C167+CDCM!$D4202*CDCM!D167)</f>
        <v>0</v>
      </c>
      <c r="F58" s="312">
        <f>CDCM!E4202*CDCM!$F$14*CDCM!$E167/100</f>
        <v>0</v>
      </c>
      <c r="G58" s="312">
        <f>CDCM!F4202*CDCM!$F$14*CDCM!$F167/100</f>
        <v>0</v>
      </c>
      <c r="H58" s="312">
        <f>CDCM!G4202*CDCM!$G167*10</f>
        <v>0</v>
      </c>
      <c r="I58" s="306" t="str">
        <f>IF(B58&lt;&gt;0,0.1*D58/B58,"")</f>
        <v/>
      </c>
      <c r="J58" s="316" t="str">
        <f>IF(C58&lt;&gt;0,D58/C58,"")</f>
        <v/>
      </c>
      <c r="K58" s="306">
        <f>IF(B58&lt;&gt;0,0.1*E58/B58,0)</f>
        <v>0</v>
      </c>
      <c r="L58" s="312">
        <f>CDCM!B4202*CDCM!$B167*10</f>
        <v>0</v>
      </c>
      <c r="M58" s="312">
        <f>CDCM!C4202*CDCM!$C167*10</f>
        <v>0</v>
      </c>
      <c r="N58" s="312">
        <f>CDCM!D4202*CDCM!$D167*10</f>
        <v>0</v>
      </c>
      <c r="O58" s="308" t="str">
        <f>IF(E58&lt;&gt;0,$L58/E58,"")</f>
        <v/>
      </c>
      <c r="P58" s="308" t="str">
        <f>IF(E58&lt;&gt;0,$M58/E58,"")</f>
        <v/>
      </c>
      <c r="Q58" s="308" t="str">
        <f>IF(E58&lt;&gt;0,$N58/E58,"")</f>
        <v/>
      </c>
      <c r="R58" s="308" t="str">
        <f>IF(D58&lt;&gt;0,$F58/D58,"")</f>
        <v/>
      </c>
      <c r="S58" s="308" t="str">
        <f>IF(D58&lt;&gt;0,$G58/D58,"")</f>
        <v/>
      </c>
      <c r="T58" s="308" t="str">
        <f>IF(D58&lt;&gt;0,$H58/D58,"")</f>
        <v/>
      </c>
      <c r="U58" s="291"/>
    </row>
    <row r="59" spans="1:21">
      <c r="A59" s="289" t="s">
        <v>165</v>
      </c>
      <c r="B59" s="312">
        <f>CDCM!B168+CDCM!C168+CDCM!D168</f>
        <v>0</v>
      </c>
      <c r="C59" s="314">
        <f>CDCM!E168</f>
        <v>0</v>
      </c>
      <c r="D59" s="312">
        <f>0.01*CDCM!F$14*(CDCM!$E4203*CDCM!E168+CDCM!$F4203*CDCM!F168)+10*(CDCM!$B4203*CDCM!B168+CDCM!$C4203*CDCM!C168+CDCM!$D4203*CDCM!D168+CDCM!$G4203*CDCM!G168)</f>
        <v>0</v>
      </c>
      <c r="E59" s="312">
        <f>10*(CDCM!$B4203*CDCM!B168+CDCM!$C4203*CDCM!C168+CDCM!$D4203*CDCM!D168)</f>
        <v>0</v>
      </c>
      <c r="F59" s="312">
        <f>CDCM!E4203*CDCM!$F$14*CDCM!$E168/100</f>
        <v>0</v>
      </c>
      <c r="G59" s="312">
        <f>CDCM!F4203*CDCM!$F$14*CDCM!$F168/100</f>
        <v>0</v>
      </c>
      <c r="H59" s="312">
        <f>CDCM!G4203*CDCM!$G168*10</f>
        <v>0</v>
      </c>
      <c r="I59" s="306" t="str">
        <f>IF(B59&lt;&gt;0,0.1*D59/B59,"")</f>
        <v/>
      </c>
      <c r="J59" s="316" t="str">
        <f>IF(C59&lt;&gt;0,D59/C59,"")</f>
        <v/>
      </c>
      <c r="K59" s="306">
        <f>IF(B59&lt;&gt;0,0.1*E59/B59,0)</f>
        <v>0</v>
      </c>
      <c r="L59" s="312">
        <f>CDCM!B4203*CDCM!$B168*10</f>
        <v>0</v>
      </c>
      <c r="M59" s="312">
        <f>CDCM!C4203*CDCM!$C168*10</f>
        <v>0</v>
      </c>
      <c r="N59" s="312">
        <f>CDCM!D4203*CDCM!$D168*10</f>
        <v>0</v>
      </c>
      <c r="O59" s="308" t="str">
        <f>IF(E59&lt;&gt;0,$L59/E59,"")</f>
        <v/>
      </c>
      <c r="P59" s="308" t="str">
        <f>IF(E59&lt;&gt;0,$M59/E59,"")</f>
        <v/>
      </c>
      <c r="Q59" s="308" t="str">
        <f>IF(E59&lt;&gt;0,$N59/E59,"")</f>
        <v/>
      </c>
      <c r="R59" s="308" t="str">
        <f>IF(D59&lt;&gt;0,$F59/D59,"")</f>
        <v/>
      </c>
      <c r="S59" s="308" t="str">
        <f>IF(D59&lt;&gt;0,$G59/D59,"")</f>
        <v/>
      </c>
      <c r="T59" s="308" t="str">
        <f>IF(D59&lt;&gt;0,$H59/D59,"")</f>
        <v/>
      </c>
      <c r="U59" s="291"/>
    </row>
    <row r="60" spans="1:21">
      <c r="A60" s="289" t="s">
        <v>166</v>
      </c>
      <c r="B60" s="312">
        <f>CDCM!B169+CDCM!C169+CDCM!D169</f>
        <v>0</v>
      </c>
      <c r="C60" s="314">
        <f>CDCM!E169</f>
        <v>0</v>
      </c>
      <c r="D60" s="312">
        <f>0.01*CDCM!F$14*(CDCM!$E4204*CDCM!E169+CDCM!$F4204*CDCM!F169)+10*(CDCM!$B4204*CDCM!B169+CDCM!$C4204*CDCM!C169+CDCM!$D4204*CDCM!D169+CDCM!$G4204*CDCM!G169)</f>
        <v>0</v>
      </c>
      <c r="E60" s="312">
        <f>10*(CDCM!$B4204*CDCM!B169+CDCM!$C4204*CDCM!C169+CDCM!$D4204*CDCM!D169)</f>
        <v>0</v>
      </c>
      <c r="F60" s="312">
        <f>CDCM!E4204*CDCM!$F$14*CDCM!$E169/100</f>
        <v>0</v>
      </c>
      <c r="G60" s="312">
        <f>CDCM!F4204*CDCM!$F$14*CDCM!$F169/100</f>
        <v>0</v>
      </c>
      <c r="H60" s="312">
        <f>CDCM!G4204*CDCM!$G169*10</f>
        <v>0</v>
      </c>
      <c r="I60" s="306" t="str">
        <f>IF(B60&lt;&gt;0,0.1*D60/B60,"")</f>
        <v/>
      </c>
      <c r="J60" s="316" t="str">
        <f>IF(C60&lt;&gt;0,D60/C60,"")</f>
        <v/>
      </c>
      <c r="K60" s="306">
        <f>IF(B60&lt;&gt;0,0.1*E60/B60,0)</f>
        <v>0</v>
      </c>
      <c r="L60" s="312">
        <f>CDCM!B4204*CDCM!$B169*10</f>
        <v>0</v>
      </c>
      <c r="M60" s="312">
        <f>CDCM!C4204*CDCM!$C169*10</f>
        <v>0</v>
      </c>
      <c r="N60" s="312">
        <f>CDCM!D4204*CDCM!$D169*10</f>
        <v>0</v>
      </c>
      <c r="O60" s="308" t="str">
        <f>IF(E60&lt;&gt;0,$L60/E60,"")</f>
        <v/>
      </c>
      <c r="P60" s="308" t="str">
        <f>IF(E60&lt;&gt;0,$M60/E60,"")</f>
        <v/>
      </c>
      <c r="Q60" s="308" t="str">
        <f>IF(E60&lt;&gt;0,$N60/E60,"")</f>
        <v/>
      </c>
      <c r="R60" s="308" t="str">
        <f>IF(D60&lt;&gt;0,$F60/D60,"")</f>
        <v/>
      </c>
      <c r="S60" s="308" t="str">
        <f>IF(D60&lt;&gt;0,$G60/D60,"")</f>
        <v/>
      </c>
      <c r="T60" s="308" t="str">
        <f>IF(D60&lt;&gt;0,$H60/D60,"")</f>
        <v/>
      </c>
      <c r="U60" s="291"/>
    </row>
    <row r="61" spans="1:21">
      <c r="A61" s="297" t="s">
        <v>167</v>
      </c>
      <c r="U61" s="291"/>
    </row>
    <row r="62" spans="1:21">
      <c r="A62" s="289" t="s">
        <v>97</v>
      </c>
      <c r="B62" s="312">
        <f>CDCM!B171+CDCM!C171+CDCM!D171</f>
        <v>0</v>
      </c>
      <c r="C62" s="314">
        <f>CDCM!E171</f>
        <v>0</v>
      </c>
      <c r="D62" s="312">
        <f>0.01*CDCM!F$14*(CDCM!$E4206*CDCM!E171+CDCM!$F4206*CDCM!F171)+10*(CDCM!$B4206*CDCM!B171+CDCM!$C4206*CDCM!C171+CDCM!$D4206*CDCM!D171+CDCM!$G4206*CDCM!G171)</f>
        <v>0</v>
      </c>
      <c r="E62" s="312">
        <f>10*(CDCM!$B4206*CDCM!B171+CDCM!$C4206*CDCM!C171+CDCM!$D4206*CDCM!D171)</f>
        <v>0</v>
      </c>
      <c r="F62" s="312">
        <f>CDCM!E4206*CDCM!$F$14*CDCM!$E171/100</f>
        <v>0</v>
      </c>
      <c r="G62" s="312">
        <f>CDCM!F4206*CDCM!$F$14*CDCM!$F171/100</f>
        <v>0</v>
      </c>
      <c r="H62" s="312">
        <f>CDCM!G4206*CDCM!$G171*10</f>
        <v>0</v>
      </c>
      <c r="I62" s="306" t="str">
        <f>IF(B62&lt;&gt;0,0.1*D62/B62,"")</f>
        <v/>
      </c>
      <c r="J62" s="316" t="str">
        <f>IF(C62&lt;&gt;0,D62/C62,"")</f>
        <v/>
      </c>
      <c r="K62" s="306">
        <f>IF(B62&lt;&gt;0,0.1*E62/B62,0)</f>
        <v>0</v>
      </c>
      <c r="L62" s="312">
        <f>CDCM!B4206*CDCM!$B171*10</f>
        <v>0</v>
      </c>
      <c r="M62" s="312">
        <f>CDCM!C4206*CDCM!$C171*10</f>
        <v>0</v>
      </c>
      <c r="N62" s="312">
        <f>CDCM!D4206*CDCM!$D171*10</f>
        <v>0</v>
      </c>
      <c r="O62" s="308" t="str">
        <f>IF(E62&lt;&gt;0,$L62/E62,"")</f>
        <v/>
      </c>
      <c r="P62" s="308" t="str">
        <f>IF(E62&lt;&gt;0,$M62/E62,"")</f>
        <v/>
      </c>
      <c r="Q62" s="308" t="str">
        <f>IF(E62&lt;&gt;0,$N62/E62,"")</f>
        <v/>
      </c>
      <c r="R62" s="308" t="str">
        <f>IF(D62&lt;&gt;0,$F62/D62,"")</f>
        <v/>
      </c>
      <c r="S62" s="308" t="str">
        <f>IF(D62&lt;&gt;0,$G62/D62,"")</f>
        <v/>
      </c>
      <c r="T62" s="308" t="str">
        <f>IF(D62&lt;&gt;0,$H62/D62,"")</f>
        <v/>
      </c>
      <c r="U62" s="291"/>
    </row>
    <row r="63" spans="1:21">
      <c r="A63" s="297" t="s">
        <v>168</v>
      </c>
      <c r="U63" s="291"/>
    </row>
    <row r="64" spans="1:21">
      <c r="A64" s="289" t="s">
        <v>110</v>
      </c>
      <c r="B64" s="312">
        <f>CDCM!B173+CDCM!C173+CDCM!D173</f>
        <v>0</v>
      </c>
      <c r="C64" s="314">
        <f>CDCM!E173</f>
        <v>0</v>
      </c>
      <c r="D64" s="312">
        <f>0.01*CDCM!F$14*(CDCM!$E4208*CDCM!E173+CDCM!$F4208*CDCM!F173)+10*(CDCM!$B4208*CDCM!B173+CDCM!$C4208*CDCM!C173+CDCM!$D4208*CDCM!D173+CDCM!$G4208*CDCM!G173)</f>
        <v>0</v>
      </c>
      <c r="E64" s="312">
        <f>10*(CDCM!$B4208*CDCM!B173+CDCM!$C4208*CDCM!C173+CDCM!$D4208*CDCM!D173)</f>
        <v>0</v>
      </c>
      <c r="F64" s="312">
        <f>CDCM!E4208*CDCM!$F$14*CDCM!$E173/100</f>
        <v>0</v>
      </c>
      <c r="G64" s="312">
        <f>CDCM!F4208*CDCM!$F$14*CDCM!$F173/100</f>
        <v>0</v>
      </c>
      <c r="H64" s="312">
        <f>CDCM!G4208*CDCM!$G173*10</f>
        <v>0</v>
      </c>
      <c r="I64" s="306" t="str">
        <f>IF(B64&lt;&gt;0,0.1*D64/B64,"")</f>
        <v/>
      </c>
      <c r="J64" s="316" t="str">
        <f>IF(C64&lt;&gt;0,D64/C64,"")</f>
        <v/>
      </c>
      <c r="K64" s="306">
        <f>IF(B64&lt;&gt;0,0.1*E64/B64,0)</f>
        <v>0</v>
      </c>
      <c r="L64" s="312">
        <f>CDCM!B4208*CDCM!$B173*10</f>
        <v>0</v>
      </c>
      <c r="M64" s="312">
        <f>CDCM!C4208*CDCM!$C173*10</f>
        <v>0</v>
      </c>
      <c r="N64" s="312">
        <f>CDCM!D4208*CDCM!$D173*10</f>
        <v>0</v>
      </c>
      <c r="O64" s="308" t="str">
        <f>IF(E64&lt;&gt;0,$L64/E64,"")</f>
        <v/>
      </c>
      <c r="P64" s="308" t="str">
        <f>IF(E64&lt;&gt;0,$M64/E64,"")</f>
        <v/>
      </c>
      <c r="Q64" s="308" t="str">
        <f>IF(E64&lt;&gt;0,$N64/E64,"")</f>
        <v/>
      </c>
      <c r="R64" s="308" t="str">
        <f>IF(D64&lt;&gt;0,$F64/D64,"")</f>
        <v/>
      </c>
      <c r="S64" s="308" t="str">
        <f>IF(D64&lt;&gt;0,$G64/D64,"")</f>
        <v/>
      </c>
      <c r="T64" s="308" t="str">
        <f>IF(D64&lt;&gt;0,$H64/D64,"")</f>
        <v/>
      </c>
      <c r="U64" s="291"/>
    </row>
    <row r="65" spans="1:21">
      <c r="A65" s="297" t="s">
        <v>1539</v>
      </c>
      <c r="U65" s="291"/>
    </row>
    <row r="66" spans="1:21">
      <c r="A66" s="289" t="s">
        <v>1536</v>
      </c>
      <c r="B66" s="312">
        <f>CDCM!B175+CDCM!C175+CDCM!D175</f>
        <v>0</v>
      </c>
      <c r="C66" s="314">
        <f>CDCM!E175</f>
        <v>0</v>
      </c>
      <c r="D66" s="312">
        <f>0.01*CDCM!F$14*(CDCM!$E4210*CDCM!E175+CDCM!$F4210*CDCM!F175)+10*(CDCM!$B4210*CDCM!B175+CDCM!$C4210*CDCM!C175+CDCM!$D4210*CDCM!D175+CDCM!$G4210*CDCM!G175)</f>
        <v>0</v>
      </c>
      <c r="E66" s="312">
        <f>10*(CDCM!$B4210*CDCM!B175+CDCM!$C4210*CDCM!C175+CDCM!$D4210*CDCM!D175)</f>
        <v>0</v>
      </c>
      <c r="F66" s="312">
        <f>CDCM!E4210*CDCM!$F$14*CDCM!$E175/100</f>
        <v>0</v>
      </c>
      <c r="G66" s="312">
        <f>CDCM!F4210*CDCM!$F$14*CDCM!$F175/100</f>
        <v>0</v>
      </c>
      <c r="H66" s="312">
        <f>CDCM!G4210*CDCM!$G175*10</f>
        <v>0</v>
      </c>
      <c r="I66" s="306" t="str">
        <f>IF(B66&lt;&gt;0,0.1*D66/B66,"")</f>
        <v/>
      </c>
      <c r="J66" s="316" t="str">
        <f>IF(C66&lt;&gt;0,D66/C66,"")</f>
        <v/>
      </c>
      <c r="K66" s="306">
        <f>IF(B66&lt;&gt;0,0.1*E66/B66,0)</f>
        <v>0</v>
      </c>
      <c r="L66" s="312">
        <f>CDCM!B4210*CDCM!$B175*10</f>
        <v>0</v>
      </c>
      <c r="M66" s="312">
        <f>CDCM!C4210*CDCM!$C175*10</f>
        <v>0</v>
      </c>
      <c r="N66" s="312">
        <f>CDCM!D4210*CDCM!$D175*10</f>
        <v>0</v>
      </c>
      <c r="O66" s="308" t="str">
        <f>IF(E66&lt;&gt;0,$L66/E66,"")</f>
        <v/>
      </c>
      <c r="P66" s="308" t="str">
        <f>IF(E66&lt;&gt;0,$M66/E66,"")</f>
        <v/>
      </c>
      <c r="Q66" s="308" t="str">
        <f>IF(E66&lt;&gt;0,$N66/E66,"")</f>
        <v/>
      </c>
      <c r="R66" s="308" t="str">
        <f>IF(D66&lt;&gt;0,$F66/D66,"")</f>
        <v/>
      </c>
      <c r="S66" s="308" t="str">
        <f>IF(D66&lt;&gt;0,$G66/D66,"")</f>
        <v/>
      </c>
      <c r="T66" s="308" t="str">
        <f>IF(D66&lt;&gt;0,$H66/D66,"")</f>
        <v/>
      </c>
      <c r="U66" s="291"/>
    </row>
    <row r="67" spans="1:21">
      <c r="A67" s="289" t="s">
        <v>1533</v>
      </c>
      <c r="B67" s="312">
        <f>CDCM!B176+CDCM!C176+CDCM!D176</f>
        <v>0</v>
      </c>
      <c r="C67" s="314">
        <f>CDCM!E176</f>
        <v>0</v>
      </c>
      <c r="D67" s="312">
        <f>0.01*CDCM!F$14*(CDCM!$E4211*CDCM!E176+CDCM!$F4211*CDCM!F176)+10*(CDCM!$B4211*CDCM!B176+CDCM!$C4211*CDCM!C176+CDCM!$D4211*CDCM!D176+CDCM!$G4211*CDCM!G176)</f>
        <v>0</v>
      </c>
      <c r="E67" s="312">
        <f>10*(CDCM!$B4211*CDCM!B176+CDCM!$C4211*CDCM!C176+CDCM!$D4211*CDCM!D176)</f>
        <v>0</v>
      </c>
      <c r="F67" s="312">
        <f>CDCM!E4211*CDCM!$F$14*CDCM!$E176/100</f>
        <v>0</v>
      </c>
      <c r="G67" s="312">
        <f>CDCM!F4211*CDCM!$F$14*CDCM!$F176/100</f>
        <v>0</v>
      </c>
      <c r="H67" s="312">
        <f>CDCM!G4211*CDCM!$G176*10</f>
        <v>0</v>
      </c>
      <c r="I67" s="306" t="str">
        <f>IF(B67&lt;&gt;0,0.1*D67/B67,"")</f>
        <v/>
      </c>
      <c r="J67" s="316" t="str">
        <f>IF(C67&lt;&gt;0,D67/C67,"")</f>
        <v/>
      </c>
      <c r="K67" s="306">
        <f>IF(B67&lt;&gt;0,0.1*E67/B67,0)</f>
        <v>0</v>
      </c>
      <c r="L67" s="312">
        <f>CDCM!B4211*CDCM!$B176*10</f>
        <v>0</v>
      </c>
      <c r="M67" s="312">
        <f>CDCM!C4211*CDCM!$C176*10</f>
        <v>0</v>
      </c>
      <c r="N67" s="312">
        <f>CDCM!D4211*CDCM!$D176*10</f>
        <v>0</v>
      </c>
      <c r="O67" s="308" t="str">
        <f>IF(E67&lt;&gt;0,$L67/E67,"")</f>
        <v/>
      </c>
      <c r="P67" s="308" t="str">
        <f>IF(E67&lt;&gt;0,$M67/E67,"")</f>
        <v/>
      </c>
      <c r="Q67" s="308" t="str">
        <f>IF(E67&lt;&gt;0,$N67/E67,"")</f>
        <v/>
      </c>
      <c r="R67" s="308" t="str">
        <f>IF(D67&lt;&gt;0,$F67/D67,"")</f>
        <v/>
      </c>
      <c r="S67" s="308" t="str">
        <f>IF(D67&lt;&gt;0,$G67/D67,"")</f>
        <v/>
      </c>
      <c r="T67" s="308" t="str">
        <f>IF(D67&lt;&gt;0,$H67/D67,"")</f>
        <v/>
      </c>
      <c r="U67" s="291"/>
    </row>
    <row r="68" spans="1:21">
      <c r="A68" s="289" t="s">
        <v>1530</v>
      </c>
      <c r="B68" s="312">
        <f>CDCM!B177+CDCM!C177+CDCM!D177</f>
        <v>0</v>
      </c>
      <c r="C68" s="314">
        <f>CDCM!E177</f>
        <v>0</v>
      </c>
      <c r="D68" s="312">
        <f>0.01*CDCM!F$14*(CDCM!$E4212*CDCM!E177+CDCM!$F4212*CDCM!F177)+10*(CDCM!$B4212*CDCM!B177+CDCM!$C4212*CDCM!C177+CDCM!$D4212*CDCM!D177+CDCM!$G4212*CDCM!G177)</f>
        <v>0</v>
      </c>
      <c r="E68" s="312">
        <f>10*(CDCM!$B4212*CDCM!B177+CDCM!$C4212*CDCM!C177+CDCM!$D4212*CDCM!D177)</f>
        <v>0</v>
      </c>
      <c r="F68" s="312">
        <f>CDCM!E4212*CDCM!$F$14*CDCM!$E177/100</f>
        <v>0</v>
      </c>
      <c r="G68" s="312">
        <f>CDCM!F4212*CDCM!$F$14*CDCM!$F177/100</f>
        <v>0</v>
      </c>
      <c r="H68" s="312">
        <f>CDCM!G4212*CDCM!$G177*10</f>
        <v>0</v>
      </c>
      <c r="I68" s="306" t="str">
        <f>IF(B68&lt;&gt;0,0.1*D68/B68,"")</f>
        <v/>
      </c>
      <c r="J68" s="316" t="str">
        <f>IF(C68&lt;&gt;0,D68/C68,"")</f>
        <v/>
      </c>
      <c r="K68" s="306">
        <f>IF(B68&lt;&gt;0,0.1*E68/B68,0)</f>
        <v>0</v>
      </c>
      <c r="L68" s="312">
        <f>CDCM!B4212*CDCM!$B177*10</f>
        <v>0</v>
      </c>
      <c r="M68" s="312">
        <f>CDCM!C4212*CDCM!$C177*10</f>
        <v>0</v>
      </c>
      <c r="N68" s="312">
        <f>CDCM!D4212*CDCM!$D177*10</f>
        <v>0</v>
      </c>
      <c r="O68" s="308" t="str">
        <f>IF(E68&lt;&gt;0,$L68/E68,"")</f>
        <v/>
      </c>
      <c r="P68" s="308" t="str">
        <f>IF(E68&lt;&gt;0,$M68/E68,"")</f>
        <v/>
      </c>
      <c r="Q68" s="308" t="str">
        <f>IF(E68&lt;&gt;0,$N68/E68,"")</f>
        <v/>
      </c>
      <c r="R68" s="308" t="str">
        <f>IF(D68&lt;&gt;0,$F68/D68,"")</f>
        <v/>
      </c>
      <c r="S68" s="308" t="str">
        <f>IF(D68&lt;&gt;0,$G68/D68,"")</f>
        <v/>
      </c>
      <c r="T68" s="308" t="str">
        <f>IF(D68&lt;&gt;0,$H68/D68,"")</f>
        <v/>
      </c>
      <c r="U68" s="291"/>
    </row>
    <row r="69" spans="1:21">
      <c r="A69" s="297" t="s">
        <v>1538</v>
      </c>
      <c r="U69" s="291"/>
    </row>
    <row r="70" spans="1:21">
      <c r="A70" s="289" t="s">
        <v>1535</v>
      </c>
      <c r="B70" s="312">
        <f>CDCM!B179+CDCM!C179+CDCM!D179</f>
        <v>617247.39980178268</v>
      </c>
      <c r="C70" s="314">
        <f>CDCM!E179</f>
        <v>10460.824638436699</v>
      </c>
      <c r="D70" s="312">
        <f>0.01*CDCM!F$14*(CDCM!$E4214*CDCM!E179+CDCM!$F4214*CDCM!F179)+10*(CDCM!$B4214*CDCM!B179+CDCM!$C4214*CDCM!C179+CDCM!$D4214*CDCM!D179+CDCM!$G4214*CDCM!G179)</f>
        <v>12590686.941766856</v>
      </c>
      <c r="E70" s="312">
        <f>10*(CDCM!$B4214*CDCM!B179+CDCM!$C4214*CDCM!C179+CDCM!$D4214*CDCM!D179)</f>
        <v>12308521.888381984</v>
      </c>
      <c r="F70" s="312">
        <f>CDCM!E4214*CDCM!$F$14*CDCM!$E179/100</f>
        <v>282165.05338487233</v>
      </c>
      <c r="G70" s="312">
        <f>CDCM!F4214*CDCM!$F$14*CDCM!$F179/100</f>
        <v>0</v>
      </c>
      <c r="H70" s="312">
        <f>CDCM!G4214*CDCM!$G179*10</f>
        <v>0</v>
      </c>
      <c r="I70" s="306">
        <f>IF(B70&lt;&gt;0,0.1*D70/B70,"")</f>
        <v>2.039812066573325</v>
      </c>
      <c r="J70" s="316">
        <f>IF(C70&lt;&gt;0,D70/C70,"")</f>
        <v>1203.6036715025605</v>
      </c>
      <c r="K70" s="306">
        <f>IF(B70&lt;&gt;0,0.1*E70/B70,0)</f>
        <v>1.9940986211257647</v>
      </c>
      <c r="L70" s="312">
        <f>CDCM!B4214*CDCM!$B179*10</f>
        <v>9793579.7963426672</v>
      </c>
      <c r="M70" s="312">
        <f>CDCM!C4214*CDCM!$C179*10</f>
        <v>2315671.9355861186</v>
      </c>
      <c r="N70" s="312">
        <f>CDCM!D4214*CDCM!$D179*10</f>
        <v>199270.15645319549</v>
      </c>
      <c r="O70" s="308">
        <f>IF(E70&lt;&gt;0,$L70/E70,"")</f>
        <v>0.79567472724623656</v>
      </c>
      <c r="P70" s="308">
        <f>IF(E70&lt;&gt;0,$M70/E70,"")</f>
        <v>0.18813566377713328</v>
      </c>
      <c r="Q70" s="308">
        <f>IF(E70&lt;&gt;0,$N70/E70,"")</f>
        <v>1.6189608976629976E-2</v>
      </c>
      <c r="R70" s="308">
        <f>IF(D70&lt;&gt;0,$F70/D70,"")</f>
        <v>2.2410616250718721E-2</v>
      </c>
      <c r="S70" s="308">
        <f>IF(D70&lt;&gt;0,$G70/D70,"")</f>
        <v>0</v>
      </c>
      <c r="T70" s="308">
        <f>IF(D70&lt;&gt;0,$H70/D70,"")</f>
        <v>0</v>
      </c>
      <c r="U70" s="291"/>
    </row>
    <row r="71" spans="1:21">
      <c r="A71" s="289" t="s">
        <v>1532</v>
      </c>
      <c r="B71" s="312">
        <f>CDCM!B180+CDCM!C180+CDCM!D180</f>
        <v>733.08286394792481</v>
      </c>
      <c r="C71" s="314">
        <f>CDCM!E180</f>
        <v>15.9977333411589</v>
      </c>
      <c r="D71" s="312">
        <f>0.01*CDCM!F$14*(CDCM!$E4215*CDCM!E180+CDCM!$F4215*CDCM!F180)+10*(CDCM!$B4215*CDCM!B180+CDCM!$C4215*CDCM!C180+CDCM!$D4215*CDCM!D180+CDCM!$G4215*CDCM!G180)</f>
        <v>9463.5322090935297</v>
      </c>
      <c r="E71" s="312">
        <f>10*(CDCM!$B4215*CDCM!B180+CDCM!$C4215*CDCM!C180+CDCM!$D4215*CDCM!D180)</f>
        <v>9174.4931619521412</v>
      </c>
      <c r="F71" s="312">
        <f>CDCM!E4215*CDCM!$F$14*CDCM!$E180/100</f>
        <v>289.03904714138844</v>
      </c>
      <c r="G71" s="312">
        <f>CDCM!F4215*CDCM!$F$14*CDCM!$F180/100</f>
        <v>0</v>
      </c>
      <c r="H71" s="312">
        <f>CDCM!G4215*CDCM!$G180*10</f>
        <v>0</v>
      </c>
      <c r="I71" s="306">
        <f>IF(B71&lt;&gt;0,0.1*D71/B71,"")</f>
        <v>1.290922578401148</v>
      </c>
      <c r="J71" s="316">
        <f>IF(C71&lt;&gt;0,D71/C71,"")</f>
        <v>591.55456634258269</v>
      </c>
      <c r="K71" s="306">
        <f>IF(B71&lt;&gt;0,0.1*E71/B71,0)</f>
        <v>1.251494696321787</v>
      </c>
      <c r="L71" s="312">
        <f>CDCM!B4215*CDCM!$B180*10</f>
        <v>7282.3829199658849</v>
      </c>
      <c r="M71" s="312">
        <f>CDCM!C4215*CDCM!$C180*10</f>
        <v>1722.739056392119</v>
      </c>
      <c r="N71" s="312">
        <f>CDCM!D4215*CDCM!$D180*10</f>
        <v>169.37118559413733</v>
      </c>
      <c r="O71" s="308">
        <f>IF(E71&lt;&gt;0,$L71/E71,"")</f>
        <v>0.7937640577429288</v>
      </c>
      <c r="P71" s="308">
        <f>IF(E71&lt;&gt;0,$M71/E71,"")</f>
        <v>0.18777484771982281</v>
      </c>
      <c r="Q71" s="308">
        <f>IF(E71&lt;&gt;0,$N71/E71,"")</f>
        <v>1.8461094537248385E-2</v>
      </c>
      <c r="R71" s="308">
        <f>IF(D71&lt;&gt;0,$F71/D71,"")</f>
        <v>3.0542406445623987E-2</v>
      </c>
      <c r="S71" s="308">
        <f>IF(D71&lt;&gt;0,$G71/D71,"")</f>
        <v>0</v>
      </c>
      <c r="T71" s="308">
        <f>IF(D71&lt;&gt;0,$H71/D71,"")</f>
        <v>0</v>
      </c>
      <c r="U71" s="291"/>
    </row>
    <row r="72" spans="1:21">
      <c r="A72" s="289" t="s">
        <v>1529</v>
      </c>
      <c r="B72" s="312">
        <f>CDCM!B181+CDCM!C181+CDCM!D181</f>
        <v>6733.1147145287014</v>
      </c>
      <c r="C72" s="314">
        <f>CDCM!E181</f>
        <v>96.748196872722914</v>
      </c>
      <c r="D72" s="312">
        <f>0.01*CDCM!F$14*(CDCM!$E4216*CDCM!E181+CDCM!$F4216*CDCM!F181)+10*(CDCM!$B4216*CDCM!B181+CDCM!$C4216*CDCM!C181+CDCM!$D4216*CDCM!D181+CDCM!$G4216*CDCM!G181)</f>
        <v>66844.484350859595</v>
      </c>
      <c r="E72" s="312">
        <f>10*(CDCM!$B4216*CDCM!B181+CDCM!$C4216*CDCM!C181+CDCM!$D4216*CDCM!D181)</f>
        <v>65576.744353137867</v>
      </c>
      <c r="F72" s="312">
        <f>CDCM!E4216*CDCM!$F$14*CDCM!$E181/100</f>
        <v>1267.7399977217246</v>
      </c>
      <c r="G72" s="312">
        <f>CDCM!F4216*CDCM!$F$14*CDCM!$F181/100</f>
        <v>0</v>
      </c>
      <c r="H72" s="312">
        <f>CDCM!G4216*CDCM!$G181*10</f>
        <v>0</v>
      </c>
      <c r="I72" s="306">
        <f>IF(B72&lt;&gt;0,0.1*D72/B72,"")</f>
        <v>0.99277210005976446</v>
      </c>
      <c r="J72" s="316">
        <f>IF(C72&lt;&gt;0,D72/C72,"")</f>
        <v>690.91193956613836</v>
      </c>
      <c r="K72" s="306">
        <f>IF(B72&lt;&gt;0,0.1*E72/B72,0)</f>
        <v>0.97394366698723411</v>
      </c>
      <c r="L72" s="312">
        <f>CDCM!B4216*CDCM!$B181*10</f>
        <v>52184.196923952652</v>
      </c>
      <c r="M72" s="312">
        <f>CDCM!C4216*CDCM!$C181*10</f>
        <v>12328.113691622075</v>
      </c>
      <c r="N72" s="312">
        <f>CDCM!D4216*CDCM!$D181*10</f>
        <v>1064.4337375631394</v>
      </c>
      <c r="O72" s="308">
        <f>IF(E72&lt;&gt;0,$L72/E72,"")</f>
        <v>0.79577291368621628</v>
      </c>
      <c r="P72" s="308">
        <f>IF(E72&lt;&gt;0,$M72/E72,"")</f>
        <v>0.18799520795411628</v>
      </c>
      <c r="Q72" s="308">
        <f>IF(E72&lt;&gt;0,$N72/E72,"")</f>
        <v>1.6231878359667391E-2</v>
      </c>
      <c r="R72" s="308">
        <f>IF(D72&lt;&gt;0,$F72/D72,"")</f>
        <v>1.8965513909382441E-2</v>
      </c>
      <c r="S72" s="308">
        <f>IF(D72&lt;&gt;0,$G72/D72,"")</f>
        <v>0</v>
      </c>
      <c r="T72" s="308">
        <f>IF(D72&lt;&gt;0,$H72/D72,"")</f>
        <v>0</v>
      </c>
      <c r="U72" s="291"/>
    </row>
    <row r="73" spans="1:21">
      <c r="A73" s="297" t="s">
        <v>169</v>
      </c>
      <c r="U73" s="291"/>
    </row>
    <row r="74" spans="1:21">
      <c r="A74" s="289" t="s">
        <v>98</v>
      </c>
      <c r="B74" s="312">
        <f>CDCM!B183+CDCM!C183+CDCM!D183</f>
        <v>2738351.7055956717</v>
      </c>
      <c r="C74" s="314">
        <f>CDCM!E183</f>
        <v>13816.622163023712</v>
      </c>
      <c r="D74" s="312">
        <f>0.01*CDCM!F$14*(CDCM!$E4218*CDCM!E183+CDCM!$F4218*CDCM!F183)+10*(CDCM!$B4218*CDCM!B183+CDCM!$C4218*CDCM!C183+CDCM!$D4218*CDCM!D183+CDCM!$G4218*CDCM!G183)</f>
        <v>70493350.932524711</v>
      </c>
      <c r="E74" s="312">
        <f>10*(CDCM!$B4218*CDCM!B183+CDCM!$C4218*CDCM!C183+CDCM!$D4218*CDCM!D183)</f>
        <v>46399641.77024179</v>
      </c>
      <c r="F74" s="312">
        <f>CDCM!E4218*CDCM!$F$14*CDCM!$E183/100</f>
        <v>483630.13388340047</v>
      </c>
      <c r="G74" s="312">
        <f>CDCM!F4218*CDCM!$F$14*CDCM!$F183/100</f>
        <v>22732964.167442001</v>
      </c>
      <c r="H74" s="312">
        <f>CDCM!G4218*CDCM!$G183*10</f>
        <v>877114.86095751508</v>
      </c>
      <c r="I74" s="306">
        <f>IF(B74&lt;&gt;0,0.1*D74/B74,"")</f>
        <v>2.5742986479229608</v>
      </c>
      <c r="J74" s="316">
        <f>IF(C74&lt;&gt;0,D74/C74,"")</f>
        <v>5102.0683710364647</v>
      </c>
      <c r="K74" s="306">
        <f>IF(B74&lt;&gt;0,0.1*E74/B74,0)</f>
        <v>1.6944369006883471</v>
      </c>
      <c r="L74" s="312">
        <f>CDCM!B4218*CDCM!$B183*10</f>
        <v>36948131.055957124</v>
      </c>
      <c r="M74" s="312">
        <f>CDCM!C4218*CDCM!$C183*10</f>
        <v>8845187.8518127557</v>
      </c>
      <c r="N74" s="312">
        <f>CDCM!D4218*CDCM!$D183*10</f>
        <v>606322.86247191206</v>
      </c>
      <c r="O74" s="308">
        <f>IF(E74&lt;&gt;0,$L74/E74,"")</f>
        <v>0.79630207575554279</v>
      </c>
      <c r="P74" s="308">
        <f>IF(E74&lt;&gt;0,$M74/E74,"")</f>
        <v>0.19063052028745572</v>
      </c>
      <c r="Q74" s="308">
        <f>IF(E74&lt;&gt;0,$N74/E74,"")</f>
        <v>1.3067403957001553E-2</v>
      </c>
      <c r="R74" s="308">
        <f>IF(D74&lt;&gt;0,$F74/D74,"")</f>
        <v>6.8606489475344238E-3</v>
      </c>
      <c r="S74" s="308">
        <f>IF(D74&lt;&gt;0,$G74/D74,"")</f>
        <v>0.32248380686572398</v>
      </c>
      <c r="T74" s="308">
        <f>IF(D74&lt;&gt;0,$H74/D74,"")</f>
        <v>1.2442519036966729E-2</v>
      </c>
      <c r="U74" s="291"/>
    </row>
    <row r="75" spans="1:21">
      <c r="A75" s="289" t="s">
        <v>170</v>
      </c>
      <c r="B75" s="312">
        <f>CDCM!B184+CDCM!C184+CDCM!D184</f>
        <v>2554.6575081485284</v>
      </c>
      <c r="C75" s="314">
        <f>CDCM!E184</f>
        <v>24.512815784070572</v>
      </c>
      <c r="D75" s="312">
        <f>0.01*CDCM!F$14*(CDCM!$E4219*CDCM!E184+CDCM!$F4219*CDCM!F184)+10*(CDCM!$B4219*CDCM!B184+CDCM!$C4219*CDCM!C184+CDCM!$D4219*CDCM!D184+CDCM!$G4219*CDCM!G184)</f>
        <v>45560.669057852618</v>
      </c>
      <c r="E75" s="312">
        <f>10*(CDCM!$B4219*CDCM!B184+CDCM!$C4219*CDCM!C184+CDCM!$D4219*CDCM!D184)</f>
        <v>26155.587841191737</v>
      </c>
      <c r="F75" s="312">
        <f>CDCM!E4219*CDCM!$F$14*CDCM!$E184/100</f>
        <v>574.40881226812576</v>
      </c>
      <c r="G75" s="312">
        <f>CDCM!F4219*CDCM!$F$14*CDCM!$F184/100</f>
        <v>18627.483733686928</v>
      </c>
      <c r="H75" s="312">
        <f>CDCM!G4219*CDCM!$G184*10</f>
        <v>203.18867070583079</v>
      </c>
      <c r="I75" s="306">
        <f>IF(B75&lt;&gt;0,0.1*D75/B75,"")</f>
        <v>1.7834355060327605</v>
      </c>
      <c r="J75" s="316">
        <f>IF(C75&lt;&gt;0,D75/C75,"")</f>
        <v>1858.6468996132137</v>
      </c>
      <c r="K75" s="306">
        <f>IF(B75&lt;&gt;0,0.1*E75/B75,0)</f>
        <v>1.023839311444446</v>
      </c>
      <c r="L75" s="312">
        <f>CDCM!B4219*CDCM!$B184*10</f>
        <v>20806.209444536675</v>
      </c>
      <c r="M75" s="312">
        <f>CDCM!C4219*CDCM!$C184*10</f>
        <v>4925.733229016585</v>
      </c>
      <c r="N75" s="312">
        <f>CDCM!D4219*CDCM!$D184*10</f>
        <v>423.64516763847314</v>
      </c>
      <c r="O75" s="308">
        <f>IF(E75&lt;&gt;0,$L75/E75,"")</f>
        <v>0.79547856354310387</v>
      </c>
      <c r="P75" s="308">
        <f>IF(E75&lt;&gt;0,$M75/E75,"")</f>
        <v>0.18832431750049139</v>
      </c>
      <c r="Q75" s="308">
        <f>IF(E75&lt;&gt;0,$N75/E75,"")</f>
        <v>1.6197118956404629E-2</v>
      </c>
      <c r="R75" s="308">
        <f>IF(D75&lt;&gt;0,$F75/D75,"")</f>
        <v>1.2607558759480584E-2</v>
      </c>
      <c r="S75" s="308">
        <f>IF(D75&lt;&gt;0,$G75/D75,"")</f>
        <v>0.40885009195176392</v>
      </c>
      <c r="T75" s="308">
        <f>IF(D75&lt;&gt;0,$H75/D75,"")</f>
        <v>4.4597385180587066E-3</v>
      </c>
      <c r="U75" s="291"/>
    </row>
    <row r="76" spans="1:21">
      <c r="A76" s="289" t="s">
        <v>171</v>
      </c>
      <c r="B76" s="312">
        <f>CDCM!B185+CDCM!C185+CDCM!D185</f>
        <v>116263.17130113555</v>
      </c>
      <c r="C76" s="314">
        <f>CDCM!E185</f>
        <v>314.54566848374873</v>
      </c>
      <c r="D76" s="312">
        <f>0.01*CDCM!F$14*(CDCM!$E4220*CDCM!E185+CDCM!$F4220*CDCM!F185)+10*(CDCM!$B4220*CDCM!B185+CDCM!$C4220*CDCM!C185+CDCM!$D4220*CDCM!D185+CDCM!$G4220*CDCM!G185)</f>
        <v>1568259.7212664899</v>
      </c>
      <c r="E76" s="312">
        <f>10*(CDCM!$B4220*CDCM!B185+CDCM!$C4220*CDCM!C185+CDCM!$D4220*CDCM!D185)</f>
        <v>1000601.3177011581</v>
      </c>
      <c r="F76" s="312">
        <f>CDCM!E4220*CDCM!$F$14*CDCM!$E185/100</f>
        <v>5350.1072752400823</v>
      </c>
      <c r="G76" s="312">
        <f>CDCM!F4220*CDCM!$F$14*CDCM!$F185/100</f>
        <v>553359.38004565518</v>
      </c>
      <c r="H76" s="312">
        <f>CDCM!G4220*CDCM!$G185*10</f>
        <v>8948.9162444366484</v>
      </c>
      <c r="I76" s="306">
        <f>IF(B76&lt;&gt;0,0.1*D76/B76,"")</f>
        <v>1.3488877894139919</v>
      </c>
      <c r="J76" s="316">
        <f>IF(C76&lt;&gt;0,D76/C76,"")</f>
        <v>4985.7934106236644</v>
      </c>
      <c r="K76" s="306">
        <f>IF(B76&lt;&gt;0,0.1*E76/B76,0)</f>
        <v>0.86063480507467049</v>
      </c>
      <c r="L76" s="312">
        <f>CDCM!B4220*CDCM!$B185*10</f>
        <v>812795.45095539873</v>
      </c>
      <c r="M76" s="312">
        <f>CDCM!C4220*CDCM!$C185*10</f>
        <v>175220.25374512881</v>
      </c>
      <c r="N76" s="312">
        <f>CDCM!D4220*CDCM!$D185*10</f>
        <v>12585.613000630628</v>
      </c>
      <c r="O76" s="308">
        <f>IF(E76&lt;&gt;0,$L76/E76,"")</f>
        <v>0.81230699637970105</v>
      </c>
      <c r="P76" s="308">
        <f>IF(E76&lt;&gt;0,$M76/E76,"")</f>
        <v>0.17511495402353697</v>
      </c>
      <c r="Q76" s="308">
        <f>IF(E76&lt;&gt;0,$N76/E76,"")</f>
        <v>1.257804959676205E-2</v>
      </c>
      <c r="R76" s="308">
        <f>IF(D76&lt;&gt;0,$F76/D76,"")</f>
        <v>3.4114931364298898E-3</v>
      </c>
      <c r="S76" s="308">
        <f>IF(D76&lt;&gt;0,$G76/D76,"")</f>
        <v>0.35284932243160277</v>
      </c>
      <c r="T76" s="308">
        <f>IF(D76&lt;&gt;0,$H76/D76,"")</f>
        <v>5.706271813963131E-3</v>
      </c>
      <c r="U76" s="291"/>
    </row>
    <row r="77" spans="1:21">
      <c r="A77" s="297" t="s">
        <v>172</v>
      </c>
      <c r="U77" s="291"/>
    </row>
    <row r="78" spans="1:21">
      <c r="A78" s="289" t="s">
        <v>99</v>
      </c>
      <c r="B78" s="312">
        <f>CDCM!B187+CDCM!C187+CDCM!D187</f>
        <v>65840.900365462585</v>
      </c>
      <c r="C78" s="314">
        <f>CDCM!E187</f>
        <v>122.79637271053774</v>
      </c>
      <c r="D78" s="312">
        <f>0.01*CDCM!F$14*(CDCM!$E4222*CDCM!E187+CDCM!$F4222*CDCM!F187)+10*(CDCM!$B4222*CDCM!B187+CDCM!$C4222*CDCM!C187+CDCM!$D4222*CDCM!D187+CDCM!$G4222*CDCM!G187)</f>
        <v>1936235.9340840587</v>
      </c>
      <c r="E78" s="312">
        <f>10*(CDCM!$B4222*CDCM!B187+CDCM!$C4222*CDCM!C187+CDCM!$D4222*CDCM!D187)</f>
        <v>941700.2132090478</v>
      </c>
      <c r="F78" s="312">
        <f>CDCM!E4222*CDCM!$F$14*CDCM!$E187/100</f>
        <v>3312.2479593076896</v>
      </c>
      <c r="G78" s="312">
        <f>CDCM!F4222*CDCM!$F$14*CDCM!$F187/100</f>
        <v>973375.45834052458</v>
      </c>
      <c r="H78" s="312">
        <f>CDCM!G4222*CDCM!$G187*10</f>
        <v>17848.01457517864</v>
      </c>
      <c r="I78" s="306">
        <f>IF(B78&lt;&gt;0,0.1*D78/B78,"")</f>
        <v>2.9407798546748434</v>
      </c>
      <c r="J78" s="316">
        <f>IF(C78&lt;&gt;0,D78/C78,"")</f>
        <v>15767.859354023909</v>
      </c>
      <c r="K78" s="306">
        <f>IF(B78&lt;&gt;0,0.1*E78/B78,0)</f>
        <v>1.430266305566843</v>
      </c>
      <c r="L78" s="312">
        <f>CDCM!B4222*CDCM!$B187*10</f>
        <v>759405.49836380384</v>
      </c>
      <c r="M78" s="312">
        <f>CDCM!C4222*CDCM!$C187*10</f>
        <v>175441.67598914861</v>
      </c>
      <c r="N78" s="312">
        <f>CDCM!D4222*CDCM!$D187*10</f>
        <v>6853.0388560953252</v>
      </c>
      <c r="O78" s="308">
        <f>IF(E78&lt;&gt;0,$L78/E78,"")</f>
        <v>0.80641958843352579</v>
      </c>
      <c r="P78" s="308">
        <f>IF(E78&lt;&gt;0,$M78/E78,"")</f>
        <v>0.18630310743085959</v>
      </c>
      <c r="Q78" s="308">
        <f>IF(E78&lt;&gt;0,$N78/E78,"")</f>
        <v>7.2773041356145691E-3</v>
      </c>
      <c r="R78" s="308">
        <f>IF(D78&lt;&gt;0,$F78/D78,"")</f>
        <v>1.7106634067684302E-3</v>
      </c>
      <c r="S78" s="308">
        <f>IF(D78&lt;&gt;0,$G78/D78,"")</f>
        <v>0.5027153154251226</v>
      </c>
      <c r="T78" s="308">
        <f>IF(D78&lt;&gt;0,$H78/D78,"")</f>
        <v>9.2178924381039803E-3</v>
      </c>
      <c r="U78" s="291"/>
    </row>
    <row r="79" spans="1:21">
      <c r="A79" s="289" t="s">
        <v>173</v>
      </c>
      <c r="B79" s="312">
        <f>CDCM!B188+CDCM!C188+CDCM!D188</f>
        <v>5260.8578794120167</v>
      </c>
      <c r="C79" s="314">
        <f>CDCM!E188</f>
        <v>5.6400701446733876</v>
      </c>
      <c r="D79" s="312">
        <f>0.01*CDCM!F$14*(CDCM!$E4223*CDCM!E188+CDCM!$F4223*CDCM!F188)+10*(CDCM!$B4223*CDCM!B188+CDCM!$C4223*CDCM!C188+CDCM!$D4223*CDCM!D188+CDCM!$G4223*CDCM!G188)</f>
        <v>101831.91713310746</v>
      </c>
      <c r="E79" s="312">
        <f>10*(CDCM!$B4223*CDCM!B188+CDCM!$C4223*CDCM!C188+CDCM!$D4223*CDCM!D188)</f>
        <v>49057.395865891362</v>
      </c>
      <c r="F79" s="312">
        <f>CDCM!E4223*CDCM!$F$14*CDCM!$E188/100</f>
        <v>112.8126830337571</v>
      </c>
      <c r="G79" s="312">
        <f>CDCM!F4223*CDCM!$F$14*CDCM!$F188/100</f>
        <v>48295.356641823731</v>
      </c>
      <c r="H79" s="312">
        <f>CDCM!G4223*CDCM!$G188*10</f>
        <v>4366.3519423586149</v>
      </c>
      <c r="I79" s="306">
        <f>IF(B79&lt;&gt;0,0.1*D79/B79,"")</f>
        <v>1.9356523112251187</v>
      </c>
      <c r="J79" s="316">
        <f>IF(C79&lt;&gt;0,D79/C79,"")</f>
        <v>18055.079905217113</v>
      </c>
      <c r="K79" s="306">
        <f>IF(B79&lt;&gt;0,0.1*E79/B79,0)</f>
        <v>0.93249802580438268</v>
      </c>
      <c r="L79" s="312">
        <f>CDCM!B4223*CDCM!$B188*10</f>
        <v>39178.585213497514</v>
      </c>
      <c r="M79" s="312">
        <f>CDCM!C4223*CDCM!$C188*10</f>
        <v>9436.4265101910005</v>
      </c>
      <c r="N79" s="312">
        <f>CDCM!D4223*CDCM!$D188*10</f>
        <v>442.38414220283374</v>
      </c>
      <c r="O79" s="308">
        <f>IF(E79&lt;&gt;0,$L79/E79,"")</f>
        <v>0.79862749585404735</v>
      </c>
      <c r="P79" s="308">
        <f>IF(E79&lt;&gt;0,$M79/E79,"")</f>
        <v>0.19235481915891833</v>
      </c>
      <c r="Q79" s="308">
        <f>IF(E79&lt;&gt;0,$N79/E79,"")</f>
        <v>9.0176849870340289E-3</v>
      </c>
      <c r="R79" s="308">
        <f>IF(D79&lt;&gt;0,$F79/D79,"")</f>
        <v>1.1078322613360637E-3</v>
      </c>
      <c r="S79" s="308">
        <f>IF(D79&lt;&gt;0,$G79/D79,"")</f>
        <v>0.47426541698803004</v>
      </c>
      <c r="T79" s="308">
        <f>IF(D79&lt;&gt;0,$H79/D79,"")</f>
        <v>4.2878029455649246E-2</v>
      </c>
      <c r="U79" s="291"/>
    </row>
    <row r="80" spans="1:21">
      <c r="A80" s="297" t="s">
        <v>174</v>
      </c>
      <c r="U80" s="291"/>
    </row>
    <row r="81" spans="1:21">
      <c r="A81" s="289" t="s">
        <v>111</v>
      </c>
      <c r="B81" s="312">
        <f>CDCM!B190+CDCM!C190+CDCM!D190</f>
        <v>7684027.049984565</v>
      </c>
      <c r="C81" s="314">
        <f>CDCM!E190</f>
        <v>4028.1236359637046</v>
      </c>
      <c r="D81" s="312">
        <f>0.01*CDCM!F$14*(CDCM!$E4225*CDCM!E190+CDCM!$F4225*CDCM!F190)+10*(CDCM!$B4225*CDCM!B190+CDCM!$C4225*CDCM!C190+CDCM!$D4225*CDCM!D190+CDCM!$G4225*CDCM!G190)</f>
        <v>135999173.76571637</v>
      </c>
      <c r="E81" s="312">
        <f>10*(CDCM!$B4225*CDCM!B190+CDCM!$C4225*CDCM!C190+CDCM!$D4225*CDCM!D190)</f>
        <v>72305390.352683783</v>
      </c>
      <c r="F81" s="312">
        <f>CDCM!E4225*CDCM!$F$14*CDCM!$E190/100</f>
        <v>1077557.3116711967</v>
      </c>
      <c r="G81" s="312">
        <f>CDCM!F4225*CDCM!$F$14*CDCM!$F190/100</f>
        <v>60029455.370037526</v>
      </c>
      <c r="H81" s="312">
        <f>CDCM!G4225*CDCM!$G190*10</f>
        <v>2586770.7313238857</v>
      </c>
      <c r="I81" s="306">
        <f>IF(B81&lt;&gt;0,0.1*D81/B81,"")</f>
        <v>1.7698945212066839</v>
      </c>
      <c r="J81" s="316">
        <f>IF(C81&lt;&gt;0,D81/C81,"")</f>
        <v>33762.412988393633</v>
      </c>
      <c r="K81" s="306">
        <f>IF(B81&lt;&gt;0,0.1*E81/B81,0)</f>
        <v>0.9409830272894345</v>
      </c>
      <c r="L81" s="312">
        <f>CDCM!B4225*CDCM!$B190*10</f>
        <v>58914396.338158906</v>
      </c>
      <c r="M81" s="312">
        <f>CDCM!C4225*CDCM!$C190*10</f>
        <v>13038755.43897176</v>
      </c>
      <c r="N81" s="312">
        <f>CDCM!D4225*CDCM!$D190*10</f>
        <v>352238.57555312372</v>
      </c>
      <c r="O81" s="308">
        <f>IF(E81&lt;&gt;0,$L81/E81,"")</f>
        <v>0.81479950596756801</v>
      </c>
      <c r="P81" s="308">
        <f>IF(E81&lt;&gt;0,$M81/E81,"")</f>
        <v>0.18032895438877602</v>
      </c>
      <c r="Q81" s="308">
        <f>IF(E81&lt;&gt;0,$N81/E81,"")</f>
        <v>4.8715396436560358E-3</v>
      </c>
      <c r="R81" s="308">
        <f>IF(D81&lt;&gt;0,$F81/D81,"")</f>
        <v>7.9232636628181856E-3</v>
      </c>
      <c r="S81" s="308">
        <f>IF(D81&lt;&gt;0,$G81/D81,"")</f>
        <v>0.44139573578181673</v>
      </c>
      <c r="T81" s="308">
        <f>IF(D81&lt;&gt;0,$H81/D81,"")</f>
        <v>1.902048857870324E-2</v>
      </c>
      <c r="U81" s="291"/>
    </row>
    <row r="82" spans="1:21">
      <c r="A82" s="289" t="s">
        <v>175</v>
      </c>
      <c r="B82" s="312">
        <f>CDCM!B191+CDCM!C191+CDCM!D191</f>
        <v>22114.176857454717</v>
      </c>
      <c r="C82" s="314">
        <f>CDCM!E191</f>
        <v>21.432266549758875</v>
      </c>
      <c r="D82" s="312">
        <f>0.01*CDCM!F$14*(CDCM!$E4226*CDCM!E191+CDCM!$F4226*CDCM!F191)+10*(CDCM!$B4226*CDCM!B191+CDCM!$C4226*CDCM!C191+CDCM!$D4226*CDCM!D191+CDCM!$G4226*CDCM!G191)</f>
        <v>615424.3786554283</v>
      </c>
      <c r="E82" s="312">
        <f>10*(CDCM!$B4226*CDCM!B191+CDCM!$C4226*CDCM!C191+CDCM!$D4226*CDCM!D191)</f>
        <v>219322.54092972461</v>
      </c>
      <c r="F82" s="312">
        <f>CDCM!E4226*CDCM!$F$14*CDCM!$E191/100</f>
        <v>4868.896585708022</v>
      </c>
      <c r="G82" s="312">
        <f>CDCM!F4226*CDCM!$F$14*CDCM!$F191/100</f>
        <v>389491.96405085491</v>
      </c>
      <c r="H82" s="312">
        <f>CDCM!G4226*CDCM!$G191*10</f>
        <v>1740.9770891407277</v>
      </c>
      <c r="I82" s="306">
        <f>IF(B82&lt;&gt;0,0.1*D82/B82,"")</f>
        <v>2.7829404757969454</v>
      </c>
      <c r="J82" s="316">
        <f>IF(C82&lt;&gt;0,D82/C82,"")</f>
        <v>28714.852777078409</v>
      </c>
      <c r="K82" s="306">
        <f>IF(B82&lt;&gt;0,0.1*E82/B82,0)</f>
        <v>0.99177347790718573</v>
      </c>
      <c r="L82" s="312">
        <f>CDCM!B4226*CDCM!$B191*10</f>
        <v>184959.61737518111</v>
      </c>
      <c r="M82" s="312">
        <f>CDCM!C4226*CDCM!$C191*10</f>
        <v>33547.477035485586</v>
      </c>
      <c r="N82" s="312">
        <f>CDCM!D4226*CDCM!$D191*10</f>
        <v>815.44651905791466</v>
      </c>
      <c r="O82" s="308">
        <f>IF(E82&lt;&gt;0,$L82/E82,"")</f>
        <v>0.84332242637315569</v>
      </c>
      <c r="P82" s="308">
        <f>IF(E82&lt;&gt;0,$M82/E82,"")</f>
        <v>0.15295954940734924</v>
      </c>
      <c r="Q82" s="308">
        <f>IF(E82&lt;&gt;0,$N82/E82,"")</f>
        <v>3.7180242194950692E-3</v>
      </c>
      <c r="R82" s="308">
        <f>IF(D82&lt;&gt;0,$F82/D82,"")</f>
        <v>7.9114457512156535E-3</v>
      </c>
      <c r="S82" s="308">
        <f>IF(D82&lt;&gt;0,$G82/D82,"")</f>
        <v>0.63288354761280696</v>
      </c>
      <c r="T82" s="308">
        <f>IF(D82&lt;&gt;0,$H82/D82,"")</f>
        <v>2.828904979267141E-3</v>
      </c>
      <c r="U82" s="291"/>
    </row>
    <row r="83" spans="1:21">
      <c r="A83" s="297" t="s">
        <v>176</v>
      </c>
      <c r="U83" s="291"/>
    </row>
    <row r="84" spans="1:21">
      <c r="A84" s="289" t="s">
        <v>131</v>
      </c>
      <c r="B84" s="312">
        <f>CDCM!B193+CDCM!C193+CDCM!D193</f>
        <v>53670.276181774323</v>
      </c>
      <c r="C84" s="314">
        <f>CDCM!E193</f>
        <v>945.29828999676329</v>
      </c>
      <c r="D84" s="312">
        <f>0.01*CDCM!F$14*(CDCM!$E4228*CDCM!E193+CDCM!$F4228*CDCM!F193)+10*(CDCM!$B4228*CDCM!B193+CDCM!$C4228*CDCM!C193+CDCM!$D4228*CDCM!D193+CDCM!$G4228*CDCM!G193)</f>
        <v>1230122.7300862675</v>
      </c>
      <c r="E84" s="312">
        <f>10*(CDCM!$B4228*CDCM!B193+CDCM!$C4228*CDCM!C193+CDCM!$D4228*CDCM!D193)</f>
        <v>1230122.7300862675</v>
      </c>
      <c r="F84" s="312">
        <f>CDCM!E4228*CDCM!$F$14*CDCM!$E193/100</f>
        <v>0</v>
      </c>
      <c r="G84" s="312">
        <f>CDCM!F4228*CDCM!$F$14*CDCM!$F193/100</f>
        <v>0</v>
      </c>
      <c r="H84" s="312">
        <f>CDCM!G4228*CDCM!$G193*10</f>
        <v>0</v>
      </c>
      <c r="I84" s="306">
        <f>IF(B84&lt;&gt;0,0.1*D84/B84,"")</f>
        <v>2.2920000000000003</v>
      </c>
      <c r="J84" s="316">
        <f>IF(C84&lt;&gt;0,D84/C84,"")</f>
        <v>1301.3064162958333</v>
      </c>
      <c r="K84" s="306">
        <f>IF(B84&lt;&gt;0,0.1*E84/B84,0)</f>
        <v>2.2920000000000003</v>
      </c>
      <c r="L84" s="312">
        <f>CDCM!B4228*CDCM!$B193*10</f>
        <v>1230122.7300862675</v>
      </c>
      <c r="M84" s="312">
        <f>CDCM!C4228*CDCM!$C193*10</f>
        <v>0</v>
      </c>
      <c r="N84" s="312">
        <f>CDCM!D4228*CDCM!$D193*10</f>
        <v>0</v>
      </c>
      <c r="O84" s="308">
        <f>IF(E84&lt;&gt;0,$L84/E84,"")</f>
        <v>1</v>
      </c>
      <c r="P84" s="308">
        <f>IF(E84&lt;&gt;0,$M84/E84,"")</f>
        <v>0</v>
      </c>
      <c r="Q84" s="308">
        <f>IF(E84&lt;&gt;0,$N84/E84,"")</f>
        <v>0</v>
      </c>
      <c r="R84" s="308">
        <f>IF(D84&lt;&gt;0,$F84/D84,"")</f>
        <v>0</v>
      </c>
      <c r="S84" s="308">
        <f>IF(D84&lt;&gt;0,$G84/D84,"")</f>
        <v>0</v>
      </c>
      <c r="T84" s="308">
        <f>IF(D84&lt;&gt;0,$H84/D84,"")</f>
        <v>0</v>
      </c>
      <c r="U84" s="291"/>
    </row>
    <row r="85" spans="1:21">
      <c r="A85" s="289" t="s">
        <v>177</v>
      </c>
      <c r="B85" s="312">
        <f>CDCM!B194+CDCM!C194+CDCM!D194</f>
        <v>172.28035588618667</v>
      </c>
      <c r="C85" s="314">
        <f>CDCM!E194</f>
        <v>0</v>
      </c>
      <c r="D85" s="312">
        <f>0.01*CDCM!F$14*(CDCM!$E4229*CDCM!E194+CDCM!$F4229*CDCM!F194)+10*(CDCM!$B4229*CDCM!B194+CDCM!$C4229*CDCM!C194+CDCM!$D4229*CDCM!D194+CDCM!$G4229*CDCM!G194)</f>
        <v>2642.7806592941033</v>
      </c>
      <c r="E85" s="312">
        <f>10*(CDCM!$B4229*CDCM!B194+CDCM!$C4229*CDCM!C194+CDCM!$D4229*CDCM!D194)</f>
        <v>2642.7806592941033</v>
      </c>
      <c r="F85" s="312">
        <f>CDCM!E4229*CDCM!$F$14*CDCM!$E194/100</f>
        <v>0</v>
      </c>
      <c r="G85" s="312">
        <f>CDCM!F4229*CDCM!$F$14*CDCM!$F194/100</f>
        <v>0</v>
      </c>
      <c r="H85" s="312">
        <f>CDCM!G4229*CDCM!$G194*10</f>
        <v>0</v>
      </c>
      <c r="I85" s="306">
        <f>IF(B85&lt;&gt;0,0.1*D85/B85,"")</f>
        <v>1.5339999999999998</v>
      </c>
      <c r="J85" s="316" t="str">
        <f>IF(C85&lt;&gt;0,D85/C85,"")</f>
        <v/>
      </c>
      <c r="K85" s="306">
        <f>IF(B85&lt;&gt;0,0.1*E85/B85,0)</f>
        <v>1.5339999999999998</v>
      </c>
      <c r="L85" s="312">
        <f>CDCM!B4229*CDCM!$B194*10</f>
        <v>2642.7806592941033</v>
      </c>
      <c r="M85" s="312">
        <f>CDCM!C4229*CDCM!$C194*10</f>
        <v>0</v>
      </c>
      <c r="N85" s="312">
        <f>CDCM!D4229*CDCM!$D194*10</f>
        <v>0</v>
      </c>
      <c r="O85" s="308">
        <f>IF(E85&lt;&gt;0,$L85/E85,"")</f>
        <v>1</v>
      </c>
      <c r="P85" s="308">
        <f>IF(E85&lt;&gt;0,$M85/E85,"")</f>
        <v>0</v>
      </c>
      <c r="Q85" s="308">
        <f>IF(E85&lt;&gt;0,$N85/E85,"")</f>
        <v>0</v>
      </c>
      <c r="R85" s="308">
        <f>IF(D85&lt;&gt;0,$F85/D85,"")</f>
        <v>0</v>
      </c>
      <c r="S85" s="308">
        <f>IF(D85&lt;&gt;0,$G85/D85,"")</f>
        <v>0</v>
      </c>
      <c r="T85" s="308">
        <f>IF(D85&lt;&gt;0,$H85/D85,"")</f>
        <v>0</v>
      </c>
      <c r="U85" s="291"/>
    </row>
    <row r="86" spans="1:21">
      <c r="A86" s="289" t="s">
        <v>178</v>
      </c>
      <c r="B86" s="312">
        <f>CDCM!B195+CDCM!C195+CDCM!D195</f>
        <v>0</v>
      </c>
      <c r="C86" s="314">
        <f>CDCM!E195</f>
        <v>0</v>
      </c>
      <c r="D86" s="312">
        <f>0.01*CDCM!F$14*(CDCM!$E4230*CDCM!E195+CDCM!$F4230*CDCM!F195)+10*(CDCM!$B4230*CDCM!B195+CDCM!$C4230*CDCM!C195+CDCM!$D4230*CDCM!D195+CDCM!$G4230*CDCM!G195)</f>
        <v>0</v>
      </c>
      <c r="E86" s="312">
        <f>10*(CDCM!$B4230*CDCM!B195+CDCM!$C4230*CDCM!C195+CDCM!$D4230*CDCM!D195)</f>
        <v>0</v>
      </c>
      <c r="F86" s="312">
        <f>CDCM!E4230*CDCM!$F$14*CDCM!$E195/100</f>
        <v>0</v>
      </c>
      <c r="G86" s="312">
        <f>CDCM!F4230*CDCM!$F$14*CDCM!$F195/100</f>
        <v>0</v>
      </c>
      <c r="H86" s="312">
        <f>CDCM!G4230*CDCM!$G195*10</f>
        <v>0</v>
      </c>
      <c r="I86" s="306" t="str">
        <f>IF(B86&lt;&gt;0,0.1*D86/B86,"")</f>
        <v/>
      </c>
      <c r="J86" s="316" t="str">
        <f>IF(C86&lt;&gt;0,D86/C86,"")</f>
        <v/>
      </c>
      <c r="K86" s="306">
        <f>IF(B86&lt;&gt;0,0.1*E86/B86,0)</f>
        <v>0</v>
      </c>
      <c r="L86" s="312">
        <f>CDCM!B4230*CDCM!$B195*10</f>
        <v>0</v>
      </c>
      <c r="M86" s="312">
        <f>CDCM!C4230*CDCM!$C195*10</f>
        <v>0</v>
      </c>
      <c r="N86" s="312">
        <f>CDCM!D4230*CDCM!$D195*10</f>
        <v>0</v>
      </c>
      <c r="O86" s="308" t="str">
        <f>IF(E86&lt;&gt;0,$L86/E86,"")</f>
        <v/>
      </c>
      <c r="P86" s="308" t="str">
        <f>IF(E86&lt;&gt;0,$M86/E86,"")</f>
        <v/>
      </c>
      <c r="Q86" s="308" t="str">
        <f>IF(E86&lt;&gt;0,$N86/E86,"")</f>
        <v/>
      </c>
      <c r="R86" s="308" t="str">
        <f>IF(D86&lt;&gt;0,$F86/D86,"")</f>
        <v/>
      </c>
      <c r="S86" s="308" t="str">
        <f>IF(D86&lt;&gt;0,$G86/D86,"")</f>
        <v/>
      </c>
      <c r="T86" s="308" t="str">
        <f>IF(D86&lt;&gt;0,$H86/D86,"")</f>
        <v/>
      </c>
      <c r="U86" s="291"/>
    </row>
    <row r="87" spans="1:21">
      <c r="A87" s="297" t="s">
        <v>179</v>
      </c>
      <c r="U87" s="291"/>
    </row>
    <row r="88" spans="1:21">
      <c r="A88" s="289" t="s">
        <v>132</v>
      </c>
      <c r="B88" s="312">
        <f>CDCM!B197+CDCM!C197+CDCM!D197</f>
        <v>16146.815302762892</v>
      </c>
      <c r="C88" s="314">
        <f>CDCM!E197</f>
        <v>683.89747668576126</v>
      </c>
      <c r="D88" s="312">
        <f>0.01*CDCM!F$14*(CDCM!$E4232*CDCM!E197+CDCM!$F4232*CDCM!F197)+10*(CDCM!$B4232*CDCM!B197+CDCM!$C4232*CDCM!C197+CDCM!$D4232*CDCM!D197+CDCM!$G4232*CDCM!G197)</f>
        <v>473909.02913609089</v>
      </c>
      <c r="E88" s="312">
        <f>10*(CDCM!$B4232*CDCM!B197+CDCM!$C4232*CDCM!C197+CDCM!$D4232*CDCM!D197)</f>
        <v>473909.02913609089</v>
      </c>
      <c r="F88" s="312">
        <f>CDCM!E4232*CDCM!$F$14*CDCM!$E197/100</f>
        <v>0</v>
      </c>
      <c r="G88" s="312">
        <f>CDCM!F4232*CDCM!$F$14*CDCM!$F197/100</f>
        <v>0</v>
      </c>
      <c r="H88" s="312">
        <f>CDCM!G4232*CDCM!$G197*10</f>
        <v>0</v>
      </c>
      <c r="I88" s="306">
        <f>IF(B88&lt;&gt;0,0.1*D88/B88,"")</f>
        <v>2.9350000000000001</v>
      </c>
      <c r="J88" s="316">
        <f>IF(C88&lt;&gt;0,D88/C88,"")</f>
        <v>692.95332311021764</v>
      </c>
      <c r="K88" s="306">
        <f>IF(B88&lt;&gt;0,0.1*E88/B88,0)</f>
        <v>2.9350000000000001</v>
      </c>
      <c r="L88" s="312">
        <f>CDCM!B4232*CDCM!$B197*10</f>
        <v>473909.02913609089</v>
      </c>
      <c r="M88" s="312">
        <f>CDCM!C4232*CDCM!$C197*10</f>
        <v>0</v>
      </c>
      <c r="N88" s="312">
        <f>CDCM!D4232*CDCM!$D197*10</f>
        <v>0</v>
      </c>
      <c r="O88" s="308">
        <f>IF(E88&lt;&gt;0,$L88/E88,"")</f>
        <v>1</v>
      </c>
      <c r="P88" s="308">
        <f>IF(E88&lt;&gt;0,$M88/E88,"")</f>
        <v>0</v>
      </c>
      <c r="Q88" s="308">
        <f>IF(E88&lt;&gt;0,$N88/E88,"")</f>
        <v>0</v>
      </c>
      <c r="R88" s="308">
        <f>IF(D88&lt;&gt;0,$F88/D88,"")</f>
        <v>0</v>
      </c>
      <c r="S88" s="308">
        <f>IF(D88&lt;&gt;0,$G88/D88,"")</f>
        <v>0</v>
      </c>
      <c r="T88" s="308">
        <f>IF(D88&lt;&gt;0,$H88/D88,"")</f>
        <v>0</v>
      </c>
      <c r="U88" s="291"/>
    </row>
    <row r="89" spans="1:21">
      <c r="A89" s="289" t="s">
        <v>180</v>
      </c>
      <c r="B89" s="312">
        <f>CDCM!B198+CDCM!C198+CDCM!D198</f>
        <v>177.96348496274157</v>
      </c>
      <c r="C89" s="314">
        <f>CDCM!E198</f>
        <v>0</v>
      </c>
      <c r="D89" s="312">
        <f>0.01*CDCM!F$14*(CDCM!$E4233*CDCM!E198+CDCM!$F4233*CDCM!F198)+10*(CDCM!$B4233*CDCM!B198+CDCM!$C4233*CDCM!C198+CDCM!$D4233*CDCM!D198+CDCM!$G4233*CDCM!G198)</f>
        <v>3496.982479517872</v>
      </c>
      <c r="E89" s="312">
        <f>10*(CDCM!$B4233*CDCM!B198+CDCM!$C4233*CDCM!C198+CDCM!$D4233*CDCM!D198)</f>
        <v>3496.982479517872</v>
      </c>
      <c r="F89" s="312">
        <f>CDCM!E4233*CDCM!$F$14*CDCM!$E198/100</f>
        <v>0</v>
      </c>
      <c r="G89" s="312">
        <f>CDCM!F4233*CDCM!$F$14*CDCM!$F198/100</f>
        <v>0</v>
      </c>
      <c r="H89" s="312">
        <f>CDCM!G4233*CDCM!$G198*10</f>
        <v>0</v>
      </c>
      <c r="I89" s="306">
        <f>IF(B89&lt;&gt;0,0.1*D89/B89,"")</f>
        <v>1.9650000000000001</v>
      </c>
      <c r="J89" s="316" t="str">
        <f>IF(C89&lt;&gt;0,D89/C89,"")</f>
        <v/>
      </c>
      <c r="K89" s="306">
        <f>IF(B89&lt;&gt;0,0.1*E89/B89,0)</f>
        <v>1.9650000000000001</v>
      </c>
      <c r="L89" s="312">
        <f>CDCM!B4233*CDCM!$B198*10</f>
        <v>3496.982479517872</v>
      </c>
      <c r="M89" s="312">
        <f>CDCM!C4233*CDCM!$C198*10</f>
        <v>0</v>
      </c>
      <c r="N89" s="312">
        <f>CDCM!D4233*CDCM!$D198*10</f>
        <v>0</v>
      </c>
      <c r="O89" s="308">
        <f>IF(E89&lt;&gt;0,$L89/E89,"")</f>
        <v>1</v>
      </c>
      <c r="P89" s="308">
        <f>IF(E89&lt;&gt;0,$M89/E89,"")</f>
        <v>0</v>
      </c>
      <c r="Q89" s="308">
        <f>IF(E89&lt;&gt;0,$N89/E89,"")</f>
        <v>0</v>
      </c>
      <c r="R89" s="308">
        <f>IF(D89&lt;&gt;0,$F89/D89,"")</f>
        <v>0</v>
      </c>
      <c r="S89" s="308">
        <f>IF(D89&lt;&gt;0,$G89/D89,"")</f>
        <v>0</v>
      </c>
      <c r="T89" s="308">
        <f>IF(D89&lt;&gt;0,$H89/D89,"")</f>
        <v>0</v>
      </c>
      <c r="U89" s="291"/>
    </row>
    <row r="90" spans="1:21">
      <c r="A90" s="289" t="s">
        <v>181</v>
      </c>
      <c r="B90" s="312">
        <f>CDCM!B199+CDCM!C199+CDCM!D199</f>
        <v>573.70856302427069</v>
      </c>
      <c r="C90" s="314">
        <f>CDCM!E199</f>
        <v>0</v>
      </c>
      <c r="D90" s="312">
        <f>0.01*CDCM!F$14*(CDCM!$E4234*CDCM!E199+CDCM!$F4234*CDCM!F199)+10*(CDCM!$B4234*CDCM!B199+CDCM!$C4234*CDCM!C199+CDCM!$D4234*CDCM!D199+CDCM!$G4234*CDCM!G199)</f>
        <v>8181.0841087260997</v>
      </c>
      <c r="E90" s="312">
        <f>10*(CDCM!$B4234*CDCM!B199+CDCM!$C4234*CDCM!C199+CDCM!$D4234*CDCM!D199)</f>
        <v>8181.0841087260997</v>
      </c>
      <c r="F90" s="312">
        <f>CDCM!E4234*CDCM!$F$14*CDCM!$E199/100</f>
        <v>0</v>
      </c>
      <c r="G90" s="312">
        <f>CDCM!F4234*CDCM!$F$14*CDCM!$F199/100</f>
        <v>0</v>
      </c>
      <c r="H90" s="312">
        <f>CDCM!G4234*CDCM!$G199*10</f>
        <v>0</v>
      </c>
      <c r="I90" s="306">
        <f>IF(B90&lt;&gt;0,0.1*D90/B90,"")</f>
        <v>1.4259999999999999</v>
      </c>
      <c r="J90" s="316" t="str">
        <f>IF(C90&lt;&gt;0,D90/C90,"")</f>
        <v/>
      </c>
      <c r="K90" s="306">
        <f>IF(B90&lt;&gt;0,0.1*E90/B90,0)</f>
        <v>1.4259999999999999</v>
      </c>
      <c r="L90" s="312">
        <f>CDCM!B4234*CDCM!$B199*10</f>
        <v>8181.0841087260997</v>
      </c>
      <c r="M90" s="312">
        <f>CDCM!C4234*CDCM!$C199*10</f>
        <v>0</v>
      </c>
      <c r="N90" s="312">
        <f>CDCM!D4234*CDCM!$D199*10</f>
        <v>0</v>
      </c>
      <c r="O90" s="308">
        <f>IF(E90&lt;&gt;0,$L90/E90,"")</f>
        <v>1</v>
      </c>
      <c r="P90" s="308">
        <f>IF(E90&lt;&gt;0,$M90/E90,"")</f>
        <v>0</v>
      </c>
      <c r="Q90" s="308">
        <f>IF(E90&lt;&gt;0,$N90/E90,"")</f>
        <v>0</v>
      </c>
      <c r="R90" s="308">
        <f>IF(D90&lt;&gt;0,$F90/D90,"")</f>
        <v>0</v>
      </c>
      <c r="S90" s="308">
        <f>IF(D90&lt;&gt;0,$G90/D90,"")</f>
        <v>0</v>
      </c>
      <c r="T90" s="308">
        <f>IF(D90&lt;&gt;0,$H90/D90,"")</f>
        <v>0</v>
      </c>
      <c r="U90" s="291"/>
    </row>
    <row r="91" spans="1:21">
      <c r="A91" s="297" t="s">
        <v>182</v>
      </c>
      <c r="U91" s="291"/>
    </row>
    <row r="92" spans="1:21">
      <c r="A92" s="289" t="s">
        <v>133</v>
      </c>
      <c r="B92" s="312">
        <f>CDCM!B201+CDCM!C201+CDCM!D201</f>
        <v>770.36280056434089</v>
      </c>
      <c r="C92" s="314">
        <f>CDCM!E201</f>
        <v>140.83222112491973</v>
      </c>
      <c r="D92" s="312">
        <f>0.01*CDCM!F$14*(CDCM!$E4236*CDCM!E201+CDCM!$F4236*CDCM!F201)+10*(CDCM!$B4236*CDCM!B201+CDCM!$C4236*CDCM!C201+CDCM!$D4236*CDCM!D201+CDCM!$G4236*CDCM!G201)</f>
        <v>36361.124186636887</v>
      </c>
      <c r="E92" s="312">
        <f>10*(CDCM!$B4236*CDCM!B201+CDCM!$C4236*CDCM!C201+CDCM!$D4236*CDCM!D201)</f>
        <v>36361.124186636887</v>
      </c>
      <c r="F92" s="312">
        <f>CDCM!E4236*CDCM!$F$14*CDCM!$E201/100</f>
        <v>0</v>
      </c>
      <c r="G92" s="312">
        <f>CDCM!F4236*CDCM!$F$14*CDCM!$F201/100</f>
        <v>0</v>
      </c>
      <c r="H92" s="312">
        <f>CDCM!G4236*CDCM!$G201*10</f>
        <v>0</v>
      </c>
      <c r="I92" s="306">
        <f>IF(B92&lt;&gt;0,0.1*D92/B92,"")</f>
        <v>4.72</v>
      </c>
      <c r="J92" s="316">
        <f>IF(C92&lt;&gt;0,D92/C92,"")</f>
        <v>258.18753617742186</v>
      </c>
      <c r="K92" s="306">
        <f>IF(B92&lt;&gt;0,0.1*E92/B92,0)</f>
        <v>4.72</v>
      </c>
      <c r="L92" s="312">
        <f>CDCM!B4236*CDCM!$B201*10</f>
        <v>36361.124186636887</v>
      </c>
      <c r="M92" s="312">
        <f>CDCM!C4236*CDCM!$C201*10</f>
        <v>0</v>
      </c>
      <c r="N92" s="312">
        <f>CDCM!D4236*CDCM!$D201*10</f>
        <v>0</v>
      </c>
      <c r="O92" s="308">
        <f>IF(E92&lt;&gt;0,$L92/E92,"")</f>
        <v>1</v>
      </c>
      <c r="P92" s="308">
        <f>IF(E92&lt;&gt;0,$M92/E92,"")</f>
        <v>0</v>
      </c>
      <c r="Q92" s="308">
        <f>IF(E92&lt;&gt;0,$N92/E92,"")</f>
        <v>0</v>
      </c>
      <c r="R92" s="308">
        <f>IF(D92&lt;&gt;0,$F92/D92,"")</f>
        <v>0</v>
      </c>
      <c r="S92" s="308">
        <f>IF(D92&lt;&gt;0,$G92/D92,"")</f>
        <v>0</v>
      </c>
      <c r="T92" s="308">
        <f>IF(D92&lt;&gt;0,$H92/D92,"")</f>
        <v>0</v>
      </c>
      <c r="U92" s="291"/>
    </row>
    <row r="93" spans="1:21">
      <c r="A93" s="289" t="s">
        <v>183</v>
      </c>
      <c r="B93" s="312">
        <f>CDCM!B202+CDCM!C202+CDCM!D202</f>
        <v>0</v>
      </c>
      <c r="C93" s="314">
        <f>CDCM!E202</f>
        <v>0</v>
      </c>
      <c r="D93" s="312">
        <f>0.01*CDCM!F$14*(CDCM!$E4237*CDCM!E202+CDCM!$F4237*CDCM!F202)+10*(CDCM!$B4237*CDCM!B202+CDCM!$C4237*CDCM!C202+CDCM!$D4237*CDCM!D202+CDCM!$G4237*CDCM!G202)</f>
        <v>0</v>
      </c>
      <c r="E93" s="312">
        <f>10*(CDCM!$B4237*CDCM!B202+CDCM!$C4237*CDCM!C202+CDCM!$D4237*CDCM!D202)</f>
        <v>0</v>
      </c>
      <c r="F93" s="312">
        <f>CDCM!E4237*CDCM!$F$14*CDCM!$E202/100</f>
        <v>0</v>
      </c>
      <c r="G93" s="312">
        <f>CDCM!F4237*CDCM!$F$14*CDCM!$F202/100</f>
        <v>0</v>
      </c>
      <c r="H93" s="312">
        <f>CDCM!G4237*CDCM!$G202*10</f>
        <v>0</v>
      </c>
      <c r="I93" s="306" t="str">
        <f>IF(B93&lt;&gt;0,0.1*D93/B93,"")</f>
        <v/>
      </c>
      <c r="J93" s="316" t="str">
        <f>IF(C93&lt;&gt;0,D93/C93,"")</f>
        <v/>
      </c>
      <c r="K93" s="306">
        <f>IF(B93&lt;&gt;0,0.1*E93/B93,0)</f>
        <v>0</v>
      </c>
      <c r="L93" s="312">
        <f>CDCM!B4237*CDCM!$B202*10</f>
        <v>0</v>
      </c>
      <c r="M93" s="312">
        <f>CDCM!C4237*CDCM!$C202*10</f>
        <v>0</v>
      </c>
      <c r="N93" s="312">
        <f>CDCM!D4237*CDCM!$D202*10</f>
        <v>0</v>
      </c>
      <c r="O93" s="308" t="str">
        <f>IF(E93&lt;&gt;0,$L93/E93,"")</f>
        <v/>
      </c>
      <c r="P93" s="308" t="str">
        <f>IF(E93&lt;&gt;0,$M93/E93,"")</f>
        <v/>
      </c>
      <c r="Q93" s="308" t="str">
        <f>IF(E93&lt;&gt;0,$N93/E93,"")</f>
        <v/>
      </c>
      <c r="R93" s="308" t="str">
        <f>IF(D93&lt;&gt;0,$F93/D93,"")</f>
        <v/>
      </c>
      <c r="S93" s="308" t="str">
        <f>IF(D93&lt;&gt;0,$G93/D93,"")</f>
        <v/>
      </c>
      <c r="T93" s="308" t="str">
        <f>IF(D93&lt;&gt;0,$H93/D93,"")</f>
        <v/>
      </c>
      <c r="U93" s="291"/>
    </row>
    <row r="94" spans="1:21">
      <c r="A94" s="289" t="s">
        <v>184</v>
      </c>
      <c r="B94" s="312">
        <f>CDCM!B203+CDCM!C203+CDCM!D203</f>
        <v>28.81289678085793</v>
      </c>
      <c r="C94" s="314">
        <f>CDCM!E203</f>
        <v>0</v>
      </c>
      <c r="D94" s="312">
        <f>0.01*CDCM!F$14*(CDCM!$E4238*CDCM!E203+CDCM!$F4238*CDCM!F203)+10*(CDCM!$B4238*CDCM!B203+CDCM!$C4238*CDCM!C203+CDCM!$D4238*CDCM!D203+CDCM!$G4238*CDCM!G203)</f>
        <v>660.67972318507236</v>
      </c>
      <c r="E94" s="312">
        <f>10*(CDCM!$B4238*CDCM!B203+CDCM!$C4238*CDCM!C203+CDCM!$D4238*CDCM!D203)</f>
        <v>660.67972318507236</v>
      </c>
      <c r="F94" s="312">
        <f>CDCM!E4238*CDCM!$F$14*CDCM!$E203/100</f>
        <v>0</v>
      </c>
      <c r="G94" s="312">
        <f>CDCM!F4238*CDCM!$F$14*CDCM!$F203/100</f>
        <v>0</v>
      </c>
      <c r="H94" s="312">
        <f>CDCM!G4238*CDCM!$G203*10</f>
        <v>0</v>
      </c>
      <c r="I94" s="306">
        <f>IF(B94&lt;&gt;0,0.1*D94/B94,"")</f>
        <v>2.2930000000000006</v>
      </c>
      <c r="J94" s="316" t="str">
        <f>IF(C94&lt;&gt;0,D94/C94,"")</f>
        <v/>
      </c>
      <c r="K94" s="306">
        <f>IF(B94&lt;&gt;0,0.1*E94/B94,0)</f>
        <v>2.2930000000000006</v>
      </c>
      <c r="L94" s="312">
        <f>CDCM!B4238*CDCM!$B203*10</f>
        <v>660.67972318507236</v>
      </c>
      <c r="M94" s="312">
        <f>CDCM!C4238*CDCM!$C203*10</f>
        <v>0</v>
      </c>
      <c r="N94" s="312">
        <f>CDCM!D4238*CDCM!$D203*10</f>
        <v>0</v>
      </c>
      <c r="O94" s="308">
        <f>IF(E94&lt;&gt;0,$L94/E94,"")</f>
        <v>1</v>
      </c>
      <c r="P94" s="308">
        <f>IF(E94&lt;&gt;0,$M94/E94,"")</f>
        <v>0</v>
      </c>
      <c r="Q94" s="308">
        <f>IF(E94&lt;&gt;0,$N94/E94,"")</f>
        <v>0</v>
      </c>
      <c r="R94" s="308">
        <f>IF(D94&lt;&gt;0,$F94/D94,"")</f>
        <v>0</v>
      </c>
      <c r="S94" s="308">
        <f>IF(D94&lt;&gt;0,$G94/D94,"")</f>
        <v>0</v>
      </c>
      <c r="T94" s="308">
        <f>IF(D94&lt;&gt;0,$H94/D94,"")</f>
        <v>0</v>
      </c>
      <c r="U94" s="291"/>
    </row>
    <row r="95" spans="1:21">
      <c r="A95" s="297" t="s">
        <v>185</v>
      </c>
      <c r="U95" s="291"/>
    </row>
    <row r="96" spans="1:21">
      <c r="A96" s="289" t="s">
        <v>134</v>
      </c>
      <c r="B96" s="312">
        <f>CDCM!B205+CDCM!C205+CDCM!D205</f>
        <v>4817.2532716792102</v>
      </c>
      <c r="C96" s="314">
        <f>CDCM!E205</f>
        <v>40.527257877674742</v>
      </c>
      <c r="D96" s="312">
        <f>0.01*CDCM!F$14*(CDCM!$E4240*CDCM!E205+CDCM!$F4240*CDCM!F205)+10*(CDCM!$B4240*CDCM!B205+CDCM!$C4240*CDCM!C205+CDCM!$D4240*CDCM!D205+CDCM!$G4240*CDCM!G205)</f>
        <v>78954.781122822256</v>
      </c>
      <c r="E96" s="312">
        <f>10*(CDCM!$B4240*CDCM!B205+CDCM!$C4240*CDCM!C205+CDCM!$D4240*CDCM!D205)</f>
        <v>78954.781122822256</v>
      </c>
      <c r="F96" s="312">
        <f>CDCM!E4240*CDCM!$F$14*CDCM!$E205/100</f>
        <v>0</v>
      </c>
      <c r="G96" s="312">
        <f>CDCM!F4240*CDCM!$F$14*CDCM!$F205/100</f>
        <v>0</v>
      </c>
      <c r="H96" s="312">
        <f>CDCM!G4240*CDCM!$G205*10</f>
        <v>0</v>
      </c>
      <c r="I96" s="306">
        <f>IF(B96&lt;&gt;0,0.1*D96/B96,"")</f>
        <v>1.639</v>
      </c>
      <c r="J96" s="316">
        <f>IF(C96&lt;&gt;0,D96/C96,"")</f>
        <v>1948.1895706128219</v>
      </c>
      <c r="K96" s="306">
        <f>IF(B96&lt;&gt;0,0.1*E96/B96,0)</f>
        <v>1.639</v>
      </c>
      <c r="L96" s="312">
        <f>CDCM!B4240*CDCM!$B205*10</f>
        <v>78954.781122822256</v>
      </c>
      <c r="M96" s="312">
        <f>CDCM!C4240*CDCM!$C205*10</f>
        <v>0</v>
      </c>
      <c r="N96" s="312">
        <f>CDCM!D4240*CDCM!$D205*10</f>
        <v>0</v>
      </c>
      <c r="O96" s="308">
        <f>IF(E96&lt;&gt;0,$L96/E96,"")</f>
        <v>1</v>
      </c>
      <c r="P96" s="308">
        <f>IF(E96&lt;&gt;0,$M96/E96,"")</f>
        <v>0</v>
      </c>
      <c r="Q96" s="308">
        <f>IF(E96&lt;&gt;0,$N96/E96,"")</f>
        <v>0</v>
      </c>
      <c r="R96" s="308">
        <f>IF(D96&lt;&gt;0,$F96/D96,"")</f>
        <v>0</v>
      </c>
      <c r="S96" s="308">
        <f>IF(D96&lt;&gt;0,$G96/D96,"")</f>
        <v>0</v>
      </c>
      <c r="T96" s="308">
        <f>IF(D96&lt;&gt;0,$H96/D96,"")</f>
        <v>0</v>
      </c>
      <c r="U96" s="291"/>
    </row>
    <row r="97" spans="1:21">
      <c r="A97" s="289" t="s">
        <v>186</v>
      </c>
      <c r="B97" s="312">
        <f>CDCM!B206+CDCM!C206+CDCM!D206</f>
        <v>0</v>
      </c>
      <c r="C97" s="314">
        <f>CDCM!E206</f>
        <v>0</v>
      </c>
      <c r="D97" s="312">
        <f>0.01*CDCM!F$14*(CDCM!$E4241*CDCM!E206+CDCM!$F4241*CDCM!F206)+10*(CDCM!$B4241*CDCM!B206+CDCM!$C4241*CDCM!C206+CDCM!$D4241*CDCM!D206+CDCM!$G4241*CDCM!G206)</f>
        <v>0</v>
      </c>
      <c r="E97" s="312">
        <f>10*(CDCM!$B4241*CDCM!B206+CDCM!$C4241*CDCM!C206+CDCM!$D4241*CDCM!D206)</f>
        <v>0</v>
      </c>
      <c r="F97" s="312">
        <f>CDCM!E4241*CDCM!$F$14*CDCM!$E206/100</f>
        <v>0</v>
      </c>
      <c r="G97" s="312">
        <f>CDCM!F4241*CDCM!$F$14*CDCM!$F206/100</f>
        <v>0</v>
      </c>
      <c r="H97" s="312">
        <f>CDCM!G4241*CDCM!$G206*10</f>
        <v>0</v>
      </c>
      <c r="I97" s="306" t="str">
        <f>IF(B97&lt;&gt;0,0.1*D97/B97,"")</f>
        <v/>
      </c>
      <c r="J97" s="316" t="str">
        <f>IF(C97&lt;&gt;0,D97/C97,"")</f>
        <v/>
      </c>
      <c r="K97" s="306">
        <f>IF(B97&lt;&gt;0,0.1*E97/B97,0)</f>
        <v>0</v>
      </c>
      <c r="L97" s="312">
        <f>CDCM!B4241*CDCM!$B206*10</f>
        <v>0</v>
      </c>
      <c r="M97" s="312">
        <f>CDCM!C4241*CDCM!$C206*10</f>
        <v>0</v>
      </c>
      <c r="N97" s="312">
        <f>CDCM!D4241*CDCM!$D206*10</f>
        <v>0</v>
      </c>
      <c r="O97" s="308" t="str">
        <f>IF(E97&lt;&gt;0,$L97/E97,"")</f>
        <v/>
      </c>
      <c r="P97" s="308" t="str">
        <f>IF(E97&lt;&gt;0,$M97/E97,"")</f>
        <v/>
      </c>
      <c r="Q97" s="308" t="str">
        <f>IF(E97&lt;&gt;0,$N97/E97,"")</f>
        <v/>
      </c>
      <c r="R97" s="308" t="str">
        <f>IF(D97&lt;&gt;0,$F97/D97,"")</f>
        <v/>
      </c>
      <c r="S97" s="308" t="str">
        <f>IF(D97&lt;&gt;0,$G97/D97,"")</f>
        <v/>
      </c>
      <c r="T97" s="308" t="str">
        <f>IF(D97&lt;&gt;0,$H97/D97,"")</f>
        <v/>
      </c>
      <c r="U97" s="291"/>
    </row>
    <row r="98" spans="1:21">
      <c r="A98" s="289" t="s">
        <v>187</v>
      </c>
      <c r="B98" s="312">
        <f>CDCM!B207+CDCM!C207+CDCM!D207</f>
        <v>0</v>
      </c>
      <c r="C98" s="314">
        <f>CDCM!E207</f>
        <v>0</v>
      </c>
      <c r="D98" s="312">
        <f>0.01*CDCM!F$14*(CDCM!$E4242*CDCM!E207+CDCM!$F4242*CDCM!F207)+10*(CDCM!$B4242*CDCM!B207+CDCM!$C4242*CDCM!C207+CDCM!$D4242*CDCM!D207+CDCM!$G4242*CDCM!G207)</f>
        <v>0</v>
      </c>
      <c r="E98" s="312">
        <f>10*(CDCM!$B4242*CDCM!B207+CDCM!$C4242*CDCM!C207+CDCM!$D4242*CDCM!D207)</f>
        <v>0</v>
      </c>
      <c r="F98" s="312">
        <f>CDCM!E4242*CDCM!$F$14*CDCM!$E207/100</f>
        <v>0</v>
      </c>
      <c r="G98" s="312">
        <f>CDCM!F4242*CDCM!$F$14*CDCM!$F207/100</f>
        <v>0</v>
      </c>
      <c r="H98" s="312">
        <f>CDCM!G4242*CDCM!$G207*10</f>
        <v>0</v>
      </c>
      <c r="I98" s="306" t="str">
        <f>IF(B98&lt;&gt;0,0.1*D98/B98,"")</f>
        <v/>
      </c>
      <c r="J98" s="316" t="str">
        <f>IF(C98&lt;&gt;0,D98/C98,"")</f>
        <v/>
      </c>
      <c r="K98" s="306">
        <f>IF(B98&lt;&gt;0,0.1*E98/B98,0)</f>
        <v>0</v>
      </c>
      <c r="L98" s="312">
        <f>CDCM!B4242*CDCM!$B207*10</f>
        <v>0</v>
      </c>
      <c r="M98" s="312">
        <f>CDCM!C4242*CDCM!$C207*10</f>
        <v>0</v>
      </c>
      <c r="N98" s="312">
        <f>CDCM!D4242*CDCM!$D207*10</f>
        <v>0</v>
      </c>
      <c r="O98" s="308" t="str">
        <f>IF(E98&lt;&gt;0,$L98/E98,"")</f>
        <v/>
      </c>
      <c r="P98" s="308" t="str">
        <f>IF(E98&lt;&gt;0,$M98/E98,"")</f>
        <v/>
      </c>
      <c r="Q98" s="308" t="str">
        <f>IF(E98&lt;&gt;0,$N98/E98,"")</f>
        <v/>
      </c>
      <c r="R98" s="308" t="str">
        <f>IF(D98&lt;&gt;0,$F98/D98,"")</f>
        <v/>
      </c>
      <c r="S98" s="308" t="str">
        <f>IF(D98&lt;&gt;0,$G98/D98,"")</f>
        <v/>
      </c>
      <c r="T98" s="308" t="str">
        <f>IF(D98&lt;&gt;0,$H98/D98,"")</f>
        <v/>
      </c>
      <c r="U98" s="291"/>
    </row>
    <row r="99" spans="1:21">
      <c r="A99" s="297" t="s">
        <v>188</v>
      </c>
      <c r="U99" s="291"/>
    </row>
    <row r="100" spans="1:21">
      <c r="A100" s="289" t="s">
        <v>135</v>
      </c>
      <c r="B100" s="312">
        <f>CDCM!B209+CDCM!C209+CDCM!D209</f>
        <v>248832.47561034112</v>
      </c>
      <c r="C100" s="314">
        <f>CDCM!E209</f>
        <v>20.263628938837371</v>
      </c>
      <c r="D100" s="312">
        <f>0.01*CDCM!F$14*(CDCM!$E4244*CDCM!E209+CDCM!$F4244*CDCM!F209)+10*(CDCM!$B4244*CDCM!B209+CDCM!$C4244*CDCM!C209+CDCM!$D4244*CDCM!D209+CDCM!$G4244*CDCM!G209)</f>
        <v>7576908.4635667428</v>
      </c>
      <c r="E100" s="312">
        <f>10*(CDCM!$B4244*CDCM!B209+CDCM!$C4244*CDCM!C209+CDCM!$D4244*CDCM!D209)</f>
        <v>7576908.4635667428</v>
      </c>
      <c r="F100" s="312">
        <f>CDCM!E4244*CDCM!$F$14*CDCM!$E209/100</f>
        <v>0</v>
      </c>
      <c r="G100" s="312">
        <f>CDCM!F4244*CDCM!$F$14*CDCM!$F209/100</f>
        <v>0</v>
      </c>
      <c r="H100" s="312">
        <f>CDCM!G4244*CDCM!$G209*10</f>
        <v>0</v>
      </c>
      <c r="I100" s="306">
        <f>IF(B100&lt;&gt;0,0.1*D100/B100,"")</f>
        <v>3.0449837566346414</v>
      </c>
      <c r="J100" s="316">
        <f>IF(C100&lt;&gt;0,D100/C100,"")</f>
        <v>373916.66055653058</v>
      </c>
      <c r="K100" s="306">
        <f>IF(B100&lt;&gt;0,0.1*E100/B100,0)</f>
        <v>3.0449837566346414</v>
      </c>
      <c r="L100" s="312">
        <f>CDCM!B4244*CDCM!$B209*10</f>
        <v>5554202.8269673958</v>
      </c>
      <c r="M100" s="312">
        <f>CDCM!C4244*CDCM!$C209*10</f>
        <v>441737.08038515307</v>
      </c>
      <c r="N100" s="312">
        <f>CDCM!D4244*CDCM!$D209*10</f>
        <v>1580968.5562141947</v>
      </c>
      <c r="O100" s="308">
        <f>IF(E100&lt;&gt;0,$L100/E100,"")</f>
        <v>0.73304341126391526</v>
      </c>
      <c r="P100" s="308">
        <f>IF(E100&lt;&gt;0,$M100/E100,"")</f>
        <v>5.8300437772110872E-2</v>
      </c>
      <c r="Q100" s="308">
        <f>IF(E100&lt;&gt;0,$N100/E100,"")</f>
        <v>0.20865615096397402</v>
      </c>
      <c r="R100" s="308">
        <f>IF(D100&lt;&gt;0,$F100/D100,"")</f>
        <v>0</v>
      </c>
      <c r="S100" s="308">
        <f>IF(D100&lt;&gt;0,$G100/D100,"")</f>
        <v>0</v>
      </c>
      <c r="T100" s="308">
        <f>IF(D100&lt;&gt;0,$H100/D100,"")</f>
        <v>0</v>
      </c>
      <c r="U100" s="291"/>
    </row>
    <row r="101" spans="1:21">
      <c r="A101" s="289" t="s">
        <v>189</v>
      </c>
      <c r="B101" s="312">
        <f>CDCM!B210+CDCM!C210+CDCM!D210</f>
        <v>0</v>
      </c>
      <c r="C101" s="314">
        <f>CDCM!E210</f>
        <v>0</v>
      </c>
      <c r="D101" s="312">
        <f>0.01*CDCM!F$14*(CDCM!$E4245*CDCM!E210+CDCM!$F4245*CDCM!F210)+10*(CDCM!$B4245*CDCM!B210+CDCM!$C4245*CDCM!C210+CDCM!$D4245*CDCM!D210+CDCM!$G4245*CDCM!G210)</f>
        <v>0</v>
      </c>
      <c r="E101" s="312">
        <f>10*(CDCM!$B4245*CDCM!B210+CDCM!$C4245*CDCM!C210+CDCM!$D4245*CDCM!D210)</f>
        <v>0</v>
      </c>
      <c r="F101" s="312">
        <f>CDCM!E4245*CDCM!$F$14*CDCM!$E210/100</f>
        <v>0</v>
      </c>
      <c r="G101" s="312">
        <f>CDCM!F4245*CDCM!$F$14*CDCM!$F210/100</f>
        <v>0</v>
      </c>
      <c r="H101" s="312">
        <f>CDCM!G4245*CDCM!$G210*10</f>
        <v>0</v>
      </c>
      <c r="I101" s="306" t="str">
        <f>IF(B101&lt;&gt;0,0.1*D101/B101,"")</f>
        <v/>
      </c>
      <c r="J101" s="316" t="str">
        <f>IF(C101&lt;&gt;0,D101/C101,"")</f>
        <v/>
      </c>
      <c r="K101" s="306">
        <f>IF(B101&lt;&gt;0,0.1*E101/B101,0)</f>
        <v>0</v>
      </c>
      <c r="L101" s="312">
        <f>CDCM!B4245*CDCM!$B210*10</f>
        <v>0</v>
      </c>
      <c r="M101" s="312">
        <f>CDCM!C4245*CDCM!$C210*10</f>
        <v>0</v>
      </c>
      <c r="N101" s="312">
        <f>CDCM!D4245*CDCM!$D210*10</f>
        <v>0</v>
      </c>
      <c r="O101" s="308" t="str">
        <f>IF(E101&lt;&gt;0,$L101/E101,"")</f>
        <v/>
      </c>
      <c r="P101" s="308" t="str">
        <f>IF(E101&lt;&gt;0,$M101/E101,"")</f>
        <v/>
      </c>
      <c r="Q101" s="308" t="str">
        <f>IF(E101&lt;&gt;0,$N101/E101,"")</f>
        <v/>
      </c>
      <c r="R101" s="308" t="str">
        <f>IF(D101&lt;&gt;0,$F101/D101,"")</f>
        <v/>
      </c>
      <c r="S101" s="308" t="str">
        <f>IF(D101&lt;&gt;0,$G101/D101,"")</f>
        <v/>
      </c>
      <c r="T101" s="308" t="str">
        <f>IF(D101&lt;&gt;0,$H101/D101,"")</f>
        <v/>
      </c>
      <c r="U101" s="291"/>
    </row>
    <row r="102" spans="1:21">
      <c r="A102" s="289" t="s">
        <v>190</v>
      </c>
      <c r="B102" s="312">
        <f>CDCM!B211+CDCM!C211+CDCM!D211</f>
        <v>0</v>
      </c>
      <c r="C102" s="314">
        <f>CDCM!E211</f>
        <v>0</v>
      </c>
      <c r="D102" s="312">
        <f>0.01*CDCM!F$14*(CDCM!$E4246*CDCM!E211+CDCM!$F4246*CDCM!F211)+10*(CDCM!$B4246*CDCM!B211+CDCM!$C4246*CDCM!C211+CDCM!$D4246*CDCM!D211+CDCM!$G4246*CDCM!G211)</f>
        <v>0</v>
      </c>
      <c r="E102" s="312">
        <f>10*(CDCM!$B4246*CDCM!B211+CDCM!$C4246*CDCM!C211+CDCM!$D4246*CDCM!D211)</f>
        <v>0</v>
      </c>
      <c r="F102" s="312">
        <f>CDCM!E4246*CDCM!$F$14*CDCM!$E211/100</f>
        <v>0</v>
      </c>
      <c r="G102" s="312">
        <f>CDCM!F4246*CDCM!$F$14*CDCM!$F211/100</f>
        <v>0</v>
      </c>
      <c r="H102" s="312">
        <f>CDCM!G4246*CDCM!$G211*10</f>
        <v>0</v>
      </c>
      <c r="I102" s="306" t="str">
        <f>IF(B102&lt;&gt;0,0.1*D102/B102,"")</f>
        <v/>
      </c>
      <c r="J102" s="316" t="str">
        <f>IF(C102&lt;&gt;0,D102/C102,"")</f>
        <v/>
      </c>
      <c r="K102" s="306">
        <f>IF(B102&lt;&gt;0,0.1*E102/B102,0)</f>
        <v>0</v>
      </c>
      <c r="L102" s="312">
        <f>CDCM!B4246*CDCM!$B211*10</f>
        <v>0</v>
      </c>
      <c r="M102" s="312">
        <f>CDCM!C4246*CDCM!$C211*10</f>
        <v>0</v>
      </c>
      <c r="N102" s="312">
        <f>CDCM!D4246*CDCM!$D211*10</f>
        <v>0</v>
      </c>
      <c r="O102" s="308" t="str">
        <f>IF(E102&lt;&gt;0,$L102/E102,"")</f>
        <v/>
      </c>
      <c r="P102" s="308" t="str">
        <f>IF(E102&lt;&gt;0,$M102/E102,"")</f>
        <v/>
      </c>
      <c r="Q102" s="308" t="str">
        <f>IF(E102&lt;&gt;0,$N102/E102,"")</f>
        <v/>
      </c>
      <c r="R102" s="308" t="str">
        <f>IF(D102&lt;&gt;0,$F102/D102,"")</f>
        <v/>
      </c>
      <c r="S102" s="308" t="str">
        <f>IF(D102&lt;&gt;0,$G102/D102,"")</f>
        <v/>
      </c>
      <c r="T102" s="308" t="str">
        <f>IF(D102&lt;&gt;0,$H102/D102,"")</f>
        <v/>
      </c>
      <c r="U102" s="291"/>
    </row>
    <row r="103" spans="1:21">
      <c r="A103" s="297" t="s">
        <v>1537</v>
      </c>
      <c r="U103" s="291"/>
    </row>
    <row r="104" spans="1:21">
      <c r="A104" s="289" t="s">
        <v>1534</v>
      </c>
      <c r="B104" s="312">
        <f>CDCM!B213+CDCM!C213+CDCM!D213</f>
        <v>1660.7170232592748</v>
      </c>
      <c r="C104" s="314">
        <f>CDCM!E213</f>
        <v>119.55541073914044</v>
      </c>
      <c r="D104" s="312">
        <f>0.01*CDCM!F$14*(CDCM!$E4248*CDCM!E213+CDCM!$F4248*CDCM!F213)+10*(CDCM!$B4248*CDCM!B213+CDCM!$C4248*CDCM!C213+CDCM!$D4248*CDCM!D213+CDCM!$G4248*CDCM!G213)</f>
        <v>-11060.375374906771</v>
      </c>
      <c r="E104" s="312">
        <f>10*(CDCM!$B4248*CDCM!B213+CDCM!$C4248*CDCM!C213+CDCM!$D4248*CDCM!D213)</f>
        <v>-11060.375374906771</v>
      </c>
      <c r="F104" s="312">
        <f>CDCM!E4248*CDCM!$F$14*CDCM!$E213/100</f>
        <v>0</v>
      </c>
      <c r="G104" s="312">
        <f>CDCM!F4248*CDCM!$F$14*CDCM!$F213/100</f>
        <v>0</v>
      </c>
      <c r="H104" s="312">
        <f>CDCM!G4248*CDCM!$G213*10</f>
        <v>0</v>
      </c>
      <c r="I104" s="306">
        <f>IF(B104&lt;&gt;0,0.1*D104/B104,"")</f>
        <v>-0.66600000000000004</v>
      </c>
      <c r="J104" s="316">
        <f>IF(C104&lt;&gt;0,D104/C104,"")</f>
        <v>-92.512545492730169</v>
      </c>
      <c r="K104" s="306">
        <f>IF(B104&lt;&gt;0,0.1*E104/B104,0)</f>
        <v>-0.66600000000000004</v>
      </c>
      <c r="L104" s="312">
        <f>CDCM!B4248*CDCM!$B213*10</f>
        <v>-11060.375374906771</v>
      </c>
      <c r="M104" s="312">
        <f>CDCM!C4248*CDCM!$C213*10</f>
        <v>0</v>
      </c>
      <c r="N104" s="312">
        <f>CDCM!D4248*CDCM!$D213*10</f>
        <v>0</v>
      </c>
      <c r="O104" s="308">
        <f>IF(E104&lt;&gt;0,$L104/E104,"")</f>
        <v>1</v>
      </c>
      <c r="P104" s="308">
        <f>IF(E104&lt;&gt;0,$M104/E104,"")</f>
        <v>0</v>
      </c>
      <c r="Q104" s="308">
        <f>IF(E104&lt;&gt;0,$N104/E104,"")</f>
        <v>0</v>
      </c>
      <c r="R104" s="308">
        <f>IF(D104&lt;&gt;0,$F104/D104,"")</f>
        <v>0</v>
      </c>
      <c r="S104" s="308">
        <f>IF(D104&lt;&gt;0,$G104/D104,"")</f>
        <v>0</v>
      </c>
      <c r="T104" s="308">
        <f>IF(D104&lt;&gt;0,$H104/D104,"")</f>
        <v>0</v>
      </c>
      <c r="U104" s="291"/>
    </row>
    <row r="105" spans="1:21">
      <c r="A105" s="289" t="s">
        <v>1531</v>
      </c>
      <c r="B105" s="312">
        <f>CDCM!B214+CDCM!C214+CDCM!D214</f>
        <v>0</v>
      </c>
      <c r="C105" s="314">
        <f>CDCM!E214</f>
        <v>0</v>
      </c>
      <c r="D105" s="312">
        <f>0.01*CDCM!F$14*(CDCM!$E4249*CDCM!E214+CDCM!$F4249*CDCM!F214)+10*(CDCM!$B4249*CDCM!B214+CDCM!$C4249*CDCM!C214+CDCM!$D4249*CDCM!D214+CDCM!$G4249*CDCM!G214)</f>
        <v>0</v>
      </c>
      <c r="E105" s="312">
        <f>10*(CDCM!$B4249*CDCM!B214+CDCM!$C4249*CDCM!C214+CDCM!$D4249*CDCM!D214)</f>
        <v>0</v>
      </c>
      <c r="F105" s="312">
        <f>CDCM!E4249*CDCM!$F$14*CDCM!$E214/100</f>
        <v>0</v>
      </c>
      <c r="G105" s="312">
        <f>CDCM!F4249*CDCM!$F$14*CDCM!$F214/100</f>
        <v>0</v>
      </c>
      <c r="H105" s="312">
        <f>CDCM!G4249*CDCM!$G214*10</f>
        <v>0</v>
      </c>
      <c r="I105" s="306" t="str">
        <f>IF(B105&lt;&gt;0,0.1*D105/B105,"")</f>
        <v/>
      </c>
      <c r="J105" s="316" t="str">
        <f>IF(C105&lt;&gt;0,D105/C105,"")</f>
        <v/>
      </c>
      <c r="K105" s="306">
        <f>IF(B105&lt;&gt;0,0.1*E105/B105,0)</f>
        <v>0</v>
      </c>
      <c r="L105" s="312">
        <f>CDCM!B4249*CDCM!$B214*10</f>
        <v>0</v>
      </c>
      <c r="M105" s="312">
        <f>CDCM!C4249*CDCM!$C214*10</f>
        <v>0</v>
      </c>
      <c r="N105" s="312">
        <f>CDCM!D4249*CDCM!$D214*10</f>
        <v>0</v>
      </c>
      <c r="O105" s="308" t="str">
        <f>IF(E105&lt;&gt;0,$L105/E105,"")</f>
        <v/>
      </c>
      <c r="P105" s="308" t="str">
        <f>IF(E105&lt;&gt;0,$M105/E105,"")</f>
        <v/>
      </c>
      <c r="Q105" s="308" t="str">
        <f>IF(E105&lt;&gt;0,$N105/E105,"")</f>
        <v/>
      </c>
      <c r="R105" s="308" t="str">
        <f>IF(D105&lt;&gt;0,$F105/D105,"")</f>
        <v/>
      </c>
      <c r="S105" s="308" t="str">
        <f>IF(D105&lt;&gt;0,$G105/D105,"")</f>
        <v/>
      </c>
      <c r="T105" s="308" t="str">
        <f>IF(D105&lt;&gt;0,$H105/D105,"")</f>
        <v/>
      </c>
      <c r="U105" s="291"/>
    </row>
    <row r="106" spans="1:21">
      <c r="A106" s="289" t="s">
        <v>1528</v>
      </c>
      <c r="B106" s="312">
        <f>CDCM!B215+CDCM!C215+CDCM!D215</f>
        <v>0</v>
      </c>
      <c r="C106" s="314">
        <f>CDCM!E215</f>
        <v>0</v>
      </c>
      <c r="D106" s="312">
        <f>0.01*CDCM!F$14*(CDCM!$E4250*CDCM!E215+CDCM!$F4250*CDCM!F215)+10*(CDCM!$B4250*CDCM!B215+CDCM!$C4250*CDCM!C215+CDCM!$D4250*CDCM!D215+CDCM!$G4250*CDCM!G215)</f>
        <v>0</v>
      </c>
      <c r="E106" s="312">
        <f>10*(CDCM!$B4250*CDCM!B215+CDCM!$C4250*CDCM!C215+CDCM!$D4250*CDCM!D215)</f>
        <v>0</v>
      </c>
      <c r="F106" s="312">
        <f>CDCM!E4250*CDCM!$F$14*CDCM!$E215/100</f>
        <v>0</v>
      </c>
      <c r="G106" s="312">
        <f>CDCM!F4250*CDCM!$F$14*CDCM!$F215/100</f>
        <v>0</v>
      </c>
      <c r="H106" s="312">
        <f>CDCM!G4250*CDCM!$G215*10</f>
        <v>0</v>
      </c>
      <c r="I106" s="306" t="str">
        <f>IF(B106&lt;&gt;0,0.1*D106/B106,"")</f>
        <v/>
      </c>
      <c r="J106" s="316" t="str">
        <f>IF(C106&lt;&gt;0,D106/C106,"")</f>
        <v/>
      </c>
      <c r="K106" s="306">
        <f>IF(B106&lt;&gt;0,0.1*E106/B106,0)</f>
        <v>0</v>
      </c>
      <c r="L106" s="312">
        <f>CDCM!B4250*CDCM!$B215*10</f>
        <v>0</v>
      </c>
      <c r="M106" s="312">
        <f>CDCM!C4250*CDCM!$C215*10</f>
        <v>0</v>
      </c>
      <c r="N106" s="312">
        <f>CDCM!D4250*CDCM!$D215*10</f>
        <v>0</v>
      </c>
      <c r="O106" s="308" t="str">
        <f>IF(E106&lt;&gt;0,$L106/E106,"")</f>
        <v/>
      </c>
      <c r="P106" s="308" t="str">
        <f>IF(E106&lt;&gt;0,$M106/E106,"")</f>
        <v/>
      </c>
      <c r="Q106" s="308" t="str">
        <f>IF(E106&lt;&gt;0,$N106/E106,"")</f>
        <v/>
      </c>
      <c r="R106" s="308" t="str">
        <f>IF(D106&lt;&gt;0,$F106/D106,"")</f>
        <v/>
      </c>
      <c r="S106" s="308" t="str">
        <f>IF(D106&lt;&gt;0,$G106/D106,"")</f>
        <v/>
      </c>
      <c r="T106" s="308" t="str">
        <f>IF(D106&lt;&gt;0,$H106/D106,"")</f>
        <v/>
      </c>
      <c r="U106" s="291"/>
    </row>
    <row r="107" spans="1:21">
      <c r="A107" s="297" t="s">
        <v>191</v>
      </c>
      <c r="U107" s="291"/>
    </row>
    <row r="108" spans="1:21">
      <c r="A108" s="289" t="s">
        <v>100</v>
      </c>
      <c r="B108" s="312">
        <f>CDCM!B217+CDCM!C217+CDCM!D217</f>
        <v>0</v>
      </c>
      <c r="C108" s="314">
        <f>CDCM!E217</f>
        <v>0</v>
      </c>
      <c r="D108" s="312">
        <f>0.01*CDCM!F$14*(CDCM!$E4252*CDCM!E217+CDCM!$F4252*CDCM!F217)+10*(CDCM!$B4252*CDCM!B217+CDCM!$C4252*CDCM!C217+CDCM!$D4252*CDCM!D217+CDCM!$G4252*CDCM!G217)</f>
        <v>0</v>
      </c>
      <c r="E108" s="312">
        <f>10*(CDCM!$B4252*CDCM!B217+CDCM!$C4252*CDCM!C217+CDCM!$D4252*CDCM!D217)</f>
        <v>0</v>
      </c>
      <c r="F108" s="312">
        <f>CDCM!E4252*CDCM!$F$14*CDCM!$E217/100</f>
        <v>0</v>
      </c>
      <c r="G108" s="312">
        <f>CDCM!F4252*CDCM!$F$14*CDCM!$F217/100</f>
        <v>0</v>
      </c>
      <c r="H108" s="312">
        <f>CDCM!G4252*CDCM!$G217*10</f>
        <v>0</v>
      </c>
      <c r="I108" s="306" t="str">
        <f>IF(B108&lt;&gt;0,0.1*D108/B108,"")</f>
        <v/>
      </c>
      <c r="J108" s="316" t="str">
        <f>IF(C108&lt;&gt;0,D108/C108,"")</f>
        <v/>
      </c>
      <c r="K108" s="306">
        <f>IF(B108&lt;&gt;0,0.1*E108/B108,0)</f>
        <v>0</v>
      </c>
      <c r="L108" s="312">
        <f>CDCM!B4252*CDCM!$B217*10</f>
        <v>0</v>
      </c>
      <c r="M108" s="312">
        <f>CDCM!C4252*CDCM!$C217*10</f>
        <v>0</v>
      </c>
      <c r="N108" s="312">
        <f>CDCM!D4252*CDCM!$D217*10</f>
        <v>0</v>
      </c>
      <c r="O108" s="308" t="str">
        <f>IF(E108&lt;&gt;0,$L108/E108,"")</f>
        <v/>
      </c>
      <c r="P108" s="308" t="str">
        <f>IF(E108&lt;&gt;0,$M108/E108,"")</f>
        <v/>
      </c>
      <c r="Q108" s="308" t="str">
        <f>IF(E108&lt;&gt;0,$N108/E108,"")</f>
        <v/>
      </c>
      <c r="R108" s="308" t="str">
        <f>IF(D108&lt;&gt;0,$F108/D108,"")</f>
        <v/>
      </c>
      <c r="S108" s="308" t="str">
        <f>IF(D108&lt;&gt;0,$G108/D108,"")</f>
        <v/>
      </c>
      <c r="T108" s="308" t="str">
        <f>IF(D108&lt;&gt;0,$H108/D108,"")</f>
        <v/>
      </c>
      <c r="U108" s="291"/>
    </row>
    <row r="109" spans="1:21">
      <c r="A109" s="289" t="s">
        <v>192</v>
      </c>
      <c r="B109" s="312">
        <f>CDCM!B218+CDCM!C218+CDCM!D218</f>
        <v>0</v>
      </c>
      <c r="C109" s="314">
        <f>CDCM!E218</f>
        <v>0</v>
      </c>
      <c r="D109" s="312">
        <f>0.01*CDCM!F$14*(CDCM!$E4253*CDCM!E218+CDCM!$F4253*CDCM!F218)+10*(CDCM!$B4253*CDCM!B218+CDCM!$C4253*CDCM!C218+CDCM!$D4253*CDCM!D218+CDCM!$G4253*CDCM!G218)</f>
        <v>0</v>
      </c>
      <c r="E109" s="312">
        <f>10*(CDCM!$B4253*CDCM!B218+CDCM!$C4253*CDCM!C218+CDCM!$D4253*CDCM!D218)</f>
        <v>0</v>
      </c>
      <c r="F109" s="312">
        <f>CDCM!E4253*CDCM!$F$14*CDCM!$E218/100</f>
        <v>0</v>
      </c>
      <c r="G109" s="312">
        <f>CDCM!F4253*CDCM!$F$14*CDCM!$F218/100</f>
        <v>0</v>
      </c>
      <c r="H109" s="312">
        <f>CDCM!G4253*CDCM!$G218*10</f>
        <v>0</v>
      </c>
      <c r="I109" s="306" t="str">
        <f>IF(B109&lt;&gt;0,0.1*D109/B109,"")</f>
        <v/>
      </c>
      <c r="J109" s="316" t="str">
        <f>IF(C109&lt;&gt;0,D109/C109,"")</f>
        <v/>
      </c>
      <c r="K109" s="306">
        <f>IF(B109&lt;&gt;0,0.1*E109/B109,0)</f>
        <v>0</v>
      </c>
      <c r="L109" s="312">
        <f>CDCM!B4253*CDCM!$B218*10</f>
        <v>0</v>
      </c>
      <c r="M109" s="312">
        <f>CDCM!C4253*CDCM!$C218*10</f>
        <v>0</v>
      </c>
      <c r="N109" s="312">
        <f>CDCM!D4253*CDCM!$D218*10</f>
        <v>0</v>
      </c>
      <c r="O109" s="308" t="str">
        <f>IF(E109&lt;&gt;0,$L109/E109,"")</f>
        <v/>
      </c>
      <c r="P109" s="308" t="str">
        <f>IF(E109&lt;&gt;0,$M109/E109,"")</f>
        <v/>
      </c>
      <c r="Q109" s="308" t="str">
        <f>IF(E109&lt;&gt;0,$N109/E109,"")</f>
        <v/>
      </c>
      <c r="R109" s="308" t="str">
        <f>IF(D109&lt;&gt;0,$F109/D109,"")</f>
        <v/>
      </c>
      <c r="S109" s="308" t="str">
        <f>IF(D109&lt;&gt;0,$G109/D109,"")</f>
        <v/>
      </c>
      <c r="T109" s="308" t="str">
        <f>IF(D109&lt;&gt;0,$H109/D109,"")</f>
        <v/>
      </c>
      <c r="U109" s="291"/>
    </row>
    <row r="110" spans="1:21">
      <c r="A110" s="297" t="s">
        <v>193</v>
      </c>
      <c r="U110" s="291"/>
    </row>
    <row r="111" spans="1:21">
      <c r="A111" s="289" t="s">
        <v>101</v>
      </c>
      <c r="B111" s="312">
        <f>CDCM!B220+CDCM!C220+CDCM!D220</f>
        <v>24996.858841456458</v>
      </c>
      <c r="C111" s="314">
        <f>CDCM!E220</f>
        <v>167.17493874540833</v>
      </c>
      <c r="D111" s="312">
        <f>0.01*CDCM!F$14*(CDCM!$E4255*CDCM!E220+CDCM!$F4255*CDCM!F220)+10*(CDCM!$B4255*CDCM!B220+CDCM!$C4255*CDCM!C220+CDCM!$D4255*CDCM!D220+CDCM!$G4255*CDCM!G220)</f>
        <v>-161252.85865670937</v>
      </c>
      <c r="E111" s="312">
        <f>10*(CDCM!$B4255*CDCM!B220+CDCM!$C4255*CDCM!C220+CDCM!$D4255*CDCM!D220)</f>
        <v>-166479.07988410004</v>
      </c>
      <c r="F111" s="312">
        <f>CDCM!E4255*CDCM!$F$14*CDCM!$E220/100</f>
        <v>0</v>
      </c>
      <c r="G111" s="312">
        <f>CDCM!F4255*CDCM!$F$14*CDCM!$F220/100</f>
        <v>0</v>
      </c>
      <c r="H111" s="312">
        <f>CDCM!G4255*CDCM!$G220*10</f>
        <v>5226.2212273906707</v>
      </c>
      <c r="I111" s="306">
        <f>IF(B111&lt;&gt;0,0.1*D111/B111,"")</f>
        <v>-0.64509248813805709</v>
      </c>
      <c r="J111" s="316">
        <f>IF(C111&lt;&gt;0,D111/C111,"")</f>
        <v>-964.57555101774119</v>
      </c>
      <c r="K111" s="306">
        <f>IF(B111&lt;&gt;0,0.1*E111/B111,0)</f>
        <v>-0.66600000000000004</v>
      </c>
      <c r="L111" s="312">
        <f>CDCM!B4255*CDCM!$B220*10</f>
        <v>-166479.07988410004</v>
      </c>
      <c r="M111" s="312">
        <f>CDCM!C4255*CDCM!$C220*10</f>
        <v>0</v>
      </c>
      <c r="N111" s="312">
        <f>CDCM!D4255*CDCM!$D220*10</f>
        <v>0</v>
      </c>
      <c r="O111" s="308">
        <f>IF(E111&lt;&gt;0,$L111/E111,"")</f>
        <v>1</v>
      </c>
      <c r="P111" s="308">
        <f>IF(E111&lt;&gt;0,$M111/E111,"")</f>
        <v>0</v>
      </c>
      <c r="Q111" s="308">
        <f>IF(E111&lt;&gt;0,$N111/E111,"")</f>
        <v>0</v>
      </c>
      <c r="R111" s="308">
        <f>IF(D111&lt;&gt;0,$F111/D111,"")</f>
        <v>0</v>
      </c>
      <c r="S111" s="308">
        <f>IF(D111&lt;&gt;0,$G111/D111,"")</f>
        <v>0</v>
      </c>
      <c r="T111" s="308">
        <f>IF(D111&lt;&gt;0,$H111/D111,"")</f>
        <v>-3.2410099708785653E-2</v>
      </c>
      <c r="U111" s="291"/>
    </row>
    <row r="112" spans="1:21">
      <c r="A112" s="289" t="s">
        <v>194</v>
      </c>
      <c r="B112" s="312">
        <f>CDCM!B221+CDCM!C221+CDCM!D221</f>
        <v>0</v>
      </c>
      <c r="C112" s="314">
        <f>CDCM!E221</f>
        <v>0</v>
      </c>
      <c r="D112" s="312">
        <f>0.01*CDCM!F$14*(CDCM!$E4256*CDCM!E221+CDCM!$F4256*CDCM!F221)+10*(CDCM!$B4256*CDCM!B221+CDCM!$C4256*CDCM!C221+CDCM!$D4256*CDCM!D221+CDCM!$G4256*CDCM!G221)</f>
        <v>0</v>
      </c>
      <c r="E112" s="312">
        <f>10*(CDCM!$B4256*CDCM!B221+CDCM!$C4256*CDCM!C221+CDCM!$D4256*CDCM!D221)</f>
        <v>0</v>
      </c>
      <c r="F112" s="312">
        <f>CDCM!E4256*CDCM!$F$14*CDCM!$E221/100</f>
        <v>0</v>
      </c>
      <c r="G112" s="312">
        <f>CDCM!F4256*CDCM!$F$14*CDCM!$F221/100</f>
        <v>0</v>
      </c>
      <c r="H112" s="312">
        <f>CDCM!G4256*CDCM!$G221*10</f>
        <v>0</v>
      </c>
      <c r="I112" s="306" t="str">
        <f>IF(B112&lt;&gt;0,0.1*D112/B112,"")</f>
        <v/>
      </c>
      <c r="J112" s="316" t="str">
        <f>IF(C112&lt;&gt;0,D112/C112,"")</f>
        <v/>
      </c>
      <c r="K112" s="306">
        <f>IF(B112&lt;&gt;0,0.1*E112/B112,0)</f>
        <v>0</v>
      </c>
      <c r="L112" s="312">
        <f>CDCM!B4256*CDCM!$B221*10</f>
        <v>0</v>
      </c>
      <c r="M112" s="312">
        <f>CDCM!C4256*CDCM!$C221*10</f>
        <v>0</v>
      </c>
      <c r="N112" s="312">
        <f>CDCM!D4256*CDCM!$D221*10</f>
        <v>0</v>
      </c>
      <c r="O112" s="308" t="str">
        <f>IF(E112&lt;&gt;0,$L112/E112,"")</f>
        <v/>
      </c>
      <c r="P112" s="308" t="str">
        <f>IF(E112&lt;&gt;0,$M112/E112,"")</f>
        <v/>
      </c>
      <c r="Q112" s="308" t="str">
        <f>IF(E112&lt;&gt;0,$N112/E112,"")</f>
        <v/>
      </c>
      <c r="R112" s="308" t="str">
        <f>IF(D112&lt;&gt;0,$F112/D112,"")</f>
        <v/>
      </c>
      <c r="S112" s="308" t="str">
        <f>IF(D112&lt;&gt;0,$G112/D112,"")</f>
        <v/>
      </c>
      <c r="T112" s="308" t="str">
        <f>IF(D112&lt;&gt;0,$H112/D112,"")</f>
        <v/>
      </c>
      <c r="U112" s="291"/>
    </row>
    <row r="113" spans="1:21">
      <c r="A113" s="289" t="s">
        <v>195</v>
      </c>
      <c r="B113" s="312">
        <f>CDCM!B222+CDCM!C222+CDCM!D222</f>
        <v>67.449079939668152</v>
      </c>
      <c r="C113" s="314">
        <f>CDCM!E222</f>
        <v>0</v>
      </c>
      <c r="D113" s="312">
        <f>0.01*CDCM!F$14*(CDCM!$E4257*CDCM!E222+CDCM!$F4257*CDCM!F222)+10*(CDCM!$B4257*CDCM!B222+CDCM!$C4257*CDCM!C222+CDCM!$D4257*CDCM!D222+CDCM!$G4257*CDCM!G222)</f>
        <v>-334.42179598433643</v>
      </c>
      <c r="E113" s="312">
        <f>10*(CDCM!$B4257*CDCM!B222+CDCM!$C4257*CDCM!C222+CDCM!$D4257*CDCM!D222)</f>
        <v>-449.21087239818996</v>
      </c>
      <c r="F113" s="312">
        <f>CDCM!E4257*CDCM!$F$14*CDCM!$E222/100</f>
        <v>0</v>
      </c>
      <c r="G113" s="312">
        <f>CDCM!F4257*CDCM!$F$14*CDCM!$F222/100</f>
        <v>0</v>
      </c>
      <c r="H113" s="312">
        <f>CDCM!G4257*CDCM!$G222*10</f>
        <v>114.78907641385355</v>
      </c>
      <c r="I113" s="306">
        <f>IF(B113&lt;&gt;0,0.1*D113/B113,"")</f>
        <v>-0.49581372538138407</v>
      </c>
      <c r="J113" s="316" t="str">
        <f>IF(C113&lt;&gt;0,D113/C113,"")</f>
        <v/>
      </c>
      <c r="K113" s="306">
        <f>IF(B113&lt;&gt;0,0.1*E113/B113,0)</f>
        <v>-0.66600000000000015</v>
      </c>
      <c r="L113" s="312">
        <f>CDCM!B4257*CDCM!$B222*10</f>
        <v>-449.21087239818996</v>
      </c>
      <c r="M113" s="312">
        <f>CDCM!C4257*CDCM!$C222*10</f>
        <v>0</v>
      </c>
      <c r="N113" s="312">
        <f>CDCM!D4257*CDCM!$D222*10</f>
        <v>0</v>
      </c>
      <c r="O113" s="308">
        <f>IF(E113&lt;&gt;0,$L113/E113,"")</f>
        <v>1</v>
      </c>
      <c r="P113" s="308">
        <f>IF(E113&lt;&gt;0,$M113/E113,"")</f>
        <v>0</v>
      </c>
      <c r="Q113" s="308">
        <f>IF(E113&lt;&gt;0,$N113/E113,"")</f>
        <v>0</v>
      </c>
      <c r="R113" s="308">
        <f>IF(D113&lt;&gt;0,$F113/D113,"")</f>
        <v>0</v>
      </c>
      <c r="S113" s="308">
        <f>IF(D113&lt;&gt;0,$G113/D113,"")</f>
        <v>0</v>
      </c>
      <c r="T113" s="308">
        <f>IF(D113&lt;&gt;0,$H113/D113,"")</f>
        <v>-0.34324639659321132</v>
      </c>
      <c r="U113" s="291"/>
    </row>
    <row r="114" spans="1:21">
      <c r="A114" s="297" t="s">
        <v>196</v>
      </c>
      <c r="U114" s="291"/>
    </row>
    <row r="115" spans="1:21">
      <c r="A115" s="289" t="s">
        <v>102</v>
      </c>
      <c r="B115" s="312">
        <f>CDCM!B224+CDCM!C224+CDCM!D224</f>
        <v>9566.9950603847537</v>
      </c>
      <c r="C115" s="314">
        <f>CDCM!E224</f>
        <v>86.120422990058827</v>
      </c>
      <c r="D115" s="312">
        <f>0.01*CDCM!F$14*(CDCM!$E4259*CDCM!E224+CDCM!$F4259*CDCM!F224)+10*(CDCM!$B4259*CDCM!B224+CDCM!$C4259*CDCM!C224+CDCM!$D4259*CDCM!D224+CDCM!$G4259*CDCM!G224)</f>
        <v>-63455.506941493441</v>
      </c>
      <c r="E115" s="312">
        <f>10*(CDCM!$B4259*CDCM!B224+CDCM!$C4259*CDCM!C224+CDCM!$D4259*CDCM!D224)</f>
        <v>-64872.21853208707</v>
      </c>
      <c r="F115" s="312">
        <f>CDCM!E4259*CDCM!$F$14*CDCM!$E224/100</f>
        <v>0</v>
      </c>
      <c r="G115" s="312">
        <f>CDCM!F4259*CDCM!$F$14*CDCM!$F224/100</f>
        <v>0</v>
      </c>
      <c r="H115" s="312">
        <f>CDCM!G4259*CDCM!$G224*10</f>
        <v>1416.7115905936282</v>
      </c>
      <c r="I115" s="306">
        <f>IF(B115&lt;&gt;0,0.1*D115/B115,"")</f>
        <v>-0.66327521380513255</v>
      </c>
      <c r="J115" s="316">
        <f>IF(C115&lt;&gt;0,D115/C115,"")</f>
        <v>-736.82298272987259</v>
      </c>
      <c r="K115" s="306">
        <f>IF(B115&lt;&gt;0,0.1*E115/B115,0)</f>
        <v>-0.6780835374391645</v>
      </c>
      <c r="L115" s="312">
        <f>CDCM!B4259*CDCM!$B224*10</f>
        <v>-46258.031393752724</v>
      </c>
      <c r="M115" s="312">
        <f>CDCM!C4259*CDCM!$C224*10</f>
        <v>-15859.560857864362</v>
      </c>
      <c r="N115" s="312">
        <f>CDCM!D4259*CDCM!$D224*10</f>
        <v>-2754.6262804699809</v>
      </c>
      <c r="O115" s="308">
        <f>IF(E115&lt;&gt;0,$L115/E115,"")</f>
        <v>0.7130638112965505</v>
      </c>
      <c r="P115" s="308">
        <f>IF(E115&lt;&gt;0,$M115/E115,"")</f>
        <v>0.24447384746091139</v>
      </c>
      <c r="Q115" s="308">
        <f>IF(E115&lt;&gt;0,$N115/E115,"")</f>
        <v>4.2462341242538032E-2</v>
      </c>
      <c r="R115" s="308">
        <f>IF(D115&lt;&gt;0,$F115/D115,"")</f>
        <v>0</v>
      </c>
      <c r="S115" s="308">
        <f>IF(D115&lt;&gt;0,$G115/D115,"")</f>
        <v>0</v>
      </c>
      <c r="T115" s="308">
        <f>IF(D115&lt;&gt;0,$H115/D115,"")</f>
        <v>-2.2326062132004543E-2</v>
      </c>
      <c r="U115" s="291"/>
    </row>
    <row r="116" spans="1:21">
      <c r="A116" s="289" t="s">
        <v>197</v>
      </c>
      <c r="B116" s="312">
        <f>CDCM!B225+CDCM!C225+CDCM!D225</f>
        <v>0</v>
      </c>
      <c r="C116" s="314">
        <f>CDCM!E225</f>
        <v>0</v>
      </c>
      <c r="D116" s="312">
        <f>0.01*CDCM!F$14*(CDCM!$E4260*CDCM!E225+CDCM!$F4260*CDCM!F225)+10*(CDCM!$B4260*CDCM!B225+CDCM!$C4260*CDCM!C225+CDCM!$D4260*CDCM!D225+CDCM!$G4260*CDCM!G225)</f>
        <v>0</v>
      </c>
      <c r="E116" s="312">
        <f>10*(CDCM!$B4260*CDCM!B225+CDCM!$C4260*CDCM!C225+CDCM!$D4260*CDCM!D225)</f>
        <v>0</v>
      </c>
      <c r="F116" s="312">
        <f>CDCM!E4260*CDCM!$F$14*CDCM!$E225/100</f>
        <v>0</v>
      </c>
      <c r="G116" s="312">
        <f>CDCM!F4260*CDCM!$F$14*CDCM!$F225/100</f>
        <v>0</v>
      </c>
      <c r="H116" s="312">
        <f>CDCM!G4260*CDCM!$G225*10</f>
        <v>0</v>
      </c>
      <c r="I116" s="306" t="str">
        <f>IF(B116&lt;&gt;0,0.1*D116/B116,"")</f>
        <v/>
      </c>
      <c r="J116" s="316" t="str">
        <f>IF(C116&lt;&gt;0,D116/C116,"")</f>
        <v/>
      </c>
      <c r="K116" s="306">
        <f>IF(B116&lt;&gt;0,0.1*E116/B116,0)</f>
        <v>0</v>
      </c>
      <c r="L116" s="312">
        <f>CDCM!B4260*CDCM!$B225*10</f>
        <v>0</v>
      </c>
      <c r="M116" s="312">
        <f>CDCM!C4260*CDCM!$C225*10</f>
        <v>0</v>
      </c>
      <c r="N116" s="312">
        <f>CDCM!D4260*CDCM!$D225*10</f>
        <v>0</v>
      </c>
      <c r="O116" s="308" t="str">
        <f>IF(E116&lt;&gt;0,$L116/E116,"")</f>
        <v/>
      </c>
      <c r="P116" s="308" t="str">
        <f>IF(E116&lt;&gt;0,$M116/E116,"")</f>
        <v/>
      </c>
      <c r="Q116" s="308" t="str">
        <f>IF(E116&lt;&gt;0,$N116/E116,"")</f>
        <v/>
      </c>
      <c r="R116" s="308" t="str">
        <f>IF(D116&lt;&gt;0,$F116/D116,"")</f>
        <v/>
      </c>
      <c r="S116" s="308" t="str">
        <f>IF(D116&lt;&gt;0,$G116/D116,"")</f>
        <v/>
      </c>
      <c r="T116" s="308" t="str">
        <f>IF(D116&lt;&gt;0,$H116/D116,"")</f>
        <v/>
      </c>
      <c r="U116" s="291"/>
    </row>
    <row r="117" spans="1:21">
      <c r="A117" s="289" t="s">
        <v>198</v>
      </c>
      <c r="B117" s="312">
        <f>CDCM!B226+CDCM!C226+CDCM!D226</f>
        <v>0.3293543489190548</v>
      </c>
      <c r="C117" s="314">
        <f>CDCM!E226</f>
        <v>0</v>
      </c>
      <c r="D117" s="312">
        <f>0.01*CDCM!F$14*(CDCM!$E4261*CDCM!E226+CDCM!$F4261*CDCM!F226)+10*(CDCM!$B4261*CDCM!B226+CDCM!$C4261*CDCM!C226+CDCM!$D4261*CDCM!D226+CDCM!$G4261*CDCM!G226)</f>
        <v>-17.334251524476688</v>
      </c>
      <c r="E117" s="312">
        <f>10*(CDCM!$B4261*CDCM!B226+CDCM!$C4261*CDCM!C226+CDCM!$D4261*CDCM!D226)</f>
        <v>-18.424082278531927</v>
      </c>
      <c r="F117" s="312">
        <f>CDCM!E4261*CDCM!$F$14*CDCM!$E226/100</f>
        <v>0</v>
      </c>
      <c r="G117" s="312">
        <f>CDCM!F4261*CDCM!$F$14*CDCM!$F226/100</f>
        <v>0</v>
      </c>
      <c r="H117" s="312">
        <f>CDCM!G4261*CDCM!$G226*10</f>
        <v>1.089830754055239</v>
      </c>
      <c r="I117" s="306">
        <f>IF(B117&lt;&gt;0,0.1*D117/B117,"")</f>
        <v>-5.26310084605469</v>
      </c>
      <c r="J117" s="316" t="str">
        <f>IF(C117&lt;&gt;0,D117/C117,"")</f>
        <v/>
      </c>
      <c r="K117" s="306">
        <f>IF(B117&lt;&gt;0,0.1*E117/B117,0)</f>
        <v>-5.5940000000000012</v>
      </c>
      <c r="L117" s="312">
        <f>CDCM!B4261*CDCM!$B226*10</f>
        <v>-18.424082278531927</v>
      </c>
      <c r="M117" s="312">
        <f>CDCM!C4261*CDCM!$C226*10</f>
        <v>0</v>
      </c>
      <c r="N117" s="312">
        <f>CDCM!D4261*CDCM!$D226*10</f>
        <v>0</v>
      </c>
      <c r="O117" s="308">
        <f>IF(E117&lt;&gt;0,$L117/E117,"")</f>
        <v>1</v>
      </c>
      <c r="P117" s="308">
        <f>IF(E117&lt;&gt;0,$M117/E117,"")</f>
        <v>0</v>
      </c>
      <c r="Q117" s="308">
        <f>IF(E117&lt;&gt;0,$N117/E117,"")</f>
        <v>0</v>
      </c>
      <c r="R117" s="308">
        <f>IF(D117&lt;&gt;0,$F117/D117,"")</f>
        <v>0</v>
      </c>
      <c r="S117" s="308">
        <f>IF(D117&lt;&gt;0,$G117/D117,"")</f>
        <v>0</v>
      </c>
      <c r="T117" s="308">
        <f>IF(D117&lt;&gt;0,$H117/D117,"")</f>
        <v>-6.2871520729715524E-2</v>
      </c>
      <c r="U117" s="291"/>
    </row>
    <row r="118" spans="1:21">
      <c r="A118" s="297" t="s">
        <v>199</v>
      </c>
      <c r="U118" s="291"/>
    </row>
    <row r="119" spans="1:21">
      <c r="A119" s="289" t="s">
        <v>103</v>
      </c>
      <c r="B119" s="312">
        <f>CDCM!B228+CDCM!C228+CDCM!D228</f>
        <v>1213.6794216291853</v>
      </c>
      <c r="C119" s="314">
        <f>CDCM!E228</f>
        <v>5.0659072347093428</v>
      </c>
      <c r="D119" s="312">
        <f>0.01*CDCM!F$14*(CDCM!$E4263*CDCM!E228+CDCM!$F4263*CDCM!F228)+10*(CDCM!$B4263*CDCM!B228+CDCM!$C4263*CDCM!C228+CDCM!$D4263*CDCM!D228+CDCM!$G4263*CDCM!G228)</f>
        <v>-6578.6637364497874</v>
      </c>
      <c r="E119" s="312">
        <f>10*(CDCM!$B4263*CDCM!B228+CDCM!$C4263*CDCM!C228+CDCM!$D4263*CDCM!D228)</f>
        <v>-6881.5623206374803</v>
      </c>
      <c r="F119" s="312">
        <f>CDCM!E4263*CDCM!$F$14*CDCM!$E228/100</f>
        <v>0</v>
      </c>
      <c r="G119" s="312">
        <f>CDCM!F4263*CDCM!$F$14*CDCM!$F228/100</f>
        <v>0</v>
      </c>
      <c r="H119" s="312">
        <f>CDCM!G4263*CDCM!$G228*10</f>
        <v>302.89858418769273</v>
      </c>
      <c r="I119" s="306">
        <f>IF(B119&lt;&gt;0,0.1*D119/B119,"")</f>
        <v>-0.54204294966284461</v>
      </c>
      <c r="J119" s="316">
        <f>IF(C119&lt;&gt;0,D119/C119,"")</f>
        <v>-1298.6151209749185</v>
      </c>
      <c r="K119" s="306">
        <f>IF(B119&lt;&gt;0,0.1*E119/B119,0)</f>
        <v>-0.56700000000000006</v>
      </c>
      <c r="L119" s="312">
        <f>CDCM!B4263*CDCM!$B228*10</f>
        <v>-6881.5623206374803</v>
      </c>
      <c r="M119" s="312">
        <f>CDCM!C4263*CDCM!$C228*10</f>
        <v>0</v>
      </c>
      <c r="N119" s="312">
        <f>CDCM!D4263*CDCM!$D228*10</f>
        <v>0</v>
      </c>
      <c r="O119" s="308">
        <f>IF(E119&lt;&gt;0,$L119/E119,"")</f>
        <v>1</v>
      </c>
      <c r="P119" s="308">
        <f>IF(E119&lt;&gt;0,$M119/E119,"")</f>
        <v>0</v>
      </c>
      <c r="Q119" s="308">
        <f>IF(E119&lt;&gt;0,$N119/E119,"")</f>
        <v>0</v>
      </c>
      <c r="R119" s="308">
        <f>IF(D119&lt;&gt;0,$F119/D119,"")</f>
        <v>0</v>
      </c>
      <c r="S119" s="308">
        <f>IF(D119&lt;&gt;0,$G119/D119,"")</f>
        <v>0</v>
      </c>
      <c r="T119" s="308">
        <f>IF(D119&lt;&gt;0,$H119/D119,"")</f>
        <v>-4.6042569786543558E-2</v>
      </c>
      <c r="U119" s="291"/>
    </row>
    <row r="120" spans="1:21">
      <c r="A120" s="289" t="s">
        <v>200</v>
      </c>
      <c r="B120" s="312">
        <f>CDCM!B229+CDCM!C229+CDCM!D229</f>
        <v>0</v>
      </c>
      <c r="C120" s="314">
        <f>CDCM!E229</f>
        <v>0</v>
      </c>
      <c r="D120" s="312">
        <f>0.01*CDCM!F$14*(CDCM!$E4264*CDCM!E229+CDCM!$F4264*CDCM!F229)+10*(CDCM!$B4264*CDCM!B229+CDCM!$C4264*CDCM!C229+CDCM!$D4264*CDCM!D229+CDCM!$G4264*CDCM!G229)</f>
        <v>0</v>
      </c>
      <c r="E120" s="312">
        <f>10*(CDCM!$B4264*CDCM!B229+CDCM!$C4264*CDCM!C229+CDCM!$D4264*CDCM!D229)</f>
        <v>0</v>
      </c>
      <c r="F120" s="312">
        <f>CDCM!E4264*CDCM!$F$14*CDCM!$E229/100</f>
        <v>0</v>
      </c>
      <c r="G120" s="312">
        <f>CDCM!F4264*CDCM!$F$14*CDCM!$F229/100</f>
        <v>0</v>
      </c>
      <c r="H120" s="312">
        <f>CDCM!G4264*CDCM!$G229*10</f>
        <v>0</v>
      </c>
      <c r="I120" s="306" t="str">
        <f>IF(B120&lt;&gt;0,0.1*D120/B120,"")</f>
        <v/>
      </c>
      <c r="J120" s="316" t="str">
        <f>IF(C120&lt;&gt;0,D120/C120,"")</f>
        <v/>
      </c>
      <c r="K120" s="306">
        <f>IF(B120&lt;&gt;0,0.1*E120/B120,0)</f>
        <v>0</v>
      </c>
      <c r="L120" s="312">
        <f>CDCM!B4264*CDCM!$B229*10</f>
        <v>0</v>
      </c>
      <c r="M120" s="312">
        <f>CDCM!C4264*CDCM!$C229*10</f>
        <v>0</v>
      </c>
      <c r="N120" s="312">
        <f>CDCM!D4264*CDCM!$D229*10</f>
        <v>0</v>
      </c>
      <c r="O120" s="308" t="str">
        <f>IF(E120&lt;&gt;0,$L120/E120,"")</f>
        <v/>
      </c>
      <c r="P120" s="308" t="str">
        <f>IF(E120&lt;&gt;0,$M120/E120,"")</f>
        <v/>
      </c>
      <c r="Q120" s="308" t="str">
        <f>IF(E120&lt;&gt;0,$N120/E120,"")</f>
        <v/>
      </c>
      <c r="R120" s="308" t="str">
        <f>IF(D120&lt;&gt;0,$F120/D120,"")</f>
        <v/>
      </c>
      <c r="S120" s="308" t="str">
        <f>IF(D120&lt;&gt;0,$G120/D120,"")</f>
        <v/>
      </c>
      <c r="T120" s="308" t="str">
        <f>IF(D120&lt;&gt;0,$H120/D120,"")</f>
        <v/>
      </c>
      <c r="U120" s="291"/>
    </row>
    <row r="121" spans="1:21">
      <c r="A121" s="297" t="s">
        <v>201</v>
      </c>
      <c r="U121" s="291"/>
    </row>
    <row r="122" spans="1:21">
      <c r="A122" s="289" t="s">
        <v>104</v>
      </c>
      <c r="B122" s="312">
        <f>CDCM!B231+CDCM!C231+CDCM!D231</f>
        <v>10706.608193625343</v>
      </c>
      <c r="C122" s="314">
        <f>CDCM!E231</f>
        <v>4.0527257877674732</v>
      </c>
      <c r="D122" s="312">
        <f>0.01*CDCM!F$14*(CDCM!$E4266*CDCM!E231+CDCM!$F4266*CDCM!F231)+10*(CDCM!$B4266*CDCM!B231+CDCM!$C4266*CDCM!C231+CDCM!$D4266*CDCM!D231+CDCM!$G4266*CDCM!G231)</f>
        <v>-80904.59992713976</v>
      </c>
      <c r="E122" s="312">
        <f>10*(CDCM!$B4266*CDCM!B231+CDCM!$C4266*CDCM!C231+CDCM!$D4266*CDCM!D231)</f>
        <v>-80926.177946479278</v>
      </c>
      <c r="F122" s="312">
        <f>CDCM!E4266*CDCM!$F$14*CDCM!$E231/100</f>
        <v>0</v>
      </c>
      <c r="G122" s="312">
        <f>CDCM!F4266*CDCM!$F$14*CDCM!$F231/100</f>
        <v>0</v>
      </c>
      <c r="H122" s="312">
        <f>CDCM!G4266*CDCM!$G231*10</f>
        <v>21.578019339525198</v>
      </c>
      <c r="I122" s="306">
        <f>IF(B122&lt;&gt;0,0.1*D122/B122,"")</f>
        <v>-0.75565107514917684</v>
      </c>
      <c r="J122" s="316">
        <f>IF(C122&lt;&gt;0,D122/C122,"")</f>
        <v>-19963.008642562938</v>
      </c>
      <c r="K122" s="306">
        <f>IF(B122&lt;&gt;0,0.1*E122/B122,0)</f>
        <v>-0.75585261441305285</v>
      </c>
      <c r="L122" s="312">
        <f>CDCM!B4266*CDCM!$B231*10</f>
        <v>-66622.836852151275</v>
      </c>
      <c r="M122" s="312">
        <f>CDCM!C4266*CDCM!$C231*10</f>
        <v>-11606.951968920001</v>
      </c>
      <c r="N122" s="312">
        <f>CDCM!D4266*CDCM!$D231*10</f>
        <v>-2696.3891254080004</v>
      </c>
      <c r="O122" s="308">
        <f>IF(E122&lt;&gt;0,$L122/E122,"")</f>
        <v>0.82325445909743133</v>
      </c>
      <c r="P122" s="308">
        <f>IF(E122&lt;&gt;0,$M122/E122,"")</f>
        <v>0.14342641977477655</v>
      </c>
      <c r="Q122" s="308">
        <f>IF(E122&lt;&gt;0,$N122/E122,"")</f>
        <v>3.3319121127792097E-2</v>
      </c>
      <c r="R122" s="308">
        <f>IF(D122&lt;&gt;0,$F122/D122,"")</f>
        <v>0</v>
      </c>
      <c r="S122" s="308">
        <f>IF(D122&lt;&gt;0,$G122/D122,"")</f>
        <v>0</v>
      </c>
      <c r="T122" s="308">
        <f>IF(D122&lt;&gt;0,$H122/D122,"")</f>
        <v>-2.6670942516195264E-4</v>
      </c>
      <c r="U122" s="291"/>
    </row>
    <row r="123" spans="1:21">
      <c r="A123" s="289" t="s">
        <v>202</v>
      </c>
      <c r="B123" s="312">
        <f>CDCM!B232+CDCM!C232+CDCM!D232</f>
        <v>0</v>
      </c>
      <c r="C123" s="314">
        <f>CDCM!E232</f>
        <v>0</v>
      </c>
      <c r="D123" s="312">
        <f>0.01*CDCM!F$14*(CDCM!$E4267*CDCM!E232+CDCM!$F4267*CDCM!F232)+10*(CDCM!$B4267*CDCM!B232+CDCM!$C4267*CDCM!C232+CDCM!$D4267*CDCM!D232+CDCM!$G4267*CDCM!G232)</f>
        <v>0</v>
      </c>
      <c r="E123" s="312">
        <f>10*(CDCM!$B4267*CDCM!B232+CDCM!$C4267*CDCM!C232+CDCM!$D4267*CDCM!D232)</f>
        <v>0</v>
      </c>
      <c r="F123" s="312">
        <f>CDCM!E4267*CDCM!$F$14*CDCM!$E232/100</f>
        <v>0</v>
      </c>
      <c r="G123" s="312">
        <f>CDCM!F4267*CDCM!$F$14*CDCM!$F232/100</f>
        <v>0</v>
      </c>
      <c r="H123" s="312">
        <f>CDCM!G4267*CDCM!$G232*10</f>
        <v>0</v>
      </c>
      <c r="I123" s="306" t="str">
        <f>IF(B123&lt;&gt;0,0.1*D123/B123,"")</f>
        <v/>
      </c>
      <c r="J123" s="316" t="str">
        <f>IF(C123&lt;&gt;0,D123/C123,"")</f>
        <v/>
      </c>
      <c r="K123" s="306">
        <f>IF(B123&lt;&gt;0,0.1*E123/B123,0)</f>
        <v>0</v>
      </c>
      <c r="L123" s="312">
        <f>CDCM!B4267*CDCM!$B232*10</f>
        <v>0</v>
      </c>
      <c r="M123" s="312">
        <f>CDCM!C4267*CDCM!$C232*10</f>
        <v>0</v>
      </c>
      <c r="N123" s="312">
        <f>CDCM!D4267*CDCM!$D232*10</f>
        <v>0</v>
      </c>
      <c r="O123" s="308" t="str">
        <f>IF(E123&lt;&gt;0,$L123/E123,"")</f>
        <v/>
      </c>
      <c r="P123" s="308" t="str">
        <f>IF(E123&lt;&gt;0,$M123/E123,"")</f>
        <v/>
      </c>
      <c r="Q123" s="308" t="str">
        <f>IF(E123&lt;&gt;0,$N123/E123,"")</f>
        <v/>
      </c>
      <c r="R123" s="308" t="str">
        <f>IF(D123&lt;&gt;0,$F123/D123,"")</f>
        <v/>
      </c>
      <c r="S123" s="308" t="str">
        <f>IF(D123&lt;&gt;0,$G123/D123,"")</f>
        <v/>
      </c>
      <c r="T123" s="308" t="str">
        <f>IF(D123&lt;&gt;0,$H123/D123,"")</f>
        <v/>
      </c>
      <c r="U123" s="291"/>
    </row>
    <row r="124" spans="1:21">
      <c r="A124" s="297" t="s">
        <v>203</v>
      </c>
      <c r="U124" s="291"/>
    </row>
    <row r="125" spans="1:21">
      <c r="A125" s="289" t="s">
        <v>112</v>
      </c>
      <c r="B125" s="312">
        <f>CDCM!B234+CDCM!C234+CDCM!D234</f>
        <v>95543.871083999999</v>
      </c>
      <c r="C125" s="314">
        <f>CDCM!E234</f>
        <v>55.359020484258814</v>
      </c>
      <c r="D125" s="312">
        <f>0.01*CDCM!F$14*(CDCM!$E4269*CDCM!E234+CDCM!$F4269*CDCM!F234)+10*(CDCM!$B4269*CDCM!B234+CDCM!$C4269*CDCM!C234+CDCM!$D4269*CDCM!D234+CDCM!$G4269*CDCM!G234)</f>
        <v>-261863.63228697371</v>
      </c>
      <c r="E125" s="312">
        <f>10*(CDCM!$B4269*CDCM!B234+CDCM!$C4269*CDCM!C234+CDCM!$D4269*CDCM!D234)</f>
        <v>-275166.34872191999</v>
      </c>
      <c r="F125" s="312">
        <f>CDCM!E4269*CDCM!$F$14*CDCM!$E234/100</f>
        <v>7138.7948070373523</v>
      </c>
      <c r="G125" s="312">
        <f>CDCM!F4269*CDCM!$F$14*CDCM!$F234/100</f>
        <v>0</v>
      </c>
      <c r="H125" s="312">
        <f>CDCM!G4269*CDCM!$G234*10</f>
        <v>6163.9216279089251</v>
      </c>
      <c r="I125" s="306">
        <f>IF(B125&lt;&gt;0,0.1*D125/B125,"")</f>
        <v>-0.2740768500543056</v>
      </c>
      <c r="J125" s="316">
        <f>IF(C125&lt;&gt;0,D125/C125,"")</f>
        <v>-4730.2793654276074</v>
      </c>
      <c r="K125" s="306">
        <f>IF(B125&lt;&gt;0,0.1*E125/B125,0)</f>
        <v>-0.28800000000000003</v>
      </c>
      <c r="L125" s="312">
        <f>CDCM!B4269*CDCM!$B234*10</f>
        <v>-275166.34872191999</v>
      </c>
      <c r="M125" s="312">
        <f>CDCM!C4269*CDCM!$C234*10</f>
        <v>0</v>
      </c>
      <c r="N125" s="312">
        <f>CDCM!D4269*CDCM!$D234*10</f>
        <v>0</v>
      </c>
      <c r="O125" s="308">
        <f>IF(E125&lt;&gt;0,$L125/E125,"")</f>
        <v>1</v>
      </c>
      <c r="P125" s="308">
        <f>IF(E125&lt;&gt;0,$M125/E125,"")</f>
        <v>0</v>
      </c>
      <c r="Q125" s="308">
        <f>IF(E125&lt;&gt;0,$N125/E125,"")</f>
        <v>0</v>
      </c>
      <c r="R125" s="308">
        <f>IF(D125&lt;&gt;0,$F125/D125,"")</f>
        <v>-2.7261497691340428E-2</v>
      </c>
      <c r="S125" s="308">
        <f>IF(D125&lt;&gt;0,$G125/D125,"")</f>
        <v>0</v>
      </c>
      <c r="T125" s="308">
        <f>IF(D125&lt;&gt;0,$H125/D125,"")</f>
        <v>-2.353867000956416E-2</v>
      </c>
      <c r="U125" s="291"/>
    </row>
    <row r="126" spans="1:21">
      <c r="A126" s="289" t="s">
        <v>204</v>
      </c>
      <c r="B126" s="312">
        <f>CDCM!B235+CDCM!C235+CDCM!D235</f>
        <v>0</v>
      </c>
      <c r="C126" s="314">
        <f>CDCM!E235</f>
        <v>0</v>
      </c>
      <c r="D126" s="312">
        <f>0.01*CDCM!F$14*(CDCM!$E4270*CDCM!E235+CDCM!$F4270*CDCM!F235)+10*(CDCM!$B4270*CDCM!B235+CDCM!$C4270*CDCM!C235+CDCM!$D4270*CDCM!D235+CDCM!$G4270*CDCM!G235)</f>
        <v>0</v>
      </c>
      <c r="E126" s="312">
        <f>10*(CDCM!$B4270*CDCM!B235+CDCM!$C4270*CDCM!C235+CDCM!$D4270*CDCM!D235)</f>
        <v>0</v>
      </c>
      <c r="F126" s="312">
        <f>CDCM!E4270*CDCM!$F$14*CDCM!$E235/100</f>
        <v>0</v>
      </c>
      <c r="G126" s="312">
        <f>CDCM!F4270*CDCM!$F$14*CDCM!$F235/100</f>
        <v>0</v>
      </c>
      <c r="H126" s="312">
        <f>CDCM!G4270*CDCM!$G235*10</f>
        <v>0</v>
      </c>
      <c r="I126" s="306" t="str">
        <f>IF(B126&lt;&gt;0,0.1*D126/B126,"")</f>
        <v/>
      </c>
      <c r="J126" s="316" t="str">
        <f>IF(C126&lt;&gt;0,D126/C126,"")</f>
        <v/>
      </c>
      <c r="K126" s="306">
        <f>IF(B126&lt;&gt;0,0.1*E126/B126,0)</f>
        <v>0</v>
      </c>
      <c r="L126" s="312">
        <f>CDCM!B4270*CDCM!$B235*10</f>
        <v>0</v>
      </c>
      <c r="M126" s="312">
        <f>CDCM!C4270*CDCM!$C235*10</f>
        <v>0</v>
      </c>
      <c r="N126" s="312">
        <f>CDCM!D4270*CDCM!$D235*10</f>
        <v>0</v>
      </c>
      <c r="O126" s="308" t="str">
        <f>IF(E126&lt;&gt;0,$L126/E126,"")</f>
        <v/>
      </c>
      <c r="P126" s="308" t="str">
        <f>IF(E126&lt;&gt;0,$M126/E126,"")</f>
        <v/>
      </c>
      <c r="Q126" s="308" t="str">
        <f>IF(E126&lt;&gt;0,$N126/E126,"")</f>
        <v/>
      </c>
      <c r="R126" s="308" t="str">
        <f>IF(D126&lt;&gt;0,$F126/D126,"")</f>
        <v/>
      </c>
      <c r="S126" s="308" t="str">
        <f>IF(D126&lt;&gt;0,$G126/D126,"")</f>
        <v/>
      </c>
      <c r="T126" s="308" t="str">
        <f>IF(D126&lt;&gt;0,$H126/D126,"")</f>
        <v/>
      </c>
      <c r="U126" s="291"/>
    </row>
    <row r="127" spans="1:21">
      <c r="A127" s="297" t="s">
        <v>205</v>
      </c>
      <c r="U127" s="291"/>
    </row>
    <row r="128" spans="1:21">
      <c r="A128" s="289" t="s">
        <v>113</v>
      </c>
      <c r="B128" s="312">
        <f>CDCM!B237+CDCM!C237+CDCM!D237</f>
        <v>656871.70564849954</v>
      </c>
      <c r="C128" s="314">
        <f>CDCM!E237</f>
        <v>115.75067919435931</v>
      </c>
      <c r="D128" s="312">
        <f>0.01*CDCM!F$14*(CDCM!$E4272*CDCM!E237+CDCM!$F4272*CDCM!F237)+10*(CDCM!$B4272*CDCM!B237+CDCM!$C4272*CDCM!C237+CDCM!$D4272*CDCM!D237+CDCM!$G4272*CDCM!G237)</f>
        <v>-2009269.7255450764</v>
      </c>
      <c r="E128" s="312">
        <f>10*(CDCM!$B4272*CDCM!B237+CDCM!$C4272*CDCM!C237+CDCM!$D4272*CDCM!D237)</f>
        <v>-2039453.0498886858</v>
      </c>
      <c r="F128" s="312">
        <f>CDCM!E4272*CDCM!$F$14*CDCM!$E237/100</f>
        <v>14926.570960169007</v>
      </c>
      <c r="G128" s="312">
        <f>CDCM!F4272*CDCM!$F$14*CDCM!$F237/100</f>
        <v>0</v>
      </c>
      <c r="H128" s="312">
        <f>CDCM!G4272*CDCM!$G237*10</f>
        <v>15256.753383440715</v>
      </c>
      <c r="I128" s="306">
        <f>IF(B128&lt;&gt;0,0.1*D128/B128,"")</f>
        <v>-0.30588465118335645</v>
      </c>
      <c r="J128" s="316">
        <f>IF(C128&lt;&gt;0,D128/C128,"")</f>
        <v>-17358.599876301985</v>
      </c>
      <c r="K128" s="306">
        <f>IF(B128&lt;&gt;0,0.1*E128/B128,0)</f>
        <v>-0.31047966175909902</v>
      </c>
      <c r="L128" s="312">
        <f>CDCM!B4272*CDCM!$B237*10</f>
        <v>-1580744.2237392112</v>
      </c>
      <c r="M128" s="312">
        <f>CDCM!C4272*CDCM!$C237*10</f>
        <v>-396383.99639173259</v>
      </c>
      <c r="N128" s="312">
        <f>CDCM!D4272*CDCM!$D237*10</f>
        <v>-62324.829757741973</v>
      </c>
      <c r="O128" s="308">
        <f>IF(E128&lt;&gt;0,$L128/E128,"")</f>
        <v>0.77508242900001489</v>
      </c>
      <c r="P128" s="308">
        <f>IF(E128&lt;&gt;0,$M128/E128,"")</f>
        <v>0.19435799044913898</v>
      </c>
      <c r="Q128" s="308">
        <f>IF(E128&lt;&gt;0,$N128/E128,"")</f>
        <v>3.0559580550846066E-2</v>
      </c>
      <c r="R128" s="308">
        <f>IF(D128&lt;&gt;0,$F128/D128,"")</f>
        <v>-7.4288537623388093E-3</v>
      </c>
      <c r="S128" s="308">
        <f>IF(D128&lt;&gt;0,$G128/D128,"")</f>
        <v>0</v>
      </c>
      <c r="T128" s="308">
        <f>IF(D128&lt;&gt;0,$H128/D128,"")</f>
        <v>-7.5931833289837923E-3</v>
      </c>
      <c r="U128" s="291"/>
    </row>
    <row r="129" spans="1:21">
      <c r="A129" s="289" t="s">
        <v>206</v>
      </c>
      <c r="B129" s="312">
        <f>CDCM!B238+CDCM!C238+CDCM!D238</f>
        <v>0</v>
      </c>
      <c r="C129" s="314">
        <f>CDCM!E238</f>
        <v>0</v>
      </c>
      <c r="D129" s="312">
        <f>0.01*CDCM!F$14*(CDCM!$E4273*CDCM!E238+CDCM!$F4273*CDCM!F238)+10*(CDCM!$B4273*CDCM!B238+CDCM!$C4273*CDCM!C238+CDCM!$D4273*CDCM!D238+CDCM!$G4273*CDCM!G238)</f>
        <v>0</v>
      </c>
      <c r="E129" s="312">
        <f>10*(CDCM!$B4273*CDCM!B238+CDCM!$C4273*CDCM!C238+CDCM!$D4273*CDCM!D238)</f>
        <v>0</v>
      </c>
      <c r="F129" s="312">
        <f>CDCM!E4273*CDCM!$F$14*CDCM!$E238/100</f>
        <v>0</v>
      </c>
      <c r="G129" s="312">
        <f>CDCM!F4273*CDCM!$F$14*CDCM!$F238/100</f>
        <v>0</v>
      </c>
      <c r="H129" s="312">
        <f>CDCM!G4273*CDCM!$G238*10</f>
        <v>0</v>
      </c>
      <c r="I129" s="306" t="str">
        <f>IF(B129&lt;&gt;0,0.1*D129/B129,"")</f>
        <v/>
      </c>
      <c r="J129" s="316" t="str">
        <f>IF(C129&lt;&gt;0,D129/C129,"")</f>
        <v/>
      </c>
      <c r="K129" s="306">
        <f>IF(B129&lt;&gt;0,0.1*E129/B129,0)</f>
        <v>0</v>
      </c>
      <c r="L129" s="312">
        <f>CDCM!B4273*CDCM!$B238*10</f>
        <v>0</v>
      </c>
      <c r="M129" s="312">
        <f>CDCM!C4273*CDCM!$C238*10</f>
        <v>0</v>
      </c>
      <c r="N129" s="312">
        <f>CDCM!D4273*CDCM!$D238*10</f>
        <v>0</v>
      </c>
      <c r="O129" s="308" t="str">
        <f>IF(E129&lt;&gt;0,$L129/E129,"")</f>
        <v/>
      </c>
      <c r="P129" s="308" t="str">
        <f>IF(E129&lt;&gt;0,$M129/E129,"")</f>
        <v/>
      </c>
      <c r="Q129" s="308" t="str">
        <f>IF(E129&lt;&gt;0,$N129/E129,"")</f>
        <v/>
      </c>
      <c r="R129" s="308" t="str">
        <f>IF(D129&lt;&gt;0,$F129/D129,"")</f>
        <v/>
      </c>
      <c r="S129" s="308" t="str">
        <f>IF(D129&lt;&gt;0,$G129/D129,"")</f>
        <v/>
      </c>
      <c r="T129" s="308" t="str">
        <f>IF(D129&lt;&gt;0,$H129/D129,"")</f>
        <v/>
      </c>
      <c r="U129" s="291"/>
    </row>
    <row r="131" spans="1:21" ht="21" customHeight="1">
      <c r="A131" s="1" t="s">
        <v>1837</v>
      </c>
    </row>
    <row r="132" spans="1:21">
      <c r="A132" s="287" t="s">
        <v>255</v>
      </c>
    </row>
    <row r="133" spans="1:21">
      <c r="A133" s="301" t="s">
        <v>1836</v>
      </c>
    </row>
    <row r="134" spans="1:21">
      <c r="A134" s="301" t="s">
        <v>1835</v>
      </c>
    </row>
    <row r="135" spans="1:21">
      <c r="A135" s="301" t="s">
        <v>1834</v>
      </c>
    </row>
    <row r="136" spans="1:21">
      <c r="A136" s="301" t="s">
        <v>1833</v>
      </c>
    </row>
    <row r="137" spans="1:21">
      <c r="A137" s="301" t="s">
        <v>1832</v>
      </c>
    </row>
    <row r="138" spans="1:21">
      <c r="A138" s="301" t="s">
        <v>1831</v>
      </c>
    </row>
    <row r="139" spans="1:21">
      <c r="A139" s="301" t="s">
        <v>1830</v>
      </c>
    </row>
    <row r="140" spans="1:21">
      <c r="A140" s="302" t="s">
        <v>258</v>
      </c>
      <c r="B140" s="302" t="s">
        <v>381</v>
      </c>
      <c r="C140" s="302" t="s">
        <v>381</v>
      </c>
      <c r="D140" s="302" t="s">
        <v>381</v>
      </c>
      <c r="E140" s="302" t="s">
        <v>381</v>
      </c>
      <c r="F140" s="302" t="s">
        <v>381</v>
      </c>
      <c r="G140" s="302" t="s">
        <v>381</v>
      </c>
      <c r="H140" s="302" t="s">
        <v>381</v>
      </c>
    </row>
    <row r="141" spans="1:21">
      <c r="A141" s="302" t="s">
        <v>261</v>
      </c>
      <c r="B141" s="302" t="s">
        <v>431</v>
      </c>
      <c r="C141" s="302" t="s">
        <v>432</v>
      </c>
      <c r="D141" s="302" t="s">
        <v>433</v>
      </c>
      <c r="E141" s="302" t="s">
        <v>434</v>
      </c>
      <c r="F141" s="302" t="s">
        <v>383</v>
      </c>
      <c r="G141" s="302" t="s">
        <v>435</v>
      </c>
      <c r="H141" s="302" t="s">
        <v>1258</v>
      </c>
    </row>
    <row r="143" spans="1:21" ht="45">
      <c r="B143" s="288" t="s">
        <v>1259</v>
      </c>
      <c r="C143" s="288" t="s">
        <v>1260</v>
      </c>
      <c r="D143" s="288" t="s">
        <v>1167</v>
      </c>
      <c r="E143" s="288" t="s">
        <v>1261</v>
      </c>
      <c r="F143" s="288" t="s">
        <v>1262</v>
      </c>
      <c r="G143" s="288" t="s">
        <v>1263</v>
      </c>
      <c r="H143" s="288" t="s">
        <v>1264</v>
      </c>
    </row>
    <row r="144" spans="1:21">
      <c r="A144" s="289" t="s">
        <v>1265</v>
      </c>
      <c r="B144" s="312">
        <f>SUM(B$33:B$129)</f>
        <v>23570143.514813982</v>
      </c>
      <c r="C144" s="312">
        <f>SUM(C$33:C$129)</f>
        <v>2519148.2768782978</v>
      </c>
      <c r="D144" s="312">
        <f>SUM(D$33:D$129)</f>
        <v>532265203.87186223</v>
      </c>
      <c r="E144" s="312">
        <f>SUM(E$33:E$129)</f>
        <v>397236768.16626948</v>
      </c>
      <c r="F144" s="312">
        <f>SUM($F$33:$F$129)</f>
        <v>46757369.521157399</v>
      </c>
      <c r="G144" s="312">
        <f>SUM($G$33:$G$129)</f>
        <v>84745569.180292085</v>
      </c>
      <c r="H144" s="312">
        <f>SUM($H$33:$H$129)</f>
        <v>3525497.0041432502</v>
      </c>
      <c r="I144" s="291"/>
    </row>
  </sheetData>
  <hyperlinks>
    <hyperlink ref="A6" location="'CDCM'!B141" display="x1 = 1053. Rate 1 units (MWh) by tariff (in Volume forecasts for the charging year)"/>
    <hyperlink ref="A7" location="'CDCM'!C141" display="x2 = 1053. Rate 2 units (MWh) by tariff (in Volume forecasts for the charging year)"/>
    <hyperlink ref="A8" location="'CDCM'!D141" display="x3 = 1053. Rate 3 units (MWh) by tariff (in Volume forecasts for the charging year)"/>
    <hyperlink ref="A9" location="'CDCM'!E141" display="x4 = 1053. MPANs by tariff (in Volume forecasts for the charging year)"/>
    <hyperlink ref="A10" location="'CDCM'!F13" display="x5 = 1010. Days in the charging year (in Financial and general assumptions)"/>
    <hyperlink ref="A11" location="'CDCM'!E4176" display="x6 = 3607. Fixed charge p/MPAN/day (in Tariffs)"/>
    <hyperlink ref="A12" location="'CDCM'!F4176" display="x7 = 3607. Capacity charge p/kVA/day (in Tariffs)"/>
    <hyperlink ref="A13" location="'CDCM'!F141" display="x8 = 1053. Import capacity (kVA) by tariff (in Volume forecasts for the charging year)"/>
    <hyperlink ref="A14" location="'CDCM'!B4176" display="x9 = 3607. Unit rate 1 p/kWh (in Tariffs)"/>
    <hyperlink ref="A15" location="'CDCM'!C4176" display="x10 = 3607. Unit rate 2 p/kWh (in Tariffs)"/>
    <hyperlink ref="A16" location="'CDCM'!D4176" display="x11 = 3607. Unit rate 3 p/kWh (in Tariffs)"/>
    <hyperlink ref="A17" location="'CDCM'!G4176" display="x12 = 3607. Reactive power charge p/kVArh (in Tariffs)"/>
    <hyperlink ref="A18" location="'CDCM'!G141" display="x13 = 1053. Reactive power units (MVArh) by tariff (in Volume forecasts for the charging year)"/>
    <hyperlink ref="A19" location="'Summary'!B32" display="x14 = All units (MWh) (in Revenue summary)"/>
    <hyperlink ref="A20" location="'Summary'!D32" display="x15 = Net revenues (£) (in Revenue summary)"/>
    <hyperlink ref="A21" location="'Summary'!C32" display="x16 = MPANs (in Revenue summary)"/>
    <hyperlink ref="A22" location="'Summary'!E32" display="x17 = Revenues from unit rates (£) (in Revenue summary)"/>
    <hyperlink ref="A23" location="'Summary'!L32" display="x18 = Net revenues from unit rate 1 (£) (in Revenue summary)"/>
    <hyperlink ref="A24" location="'Summary'!M32" display="x19 = Net revenues from unit rate 2 (£) (in Revenue summary)"/>
    <hyperlink ref="A25" location="'Summary'!N32" display="x20 = Net revenues from unit rate 3 (£) (in Revenue summary)"/>
    <hyperlink ref="A26" location="'Summary'!F32" display="x21 = Revenues from fixed charges (£) (in Revenue summary)"/>
    <hyperlink ref="A27" location="'Summary'!G32" display="x22 = Revenues from capacity charges (£) (in Revenue summary)"/>
    <hyperlink ref="A28" location="'Summary'!H32" display="x23 = Revenues from reactive power charges (£) (in Revenue summary)"/>
    <hyperlink ref="A133" location="'Summary'!B32" display="x1 = 3801. All units (MWh) (in Revenue summary)"/>
    <hyperlink ref="A134" location="'Summary'!C32" display="x2 = 3801. MPANs (in Revenue summary)"/>
    <hyperlink ref="A135" location="'Summary'!D32" display="x3 = 3801. Net revenues (£) (in Revenue summary)"/>
    <hyperlink ref="A136" location="'Summary'!E32" display="x4 = 3801. Revenues from unit rates (£) (in Revenue summary)"/>
    <hyperlink ref="A137" location="'Summary'!F32" display="x5 = 3801. Revenues from fixed charges (£) (in Revenue summary)"/>
    <hyperlink ref="A138" location="'Summary'!G32" display="x6 = 3801. Revenues from capacity charges (£) (in Revenue summary)"/>
    <hyperlink ref="A139" location="'Summary'!H32" display="x7 = 3801. Revenues from reactive power charges (£) (in Revenue summary)"/>
  </hyperlinks>
  <pageMargins left="0.7" right="0.7" top="0.75" bottom="0.75" header="0.3" footer="0.3"/>
  <pageSetup paperSize="9" orientation="landscape"/>
  <headerFooter>
    <oddHeader>&amp;L&amp;A&amp;C&amp;R&amp;P of &amp;N</oddHeader>
    <oddFooter>&amp;F</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L4346"/>
  <sheetViews>
    <sheetView showGridLines="0" workbookViewId="0">
      <pane xSplit="1" ySplit="1" topLeftCell="B2" activePane="bottomRight" state="frozen"/>
      <selection activeCell="C30" sqref="C30"/>
      <selection pane="topRight" activeCell="C30" sqref="C30"/>
      <selection pane="bottomLeft" activeCell="C30" sqref="C30"/>
      <selection pane="bottomRight" activeCell="A4" sqref="A4:K332"/>
    </sheetView>
  </sheetViews>
  <sheetFormatPr defaultRowHeight="15"/>
  <cols>
    <col min="1" max="1" width="50.7109375" customWidth="1"/>
    <col min="2" max="251" width="28.7109375" customWidth="1"/>
  </cols>
  <sheetData>
    <row r="1" spans="1:7" ht="21" customHeight="1">
      <c r="A1" s="1" t="str">
        <f>"Input data for "&amp;CDCM!B7&amp;" in "&amp;CDCM!C7&amp;" ("&amp;CDCM!D7&amp;")"</f>
        <v>Input data for West Mids in 0 (Forecast)</v>
      </c>
    </row>
    <row r="2" spans="1:7">
      <c r="A2" s="287" t="s">
        <v>1616</v>
      </c>
    </row>
    <row r="4" spans="1:7" ht="21" customHeight="1">
      <c r="A4" s="1" t="s">
        <v>0</v>
      </c>
    </row>
    <row r="5" spans="1:7">
      <c r="A5" t="s">
        <v>262</v>
      </c>
    </row>
    <row r="6" spans="1:7">
      <c r="B6" s="288" t="s">
        <v>1</v>
      </c>
      <c r="C6" s="288" t="s">
        <v>2</v>
      </c>
      <c r="D6" s="288" t="s">
        <v>3</v>
      </c>
    </row>
    <row r="7" spans="1:7">
      <c r="A7" s="289" t="s">
        <v>4</v>
      </c>
      <c r="B7" s="290" t="s">
        <v>1849</v>
      </c>
      <c r="C7" s="290">
        <v>0</v>
      </c>
      <c r="D7" s="290" t="s">
        <v>1848</v>
      </c>
      <c r="E7" s="291" t="s">
        <v>262</v>
      </c>
    </row>
    <row r="9" spans="1:7" ht="21" customHeight="1">
      <c r="A9" s="1" t="s">
        <v>45</v>
      </c>
    </row>
    <row r="10" spans="1:7">
      <c r="A10" s="287"/>
    </row>
    <row r="11" spans="1:7">
      <c r="A11" s="287" t="s">
        <v>46</v>
      </c>
    </row>
    <row r="12" spans="1:7">
      <c r="A12" t="s">
        <v>47</v>
      </c>
    </row>
    <row r="13" spans="1:7" ht="30">
      <c r="B13" s="288" t="s">
        <v>48</v>
      </c>
      <c r="C13" s="288" t="s">
        <v>49</v>
      </c>
      <c r="D13" s="288" t="s">
        <v>50</v>
      </c>
      <c r="E13" s="288" t="s">
        <v>51</v>
      </c>
      <c r="F13" s="288" t="s">
        <v>1398</v>
      </c>
    </row>
    <row r="14" spans="1:7">
      <c r="A14" s="289" t="s">
        <v>52</v>
      </c>
      <c r="B14" s="292">
        <v>4.3099999999999999E-2</v>
      </c>
      <c r="C14" s="293">
        <v>40</v>
      </c>
      <c r="D14" s="294"/>
      <c r="E14" s="295">
        <v>0.95</v>
      </c>
      <c r="F14" s="293">
        <v>365</v>
      </c>
      <c r="G14" s="291" t="s">
        <v>262</v>
      </c>
    </row>
    <row r="16" spans="1:7" ht="21" customHeight="1">
      <c r="A16" s="1" t="s">
        <v>53</v>
      </c>
    </row>
    <row r="17" spans="1:3">
      <c r="A17" s="287"/>
    </row>
    <row r="18" spans="1:3">
      <c r="A18" s="287" t="s">
        <v>54</v>
      </c>
    </row>
    <row r="19" spans="1:3">
      <c r="A19" s="287" t="s">
        <v>55</v>
      </c>
    </row>
    <row r="20" spans="1:3">
      <c r="A20" s="287" t="s">
        <v>56</v>
      </c>
    </row>
    <row r="21" spans="1:3">
      <c r="A21" s="287" t="s">
        <v>57</v>
      </c>
    </row>
    <row r="22" spans="1:3">
      <c r="A22" t="s">
        <v>58</v>
      </c>
    </row>
    <row r="23" spans="1:3" ht="45">
      <c r="B23" s="288" t="s">
        <v>59</v>
      </c>
    </row>
    <row r="24" spans="1:3">
      <c r="A24" s="289" t="s">
        <v>60</v>
      </c>
      <c r="B24" s="292">
        <v>5.649040831841079E-2</v>
      </c>
      <c r="C24" s="291" t="s">
        <v>262</v>
      </c>
    </row>
    <row r="25" spans="1:3">
      <c r="A25" s="289" t="s">
        <v>61</v>
      </c>
      <c r="B25" s="292">
        <v>2.5568682496299511E-2</v>
      </c>
      <c r="C25" s="291" t="s">
        <v>262</v>
      </c>
    </row>
    <row r="26" spans="1:3">
      <c r="A26" s="289" t="s">
        <v>62</v>
      </c>
      <c r="B26" s="296"/>
      <c r="C26" s="291" t="s">
        <v>262</v>
      </c>
    </row>
    <row r="27" spans="1:3">
      <c r="A27" s="289" t="s">
        <v>63</v>
      </c>
      <c r="B27" s="292">
        <v>2.6631596666738533E-2</v>
      </c>
      <c r="C27" s="291" t="s">
        <v>262</v>
      </c>
    </row>
    <row r="28" spans="1:3">
      <c r="A28" s="289" t="s">
        <v>64</v>
      </c>
      <c r="B28" s="296"/>
      <c r="C28" s="291" t="s">
        <v>262</v>
      </c>
    </row>
    <row r="29" spans="1:3">
      <c r="A29" s="289" t="s">
        <v>65</v>
      </c>
      <c r="B29" s="292">
        <v>0.34000000000000008</v>
      </c>
      <c r="C29" s="291" t="s">
        <v>262</v>
      </c>
    </row>
    <row r="30" spans="1:3">
      <c r="A30" s="289" t="s">
        <v>66</v>
      </c>
      <c r="B30" s="296"/>
      <c r="C30" s="291" t="s">
        <v>262</v>
      </c>
    </row>
    <row r="31" spans="1:3">
      <c r="A31" s="289" t="s">
        <v>67</v>
      </c>
      <c r="B31" s="296"/>
      <c r="C31" s="291" t="s">
        <v>262</v>
      </c>
    </row>
    <row r="33" spans="1:3" ht="21" customHeight="1">
      <c r="A33" s="1" t="s">
        <v>68</v>
      </c>
    </row>
    <row r="34" spans="1:3">
      <c r="A34" t="s">
        <v>262</v>
      </c>
    </row>
    <row r="35" spans="1:3">
      <c r="B35" s="288" t="s">
        <v>69</v>
      </c>
    </row>
    <row r="36" spans="1:3">
      <c r="A36" s="289" t="s">
        <v>64</v>
      </c>
      <c r="B36" s="292">
        <v>0.69256562916818787</v>
      </c>
      <c r="C36" s="291" t="s">
        <v>262</v>
      </c>
    </row>
    <row r="38" spans="1:3" ht="21" customHeight="1">
      <c r="A38" s="1" t="s">
        <v>70</v>
      </c>
    </row>
    <row r="40" spans="1:3" ht="30">
      <c r="B40" s="288" t="s">
        <v>71</v>
      </c>
    </row>
    <row r="41" spans="1:3">
      <c r="A41" s="289" t="s">
        <v>71</v>
      </c>
      <c r="B41" s="293">
        <v>500</v>
      </c>
      <c r="C41" s="291" t="s">
        <v>262</v>
      </c>
    </row>
    <row r="43" spans="1:3" ht="21" customHeight="1">
      <c r="A43" s="1" t="s">
        <v>72</v>
      </c>
    </row>
    <row r="45" spans="1:3">
      <c r="B45" s="288" t="s">
        <v>73</v>
      </c>
    </row>
    <row r="46" spans="1:3">
      <c r="A46" s="289" t="s">
        <v>61</v>
      </c>
      <c r="B46" s="293">
        <v>55391619.774586372</v>
      </c>
      <c r="C46" s="291" t="s">
        <v>262</v>
      </c>
    </row>
    <row r="47" spans="1:3">
      <c r="A47" s="289" t="s">
        <v>62</v>
      </c>
      <c r="B47" s="293">
        <v>12679909.620302562</v>
      </c>
      <c r="C47" s="291" t="s">
        <v>262</v>
      </c>
    </row>
    <row r="48" spans="1:3">
      <c r="A48" s="289" t="s">
        <v>63</v>
      </c>
      <c r="B48" s="293">
        <v>13065706.704609253</v>
      </c>
      <c r="C48" s="291" t="s">
        <v>262</v>
      </c>
    </row>
    <row r="49" spans="1:10">
      <c r="A49" s="289" t="s">
        <v>64</v>
      </c>
      <c r="B49" s="293">
        <v>24690431.495695189</v>
      </c>
      <c r="C49" s="291" t="s">
        <v>262</v>
      </c>
    </row>
    <row r="50" spans="1:10">
      <c r="A50" s="289" t="s">
        <v>69</v>
      </c>
      <c r="B50" s="293">
        <v>26321318.145701502</v>
      </c>
      <c r="C50" s="291" t="s">
        <v>262</v>
      </c>
    </row>
    <row r="51" spans="1:10">
      <c r="A51" s="289" t="s">
        <v>65</v>
      </c>
      <c r="B51" s="293">
        <v>170919264.75316527</v>
      </c>
      <c r="C51" s="291" t="s">
        <v>262</v>
      </c>
    </row>
    <row r="52" spans="1:10">
      <c r="A52" s="289" t="s">
        <v>66</v>
      </c>
      <c r="B52" s="293">
        <v>77120315.903109625</v>
      </c>
      <c r="C52" s="291" t="s">
        <v>262</v>
      </c>
    </row>
    <row r="53" spans="1:10">
      <c r="A53" s="289" t="s">
        <v>67</v>
      </c>
      <c r="B53" s="293">
        <v>175725081.20068204</v>
      </c>
      <c r="C53" s="291" t="s">
        <v>262</v>
      </c>
    </row>
    <row r="55" spans="1:10" ht="21" customHeight="1">
      <c r="A55" s="1" t="s">
        <v>74</v>
      </c>
    </row>
    <row r="57" spans="1:10">
      <c r="B57" s="288" t="s">
        <v>75</v>
      </c>
      <c r="C57" s="288" t="s">
        <v>76</v>
      </c>
      <c r="D57" s="288" t="s">
        <v>77</v>
      </c>
      <c r="E57" s="288" t="s">
        <v>78</v>
      </c>
      <c r="F57" s="288" t="s">
        <v>79</v>
      </c>
      <c r="G57" s="288" t="s">
        <v>80</v>
      </c>
      <c r="H57" s="288" t="s">
        <v>81</v>
      </c>
      <c r="I57" s="288" t="s">
        <v>82</v>
      </c>
    </row>
    <row r="58" spans="1:10">
      <c r="A58" s="289" t="s">
        <v>83</v>
      </c>
      <c r="B58" s="293">
        <v>5922.6084572471354</v>
      </c>
      <c r="C58" s="293">
        <v>666.23423784695512</v>
      </c>
      <c r="D58" s="293">
        <v>811.1354380130341</v>
      </c>
      <c r="E58" s="293">
        <v>601.55423712008644</v>
      </c>
      <c r="F58" s="293">
        <v>1367.4666525823041</v>
      </c>
      <c r="G58" s="293">
        <v>1053.2407152251476</v>
      </c>
      <c r="H58" s="293">
        <v>0</v>
      </c>
      <c r="I58" s="293">
        <v>550.85103890725816</v>
      </c>
      <c r="J58" s="291" t="s">
        <v>262</v>
      </c>
    </row>
    <row r="60" spans="1:10" ht="21" customHeight="1">
      <c r="A60" s="1" t="s">
        <v>84</v>
      </c>
    </row>
    <row r="62" spans="1:10">
      <c r="B62" s="288" t="s">
        <v>85</v>
      </c>
      <c r="C62" s="288" t="s">
        <v>86</v>
      </c>
      <c r="D62" s="288" t="s">
        <v>87</v>
      </c>
      <c r="E62" s="288" t="s">
        <v>88</v>
      </c>
      <c r="F62" s="288" t="s">
        <v>89</v>
      </c>
    </row>
    <row r="63" spans="1:10">
      <c r="A63" s="289" t="s">
        <v>90</v>
      </c>
      <c r="B63" s="293">
        <v>10449.370039655318</v>
      </c>
      <c r="C63" s="293">
        <v>5037.9942875934403</v>
      </c>
      <c r="D63" s="293">
        <v>0</v>
      </c>
      <c r="E63" s="293">
        <v>0</v>
      </c>
      <c r="F63" s="293">
        <v>0</v>
      </c>
      <c r="G63" s="291" t="s">
        <v>262</v>
      </c>
    </row>
    <row r="65" spans="1:10" ht="21" customHeight="1">
      <c r="A65" s="1" t="s">
        <v>91</v>
      </c>
    </row>
    <row r="66" spans="1:10">
      <c r="B66">
        <v>34</v>
      </c>
      <c r="C66">
        <v>35</v>
      </c>
      <c r="D66">
        <v>36</v>
      </c>
      <c r="E66">
        <v>37</v>
      </c>
      <c r="F66">
        <v>38</v>
      </c>
      <c r="G66">
        <v>39</v>
      </c>
      <c r="H66">
        <v>40</v>
      </c>
      <c r="I66">
        <v>41</v>
      </c>
    </row>
    <row r="67" spans="1:10">
      <c r="B67" s="288" t="s">
        <v>75</v>
      </c>
      <c r="C67" s="288" t="s">
        <v>76</v>
      </c>
      <c r="D67" s="288" t="s">
        <v>77</v>
      </c>
      <c r="E67" s="288" t="s">
        <v>78</v>
      </c>
      <c r="F67" s="288" t="s">
        <v>79</v>
      </c>
      <c r="G67" s="288" t="s">
        <v>80</v>
      </c>
      <c r="H67" s="288" t="s">
        <v>81</v>
      </c>
      <c r="I67" s="288" t="s">
        <v>82</v>
      </c>
    </row>
    <row r="68" spans="1:10">
      <c r="A68" s="289" t="s">
        <v>92</v>
      </c>
      <c r="B68" s="292">
        <v>0.05</v>
      </c>
      <c r="C68" s="292">
        <v>0</v>
      </c>
      <c r="D68" s="292">
        <v>0</v>
      </c>
      <c r="E68" s="292">
        <v>0</v>
      </c>
      <c r="F68" s="292">
        <v>0</v>
      </c>
      <c r="G68" s="292">
        <v>0</v>
      </c>
      <c r="H68" s="292">
        <v>0</v>
      </c>
      <c r="I68" s="292">
        <v>0</v>
      </c>
      <c r="J68" s="291" t="s">
        <v>262</v>
      </c>
    </row>
    <row r="69" spans="1:10">
      <c r="A69" s="289" t="s">
        <v>93</v>
      </c>
      <c r="B69" s="292">
        <v>0.05</v>
      </c>
      <c r="C69" s="292">
        <v>0</v>
      </c>
      <c r="D69" s="292">
        <v>0</v>
      </c>
      <c r="E69" s="292">
        <v>0</v>
      </c>
      <c r="F69" s="292">
        <v>0</v>
      </c>
      <c r="G69" s="292">
        <v>0</v>
      </c>
      <c r="H69" s="292">
        <v>0</v>
      </c>
      <c r="I69" s="292">
        <v>0</v>
      </c>
      <c r="J69" s="291" t="s">
        <v>262</v>
      </c>
    </row>
    <row r="70" spans="1:10">
      <c r="A70" s="289" t="s">
        <v>94</v>
      </c>
      <c r="B70" s="292">
        <v>0</v>
      </c>
      <c r="C70" s="292">
        <v>1</v>
      </c>
      <c r="D70" s="292">
        <v>0</v>
      </c>
      <c r="E70" s="292">
        <v>0</v>
      </c>
      <c r="F70" s="292">
        <v>0</v>
      </c>
      <c r="G70" s="292">
        <v>0</v>
      </c>
      <c r="H70" s="292">
        <v>0</v>
      </c>
      <c r="I70" s="292">
        <v>0</v>
      </c>
      <c r="J70" s="291" t="s">
        <v>262</v>
      </c>
    </row>
    <row r="71" spans="1:10">
      <c r="A71" s="289" t="s">
        <v>95</v>
      </c>
      <c r="B71" s="292">
        <v>0</v>
      </c>
      <c r="C71" s="292">
        <v>1</v>
      </c>
      <c r="D71" s="292">
        <v>0</v>
      </c>
      <c r="E71" s="292">
        <v>0</v>
      </c>
      <c r="F71" s="292">
        <v>0</v>
      </c>
      <c r="G71" s="292">
        <v>0</v>
      </c>
      <c r="H71" s="292">
        <v>0</v>
      </c>
      <c r="I71" s="292">
        <v>0</v>
      </c>
      <c r="J71" s="291" t="s">
        <v>262</v>
      </c>
    </row>
    <row r="72" spans="1:10">
      <c r="A72" s="289" t="s">
        <v>96</v>
      </c>
      <c r="B72" s="292">
        <v>0</v>
      </c>
      <c r="C72" s="292">
        <v>0</v>
      </c>
      <c r="D72" s="292">
        <v>1</v>
      </c>
      <c r="E72" s="292">
        <v>0</v>
      </c>
      <c r="F72" s="292">
        <v>0</v>
      </c>
      <c r="G72" s="292">
        <v>0</v>
      </c>
      <c r="H72" s="292">
        <v>0</v>
      </c>
      <c r="I72" s="292">
        <v>0</v>
      </c>
      <c r="J72" s="291"/>
    </row>
    <row r="73" spans="1:10">
      <c r="A73" s="289" t="s">
        <v>97</v>
      </c>
      <c r="B73" s="292">
        <v>0</v>
      </c>
      <c r="C73" s="292">
        <v>0</v>
      </c>
      <c r="D73" s="292">
        <v>0</v>
      </c>
      <c r="E73" s="292">
        <v>1</v>
      </c>
      <c r="F73" s="292">
        <v>0</v>
      </c>
      <c r="G73" s="292">
        <v>0</v>
      </c>
      <c r="H73" s="292">
        <v>0</v>
      </c>
      <c r="I73" s="292">
        <v>0</v>
      </c>
      <c r="J73" s="291"/>
    </row>
    <row r="74" spans="1:10">
      <c r="A74" s="289" t="s">
        <v>1536</v>
      </c>
      <c r="B74" s="292">
        <v>0.05</v>
      </c>
      <c r="C74" s="292">
        <v>0</v>
      </c>
      <c r="D74" s="292">
        <v>0</v>
      </c>
      <c r="E74" s="292">
        <v>0</v>
      </c>
      <c r="F74" s="292">
        <v>0</v>
      </c>
      <c r="G74" s="292">
        <v>0</v>
      </c>
      <c r="H74" s="292">
        <v>0</v>
      </c>
      <c r="I74" s="292">
        <v>0</v>
      </c>
      <c r="J74" s="291" t="s">
        <v>262</v>
      </c>
    </row>
    <row r="75" spans="1:10">
      <c r="A75" s="289" t="s">
        <v>1535</v>
      </c>
      <c r="B75" s="292">
        <v>0</v>
      </c>
      <c r="C75" s="292">
        <v>1</v>
      </c>
      <c r="D75" s="292">
        <v>0</v>
      </c>
      <c r="E75" s="292">
        <v>0</v>
      </c>
      <c r="F75" s="292">
        <v>0</v>
      </c>
      <c r="G75" s="292">
        <v>0</v>
      </c>
      <c r="H75" s="292">
        <v>0</v>
      </c>
      <c r="I75" s="292">
        <v>0</v>
      </c>
      <c r="J75" s="291" t="s">
        <v>262</v>
      </c>
    </row>
    <row r="76" spans="1:10">
      <c r="A76" s="289" t="s">
        <v>98</v>
      </c>
      <c r="B76" s="292">
        <v>0</v>
      </c>
      <c r="C76" s="292">
        <v>0</v>
      </c>
      <c r="D76" s="292">
        <v>0</v>
      </c>
      <c r="E76" s="292">
        <v>0</v>
      </c>
      <c r="F76" s="292">
        <v>1</v>
      </c>
      <c r="G76" s="292">
        <v>0</v>
      </c>
      <c r="H76" s="292">
        <v>0</v>
      </c>
      <c r="I76" s="292">
        <v>0</v>
      </c>
      <c r="J76" s="291" t="s">
        <v>262</v>
      </c>
    </row>
    <row r="77" spans="1:10">
      <c r="A77" s="289" t="s">
        <v>99</v>
      </c>
      <c r="B77" s="292">
        <v>0</v>
      </c>
      <c r="C77" s="292">
        <v>0</v>
      </c>
      <c r="D77" s="292">
        <v>0</v>
      </c>
      <c r="E77" s="292">
        <v>0</v>
      </c>
      <c r="F77" s="292">
        <v>0</v>
      </c>
      <c r="G77" s="292">
        <v>1</v>
      </c>
      <c r="H77" s="292">
        <v>0</v>
      </c>
      <c r="I77" s="292">
        <v>0</v>
      </c>
      <c r="J77" s="291" t="s">
        <v>262</v>
      </c>
    </row>
    <row r="78" spans="1:10">
      <c r="A78" s="289" t="s">
        <v>1534</v>
      </c>
      <c r="B78" s="292">
        <v>0</v>
      </c>
      <c r="C78" s="292">
        <v>0</v>
      </c>
      <c r="D78" s="292">
        <v>0</v>
      </c>
      <c r="E78" s="292">
        <v>0</v>
      </c>
      <c r="F78" s="292">
        <v>0</v>
      </c>
      <c r="G78" s="292">
        <v>0</v>
      </c>
      <c r="H78" s="292">
        <v>1</v>
      </c>
      <c r="I78" s="292">
        <v>0</v>
      </c>
      <c r="J78" s="291" t="s">
        <v>262</v>
      </c>
    </row>
    <row r="79" spans="1:10">
      <c r="A79" s="289" t="s">
        <v>100</v>
      </c>
      <c r="B79" s="292">
        <v>0</v>
      </c>
      <c r="C79" s="292">
        <v>0</v>
      </c>
      <c r="D79" s="292">
        <v>0</v>
      </c>
      <c r="E79" s="292">
        <v>0</v>
      </c>
      <c r="F79" s="292">
        <v>0</v>
      </c>
      <c r="G79" s="292">
        <v>0</v>
      </c>
      <c r="H79" s="292">
        <v>1</v>
      </c>
      <c r="I79" s="292">
        <v>0</v>
      </c>
      <c r="J79" s="291" t="s">
        <v>262</v>
      </c>
    </row>
    <row r="80" spans="1:10">
      <c r="A80" s="289" t="s">
        <v>101</v>
      </c>
      <c r="B80" s="292">
        <v>0</v>
      </c>
      <c r="C80" s="292">
        <v>0</v>
      </c>
      <c r="D80" s="292">
        <v>0</v>
      </c>
      <c r="E80" s="292">
        <v>0</v>
      </c>
      <c r="F80" s="292">
        <v>0</v>
      </c>
      <c r="G80" s="292">
        <v>0</v>
      </c>
      <c r="H80" s="292">
        <v>1</v>
      </c>
      <c r="I80" s="292">
        <v>0</v>
      </c>
      <c r="J80" s="291" t="s">
        <v>262</v>
      </c>
    </row>
    <row r="81" spans="1:10">
      <c r="A81" s="289" t="s">
        <v>102</v>
      </c>
      <c r="B81" s="292">
        <v>0</v>
      </c>
      <c r="C81" s="292">
        <v>0</v>
      </c>
      <c r="D81" s="292">
        <v>0</v>
      </c>
      <c r="E81" s="292">
        <v>0</v>
      </c>
      <c r="F81" s="292">
        <v>0</v>
      </c>
      <c r="G81" s="292">
        <v>0</v>
      </c>
      <c r="H81" s="292">
        <v>0</v>
      </c>
      <c r="I81" s="292">
        <v>0</v>
      </c>
      <c r="J81" s="291" t="s">
        <v>262</v>
      </c>
    </row>
    <row r="82" spans="1:10">
      <c r="A82" s="289" t="s">
        <v>103</v>
      </c>
      <c r="B82" s="292">
        <v>0</v>
      </c>
      <c r="C82" s="292">
        <v>0</v>
      </c>
      <c r="D82" s="292">
        <v>0</v>
      </c>
      <c r="E82" s="292">
        <v>0</v>
      </c>
      <c r="F82" s="292">
        <v>0</v>
      </c>
      <c r="G82" s="292">
        <v>0</v>
      </c>
      <c r="H82" s="292">
        <v>0</v>
      </c>
      <c r="I82" s="292">
        <v>0</v>
      </c>
      <c r="J82" s="291" t="s">
        <v>262</v>
      </c>
    </row>
    <row r="83" spans="1:10">
      <c r="A83" s="289" t="s">
        <v>104</v>
      </c>
      <c r="B83" s="292">
        <v>0</v>
      </c>
      <c r="C83" s="292">
        <v>0</v>
      </c>
      <c r="D83" s="292">
        <v>0</v>
      </c>
      <c r="E83" s="292">
        <v>0</v>
      </c>
      <c r="F83" s="292">
        <v>0</v>
      </c>
      <c r="G83" s="292">
        <v>0</v>
      </c>
      <c r="H83" s="292">
        <v>0</v>
      </c>
      <c r="I83" s="292">
        <v>0</v>
      </c>
      <c r="J83" s="291" t="s">
        <v>262</v>
      </c>
    </row>
    <row r="85" spans="1:10" ht="21" customHeight="1">
      <c r="A85" s="1" t="s">
        <v>105</v>
      </c>
    </row>
    <row r="86" spans="1:10">
      <c r="A86" s="287"/>
    </row>
    <row r="87" spans="1:10">
      <c r="A87" s="287" t="s">
        <v>106</v>
      </c>
    </row>
    <row r="88" spans="1:10">
      <c r="A88" t="s">
        <v>107</v>
      </c>
    </row>
    <row r="89" spans="1:10">
      <c r="B89" s="288" t="s">
        <v>75</v>
      </c>
      <c r="C89" s="288" t="s">
        <v>76</v>
      </c>
      <c r="D89" s="288" t="s">
        <v>77</v>
      </c>
      <c r="E89" s="288" t="s">
        <v>78</v>
      </c>
      <c r="F89" s="288" t="s">
        <v>79</v>
      </c>
      <c r="G89" s="288" t="s">
        <v>80</v>
      </c>
      <c r="H89" s="288" t="s">
        <v>81</v>
      </c>
      <c r="I89" s="288" t="s">
        <v>82</v>
      </c>
    </row>
    <row r="90" spans="1:10">
      <c r="A90" s="289" t="s">
        <v>108</v>
      </c>
      <c r="B90" s="295">
        <v>0</v>
      </c>
      <c r="C90" s="295">
        <v>0</v>
      </c>
      <c r="D90" s="295">
        <v>0</v>
      </c>
      <c r="E90" s="295">
        <v>0</v>
      </c>
      <c r="F90" s="295">
        <v>0</v>
      </c>
      <c r="G90" s="295">
        <v>0</v>
      </c>
      <c r="H90" s="295">
        <v>0</v>
      </c>
      <c r="I90" s="295">
        <v>0.48799999999999999</v>
      </c>
      <c r="J90" s="291" t="s">
        <v>262</v>
      </c>
    </row>
    <row r="92" spans="1:10" ht="21" customHeight="1">
      <c r="A92" s="1" t="s">
        <v>109</v>
      </c>
    </row>
    <row r="93" spans="1:10">
      <c r="B93">
        <v>22</v>
      </c>
      <c r="C93">
        <v>23</v>
      </c>
      <c r="D93">
        <v>24</v>
      </c>
      <c r="E93">
        <v>25</v>
      </c>
      <c r="F93">
        <v>26</v>
      </c>
    </row>
    <row r="94" spans="1:10">
      <c r="B94" s="288" t="s">
        <v>85</v>
      </c>
      <c r="C94" s="288" t="s">
        <v>86</v>
      </c>
      <c r="D94" s="288" t="s">
        <v>87</v>
      </c>
      <c r="E94" s="288" t="s">
        <v>88</v>
      </c>
      <c r="F94" s="288" t="s">
        <v>89</v>
      </c>
    </row>
    <row r="95" spans="1:10">
      <c r="A95" s="289" t="s">
        <v>110</v>
      </c>
      <c r="B95" s="292">
        <v>1</v>
      </c>
      <c r="C95" s="292">
        <v>0</v>
      </c>
      <c r="D95" s="292">
        <v>0</v>
      </c>
      <c r="E95" s="292">
        <v>0</v>
      </c>
      <c r="F95" s="292">
        <v>0</v>
      </c>
      <c r="G95" s="291" t="s">
        <v>262</v>
      </c>
    </row>
    <row r="96" spans="1:10">
      <c r="A96" s="289" t="s">
        <v>111</v>
      </c>
      <c r="B96" s="292">
        <v>1</v>
      </c>
      <c r="C96" s="292">
        <v>0</v>
      </c>
      <c r="D96" s="292">
        <v>0</v>
      </c>
      <c r="E96" s="292">
        <v>0</v>
      </c>
      <c r="F96" s="292">
        <v>0</v>
      </c>
      <c r="G96" s="291" t="s">
        <v>262</v>
      </c>
    </row>
    <row r="97" spans="1:9">
      <c r="A97" s="289" t="s">
        <v>112</v>
      </c>
      <c r="B97" s="292">
        <v>0</v>
      </c>
      <c r="C97" s="292">
        <v>1</v>
      </c>
      <c r="D97" s="292">
        <v>0</v>
      </c>
      <c r="E97" s="292">
        <v>0</v>
      </c>
      <c r="F97" s="292">
        <v>0</v>
      </c>
      <c r="G97" s="291"/>
    </row>
    <row r="98" spans="1:9">
      <c r="A98" s="289" t="s">
        <v>113</v>
      </c>
      <c r="B98" s="292">
        <v>0</v>
      </c>
      <c r="C98" s="292">
        <v>1</v>
      </c>
      <c r="D98" s="292">
        <v>0</v>
      </c>
      <c r="E98" s="292">
        <v>0</v>
      </c>
      <c r="F98" s="292">
        <v>0</v>
      </c>
      <c r="G98" s="291"/>
    </row>
    <row r="100" spans="1:9" ht="21" customHeight="1">
      <c r="A100" s="1" t="s">
        <v>114</v>
      </c>
    </row>
    <row r="101" spans="1:9">
      <c r="A101" s="287" t="s">
        <v>262</v>
      </c>
    </row>
    <row r="102" spans="1:9">
      <c r="A102" t="s">
        <v>115</v>
      </c>
    </row>
    <row r="103" spans="1:9">
      <c r="B103" s="288" t="s">
        <v>61</v>
      </c>
      <c r="C103" s="288" t="s">
        <v>62</v>
      </c>
      <c r="D103" s="288" t="s">
        <v>63</v>
      </c>
      <c r="E103" s="288" t="s">
        <v>64</v>
      </c>
      <c r="F103" s="288" t="s">
        <v>65</v>
      </c>
      <c r="G103" s="288" t="s">
        <v>66</v>
      </c>
      <c r="H103" s="288" t="s">
        <v>67</v>
      </c>
    </row>
    <row r="104" spans="1:9">
      <c r="A104" s="289" t="s">
        <v>116</v>
      </c>
      <c r="B104" s="295">
        <v>1.002</v>
      </c>
      <c r="C104" s="295">
        <v>1.0069999999999999</v>
      </c>
      <c r="D104" s="295">
        <v>1.016</v>
      </c>
      <c r="E104" s="295">
        <v>1.0229999999999999</v>
      </c>
      <c r="F104" s="295">
        <v>1.0509999999999999</v>
      </c>
      <c r="G104" s="295">
        <v>1.07</v>
      </c>
      <c r="H104" s="295">
        <v>1.087</v>
      </c>
      <c r="I104" s="291" t="s">
        <v>262</v>
      </c>
    </row>
    <row r="106" spans="1:9" ht="21" customHeight="1">
      <c r="A106" s="1" t="s">
        <v>117</v>
      </c>
    </row>
    <row r="107" spans="1:9">
      <c r="A107" s="287" t="s">
        <v>262</v>
      </c>
    </row>
    <row r="108" spans="1:9">
      <c r="A108" t="s">
        <v>118</v>
      </c>
    </row>
    <row r="109" spans="1:9">
      <c r="B109" s="288" t="s">
        <v>119</v>
      </c>
      <c r="C109" s="288" t="s">
        <v>120</v>
      </c>
      <c r="D109" s="288" t="s">
        <v>121</v>
      </c>
      <c r="E109" s="288" t="s">
        <v>122</v>
      </c>
      <c r="F109" s="288" t="s">
        <v>123</v>
      </c>
    </row>
    <row r="110" spans="1:9">
      <c r="A110" s="289" t="s">
        <v>124</v>
      </c>
      <c r="B110" s="296"/>
      <c r="C110" s="292">
        <v>0.33064254054995224</v>
      </c>
      <c r="D110" s="292">
        <v>0.51417010196128798</v>
      </c>
      <c r="E110" s="292">
        <v>0.25833648748307197</v>
      </c>
      <c r="F110" s="292">
        <v>0.15078510117655297</v>
      </c>
      <c r="G110" s="291" t="s">
        <v>262</v>
      </c>
    </row>
    <row r="112" spans="1:9" ht="21" customHeight="1">
      <c r="A112" s="1" t="s">
        <v>125</v>
      </c>
    </row>
    <row r="113" spans="1:4">
      <c r="A113" s="287"/>
    </row>
    <row r="114" spans="1:4">
      <c r="A114" t="s">
        <v>126</v>
      </c>
    </row>
    <row r="115" spans="1:4">
      <c r="B115" s="288" t="s">
        <v>127</v>
      </c>
      <c r="C115" s="288" t="s">
        <v>128</v>
      </c>
    </row>
    <row r="116" spans="1:4">
      <c r="A116" s="289" t="s">
        <v>92</v>
      </c>
      <c r="B116" s="295">
        <v>0.89738819736502429</v>
      </c>
      <c r="C116" s="295">
        <v>0.43411076877330973</v>
      </c>
      <c r="D116" s="291" t="s">
        <v>262</v>
      </c>
    </row>
    <row r="117" spans="1:4">
      <c r="A117" s="289" t="s">
        <v>93</v>
      </c>
      <c r="B117" s="295">
        <v>0.41597516714124932</v>
      </c>
      <c r="C117" s="295">
        <v>0.30069751871841721</v>
      </c>
      <c r="D117" s="291" t="s">
        <v>262</v>
      </c>
    </row>
    <row r="118" spans="1:4">
      <c r="A118" s="289" t="s">
        <v>129</v>
      </c>
      <c r="B118" s="296"/>
      <c r="C118" s="295">
        <v>0.17961939605399557</v>
      </c>
      <c r="D118" s="291" t="s">
        <v>262</v>
      </c>
    </row>
    <row r="119" spans="1:4">
      <c r="A119" s="289" t="s">
        <v>94</v>
      </c>
      <c r="B119" s="295">
        <v>0.69492206140680768</v>
      </c>
      <c r="C119" s="295">
        <v>0.39797534499698228</v>
      </c>
      <c r="D119" s="291" t="s">
        <v>262</v>
      </c>
    </row>
    <row r="120" spans="1:4">
      <c r="A120" s="289" t="s">
        <v>95</v>
      </c>
      <c r="B120" s="295">
        <v>0.74846447157386065</v>
      </c>
      <c r="C120" s="295">
        <v>0.52024521708825189</v>
      </c>
      <c r="D120" s="291" t="s">
        <v>262</v>
      </c>
    </row>
    <row r="121" spans="1:4">
      <c r="A121" s="289" t="s">
        <v>130</v>
      </c>
      <c r="B121" s="296"/>
      <c r="C121" s="295">
        <v>0.21120992364816046</v>
      </c>
      <c r="D121" s="291" t="s">
        <v>262</v>
      </c>
    </row>
    <row r="122" spans="1:4">
      <c r="A122" s="289" t="s">
        <v>96</v>
      </c>
      <c r="B122" s="295">
        <v>0.83801012339332381</v>
      </c>
      <c r="C122" s="295">
        <v>0.53574416845541439</v>
      </c>
      <c r="D122" s="291" t="s">
        <v>262</v>
      </c>
    </row>
    <row r="123" spans="1:4">
      <c r="A123" s="289" t="s">
        <v>97</v>
      </c>
      <c r="B123" s="295">
        <v>0.83801012339332381</v>
      </c>
      <c r="C123" s="295">
        <v>0.53574416845541439</v>
      </c>
      <c r="D123" s="291" t="s">
        <v>262</v>
      </c>
    </row>
    <row r="124" spans="1:4">
      <c r="A124" s="289" t="s">
        <v>110</v>
      </c>
      <c r="B124" s="295">
        <v>0.64043929029771907</v>
      </c>
      <c r="C124" s="295">
        <v>0.43446675238274496</v>
      </c>
      <c r="D124" s="291" t="s">
        <v>262</v>
      </c>
    </row>
    <row r="125" spans="1:4">
      <c r="A125" s="289" t="s">
        <v>1536</v>
      </c>
      <c r="B125" s="295">
        <v>0.83273040302787538</v>
      </c>
      <c r="C125" s="295">
        <v>0.41510669865444888</v>
      </c>
      <c r="D125" s="291" t="s">
        <v>262</v>
      </c>
    </row>
    <row r="126" spans="1:4">
      <c r="A126" s="289" t="s">
        <v>1535</v>
      </c>
      <c r="B126" s="295">
        <v>0.70542255324747616</v>
      </c>
      <c r="C126" s="295">
        <v>0.42086756514790613</v>
      </c>
      <c r="D126" s="291" t="s">
        <v>262</v>
      </c>
    </row>
    <row r="127" spans="1:4">
      <c r="A127" s="289" t="s">
        <v>98</v>
      </c>
      <c r="B127" s="295">
        <v>0.79385686220007168</v>
      </c>
      <c r="C127" s="295">
        <v>0.53736458823526412</v>
      </c>
      <c r="D127" s="291" t="s">
        <v>262</v>
      </c>
    </row>
    <row r="128" spans="1:4">
      <c r="A128" s="289" t="s">
        <v>99</v>
      </c>
      <c r="B128" s="295">
        <v>0.80793779849955216</v>
      </c>
      <c r="C128" s="295">
        <v>0.52702405279759323</v>
      </c>
      <c r="D128" s="291"/>
    </row>
    <row r="129" spans="1:8">
      <c r="A129" s="289" t="s">
        <v>111</v>
      </c>
      <c r="B129" s="295">
        <v>0.78892978454231644</v>
      </c>
      <c r="C129" s="295">
        <v>0.66158319064179105</v>
      </c>
      <c r="D129" s="291"/>
    </row>
    <row r="130" spans="1:8">
      <c r="A130" s="289" t="s">
        <v>131</v>
      </c>
      <c r="B130" s="295">
        <v>1</v>
      </c>
      <c r="C130" s="295">
        <v>1</v>
      </c>
      <c r="D130" s="291" t="s">
        <v>262</v>
      </c>
    </row>
    <row r="131" spans="1:8">
      <c r="A131" s="289" t="s">
        <v>132</v>
      </c>
      <c r="B131" s="295">
        <v>0.99301420785685035</v>
      </c>
      <c r="C131" s="295">
        <v>0.46960080865953691</v>
      </c>
      <c r="D131" s="291"/>
    </row>
    <row r="132" spans="1:8">
      <c r="A132" s="289" t="s">
        <v>133</v>
      </c>
      <c r="B132" s="295">
        <v>0.95213478843576482</v>
      </c>
      <c r="C132" s="295">
        <v>0.25417039627197974</v>
      </c>
      <c r="D132" s="291"/>
    </row>
    <row r="133" spans="1:8">
      <c r="A133" s="289" t="s">
        <v>134</v>
      </c>
      <c r="B133" s="295">
        <v>0</v>
      </c>
      <c r="C133" s="295">
        <v>0.51587229987729666</v>
      </c>
      <c r="D133" s="291"/>
    </row>
    <row r="134" spans="1:8">
      <c r="A134" s="289" t="s">
        <v>135</v>
      </c>
      <c r="B134" s="295">
        <v>0.94398062288314322</v>
      </c>
      <c r="C134" s="295">
        <v>0.47630128718610992</v>
      </c>
      <c r="D134" s="291" t="s">
        <v>262</v>
      </c>
    </row>
    <row r="136" spans="1:8" ht="21" customHeight="1">
      <c r="A136" s="1" t="s">
        <v>136</v>
      </c>
    </row>
    <row r="137" spans="1:8">
      <c r="A137" s="287" t="s">
        <v>262</v>
      </c>
      <c r="B137">
        <v>28</v>
      </c>
      <c r="C137">
        <v>29</v>
      </c>
      <c r="D137">
        <v>30</v>
      </c>
      <c r="E137">
        <v>31</v>
      </c>
      <c r="F137">
        <v>32</v>
      </c>
      <c r="G137">
        <v>33</v>
      </c>
    </row>
    <row r="138" spans="1:8">
      <c r="A138" s="287" t="s">
        <v>137</v>
      </c>
    </row>
    <row r="139" spans="1:8">
      <c r="A139" s="287" t="s">
        <v>138</v>
      </c>
    </row>
    <row r="140" spans="1:8">
      <c r="A140" t="s">
        <v>139</v>
      </c>
    </row>
    <row r="141" spans="1:8">
      <c r="B141" s="288" t="s">
        <v>140</v>
      </c>
      <c r="C141" s="288" t="s">
        <v>141</v>
      </c>
      <c r="D141" s="288" t="s">
        <v>142</v>
      </c>
      <c r="E141" s="288" t="s">
        <v>143</v>
      </c>
      <c r="F141" s="288" t="s">
        <v>144</v>
      </c>
      <c r="G141" s="288" t="s">
        <v>145</v>
      </c>
    </row>
    <row r="142" spans="1:8">
      <c r="A142" s="297" t="s">
        <v>146</v>
      </c>
      <c r="B142" s="298">
        <v>0</v>
      </c>
      <c r="C142" s="298">
        <v>0</v>
      </c>
      <c r="D142" s="298">
        <v>0</v>
      </c>
      <c r="E142" s="298">
        <v>0</v>
      </c>
      <c r="F142" s="298">
        <v>0</v>
      </c>
      <c r="G142" s="298">
        <v>0</v>
      </c>
      <c r="H142" s="291"/>
    </row>
    <row r="143" spans="1:8">
      <c r="A143" s="289" t="s">
        <v>92</v>
      </c>
      <c r="B143" s="295">
        <v>7006599.2032143781</v>
      </c>
      <c r="C143" s="296">
        <v>0</v>
      </c>
      <c r="D143" s="296">
        <v>0</v>
      </c>
      <c r="E143" s="293">
        <v>1967400.2028794924</v>
      </c>
      <c r="F143" s="296">
        <v>0</v>
      </c>
      <c r="G143" s="296">
        <v>0</v>
      </c>
      <c r="H143" s="291"/>
    </row>
    <row r="144" spans="1:8">
      <c r="A144" s="289" t="s">
        <v>147</v>
      </c>
      <c r="B144" s="295">
        <v>41568.678990041961</v>
      </c>
      <c r="C144" s="296">
        <v>0</v>
      </c>
      <c r="D144" s="296">
        <v>0</v>
      </c>
      <c r="E144" s="293">
        <v>13963.737782751579</v>
      </c>
      <c r="F144" s="296">
        <v>0</v>
      </c>
      <c r="G144" s="296">
        <v>0</v>
      </c>
      <c r="H144" s="291"/>
    </row>
    <row r="145" spans="1:8">
      <c r="A145" s="289" t="s">
        <v>148</v>
      </c>
      <c r="B145" s="295">
        <v>74118.188048410288</v>
      </c>
      <c r="C145" s="296">
        <v>0</v>
      </c>
      <c r="D145" s="296">
        <v>0</v>
      </c>
      <c r="E145" s="293">
        <v>24598.066280902651</v>
      </c>
      <c r="F145" s="296">
        <v>0</v>
      </c>
      <c r="G145" s="296">
        <v>0</v>
      </c>
      <c r="H145" s="291"/>
    </row>
    <row r="146" spans="1:8">
      <c r="A146" s="297" t="s">
        <v>149</v>
      </c>
      <c r="B146" s="298">
        <v>0</v>
      </c>
      <c r="C146" s="298">
        <v>0</v>
      </c>
      <c r="D146" s="298">
        <v>0</v>
      </c>
      <c r="E146" s="298">
        <v>0</v>
      </c>
      <c r="F146" s="298">
        <v>0</v>
      </c>
      <c r="G146" s="298">
        <v>0</v>
      </c>
      <c r="H146" s="291"/>
    </row>
    <row r="147" spans="1:8">
      <c r="A147" s="289" t="s">
        <v>93</v>
      </c>
      <c r="B147" s="295">
        <v>932948.80360757222</v>
      </c>
      <c r="C147" s="295">
        <v>720595.7844260158</v>
      </c>
      <c r="D147" s="296">
        <v>0</v>
      </c>
      <c r="E147" s="293">
        <v>300314.63390594267</v>
      </c>
      <c r="F147" s="296">
        <v>0</v>
      </c>
      <c r="G147" s="296">
        <v>0</v>
      </c>
      <c r="H147" s="291"/>
    </row>
    <row r="148" spans="1:8">
      <c r="A148" s="289" t="s">
        <v>150</v>
      </c>
      <c r="B148" s="295">
        <v>2626.7913722264775</v>
      </c>
      <c r="C148" s="295">
        <v>918.3510283071206</v>
      </c>
      <c r="D148" s="296">
        <v>0</v>
      </c>
      <c r="E148" s="293">
        <v>1003.190066077544</v>
      </c>
      <c r="F148" s="296">
        <v>0</v>
      </c>
      <c r="G148" s="296">
        <v>0</v>
      </c>
      <c r="H148" s="291"/>
    </row>
    <row r="149" spans="1:8">
      <c r="A149" s="289" t="s">
        <v>151</v>
      </c>
      <c r="B149" s="295">
        <v>4076.7631681946186</v>
      </c>
      <c r="C149" s="295">
        <v>1583.897915112062</v>
      </c>
      <c r="D149" s="296">
        <v>0</v>
      </c>
      <c r="E149" s="293">
        <v>1260.0889306300521</v>
      </c>
      <c r="F149" s="296">
        <v>0</v>
      </c>
      <c r="G149" s="296">
        <v>0</v>
      </c>
      <c r="H149" s="291"/>
    </row>
    <row r="150" spans="1:8">
      <c r="A150" s="297" t="s">
        <v>152</v>
      </c>
      <c r="B150" s="298">
        <v>0</v>
      </c>
      <c r="C150" s="298">
        <v>0</v>
      </c>
      <c r="D150" s="298">
        <v>0</v>
      </c>
      <c r="E150" s="298">
        <v>0</v>
      </c>
      <c r="F150" s="298">
        <v>0</v>
      </c>
      <c r="G150" s="298">
        <v>0</v>
      </c>
      <c r="H150" s="291"/>
    </row>
    <row r="151" spans="1:8">
      <c r="A151" s="289" t="s">
        <v>129</v>
      </c>
      <c r="B151" s="295">
        <v>36106.46318967735</v>
      </c>
      <c r="C151" s="296">
        <v>0</v>
      </c>
      <c r="D151" s="296">
        <v>0</v>
      </c>
      <c r="E151" s="293">
        <v>0</v>
      </c>
      <c r="F151" s="296">
        <v>0</v>
      </c>
      <c r="G151" s="296">
        <v>0</v>
      </c>
      <c r="H151" s="291"/>
    </row>
    <row r="152" spans="1:8">
      <c r="A152" s="289" t="s">
        <v>153</v>
      </c>
      <c r="B152" s="295">
        <v>0</v>
      </c>
      <c r="C152" s="296">
        <v>0</v>
      </c>
      <c r="D152" s="296">
        <v>0</v>
      </c>
      <c r="E152" s="293">
        <v>0</v>
      </c>
      <c r="F152" s="296">
        <v>0</v>
      </c>
      <c r="G152" s="296">
        <v>0</v>
      </c>
      <c r="H152" s="291"/>
    </row>
    <row r="153" spans="1:8">
      <c r="A153" s="289" t="s">
        <v>154</v>
      </c>
      <c r="B153" s="295">
        <v>0</v>
      </c>
      <c r="C153" s="296">
        <v>0</v>
      </c>
      <c r="D153" s="296">
        <v>0</v>
      </c>
      <c r="E153" s="293">
        <v>0</v>
      </c>
      <c r="F153" s="296">
        <v>0</v>
      </c>
      <c r="G153" s="296">
        <v>0</v>
      </c>
      <c r="H153" s="291"/>
    </row>
    <row r="154" spans="1:8">
      <c r="A154" s="297" t="s">
        <v>155</v>
      </c>
      <c r="B154" s="298">
        <v>0</v>
      </c>
      <c r="C154" s="298">
        <v>0</v>
      </c>
      <c r="D154" s="298">
        <v>0</v>
      </c>
      <c r="E154" s="298">
        <v>0</v>
      </c>
      <c r="F154" s="298">
        <v>0</v>
      </c>
      <c r="G154" s="298">
        <v>0</v>
      </c>
      <c r="H154" s="291"/>
    </row>
    <row r="155" spans="1:8">
      <c r="A155" s="289" t="s">
        <v>94</v>
      </c>
      <c r="B155" s="295">
        <v>1619655.6585213088</v>
      </c>
      <c r="C155" s="296">
        <v>0</v>
      </c>
      <c r="D155" s="296">
        <v>0</v>
      </c>
      <c r="E155" s="293">
        <v>135679.92656869252</v>
      </c>
      <c r="F155" s="296">
        <v>0</v>
      </c>
      <c r="G155" s="296">
        <v>0</v>
      </c>
      <c r="H155" s="291"/>
    </row>
    <row r="156" spans="1:8">
      <c r="A156" s="289" t="s">
        <v>156</v>
      </c>
      <c r="B156" s="295">
        <v>2891.2734624687741</v>
      </c>
      <c r="C156" s="296">
        <v>0</v>
      </c>
      <c r="D156" s="296">
        <v>0</v>
      </c>
      <c r="E156" s="293">
        <v>8156.5389495421296</v>
      </c>
      <c r="F156" s="296">
        <v>0</v>
      </c>
      <c r="G156" s="296">
        <v>0</v>
      </c>
      <c r="H156" s="291"/>
    </row>
    <row r="157" spans="1:8">
      <c r="A157" s="289" t="s">
        <v>157</v>
      </c>
      <c r="B157" s="295">
        <v>15215.334512820744</v>
      </c>
      <c r="C157" s="296">
        <v>0</v>
      </c>
      <c r="D157" s="296">
        <v>0</v>
      </c>
      <c r="E157" s="293">
        <v>894.00804864272811</v>
      </c>
      <c r="F157" s="296">
        <v>0</v>
      </c>
      <c r="G157" s="296">
        <v>0</v>
      </c>
      <c r="H157" s="291"/>
    </row>
    <row r="158" spans="1:8">
      <c r="A158" s="297" t="s">
        <v>158</v>
      </c>
      <c r="B158" s="298">
        <v>0</v>
      </c>
      <c r="C158" s="298">
        <v>0</v>
      </c>
      <c r="D158" s="298">
        <v>0</v>
      </c>
      <c r="E158" s="298">
        <v>0</v>
      </c>
      <c r="F158" s="298">
        <v>0</v>
      </c>
      <c r="G158" s="298">
        <v>0</v>
      </c>
      <c r="H158" s="291"/>
    </row>
    <row r="159" spans="1:8">
      <c r="A159" s="289" t="s">
        <v>95</v>
      </c>
      <c r="B159" s="295">
        <v>505281.77147158369</v>
      </c>
      <c r="C159" s="295">
        <v>208404.41119819321</v>
      </c>
      <c r="D159" s="296">
        <v>0</v>
      </c>
      <c r="E159" s="293">
        <v>34491.689344628736</v>
      </c>
      <c r="F159" s="296">
        <v>0</v>
      </c>
      <c r="G159" s="296">
        <v>0</v>
      </c>
      <c r="H159" s="291"/>
    </row>
    <row r="160" spans="1:8">
      <c r="A160" s="289" t="s">
        <v>159</v>
      </c>
      <c r="B160" s="295">
        <v>879.40978502704854</v>
      </c>
      <c r="C160" s="295">
        <v>325.90755796918535</v>
      </c>
      <c r="D160" s="296">
        <v>0</v>
      </c>
      <c r="E160" s="293">
        <v>17.982920518675567</v>
      </c>
      <c r="F160" s="296">
        <v>0</v>
      </c>
      <c r="G160" s="296">
        <v>0</v>
      </c>
      <c r="H160" s="291"/>
    </row>
    <row r="161" spans="1:8">
      <c r="A161" s="289" t="s">
        <v>160</v>
      </c>
      <c r="B161" s="295">
        <v>3693.9572983147759</v>
      </c>
      <c r="C161" s="295">
        <v>1053.731561149656</v>
      </c>
      <c r="D161" s="296">
        <v>0</v>
      </c>
      <c r="E161" s="293">
        <v>77.069659365752401</v>
      </c>
      <c r="F161" s="296">
        <v>0</v>
      </c>
      <c r="G161" s="296">
        <v>0</v>
      </c>
      <c r="H161" s="291"/>
    </row>
    <row r="162" spans="1:8">
      <c r="A162" s="297" t="s">
        <v>161</v>
      </c>
      <c r="B162" s="298">
        <v>0</v>
      </c>
      <c r="C162" s="298">
        <v>0</v>
      </c>
      <c r="D162" s="298">
        <v>0</v>
      </c>
      <c r="E162" s="298">
        <v>0</v>
      </c>
      <c r="F162" s="298">
        <v>0</v>
      </c>
      <c r="G162" s="298">
        <v>0</v>
      </c>
      <c r="H162" s="291"/>
    </row>
    <row r="163" spans="1:8">
      <c r="A163" s="289" t="s">
        <v>130</v>
      </c>
      <c r="B163" s="295">
        <v>6654.8554381718086</v>
      </c>
      <c r="C163" s="296">
        <v>0</v>
      </c>
      <c r="D163" s="296">
        <v>0</v>
      </c>
      <c r="E163" s="293">
        <v>0</v>
      </c>
      <c r="F163" s="296">
        <v>0</v>
      </c>
      <c r="G163" s="296">
        <v>0</v>
      </c>
      <c r="H163" s="291"/>
    </row>
    <row r="164" spans="1:8" ht="30">
      <c r="A164" s="289" t="s">
        <v>162</v>
      </c>
      <c r="B164" s="295">
        <v>0</v>
      </c>
      <c r="C164" s="296">
        <v>0</v>
      </c>
      <c r="D164" s="296">
        <v>0</v>
      </c>
      <c r="E164" s="293">
        <v>0</v>
      </c>
      <c r="F164" s="296">
        <v>0</v>
      </c>
      <c r="G164" s="296">
        <v>0</v>
      </c>
      <c r="H164" s="291"/>
    </row>
    <row r="165" spans="1:8" ht="30">
      <c r="A165" s="289" t="s">
        <v>163</v>
      </c>
      <c r="B165" s="295">
        <v>0</v>
      </c>
      <c r="C165" s="296">
        <v>0</v>
      </c>
      <c r="D165" s="296">
        <v>0</v>
      </c>
      <c r="E165" s="293">
        <v>0</v>
      </c>
      <c r="F165" s="296">
        <v>0</v>
      </c>
      <c r="G165" s="296">
        <v>0</v>
      </c>
      <c r="H165" s="291"/>
    </row>
    <row r="166" spans="1:8">
      <c r="A166" s="297" t="s">
        <v>164</v>
      </c>
      <c r="B166" s="298">
        <v>0</v>
      </c>
      <c r="C166" s="298">
        <v>0</v>
      </c>
      <c r="D166" s="298">
        <v>0</v>
      </c>
      <c r="E166" s="298">
        <v>0</v>
      </c>
      <c r="F166" s="298">
        <v>0</v>
      </c>
      <c r="G166" s="298">
        <v>0</v>
      </c>
      <c r="H166" s="291"/>
    </row>
    <row r="167" spans="1:8">
      <c r="A167" s="289" t="s">
        <v>96</v>
      </c>
      <c r="B167" s="295">
        <v>0</v>
      </c>
      <c r="C167" s="295">
        <v>0</v>
      </c>
      <c r="D167" s="296">
        <v>0</v>
      </c>
      <c r="E167" s="293">
        <v>0</v>
      </c>
      <c r="F167" s="296">
        <v>0</v>
      </c>
      <c r="G167" s="296">
        <v>0</v>
      </c>
      <c r="H167" s="291"/>
    </row>
    <row r="168" spans="1:8">
      <c r="A168" s="289" t="s">
        <v>165</v>
      </c>
      <c r="B168" s="295">
        <v>0</v>
      </c>
      <c r="C168" s="295">
        <v>0</v>
      </c>
      <c r="D168" s="296">
        <v>0</v>
      </c>
      <c r="E168" s="293">
        <v>0</v>
      </c>
      <c r="F168" s="296">
        <v>0</v>
      </c>
      <c r="G168" s="296">
        <v>0</v>
      </c>
      <c r="H168" s="291"/>
    </row>
    <row r="169" spans="1:8">
      <c r="A169" s="289" t="s">
        <v>166</v>
      </c>
      <c r="B169" s="295">
        <v>0</v>
      </c>
      <c r="C169" s="295">
        <v>0</v>
      </c>
      <c r="D169" s="296">
        <v>0</v>
      </c>
      <c r="E169" s="293">
        <v>0</v>
      </c>
      <c r="F169" s="296">
        <v>0</v>
      </c>
      <c r="G169" s="296">
        <v>0</v>
      </c>
      <c r="H169" s="291"/>
    </row>
    <row r="170" spans="1:8">
      <c r="A170" s="297" t="s">
        <v>167</v>
      </c>
      <c r="B170" s="298">
        <v>0</v>
      </c>
      <c r="C170" s="298">
        <v>0</v>
      </c>
      <c r="D170" s="298">
        <v>0</v>
      </c>
      <c r="E170" s="298">
        <v>0</v>
      </c>
      <c r="F170" s="298">
        <v>0</v>
      </c>
      <c r="G170" s="298">
        <v>0</v>
      </c>
      <c r="H170" s="291"/>
    </row>
    <row r="171" spans="1:8">
      <c r="A171" s="289" t="s">
        <v>97</v>
      </c>
      <c r="B171" s="295">
        <v>0</v>
      </c>
      <c r="C171" s="295">
        <v>0</v>
      </c>
      <c r="D171" s="296">
        <v>0</v>
      </c>
      <c r="E171" s="293">
        <v>0</v>
      </c>
      <c r="F171" s="296">
        <v>0</v>
      </c>
      <c r="G171" s="296">
        <v>0</v>
      </c>
      <c r="H171" s="291"/>
    </row>
    <row r="172" spans="1:8">
      <c r="A172" s="297" t="s">
        <v>168</v>
      </c>
      <c r="B172" s="298">
        <v>0</v>
      </c>
      <c r="C172" s="298">
        <v>0</v>
      </c>
      <c r="D172" s="298">
        <v>0</v>
      </c>
      <c r="E172" s="298">
        <v>0</v>
      </c>
      <c r="F172" s="298">
        <v>0</v>
      </c>
      <c r="G172" s="298">
        <v>0</v>
      </c>
      <c r="H172" s="291"/>
    </row>
    <row r="173" spans="1:8">
      <c r="A173" s="289" t="s">
        <v>110</v>
      </c>
      <c r="B173" s="295">
        <v>0</v>
      </c>
      <c r="C173" s="295">
        <v>0</v>
      </c>
      <c r="D173" s="296">
        <v>0</v>
      </c>
      <c r="E173" s="293">
        <v>0</v>
      </c>
      <c r="F173" s="296">
        <v>0</v>
      </c>
      <c r="G173" s="296">
        <v>0</v>
      </c>
      <c r="H173" s="291"/>
    </row>
    <row r="174" spans="1:8">
      <c r="A174" s="297" t="s">
        <v>1539</v>
      </c>
      <c r="B174" s="298">
        <v>0</v>
      </c>
      <c r="C174" s="298">
        <v>0</v>
      </c>
      <c r="D174" s="298">
        <v>0</v>
      </c>
      <c r="E174" s="298">
        <v>0</v>
      </c>
      <c r="F174" s="298">
        <v>0</v>
      </c>
      <c r="G174" s="298">
        <v>0</v>
      </c>
      <c r="H174" s="291"/>
    </row>
    <row r="175" spans="1:8">
      <c r="A175" s="289" t="s">
        <v>1536</v>
      </c>
      <c r="B175" s="295">
        <v>0</v>
      </c>
      <c r="C175" s="295">
        <v>0</v>
      </c>
      <c r="D175" s="295">
        <v>0</v>
      </c>
      <c r="E175" s="293">
        <v>0</v>
      </c>
      <c r="F175" s="296">
        <v>0</v>
      </c>
      <c r="G175" s="296">
        <v>0</v>
      </c>
      <c r="H175" s="291"/>
    </row>
    <row r="176" spans="1:8">
      <c r="A176" s="289" t="s">
        <v>1533</v>
      </c>
      <c r="B176" s="295">
        <v>0</v>
      </c>
      <c r="C176" s="295">
        <v>0</v>
      </c>
      <c r="D176" s="295">
        <v>0</v>
      </c>
      <c r="E176" s="293">
        <v>0</v>
      </c>
      <c r="F176" s="296">
        <v>0</v>
      </c>
      <c r="G176" s="296">
        <v>0</v>
      </c>
      <c r="H176" s="291"/>
    </row>
    <row r="177" spans="1:8">
      <c r="A177" s="289" t="s">
        <v>1530</v>
      </c>
      <c r="B177" s="295">
        <v>0</v>
      </c>
      <c r="C177" s="295">
        <v>0</v>
      </c>
      <c r="D177" s="295">
        <v>0</v>
      </c>
      <c r="E177" s="293">
        <v>0</v>
      </c>
      <c r="F177" s="296">
        <v>0</v>
      </c>
      <c r="G177" s="296">
        <v>0</v>
      </c>
      <c r="H177" s="291"/>
    </row>
    <row r="178" spans="1:8">
      <c r="A178" s="297" t="s">
        <v>1538</v>
      </c>
      <c r="B178" s="298">
        <v>0</v>
      </c>
      <c r="C178" s="298">
        <v>0</v>
      </c>
      <c r="D178" s="298">
        <v>0</v>
      </c>
      <c r="E178" s="298">
        <v>0</v>
      </c>
      <c r="F178" s="298">
        <v>0</v>
      </c>
      <c r="G178" s="298">
        <v>0</v>
      </c>
      <c r="H178" s="291"/>
    </row>
    <row r="179" spans="1:8">
      <c r="A179" s="289" t="s">
        <v>1535</v>
      </c>
      <c r="B179" s="295">
        <v>68262.213677721258</v>
      </c>
      <c r="C179" s="295">
        <v>260187.85793102454</v>
      </c>
      <c r="D179" s="295">
        <v>288797.3281930369</v>
      </c>
      <c r="E179" s="293">
        <v>10460.824638436699</v>
      </c>
      <c r="F179" s="296">
        <v>0</v>
      </c>
      <c r="G179" s="296">
        <v>0</v>
      </c>
      <c r="H179" s="291"/>
    </row>
    <row r="180" spans="1:8">
      <c r="A180" s="289" t="s">
        <v>1532</v>
      </c>
      <c r="B180" s="295">
        <v>75.834457148452415</v>
      </c>
      <c r="C180" s="295">
        <v>289.05017724699985</v>
      </c>
      <c r="D180" s="295">
        <v>368.19822955247247</v>
      </c>
      <c r="E180" s="293">
        <v>15.9977333411589</v>
      </c>
      <c r="F180" s="296">
        <v>0</v>
      </c>
      <c r="G180" s="296">
        <v>0</v>
      </c>
      <c r="H180" s="291"/>
    </row>
    <row r="181" spans="1:8">
      <c r="A181" s="289" t="s">
        <v>1529</v>
      </c>
      <c r="B181" s="295">
        <v>748.69722989889033</v>
      </c>
      <c r="C181" s="295">
        <v>2853.7300212088135</v>
      </c>
      <c r="D181" s="295">
        <v>3130.6874634209976</v>
      </c>
      <c r="E181" s="293">
        <v>96.748196872722914</v>
      </c>
      <c r="F181" s="296">
        <v>0</v>
      </c>
      <c r="G181" s="296">
        <v>0</v>
      </c>
      <c r="H181" s="291"/>
    </row>
    <row r="182" spans="1:8">
      <c r="A182" s="297" t="s">
        <v>169</v>
      </c>
      <c r="B182" s="298">
        <v>0</v>
      </c>
      <c r="C182" s="298">
        <v>0</v>
      </c>
      <c r="D182" s="298">
        <v>0</v>
      </c>
      <c r="E182" s="298">
        <v>0</v>
      </c>
      <c r="F182" s="298">
        <v>0</v>
      </c>
      <c r="G182" s="298">
        <v>0</v>
      </c>
      <c r="H182" s="291"/>
    </row>
    <row r="183" spans="1:8">
      <c r="A183" s="289" t="s">
        <v>98</v>
      </c>
      <c r="B183" s="295">
        <v>298957.28664096713</v>
      </c>
      <c r="C183" s="295">
        <v>1176221.7888048878</v>
      </c>
      <c r="D183" s="295">
        <v>1263172.6301498166</v>
      </c>
      <c r="E183" s="293">
        <v>13816.622163023712</v>
      </c>
      <c r="F183" s="293">
        <v>1508041.0074922552</v>
      </c>
      <c r="G183" s="295">
        <v>196222.56397259844</v>
      </c>
      <c r="H183" s="291"/>
    </row>
    <row r="184" spans="1:8">
      <c r="A184" s="289" t="s">
        <v>170</v>
      </c>
      <c r="B184" s="295">
        <v>251.49533959309412</v>
      </c>
      <c r="C184" s="295">
        <v>979.27101968520583</v>
      </c>
      <c r="D184" s="295">
        <v>1323.8911488702286</v>
      </c>
      <c r="E184" s="293">
        <v>24.512815784070572</v>
      </c>
      <c r="F184" s="293">
        <v>1849.065290221057</v>
      </c>
      <c r="G184" s="295">
        <v>67.956077159140733</v>
      </c>
      <c r="H184" s="291"/>
    </row>
    <row r="185" spans="1:8">
      <c r="A185" s="289" t="s">
        <v>171</v>
      </c>
      <c r="B185" s="295">
        <v>13537.565805386388</v>
      </c>
      <c r="C185" s="295">
        <v>48005.548971268166</v>
      </c>
      <c r="D185" s="295">
        <v>54720.056524480991</v>
      </c>
      <c r="E185" s="293">
        <v>314.54566848374873</v>
      </c>
      <c r="F185" s="293">
        <v>75425.527164949934</v>
      </c>
      <c r="G185" s="295">
        <v>4123.9245366067507</v>
      </c>
      <c r="H185" s="291"/>
    </row>
    <row r="186" spans="1:8">
      <c r="A186" s="297" t="s">
        <v>172</v>
      </c>
      <c r="B186" s="298">
        <v>0</v>
      </c>
      <c r="C186" s="298">
        <v>0</v>
      </c>
      <c r="D186" s="298">
        <v>0</v>
      </c>
      <c r="E186" s="298">
        <v>0</v>
      </c>
      <c r="F186" s="298">
        <v>0</v>
      </c>
      <c r="G186" s="298">
        <v>0</v>
      </c>
      <c r="H186" s="291"/>
    </row>
    <row r="187" spans="1:8">
      <c r="A187" s="289" t="s">
        <v>99</v>
      </c>
      <c r="B187" s="295">
        <v>7018.5351050259123</v>
      </c>
      <c r="C187" s="295">
        <v>27672.188641821547</v>
      </c>
      <c r="D187" s="295">
        <v>31150.176618615114</v>
      </c>
      <c r="E187" s="293">
        <v>122.79637271053774</v>
      </c>
      <c r="F187" s="293">
        <v>50603.075477139901</v>
      </c>
      <c r="G187" s="295">
        <v>4784.9905027288578</v>
      </c>
      <c r="H187" s="291"/>
    </row>
    <row r="188" spans="1:8">
      <c r="A188" s="289" t="s">
        <v>173</v>
      </c>
      <c r="B188" s="295">
        <v>488.20666932707184</v>
      </c>
      <c r="C188" s="295">
        <v>2007.7503213172342</v>
      </c>
      <c r="D188" s="295">
        <v>2764.900888767711</v>
      </c>
      <c r="E188" s="293">
        <v>5.6400701446733876</v>
      </c>
      <c r="F188" s="293">
        <v>3384.0420868040314</v>
      </c>
      <c r="G188" s="295">
        <v>1576.3003402016659</v>
      </c>
      <c r="H188" s="291"/>
    </row>
    <row r="189" spans="1:8">
      <c r="A189" s="297" t="s">
        <v>174</v>
      </c>
      <c r="B189" s="298">
        <v>0</v>
      </c>
      <c r="C189" s="298">
        <v>0</v>
      </c>
      <c r="D189" s="298">
        <v>0</v>
      </c>
      <c r="E189" s="298">
        <v>0</v>
      </c>
      <c r="F189" s="298">
        <v>0</v>
      </c>
      <c r="G189" s="298">
        <v>0</v>
      </c>
      <c r="H189" s="291"/>
    </row>
    <row r="190" spans="1:8">
      <c r="A190" s="289" t="s">
        <v>111</v>
      </c>
      <c r="B190" s="295">
        <v>752034.67370639404</v>
      </c>
      <c r="C190" s="295">
        <v>3018230.4256879073</v>
      </c>
      <c r="D190" s="295">
        <v>3913761.9505902641</v>
      </c>
      <c r="E190" s="293">
        <v>4028.1236359637046</v>
      </c>
      <c r="F190" s="293">
        <v>2952679.7358666793</v>
      </c>
      <c r="G190" s="295">
        <v>1051532.8176113358</v>
      </c>
      <c r="H190" s="291"/>
    </row>
    <row r="191" spans="1:8">
      <c r="A191" s="289" t="s">
        <v>175</v>
      </c>
      <c r="B191" s="295">
        <v>2780.0934522047364</v>
      </c>
      <c r="C191" s="295">
        <v>9141.0019170260457</v>
      </c>
      <c r="D191" s="295">
        <v>10193.081488223934</v>
      </c>
      <c r="E191" s="293">
        <v>21.432266549758875</v>
      </c>
      <c r="F191" s="293">
        <v>22560.280578693553</v>
      </c>
      <c r="G191" s="295">
        <v>833.00339193336254</v>
      </c>
      <c r="H191" s="291"/>
    </row>
    <row r="192" spans="1:8">
      <c r="A192" s="297" t="s">
        <v>176</v>
      </c>
      <c r="B192" s="298">
        <v>0</v>
      </c>
      <c r="C192" s="298">
        <v>0</v>
      </c>
      <c r="D192" s="298">
        <v>0</v>
      </c>
      <c r="E192" s="298">
        <v>0</v>
      </c>
      <c r="F192" s="298">
        <v>0</v>
      </c>
      <c r="G192" s="298">
        <v>0</v>
      </c>
      <c r="H192" s="291"/>
    </row>
    <row r="193" spans="1:8">
      <c r="A193" s="289" t="s">
        <v>131</v>
      </c>
      <c r="B193" s="295">
        <v>53670.276181774323</v>
      </c>
      <c r="C193" s="296">
        <v>0</v>
      </c>
      <c r="D193" s="296">
        <v>0</v>
      </c>
      <c r="E193" s="293">
        <v>945.29828999676329</v>
      </c>
      <c r="F193" s="296">
        <v>0</v>
      </c>
      <c r="G193" s="296">
        <v>0</v>
      </c>
      <c r="H193" s="291"/>
    </row>
    <row r="194" spans="1:8">
      <c r="A194" s="289" t="s">
        <v>177</v>
      </c>
      <c r="B194" s="295">
        <v>172.28035588618667</v>
      </c>
      <c r="C194" s="296">
        <v>0</v>
      </c>
      <c r="D194" s="296">
        <v>0</v>
      </c>
      <c r="E194" s="293">
        <v>0</v>
      </c>
      <c r="F194" s="296">
        <v>0</v>
      </c>
      <c r="G194" s="296">
        <v>0</v>
      </c>
      <c r="H194" s="291"/>
    </row>
    <row r="195" spans="1:8">
      <c r="A195" s="289" t="s">
        <v>178</v>
      </c>
      <c r="B195" s="295">
        <v>0</v>
      </c>
      <c r="C195" s="296">
        <v>0</v>
      </c>
      <c r="D195" s="296">
        <v>0</v>
      </c>
      <c r="E195" s="293">
        <v>0</v>
      </c>
      <c r="F195" s="296">
        <v>0</v>
      </c>
      <c r="G195" s="296">
        <v>0</v>
      </c>
      <c r="H195" s="291"/>
    </row>
    <row r="196" spans="1:8">
      <c r="A196" s="297" t="s">
        <v>179</v>
      </c>
      <c r="B196" s="298">
        <v>0</v>
      </c>
      <c r="C196" s="298">
        <v>0</v>
      </c>
      <c r="D196" s="298">
        <v>0</v>
      </c>
      <c r="E196" s="298">
        <v>0</v>
      </c>
      <c r="F196" s="298">
        <v>0</v>
      </c>
      <c r="G196" s="298">
        <v>0</v>
      </c>
      <c r="H196" s="291"/>
    </row>
    <row r="197" spans="1:8">
      <c r="A197" s="289" t="s">
        <v>132</v>
      </c>
      <c r="B197" s="295">
        <v>16146.815302762892</v>
      </c>
      <c r="C197" s="296">
        <v>0</v>
      </c>
      <c r="D197" s="296">
        <v>0</v>
      </c>
      <c r="E197" s="293">
        <v>683.89747668576126</v>
      </c>
      <c r="F197" s="296">
        <v>0</v>
      </c>
      <c r="G197" s="296">
        <v>0</v>
      </c>
      <c r="H197" s="291"/>
    </row>
    <row r="198" spans="1:8">
      <c r="A198" s="289" t="s">
        <v>180</v>
      </c>
      <c r="B198" s="295">
        <v>177.96348496274157</v>
      </c>
      <c r="C198" s="296">
        <v>0</v>
      </c>
      <c r="D198" s="296">
        <v>0</v>
      </c>
      <c r="E198" s="293">
        <v>0</v>
      </c>
      <c r="F198" s="296">
        <v>0</v>
      </c>
      <c r="G198" s="296">
        <v>0</v>
      </c>
      <c r="H198" s="291"/>
    </row>
    <row r="199" spans="1:8">
      <c r="A199" s="289" t="s">
        <v>181</v>
      </c>
      <c r="B199" s="295">
        <v>573.70856302427069</v>
      </c>
      <c r="C199" s="296">
        <v>0</v>
      </c>
      <c r="D199" s="296">
        <v>0</v>
      </c>
      <c r="E199" s="293">
        <v>0</v>
      </c>
      <c r="F199" s="296">
        <v>0</v>
      </c>
      <c r="G199" s="296">
        <v>0</v>
      </c>
      <c r="H199" s="291"/>
    </row>
    <row r="200" spans="1:8">
      <c r="A200" s="297" t="s">
        <v>182</v>
      </c>
      <c r="B200" s="298">
        <v>0</v>
      </c>
      <c r="C200" s="298">
        <v>0</v>
      </c>
      <c r="D200" s="298">
        <v>0</v>
      </c>
      <c r="E200" s="298">
        <v>0</v>
      </c>
      <c r="F200" s="298">
        <v>0</v>
      </c>
      <c r="G200" s="298">
        <v>0</v>
      </c>
      <c r="H200" s="291"/>
    </row>
    <row r="201" spans="1:8">
      <c r="A201" s="289" t="s">
        <v>133</v>
      </c>
      <c r="B201" s="295">
        <v>770.36280056434089</v>
      </c>
      <c r="C201" s="296">
        <v>0</v>
      </c>
      <c r="D201" s="296">
        <v>0</v>
      </c>
      <c r="E201" s="293">
        <v>140.83222112491973</v>
      </c>
      <c r="F201" s="296">
        <v>0</v>
      </c>
      <c r="G201" s="296">
        <v>0</v>
      </c>
      <c r="H201" s="291"/>
    </row>
    <row r="202" spans="1:8">
      <c r="A202" s="289" t="s">
        <v>183</v>
      </c>
      <c r="B202" s="295">
        <v>0</v>
      </c>
      <c r="C202" s="296">
        <v>0</v>
      </c>
      <c r="D202" s="296">
        <v>0</v>
      </c>
      <c r="E202" s="293">
        <v>0</v>
      </c>
      <c r="F202" s="296">
        <v>0</v>
      </c>
      <c r="G202" s="296">
        <v>0</v>
      </c>
      <c r="H202" s="291"/>
    </row>
    <row r="203" spans="1:8">
      <c r="A203" s="289" t="s">
        <v>184</v>
      </c>
      <c r="B203" s="295">
        <v>28.81289678085793</v>
      </c>
      <c r="C203" s="296">
        <v>0</v>
      </c>
      <c r="D203" s="296">
        <v>0</v>
      </c>
      <c r="E203" s="293">
        <v>0</v>
      </c>
      <c r="F203" s="296">
        <v>0</v>
      </c>
      <c r="G203" s="296">
        <v>0</v>
      </c>
      <c r="H203" s="291"/>
    </row>
    <row r="204" spans="1:8">
      <c r="A204" s="297" t="s">
        <v>185</v>
      </c>
      <c r="B204" s="298">
        <v>0</v>
      </c>
      <c r="C204" s="298">
        <v>0</v>
      </c>
      <c r="D204" s="298">
        <v>0</v>
      </c>
      <c r="E204" s="298">
        <v>0</v>
      </c>
      <c r="F204" s="298">
        <v>0</v>
      </c>
      <c r="G204" s="298">
        <v>0</v>
      </c>
      <c r="H204" s="291"/>
    </row>
    <row r="205" spans="1:8">
      <c r="A205" s="289" t="s">
        <v>134</v>
      </c>
      <c r="B205" s="295">
        <v>4817.2532716792102</v>
      </c>
      <c r="C205" s="296">
        <v>0</v>
      </c>
      <c r="D205" s="296">
        <v>0</v>
      </c>
      <c r="E205" s="293">
        <v>40.527257877674742</v>
      </c>
      <c r="F205" s="296">
        <v>0</v>
      </c>
      <c r="G205" s="296">
        <v>0</v>
      </c>
      <c r="H205" s="291"/>
    </row>
    <row r="206" spans="1:8">
      <c r="A206" s="289" t="s">
        <v>186</v>
      </c>
      <c r="B206" s="295">
        <v>0</v>
      </c>
      <c r="C206" s="296">
        <v>0</v>
      </c>
      <c r="D206" s="296">
        <v>0</v>
      </c>
      <c r="E206" s="293">
        <v>0</v>
      </c>
      <c r="F206" s="296">
        <v>0</v>
      </c>
      <c r="G206" s="296">
        <v>0</v>
      </c>
      <c r="H206" s="291"/>
    </row>
    <row r="207" spans="1:8">
      <c r="A207" s="289" t="s">
        <v>187</v>
      </c>
      <c r="B207" s="295">
        <v>0</v>
      </c>
      <c r="C207" s="296">
        <v>0</v>
      </c>
      <c r="D207" s="296">
        <v>0</v>
      </c>
      <c r="E207" s="293">
        <v>0</v>
      </c>
      <c r="F207" s="296">
        <v>0</v>
      </c>
      <c r="G207" s="296">
        <v>0</v>
      </c>
      <c r="H207" s="291"/>
    </row>
    <row r="208" spans="1:8">
      <c r="A208" s="297" t="s">
        <v>188</v>
      </c>
      <c r="B208" s="298">
        <v>0</v>
      </c>
      <c r="C208" s="298">
        <v>0</v>
      </c>
      <c r="D208" s="298">
        <v>0</v>
      </c>
      <c r="E208" s="298">
        <v>0</v>
      </c>
      <c r="F208" s="298">
        <v>0</v>
      </c>
      <c r="G208" s="298">
        <v>0</v>
      </c>
      <c r="H208" s="291"/>
    </row>
    <row r="209" spans="1:8">
      <c r="A209" s="289" t="s">
        <v>135</v>
      </c>
      <c r="B209" s="295">
        <v>12679.091510220966</v>
      </c>
      <c r="C209" s="295">
        <v>30029.713146509384</v>
      </c>
      <c r="D209" s="295">
        <v>206123.67095361077</v>
      </c>
      <c r="E209" s="293">
        <v>20.263628938837371</v>
      </c>
      <c r="F209" s="296">
        <v>0</v>
      </c>
      <c r="G209" s="296">
        <v>0</v>
      </c>
      <c r="H209" s="291"/>
    </row>
    <row r="210" spans="1:8">
      <c r="A210" s="289" t="s">
        <v>189</v>
      </c>
      <c r="B210" s="295">
        <v>0</v>
      </c>
      <c r="C210" s="295">
        <v>0</v>
      </c>
      <c r="D210" s="295">
        <v>0</v>
      </c>
      <c r="E210" s="293">
        <v>0</v>
      </c>
      <c r="F210" s="296">
        <v>0</v>
      </c>
      <c r="G210" s="296">
        <v>0</v>
      </c>
      <c r="H210" s="291"/>
    </row>
    <row r="211" spans="1:8">
      <c r="A211" s="289" t="s">
        <v>190</v>
      </c>
      <c r="B211" s="295">
        <v>0</v>
      </c>
      <c r="C211" s="295">
        <v>0</v>
      </c>
      <c r="D211" s="295">
        <v>0</v>
      </c>
      <c r="E211" s="293">
        <v>0</v>
      </c>
      <c r="F211" s="296">
        <v>0</v>
      </c>
      <c r="G211" s="296">
        <v>0</v>
      </c>
      <c r="H211" s="291"/>
    </row>
    <row r="212" spans="1:8">
      <c r="A212" s="297" t="s">
        <v>1537</v>
      </c>
      <c r="B212" s="298">
        <v>0</v>
      </c>
      <c r="C212" s="298">
        <v>0</v>
      </c>
      <c r="D212" s="298">
        <v>0</v>
      </c>
      <c r="E212" s="298">
        <v>0</v>
      </c>
      <c r="F212" s="298">
        <v>0</v>
      </c>
      <c r="G212" s="298">
        <v>0</v>
      </c>
      <c r="H212" s="291"/>
    </row>
    <row r="213" spans="1:8">
      <c r="A213" s="289" t="s">
        <v>1534</v>
      </c>
      <c r="B213" s="295">
        <v>1660.7170232592748</v>
      </c>
      <c r="C213" s="296">
        <v>0</v>
      </c>
      <c r="D213" s="296">
        <v>0</v>
      </c>
      <c r="E213" s="293">
        <v>119.55541073914044</v>
      </c>
      <c r="F213" s="296">
        <v>0</v>
      </c>
      <c r="G213" s="296">
        <v>0</v>
      </c>
      <c r="H213" s="291"/>
    </row>
    <row r="214" spans="1:8">
      <c r="A214" s="289" t="s">
        <v>1531</v>
      </c>
      <c r="B214" s="295">
        <v>0</v>
      </c>
      <c r="C214" s="296">
        <v>0</v>
      </c>
      <c r="D214" s="296">
        <v>0</v>
      </c>
      <c r="E214" s="293">
        <v>0</v>
      </c>
      <c r="F214" s="296">
        <v>0</v>
      </c>
      <c r="G214" s="296">
        <v>0</v>
      </c>
      <c r="H214" s="291"/>
    </row>
    <row r="215" spans="1:8">
      <c r="A215" s="289" t="s">
        <v>1528</v>
      </c>
      <c r="B215" s="295">
        <v>0</v>
      </c>
      <c r="C215" s="296">
        <v>0</v>
      </c>
      <c r="D215" s="296">
        <v>0</v>
      </c>
      <c r="E215" s="293">
        <v>0</v>
      </c>
      <c r="F215" s="296">
        <v>0</v>
      </c>
      <c r="G215" s="296">
        <v>0</v>
      </c>
      <c r="H215" s="291"/>
    </row>
    <row r="216" spans="1:8">
      <c r="A216" s="297" t="s">
        <v>191</v>
      </c>
      <c r="B216" s="298">
        <v>0</v>
      </c>
      <c r="C216" s="298">
        <v>0</v>
      </c>
      <c r="D216" s="298">
        <v>0</v>
      </c>
      <c r="E216" s="298">
        <v>0</v>
      </c>
      <c r="F216" s="298">
        <v>0</v>
      </c>
      <c r="G216" s="298">
        <v>0</v>
      </c>
      <c r="H216" s="291"/>
    </row>
    <row r="217" spans="1:8">
      <c r="A217" s="289" t="s">
        <v>100</v>
      </c>
      <c r="B217" s="295">
        <v>0</v>
      </c>
      <c r="C217" s="296">
        <v>0</v>
      </c>
      <c r="D217" s="296">
        <v>0</v>
      </c>
      <c r="E217" s="293">
        <v>0</v>
      </c>
      <c r="F217" s="296">
        <v>0</v>
      </c>
      <c r="G217" s="296">
        <v>0</v>
      </c>
      <c r="H217" s="291"/>
    </row>
    <row r="218" spans="1:8">
      <c r="A218" s="289" t="s">
        <v>192</v>
      </c>
      <c r="B218" s="295">
        <v>0</v>
      </c>
      <c r="C218" s="296">
        <v>0</v>
      </c>
      <c r="D218" s="296">
        <v>0</v>
      </c>
      <c r="E218" s="293">
        <v>0</v>
      </c>
      <c r="F218" s="296">
        <v>0</v>
      </c>
      <c r="G218" s="296">
        <v>0</v>
      </c>
      <c r="H218" s="291"/>
    </row>
    <row r="219" spans="1:8">
      <c r="A219" s="297" t="s">
        <v>193</v>
      </c>
      <c r="B219" s="298">
        <v>0</v>
      </c>
      <c r="C219" s="298">
        <v>0</v>
      </c>
      <c r="D219" s="298">
        <v>0</v>
      </c>
      <c r="E219" s="298">
        <v>0</v>
      </c>
      <c r="F219" s="298">
        <v>0</v>
      </c>
      <c r="G219" s="298">
        <v>0</v>
      </c>
      <c r="H219" s="291"/>
    </row>
    <row r="220" spans="1:8">
      <c r="A220" s="289" t="s">
        <v>101</v>
      </c>
      <c r="B220" s="295">
        <v>24996.858841456458</v>
      </c>
      <c r="C220" s="296">
        <v>0</v>
      </c>
      <c r="D220" s="296">
        <v>0</v>
      </c>
      <c r="E220" s="293">
        <v>167.17493874540833</v>
      </c>
      <c r="F220" s="296">
        <v>0</v>
      </c>
      <c r="G220" s="295">
        <v>1833.7618341721654</v>
      </c>
      <c r="H220" s="291"/>
    </row>
    <row r="221" spans="1:8">
      <c r="A221" s="289" t="s">
        <v>194</v>
      </c>
      <c r="B221" s="295">
        <v>0</v>
      </c>
      <c r="C221" s="296">
        <v>0</v>
      </c>
      <c r="D221" s="296">
        <v>0</v>
      </c>
      <c r="E221" s="293">
        <v>0</v>
      </c>
      <c r="F221" s="296">
        <v>0</v>
      </c>
      <c r="G221" s="295">
        <v>0</v>
      </c>
      <c r="H221" s="291"/>
    </row>
    <row r="222" spans="1:8">
      <c r="A222" s="289" t="s">
        <v>195</v>
      </c>
      <c r="B222" s="295">
        <v>67.449079939668152</v>
      </c>
      <c r="C222" s="296">
        <v>0</v>
      </c>
      <c r="D222" s="296">
        <v>0</v>
      </c>
      <c r="E222" s="293">
        <v>0</v>
      </c>
      <c r="F222" s="296">
        <v>0</v>
      </c>
      <c r="G222" s="295">
        <v>40.276868917141599</v>
      </c>
      <c r="H222" s="291"/>
    </row>
    <row r="223" spans="1:8">
      <c r="A223" s="297" t="s">
        <v>196</v>
      </c>
      <c r="B223" s="298">
        <v>0</v>
      </c>
      <c r="C223" s="298">
        <v>0</v>
      </c>
      <c r="D223" s="298">
        <v>0</v>
      </c>
      <c r="E223" s="298">
        <v>0</v>
      </c>
      <c r="F223" s="298">
        <v>0</v>
      </c>
      <c r="G223" s="298">
        <v>0</v>
      </c>
      <c r="H223" s="291"/>
    </row>
    <row r="224" spans="1:8">
      <c r="A224" s="289" t="s">
        <v>102</v>
      </c>
      <c r="B224" s="295">
        <v>826.92226302739937</v>
      </c>
      <c r="C224" s="295">
        <v>3731.6613783210264</v>
      </c>
      <c r="D224" s="295">
        <v>5008.4114190363289</v>
      </c>
      <c r="E224" s="293">
        <v>86.120422990058827</v>
      </c>
      <c r="F224" s="296">
        <v>0</v>
      </c>
      <c r="G224" s="295">
        <v>497.09178617320293</v>
      </c>
      <c r="H224" s="291"/>
    </row>
    <row r="225" spans="1:8">
      <c r="A225" s="289" t="s">
        <v>197</v>
      </c>
      <c r="B225" s="295">
        <v>0</v>
      </c>
      <c r="C225" s="295">
        <v>0</v>
      </c>
      <c r="D225" s="295">
        <v>0</v>
      </c>
      <c r="E225" s="293">
        <v>0</v>
      </c>
      <c r="F225" s="296">
        <v>0</v>
      </c>
      <c r="G225" s="295">
        <v>0</v>
      </c>
      <c r="H225" s="291"/>
    </row>
    <row r="226" spans="1:8">
      <c r="A226" s="289" t="s">
        <v>198</v>
      </c>
      <c r="B226" s="295">
        <v>0.3293543489190548</v>
      </c>
      <c r="C226" s="295">
        <v>0</v>
      </c>
      <c r="D226" s="295">
        <v>0</v>
      </c>
      <c r="E226" s="293">
        <v>0</v>
      </c>
      <c r="F226" s="296">
        <v>0</v>
      </c>
      <c r="G226" s="295">
        <v>0.38239675580885579</v>
      </c>
      <c r="H226" s="291"/>
    </row>
    <row r="227" spans="1:8">
      <c r="A227" s="297" t="s">
        <v>199</v>
      </c>
      <c r="B227" s="298">
        <v>0</v>
      </c>
      <c r="C227" s="298">
        <v>0</v>
      </c>
      <c r="D227" s="298">
        <v>0</v>
      </c>
      <c r="E227" s="298">
        <v>0</v>
      </c>
      <c r="F227" s="298">
        <v>0</v>
      </c>
      <c r="G227" s="298">
        <v>0</v>
      </c>
      <c r="H227" s="291"/>
    </row>
    <row r="228" spans="1:8">
      <c r="A228" s="289" t="s">
        <v>103</v>
      </c>
      <c r="B228" s="295">
        <v>1213.6794216291853</v>
      </c>
      <c r="C228" s="296">
        <v>0</v>
      </c>
      <c r="D228" s="296">
        <v>0</v>
      </c>
      <c r="E228" s="293">
        <v>5.0659072347093428</v>
      </c>
      <c r="F228" s="296">
        <v>0</v>
      </c>
      <c r="G228" s="295">
        <v>124.64962312250731</v>
      </c>
      <c r="H228" s="291"/>
    </row>
    <row r="229" spans="1:8">
      <c r="A229" s="289" t="s">
        <v>200</v>
      </c>
      <c r="B229" s="295">
        <v>0</v>
      </c>
      <c r="C229" s="296">
        <v>0</v>
      </c>
      <c r="D229" s="296">
        <v>0</v>
      </c>
      <c r="E229" s="293">
        <v>0</v>
      </c>
      <c r="F229" s="296">
        <v>0</v>
      </c>
      <c r="G229" s="295">
        <v>0</v>
      </c>
      <c r="H229" s="291"/>
    </row>
    <row r="230" spans="1:8">
      <c r="A230" s="297" t="s">
        <v>201</v>
      </c>
      <c r="B230" s="298">
        <v>0</v>
      </c>
      <c r="C230" s="298">
        <v>0</v>
      </c>
      <c r="D230" s="298">
        <v>0</v>
      </c>
      <c r="E230" s="298">
        <v>0</v>
      </c>
      <c r="F230" s="298">
        <v>0</v>
      </c>
      <c r="G230" s="298">
        <v>0</v>
      </c>
      <c r="H230" s="291"/>
    </row>
    <row r="231" spans="1:8">
      <c r="A231" s="289" t="s">
        <v>104</v>
      </c>
      <c r="B231" s="295">
        <v>1398.4642496253416</v>
      </c>
      <c r="C231" s="295">
        <v>3179.9868408000002</v>
      </c>
      <c r="D231" s="295">
        <v>6128.1571032000011</v>
      </c>
      <c r="E231" s="293">
        <v>4.0527257877674732</v>
      </c>
      <c r="F231" s="296">
        <v>0</v>
      </c>
      <c r="G231" s="295">
        <v>8.8798433495988469</v>
      </c>
      <c r="H231" s="291"/>
    </row>
    <row r="232" spans="1:8">
      <c r="A232" s="289" t="s">
        <v>202</v>
      </c>
      <c r="B232" s="295">
        <v>0</v>
      </c>
      <c r="C232" s="295">
        <v>0</v>
      </c>
      <c r="D232" s="295">
        <v>0</v>
      </c>
      <c r="E232" s="293">
        <v>0</v>
      </c>
      <c r="F232" s="296">
        <v>0</v>
      </c>
      <c r="G232" s="295">
        <v>0</v>
      </c>
      <c r="H232" s="291"/>
    </row>
    <row r="233" spans="1:8">
      <c r="A233" s="297" t="s">
        <v>203</v>
      </c>
      <c r="B233" s="298">
        <v>0</v>
      </c>
      <c r="C233" s="298">
        <v>0</v>
      </c>
      <c r="D233" s="298">
        <v>0</v>
      </c>
      <c r="E233" s="298">
        <v>0</v>
      </c>
      <c r="F233" s="298">
        <v>0</v>
      </c>
      <c r="G233" s="298">
        <v>0</v>
      </c>
      <c r="H233" s="291"/>
    </row>
    <row r="234" spans="1:8">
      <c r="A234" s="289" t="s">
        <v>112</v>
      </c>
      <c r="B234" s="295">
        <v>95543.871083999999</v>
      </c>
      <c r="C234" s="296">
        <v>0</v>
      </c>
      <c r="D234" s="296">
        <v>0</v>
      </c>
      <c r="E234" s="293">
        <v>55.359020484258814</v>
      </c>
      <c r="F234" s="296">
        <v>0</v>
      </c>
      <c r="G234" s="295">
        <v>3144.8579734229206</v>
      </c>
      <c r="H234" s="291"/>
    </row>
    <row r="235" spans="1:8">
      <c r="A235" s="289" t="s">
        <v>204</v>
      </c>
      <c r="B235" s="295">
        <v>0</v>
      </c>
      <c r="C235" s="296">
        <v>0</v>
      </c>
      <c r="D235" s="296">
        <v>0</v>
      </c>
      <c r="E235" s="293">
        <v>0</v>
      </c>
      <c r="F235" s="296">
        <v>0</v>
      </c>
      <c r="G235" s="295">
        <v>0</v>
      </c>
      <c r="H235" s="291"/>
    </row>
    <row r="236" spans="1:8">
      <c r="A236" s="297" t="s">
        <v>205</v>
      </c>
      <c r="B236" s="298">
        <v>0</v>
      </c>
      <c r="C236" s="298">
        <v>0</v>
      </c>
      <c r="D236" s="298">
        <v>0</v>
      </c>
      <c r="E236" s="298">
        <v>0</v>
      </c>
      <c r="F236" s="298">
        <v>0</v>
      </c>
      <c r="G236" s="298">
        <v>0</v>
      </c>
      <c r="H236" s="291"/>
    </row>
    <row r="237" spans="1:8">
      <c r="A237" s="289" t="s">
        <v>113</v>
      </c>
      <c r="B237" s="295">
        <v>65104.786809687452</v>
      </c>
      <c r="C237" s="295">
        <v>202236.73285292476</v>
      </c>
      <c r="D237" s="295">
        <v>389530.18598588731</v>
      </c>
      <c r="E237" s="293">
        <v>115.75067919435931</v>
      </c>
      <c r="F237" s="296">
        <v>0</v>
      </c>
      <c r="G237" s="295">
        <v>7784.0578486942413</v>
      </c>
      <c r="H237" s="291"/>
    </row>
    <row r="238" spans="1:8">
      <c r="A238" s="289" t="s">
        <v>206</v>
      </c>
      <c r="B238" s="295">
        <v>0</v>
      </c>
      <c r="C238" s="295">
        <v>0</v>
      </c>
      <c r="D238" s="295">
        <v>0</v>
      </c>
      <c r="E238" s="293">
        <v>0</v>
      </c>
      <c r="F238" s="296">
        <v>0</v>
      </c>
      <c r="G238" s="295">
        <v>0</v>
      </c>
      <c r="H238" s="291"/>
    </row>
    <row r="240" spans="1:8" ht="21" customHeight="1">
      <c r="A240" s="1" t="s">
        <v>207</v>
      </c>
    </row>
    <row r="241" spans="1:9">
      <c r="A241" s="287" t="s">
        <v>262</v>
      </c>
    </row>
    <row r="242" spans="1:9">
      <c r="A242" t="s">
        <v>137</v>
      </c>
    </row>
    <row r="243" spans="1:9" ht="30">
      <c r="B243" s="288" t="s">
        <v>208</v>
      </c>
    </row>
    <row r="244" spans="1:9">
      <c r="A244" s="289" t="s">
        <v>209</v>
      </c>
      <c r="B244" s="293">
        <v>15101978.164566599</v>
      </c>
      <c r="C244" s="291" t="s">
        <v>262</v>
      </c>
    </row>
    <row r="246" spans="1:9" ht="21" customHeight="1">
      <c r="A246" s="1" t="s">
        <v>210</v>
      </c>
    </row>
    <row r="247" spans="1:9">
      <c r="A247" t="s">
        <v>262</v>
      </c>
    </row>
    <row r="248" spans="1:9">
      <c r="B248" s="288" t="s">
        <v>211</v>
      </c>
      <c r="C248" s="288" t="s">
        <v>212</v>
      </c>
      <c r="D248" s="288" t="s">
        <v>213</v>
      </c>
      <c r="E248" s="288" t="s">
        <v>214</v>
      </c>
    </row>
    <row r="249" spans="1:9">
      <c r="A249" s="289" t="s">
        <v>215</v>
      </c>
      <c r="B249" s="293">
        <v>29368909.955880482</v>
      </c>
      <c r="C249" s="293">
        <v>122457954.53283055</v>
      </c>
      <c r="D249" s="292">
        <v>0.6</v>
      </c>
      <c r="E249" s="293">
        <v>51104978</v>
      </c>
      <c r="F249" s="291" t="s">
        <v>262</v>
      </c>
    </row>
    <row r="251" spans="1:9" ht="21" customHeight="1">
      <c r="A251" s="1" t="s">
        <v>216</v>
      </c>
    </row>
    <row r="252" spans="1:9">
      <c r="A252" s="287"/>
    </row>
    <row r="253" spans="1:9">
      <c r="A253" s="287" t="s">
        <v>217</v>
      </c>
    </row>
    <row r="254" spans="1:9">
      <c r="A254" s="287" t="s">
        <v>218</v>
      </c>
    </row>
    <row r="255" spans="1:9">
      <c r="A255" t="s">
        <v>219</v>
      </c>
    </row>
    <row r="256" spans="1:9" ht="30">
      <c r="B256" s="288" t="s">
        <v>220</v>
      </c>
      <c r="C256" s="288" t="s">
        <v>221</v>
      </c>
      <c r="D256" s="288" t="s">
        <v>222</v>
      </c>
      <c r="E256" s="288" t="s">
        <v>223</v>
      </c>
      <c r="F256" s="288" t="s">
        <v>224</v>
      </c>
      <c r="G256" s="288" t="s">
        <v>225</v>
      </c>
      <c r="H256" s="288" t="s">
        <v>226</v>
      </c>
      <c r="I256" s="288" t="s">
        <v>227</v>
      </c>
    </row>
    <row r="257" spans="1:10">
      <c r="A257" s="289" t="s">
        <v>228</v>
      </c>
      <c r="B257" s="292">
        <v>0</v>
      </c>
      <c r="C257" s="292">
        <v>0</v>
      </c>
      <c r="D257" s="292">
        <v>0</v>
      </c>
      <c r="E257" s="292">
        <v>0</v>
      </c>
      <c r="F257" s="292">
        <v>0</v>
      </c>
      <c r="G257" s="292">
        <v>0.38684969697494365</v>
      </c>
      <c r="H257" s="292">
        <v>0.64124825573068889</v>
      </c>
      <c r="I257" s="292">
        <v>0.89564681448643413</v>
      </c>
      <c r="J257" s="291" t="s">
        <v>262</v>
      </c>
    </row>
    <row r="258" spans="1:10">
      <c r="A258" s="289" t="s">
        <v>229</v>
      </c>
      <c r="B258" s="292">
        <v>0</v>
      </c>
      <c r="C258" s="292">
        <v>0</v>
      </c>
      <c r="D258" s="292">
        <v>0</v>
      </c>
      <c r="E258" s="292">
        <v>0</v>
      </c>
      <c r="F258" s="292">
        <v>0</v>
      </c>
      <c r="G258" s="292">
        <v>0.38684969697494365</v>
      </c>
      <c r="H258" s="292">
        <v>0.64124825573068889</v>
      </c>
      <c r="I258" s="296"/>
      <c r="J258" s="291" t="s">
        <v>262</v>
      </c>
    </row>
    <row r="259" spans="1:10">
      <c r="A259" s="289" t="s">
        <v>230</v>
      </c>
      <c r="B259" s="292">
        <v>0</v>
      </c>
      <c r="C259" s="292">
        <v>0</v>
      </c>
      <c r="D259" s="292">
        <v>0</v>
      </c>
      <c r="E259" s="292">
        <v>0.25764106948138837</v>
      </c>
      <c r="F259" s="292">
        <v>0.25764106948138837</v>
      </c>
      <c r="G259" s="292">
        <v>0.51528213896277675</v>
      </c>
      <c r="H259" s="296"/>
      <c r="I259" s="296"/>
      <c r="J259" s="291" t="s">
        <v>262</v>
      </c>
    </row>
    <row r="260" spans="1:10">
      <c r="A260" s="289" t="s">
        <v>231</v>
      </c>
      <c r="B260" s="292">
        <v>0</v>
      </c>
      <c r="C260" s="292">
        <v>0</v>
      </c>
      <c r="D260" s="292">
        <v>0</v>
      </c>
      <c r="E260" s="292">
        <v>0.25764106948138837</v>
      </c>
      <c r="F260" s="296"/>
      <c r="G260" s="296"/>
      <c r="H260" s="296"/>
      <c r="I260" s="296"/>
      <c r="J260" s="291" t="s">
        <v>262</v>
      </c>
    </row>
    <row r="262" spans="1:10" ht="21" customHeight="1">
      <c r="A262" s="1" t="s">
        <v>232</v>
      </c>
    </row>
    <row r="264" spans="1:10">
      <c r="B264" s="288" t="s">
        <v>233</v>
      </c>
      <c r="C264" s="288" t="s">
        <v>234</v>
      </c>
      <c r="D264" s="288" t="s">
        <v>235</v>
      </c>
    </row>
    <row r="265" spans="1:10">
      <c r="A265" s="289" t="s">
        <v>92</v>
      </c>
      <c r="B265" s="292">
        <v>0.15163735853906232</v>
      </c>
      <c r="C265" s="292">
        <v>0.41909005511697384</v>
      </c>
      <c r="D265" s="292">
        <v>0.42927258634396387</v>
      </c>
      <c r="E265" s="291" t="s">
        <v>262</v>
      </c>
    </row>
    <row r="266" spans="1:10">
      <c r="A266" s="289" t="s">
        <v>93</v>
      </c>
      <c r="B266" s="292">
        <v>0.14794456993942195</v>
      </c>
      <c r="C266" s="292">
        <v>0.41591847408405047</v>
      </c>
      <c r="D266" s="292">
        <v>0.43613695597652757</v>
      </c>
      <c r="E266" s="291" t="s">
        <v>262</v>
      </c>
    </row>
    <row r="267" spans="1:10">
      <c r="A267" s="289" t="s">
        <v>129</v>
      </c>
      <c r="B267" s="292">
        <v>2.8213273611215495E-3</v>
      </c>
      <c r="C267" s="292">
        <v>0.20906851428116469</v>
      </c>
      <c r="D267" s="292">
        <v>0.78811015835771381</v>
      </c>
      <c r="E267" s="291"/>
    </row>
    <row r="268" spans="1:10">
      <c r="A268" s="289" t="s">
        <v>94</v>
      </c>
      <c r="B268" s="292">
        <v>0.13166491281892173</v>
      </c>
      <c r="C268" s="292">
        <v>0.58418150754710119</v>
      </c>
      <c r="D268" s="292">
        <v>0.28415357963397708</v>
      </c>
      <c r="E268" s="291"/>
    </row>
    <row r="269" spans="1:10">
      <c r="A269" s="289" t="s">
        <v>95</v>
      </c>
      <c r="B269" s="292">
        <v>0.13097267676429289</v>
      </c>
      <c r="C269" s="292">
        <v>0.53624987448173789</v>
      </c>
      <c r="D269" s="292">
        <v>0.33277744875396925</v>
      </c>
      <c r="E269" s="291" t="s">
        <v>262</v>
      </c>
    </row>
    <row r="270" spans="1:10">
      <c r="A270" s="289" t="s">
        <v>130</v>
      </c>
      <c r="B270" s="292">
        <v>2.1180943708626887E-2</v>
      </c>
      <c r="C270" s="292">
        <v>0.17461755756654385</v>
      </c>
      <c r="D270" s="292">
        <v>0.80420149872482938</v>
      </c>
      <c r="E270" s="291" t="s">
        <v>262</v>
      </c>
    </row>
    <row r="271" spans="1:10">
      <c r="A271" s="289" t="s">
        <v>96</v>
      </c>
      <c r="B271" s="292">
        <v>0.13675751648464302</v>
      </c>
      <c r="C271" s="292">
        <v>0.52643299691979983</v>
      </c>
      <c r="D271" s="292">
        <v>0.33680948659555715</v>
      </c>
      <c r="E271" s="291" t="s">
        <v>262</v>
      </c>
    </row>
    <row r="272" spans="1:10">
      <c r="A272" s="289" t="s">
        <v>97</v>
      </c>
      <c r="B272" s="292">
        <v>0.13246682554357336</v>
      </c>
      <c r="C272" s="292">
        <v>0.5419021330055962</v>
      </c>
      <c r="D272" s="292">
        <v>0.32563104145083038</v>
      </c>
      <c r="E272" s="291" t="s">
        <v>262</v>
      </c>
    </row>
    <row r="273" spans="1:5">
      <c r="A273" s="289" t="s">
        <v>110</v>
      </c>
      <c r="B273" s="292">
        <v>0.13067404581003325</v>
      </c>
      <c r="C273" s="292">
        <v>0.55375454532068635</v>
      </c>
      <c r="D273" s="292">
        <v>0.31557140886928042</v>
      </c>
      <c r="E273" s="291" t="s">
        <v>262</v>
      </c>
    </row>
    <row r="275" spans="1:5" ht="21" customHeight="1">
      <c r="A275" s="1" t="s">
        <v>236</v>
      </c>
    </row>
    <row r="277" spans="1:5">
      <c r="B277" s="288" t="s">
        <v>233</v>
      </c>
      <c r="C277" s="288" t="s">
        <v>234</v>
      </c>
      <c r="D277" s="288" t="s">
        <v>235</v>
      </c>
    </row>
    <row r="278" spans="1:5">
      <c r="A278" s="289" t="s">
        <v>93</v>
      </c>
      <c r="B278" s="292">
        <v>0</v>
      </c>
      <c r="C278" s="292">
        <v>0</v>
      </c>
      <c r="D278" s="292">
        <v>1</v>
      </c>
      <c r="E278" s="291" t="s">
        <v>262</v>
      </c>
    </row>
    <row r="279" spans="1:5">
      <c r="A279" s="289" t="s">
        <v>95</v>
      </c>
      <c r="B279" s="292">
        <v>0</v>
      </c>
      <c r="C279" s="292">
        <v>0</v>
      </c>
      <c r="D279" s="292">
        <v>1</v>
      </c>
      <c r="E279" s="291" t="s">
        <v>262</v>
      </c>
    </row>
    <row r="280" spans="1:5">
      <c r="A280" s="289" t="s">
        <v>96</v>
      </c>
      <c r="B280" s="292">
        <v>0</v>
      </c>
      <c r="C280" s="292">
        <v>0</v>
      </c>
      <c r="D280" s="292">
        <v>1</v>
      </c>
      <c r="E280" s="291" t="s">
        <v>262</v>
      </c>
    </row>
    <row r="281" spans="1:5">
      <c r="A281" s="289" t="s">
        <v>97</v>
      </c>
      <c r="B281" s="292">
        <v>0</v>
      </c>
      <c r="C281" s="292">
        <v>0</v>
      </c>
      <c r="D281" s="292">
        <v>1</v>
      </c>
      <c r="E281" s="291" t="s">
        <v>262</v>
      </c>
    </row>
    <row r="282" spans="1:5">
      <c r="A282" s="289" t="s">
        <v>110</v>
      </c>
      <c r="B282" s="292">
        <v>0</v>
      </c>
      <c r="C282" s="292">
        <v>0</v>
      </c>
      <c r="D282" s="292">
        <v>1</v>
      </c>
      <c r="E282" s="291" t="s">
        <v>262</v>
      </c>
    </row>
    <row r="284" spans="1:5" ht="21" customHeight="1">
      <c r="A284" s="1" t="s">
        <v>237</v>
      </c>
    </row>
    <row r="286" spans="1:5">
      <c r="B286" s="288" t="s">
        <v>233</v>
      </c>
      <c r="C286" s="288" t="s">
        <v>234</v>
      </c>
      <c r="D286" s="288" t="s">
        <v>235</v>
      </c>
      <c r="E286" t="s">
        <v>262</v>
      </c>
    </row>
    <row r="287" spans="1:5">
      <c r="A287" s="289" t="s">
        <v>131</v>
      </c>
      <c r="B287" s="292">
        <v>2.9337899543378995E-2</v>
      </c>
      <c r="C287" s="292">
        <v>0.37237442922374431</v>
      </c>
      <c r="D287" s="292">
        <v>0.59828767123287674</v>
      </c>
      <c r="E287" s="291" t="s">
        <v>262</v>
      </c>
    </row>
    <row r="288" spans="1:5">
      <c r="A288" s="289" t="s">
        <v>132</v>
      </c>
      <c r="B288" s="292">
        <v>4.891355254087474E-2</v>
      </c>
      <c r="C288" s="292">
        <v>8.8639017251141775E-2</v>
      </c>
      <c r="D288" s="292">
        <v>0.86244743020798342</v>
      </c>
      <c r="E288" s="291" t="s">
        <v>262</v>
      </c>
    </row>
    <row r="289" spans="1:5">
      <c r="A289" s="289" t="s">
        <v>133</v>
      </c>
      <c r="B289" s="292">
        <v>8.9373751938750981E-2</v>
      </c>
      <c r="C289" s="292">
        <v>0.1511733177646977</v>
      </c>
      <c r="D289" s="292">
        <v>0.75945293029655137</v>
      </c>
      <c r="E289" s="291" t="s">
        <v>262</v>
      </c>
    </row>
    <row r="290" spans="1:5">
      <c r="A290" s="289" t="s">
        <v>134</v>
      </c>
      <c r="B290" s="292">
        <v>9.8662176030754195E-3</v>
      </c>
      <c r="C290" s="292">
        <v>0.63526803788016351</v>
      </c>
      <c r="D290" s="292">
        <v>0.35486574451676106</v>
      </c>
      <c r="E290" s="291" t="s">
        <v>262</v>
      </c>
    </row>
    <row r="292" spans="1:5" ht="21" customHeight="1">
      <c r="A292" s="1" t="s">
        <v>240</v>
      </c>
    </row>
    <row r="293" spans="1:5">
      <c r="A293" s="287" t="s">
        <v>241</v>
      </c>
    </row>
    <row r="294" spans="1:5">
      <c r="A294" s="287" t="s">
        <v>242</v>
      </c>
    </row>
    <row r="296" spans="1:5">
      <c r="B296" s="288" t="s">
        <v>233</v>
      </c>
      <c r="C296" s="288" t="s">
        <v>234</v>
      </c>
      <c r="D296" s="288" t="s">
        <v>235</v>
      </c>
    </row>
    <row r="297" spans="1:5">
      <c r="A297" s="289" t="s">
        <v>243</v>
      </c>
      <c r="B297" s="299">
        <v>258</v>
      </c>
      <c r="C297" s="299">
        <v>3265.5</v>
      </c>
      <c r="D297" s="299">
        <v>5236.5</v>
      </c>
      <c r="E297" s="291" t="s">
        <v>262</v>
      </c>
    </row>
    <row r="299" spans="1:5" ht="21" customHeight="1">
      <c r="A299" s="1" t="s">
        <v>244</v>
      </c>
    </row>
    <row r="300" spans="1:5">
      <c r="A300" s="287"/>
    </row>
    <row r="301" spans="1:5">
      <c r="A301" s="287" t="s">
        <v>241</v>
      </c>
    </row>
    <row r="302" spans="1:5">
      <c r="A302" t="s">
        <v>242</v>
      </c>
    </row>
    <row r="303" spans="1:5">
      <c r="B303" s="288" t="s">
        <v>233</v>
      </c>
      <c r="C303" s="288" t="s">
        <v>234</v>
      </c>
      <c r="D303" s="288" t="s">
        <v>235</v>
      </c>
    </row>
    <row r="304" spans="1:5">
      <c r="A304" s="289" t="s">
        <v>243</v>
      </c>
      <c r="B304" s="299">
        <v>783</v>
      </c>
      <c r="C304" s="299">
        <v>2740.5</v>
      </c>
      <c r="D304" s="299">
        <v>5236.5</v>
      </c>
      <c r="E304" s="291" t="s">
        <v>262</v>
      </c>
    </row>
    <row r="306" spans="1:6" ht="21" customHeight="1">
      <c r="A306" s="1" t="s">
        <v>245</v>
      </c>
    </row>
    <row r="307" spans="1:6">
      <c r="A307" s="287"/>
    </row>
    <row r="309" spans="1:6">
      <c r="A309" t="s">
        <v>246</v>
      </c>
      <c r="B309" s="300"/>
      <c r="C309" s="300"/>
      <c r="D309" s="300"/>
    </row>
    <row r="310" spans="1:6">
      <c r="B310" s="288" t="s">
        <v>233</v>
      </c>
      <c r="C310" s="288" t="s">
        <v>234</v>
      </c>
      <c r="D310" s="288" t="s">
        <v>235</v>
      </c>
      <c r="E310" s="288" t="s">
        <v>238</v>
      </c>
    </row>
    <row r="311" spans="1:6">
      <c r="A311" s="289" t="s">
        <v>60</v>
      </c>
      <c r="B311" s="292">
        <v>0.85470794540392048</v>
      </c>
      <c r="C311" s="292">
        <v>0.14529205459607944</v>
      </c>
      <c r="D311" s="292">
        <v>0</v>
      </c>
      <c r="E311" s="292">
        <v>0.84810150959791342</v>
      </c>
      <c r="F311" s="291" t="s">
        <v>262</v>
      </c>
    </row>
    <row r="312" spans="1:6">
      <c r="A312" s="289" t="s">
        <v>61</v>
      </c>
      <c r="B312" s="292">
        <v>0.73347807576361312</v>
      </c>
      <c r="C312" s="292">
        <v>0.23785008473510372</v>
      </c>
      <c r="D312" s="292">
        <v>2.8671839501283092E-2</v>
      </c>
      <c r="E312" s="292">
        <v>0.72115228218186689</v>
      </c>
      <c r="F312" s="291" t="s">
        <v>262</v>
      </c>
    </row>
    <row r="313" spans="1:6">
      <c r="A313" s="289" t="s">
        <v>62</v>
      </c>
      <c r="B313" s="292">
        <v>0.73347807576361312</v>
      </c>
      <c r="C313" s="292">
        <v>0.23785008473510372</v>
      </c>
      <c r="D313" s="292">
        <v>2.8671839501283092E-2</v>
      </c>
      <c r="E313" s="292">
        <v>0.72115228218186689</v>
      </c>
      <c r="F313" s="291" t="s">
        <v>262</v>
      </c>
    </row>
    <row r="314" spans="1:6">
      <c r="A314" s="289" t="s">
        <v>63</v>
      </c>
      <c r="B314" s="292">
        <v>0.74849318073591797</v>
      </c>
      <c r="C314" s="292">
        <v>0.18814792948012682</v>
      </c>
      <c r="D314" s="292">
        <v>6.3358889783955152E-2</v>
      </c>
      <c r="E314" s="292">
        <v>0.7448691829953189</v>
      </c>
      <c r="F314" s="291" t="s">
        <v>262</v>
      </c>
    </row>
    <row r="315" spans="1:6">
      <c r="A315" s="289" t="s">
        <v>64</v>
      </c>
      <c r="B315" s="292">
        <v>0.74849318073591797</v>
      </c>
      <c r="C315" s="292">
        <v>0.18814792948012682</v>
      </c>
      <c r="D315" s="292">
        <v>6.3358889783955152E-2</v>
      </c>
      <c r="E315" s="292">
        <v>0.7448691829953189</v>
      </c>
      <c r="F315" s="291" t="s">
        <v>262</v>
      </c>
    </row>
    <row r="316" spans="1:6">
      <c r="A316" s="289" t="s">
        <v>69</v>
      </c>
      <c r="B316" s="292">
        <v>0.73347807576361312</v>
      </c>
      <c r="C316" s="292">
        <v>0.23785008473510372</v>
      </c>
      <c r="D316" s="292">
        <v>2.8671839501283092E-2</v>
      </c>
      <c r="E316" s="292">
        <v>0.72115228218186689</v>
      </c>
      <c r="F316" s="291" t="s">
        <v>262</v>
      </c>
    </row>
    <row r="317" spans="1:6">
      <c r="A317" s="289" t="s">
        <v>65</v>
      </c>
      <c r="B317" s="292">
        <v>0.74849318073591797</v>
      </c>
      <c r="C317" s="292">
        <v>0.18814792948012682</v>
      </c>
      <c r="D317" s="292">
        <v>6.3358889783955152E-2</v>
      </c>
      <c r="E317" s="292">
        <v>0.7448691829953189</v>
      </c>
      <c r="F317" s="291" t="s">
        <v>262</v>
      </c>
    </row>
    <row r="318" spans="1:6">
      <c r="A318" s="289" t="s">
        <v>66</v>
      </c>
      <c r="B318" s="292">
        <v>0.74849318073591797</v>
      </c>
      <c r="C318" s="292">
        <v>0.18814792948012682</v>
      </c>
      <c r="D318" s="292">
        <v>6.3358889783955152E-2</v>
      </c>
      <c r="E318" s="292">
        <v>0.7448691829953189</v>
      </c>
      <c r="F318" s="291" t="s">
        <v>262</v>
      </c>
    </row>
    <row r="319" spans="1:6">
      <c r="A319" s="289" t="s">
        <v>67</v>
      </c>
      <c r="B319" s="292">
        <v>0.74849318073591797</v>
      </c>
      <c r="C319" s="292">
        <v>0.18814792948012682</v>
      </c>
      <c r="D319" s="292">
        <v>6.3358889783955152E-2</v>
      </c>
      <c r="E319" s="292">
        <v>0.7448691829953189</v>
      </c>
      <c r="F319" s="291" t="s">
        <v>262</v>
      </c>
    </row>
    <row r="321" spans="1:11" ht="21" customHeight="1">
      <c r="A321" s="1" t="s">
        <v>1524</v>
      </c>
    </row>
    <row r="322" spans="1:11">
      <c r="A322" s="287" t="s">
        <v>1523</v>
      </c>
    </row>
    <row r="324" spans="1:11" ht="30">
      <c r="B324" s="288" t="s">
        <v>1522</v>
      </c>
    </row>
    <row r="325" spans="1:11">
      <c r="A325" s="289" t="s">
        <v>1522</v>
      </c>
      <c r="B325" s="293">
        <v>532150838.49159807</v>
      </c>
      <c r="C325" s="291"/>
    </row>
    <row r="327" spans="1:11" ht="21" customHeight="1">
      <c r="A327" s="1" t="s">
        <v>248</v>
      </c>
    </row>
    <row r="328" spans="1:11">
      <c r="A328" s="287" t="s">
        <v>262</v>
      </c>
    </row>
    <row r="329" spans="1:11">
      <c r="A329" s="287" t="s">
        <v>249</v>
      </c>
    </row>
    <row r="330" spans="1:11">
      <c r="A330" t="s">
        <v>250</v>
      </c>
    </row>
    <row r="331" spans="1:11">
      <c r="B331" s="288" t="s">
        <v>60</v>
      </c>
      <c r="C331" s="288" t="s">
        <v>61</v>
      </c>
      <c r="D331" s="288" t="s">
        <v>62</v>
      </c>
      <c r="E331" s="288" t="s">
        <v>63</v>
      </c>
      <c r="F331" s="288" t="s">
        <v>64</v>
      </c>
      <c r="G331" s="288" t="s">
        <v>69</v>
      </c>
      <c r="H331" s="288" t="s">
        <v>65</v>
      </c>
      <c r="I331" s="288" t="s">
        <v>66</v>
      </c>
      <c r="J331" s="288" t="s">
        <v>67</v>
      </c>
    </row>
    <row r="332" spans="1:11">
      <c r="A332" s="289" t="s">
        <v>251</v>
      </c>
      <c r="B332" s="295">
        <v>0.2810621222726124</v>
      </c>
      <c r="C332" s="295">
        <v>0.2810621222726124</v>
      </c>
      <c r="D332" s="295">
        <v>0.2810621222726124</v>
      </c>
      <c r="E332" s="295">
        <v>0.2810621222726124</v>
      </c>
      <c r="F332" s="295">
        <v>0.2810621222726124</v>
      </c>
      <c r="G332" s="295">
        <v>0.2810621222726124</v>
      </c>
      <c r="H332" s="295">
        <v>0.2810621222726124</v>
      </c>
      <c r="I332" s="295">
        <v>0.2810621222726124</v>
      </c>
      <c r="J332" s="295">
        <v>0.2810621222726124</v>
      </c>
      <c r="K332" s="291" t="s">
        <v>262</v>
      </c>
    </row>
    <row r="334" spans="1:11" ht="21" customHeight="1">
      <c r="A334" s="1" t="str">
        <f>"Loss adjustment factors and network use matrices for "&amp;CDCM!B7&amp;" in "&amp;CDCM!C7&amp;" ("&amp;CDCM!D7&amp;")"</f>
        <v>Loss adjustment factors and network use matrices for West Mids in 0 (Forecast)</v>
      </c>
    </row>
    <row r="335" spans="1:11">
      <c r="A335" s="287" t="s">
        <v>252</v>
      </c>
    </row>
    <row r="336" spans="1:11">
      <c r="A336" s="287" t="s">
        <v>253</v>
      </c>
    </row>
    <row r="338" spans="1:10" ht="21" customHeight="1">
      <c r="A338" s="1" t="s">
        <v>254</v>
      </c>
    </row>
    <row r="339" spans="1:10">
      <c r="A339" s="287" t="s">
        <v>255</v>
      </c>
    </row>
    <row r="340" spans="1:10">
      <c r="A340" s="301" t="s">
        <v>256</v>
      </c>
    </row>
    <row r="341" spans="1:10">
      <c r="A341" s="301" t="s">
        <v>257</v>
      </c>
    </row>
    <row r="342" spans="1:10">
      <c r="A342" s="302" t="s">
        <v>258</v>
      </c>
      <c r="B342" s="303" t="s">
        <v>259</v>
      </c>
      <c r="C342" s="303"/>
      <c r="D342" s="303"/>
      <c r="E342" s="303"/>
      <c r="F342" s="303"/>
      <c r="G342" s="303"/>
      <c r="H342" s="303"/>
      <c r="I342" s="302" t="s">
        <v>260</v>
      </c>
    </row>
    <row r="343" spans="1:10">
      <c r="A343" s="302" t="s">
        <v>261</v>
      </c>
      <c r="B343" s="303" t="s">
        <v>262</v>
      </c>
      <c r="C343" s="303"/>
      <c r="D343" s="303"/>
      <c r="E343" s="303"/>
      <c r="F343" s="303"/>
      <c r="G343" s="303"/>
      <c r="H343" s="303"/>
      <c r="I343" s="302" t="s">
        <v>263</v>
      </c>
    </row>
    <row r="345" spans="1:10">
      <c r="B345" s="304" t="s">
        <v>264</v>
      </c>
      <c r="C345" s="304"/>
      <c r="D345" s="304"/>
      <c r="E345" s="304"/>
      <c r="F345" s="304"/>
      <c r="G345" s="304"/>
      <c r="H345" s="304"/>
    </row>
    <row r="346" spans="1:10">
      <c r="B346" s="288" t="s">
        <v>61</v>
      </c>
      <c r="C346" s="288" t="s">
        <v>62</v>
      </c>
      <c r="D346" s="288" t="s">
        <v>63</v>
      </c>
      <c r="E346" s="288" t="s">
        <v>64</v>
      </c>
      <c r="F346" s="288" t="s">
        <v>65</v>
      </c>
      <c r="G346" s="288" t="s">
        <v>66</v>
      </c>
      <c r="H346" s="288" t="s">
        <v>67</v>
      </c>
      <c r="I346" s="288" t="s">
        <v>116</v>
      </c>
    </row>
    <row r="347" spans="1:10">
      <c r="A347" s="289" t="s">
        <v>92</v>
      </c>
      <c r="B347" s="305">
        <v>0</v>
      </c>
      <c r="C347" s="305">
        <v>0</v>
      </c>
      <c r="D347" s="305">
        <v>0</v>
      </c>
      <c r="E347" s="305">
        <v>0</v>
      </c>
      <c r="F347" s="305">
        <v>0</v>
      </c>
      <c r="G347" s="305">
        <v>0</v>
      </c>
      <c r="H347" s="305">
        <v>1</v>
      </c>
      <c r="I347" s="306">
        <f t="shared" ref="I347:I373" si="0">SUMPRODUCT($B347:$H347,$B$104:$H$104)</f>
        <v>1.087</v>
      </c>
      <c r="J347" s="291"/>
    </row>
    <row r="348" spans="1:10">
      <c r="A348" s="289" t="s">
        <v>93</v>
      </c>
      <c r="B348" s="305">
        <v>0</v>
      </c>
      <c r="C348" s="305">
        <v>0</v>
      </c>
      <c r="D348" s="305">
        <v>0</v>
      </c>
      <c r="E348" s="305">
        <v>0</v>
      </c>
      <c r="F348" s="305">
        <v>0</v>
      </c>
      <c r="G348" s="305">
        <v>0</v>
      </c>
      <c r="H348" s="305">
        <v>1</v>
      </c>
      <c r="I348" s="306">
        <f t="shared" si="0"/>
        <v>1.087</v>
      </c>
      <c r="J348" s="291"/>
    </row>
    <row r="349" spans="1:10">
      <c r="A349" s="289" t="s">
        <v>129</v>
      </c>
      <c r="B349" s="305">
        <v>0</v>
      </c>
      <c r="C349" s="305">
        <v>0</v>
      </c>
      <c r="D349" s="305">
        <v>0</v>
      </c>
      <c r="E349" s="305">
        <v>0</v>
      </c>
      <c r="F349" s="305">
        <v>0</v>
      </c>
      <c r="G349" s="305">
        <v>0</v>
      </c>
      <c r="H349" s="305">
        <v>1</v>
      </c>
      <c r="I349" s="306">
        <f t="shared" si="0"/>
        <v>1.087</v>
      </c>
      <c r="J349" s="291"/>
    </row>
    <row r="350" spans="1:10">
      <c r="A350" s="289" t="s">
        <v>94</v>
      </c>
      <c r="B350" s="305">
        <v>0</v>
      </c>
      <c r="C350" s="305">
        <v>0</v>
      </c>
      <c r="D350" s="305">
        <v>0</v>
      </c>
      <c r="E350" s="305">
        <v>0</v>
      </c>
      <c r="F350" s="305">
        <v>0</v>
      </c>
      <c r="G350" s="305">
        <v>0</v>
      </c>
      <c r="H350" s="305">
        <v>1</v>
      </c>
      <c r="I350" s="306">
        <f t="shared" si="0"/>
        <v>1.087</v>
      </c>
      <c r="J350" s="291"/>
    </row>
    <row r="351" spans="1:10">
      <c r="A351" s="289" t="s">
        <v>95</v>
      </c>
      <c r="B351" s="305">
        <v>0</v>
      </c>
      <c r="C351" s="305">
        <v>0</v>
      </c>
      <c r="D351" s="305">
        <v>0</v>
      </c>
      <c r="E351" s="305">
        <v>0</v>
      </c>
      <c r="F351" s="305">
        <v>0</v>
      </c>
      <c r="G351" s="305">
        <v>0</v>
      </c>
      <c r="H351" s="305">
        <v>1</v>
      </c>
      <c r="I351" s="306">
        <f t="shared" si="0"/>
        <v>1.087</v>
      </c>
      <c r="J351" s="291"/>
    </row>
    <row r="352" spans="1:10">
      <c r="A352" s="289" t="s">
        <v>130</v>
      </c>
      <c r="B352" s="305">
        <v>0</v>
      </c>
      <c r="C352" s="305">
        <v>0</v>
      </c>
      <c r="D352" s="305">
        <v>0</v>
      </c>
      <c r="E352" s="305">
        <v>0</v>
      </c>
      <c r="F352" s="305">
        <v>0</v>
      </c>
      <c r="G352" s="305">
        <v>0</v>
      </c>
      <c r="H352" s="305">
        <v>1</v>
      </c>
      <c r="I352" s="306">
        <f t="shared" si="0"/>
        <v>1.087</v>
      </c>
      <c r="J352" s="291"/>
    </row>
    <row r="353" spans="1:10">
      <c r="A353" s="289" t="s">
        <v>96</v>
      </c>
      <c r="B353" s="305">
        <v>0</v>
      </c>
      <c r="C353" s="305">
        <v>0</v>
      </c>
      <c r="D353" s="305">
        <v>0</v>
      </c>
      <c r="E353" s="305">
        <v>0</v>
      </c>
      <c r="F353" s="305">
        <v>0</v>
      </c>
      <c r="G353" s="305">
        <v>0</v>
      </c>
      <c r="H353" s="305">
        <v>1</v>
      </c>
      <c r="I353" s="306">
        <f t="shared" si="0"/>
        <v>1.087</v>
      </c>
      <c r="J353" s="291"/>
    </row>
    <row r="354" spans="1:10">
      <c r="A354" s="289" t="s">
        <v>97</v>
      </c>
      <c r="B354" s="305">
        <v>0</v>
      </c>
      <c r="C354" s="305">
        <v>0</v>
      </c>
      <c r="D354" s="305">
        <v>0</v>
      </c>
      <c r="E354" s="305">
        <v>0</v>
      </c>
      <c r="F354" s="305">
        <v>0</v>
      </c>
      <c r="G354" s="305">
        <v>1</v>
      </c>
      <c r="H354" s="305">
        <v>0</v>
      </c>
      <c r="I354" s="306">
        <f t="shared" si="0"/>
        <v>1.07</v>
      </c>
      <c r="J354" s="291"/>
    </row>
    <row r="355" spans="1:10">
      <c r="A355" s="289" t="s">
        <v>110</v>
      </c>
      <c r="B355" s="305">
        <v>0</v>
      </c>
      <c r="C355" s="305">
        <v>0</v>
      </c>
      <c r="D355" s="305">
        <v>0</v>
      </c>
      <c r="E355" s="305">
        <v>0</v>
      </c>
      <c r="F355" s="305">
        <v>1</v>
      </c>
      <c r="G355" s="305">
        <v>0</v>
      </c>
      <c r="H355" s="305">
        <v>0</v>
      </c>
      <c r="I355" s="306">
        <f t="shared" si="0"/>
        <v>1.0509999999999999</v>
      </c>
      <c r="J355" s="291"/>
    </row>
    <row r="356" spans="1:10">
      <c r="A356" s="289" t="s">
        <v>1536</v>
      </c>
      <c r="B356" s="305">
        <v>0</v>
      </c>
      <c r="C356" s="305">
        <v>0</v>
      </c>
      <c r="D356" s="305">
        <v>0</v>
      </c>
      <c r="E356" s="305">
        <v>0</v>
      </c>
      <c r="F356" s="305">
        <v>0</v>
      </c>
      <c r="G356" s="305">
        <v>0</v>
      </c>
      <c r="H356" s="305">
        <v>1</v>
      </c>
      <c r="I356" s="306">
        <f t="shared" si="0"/>
        <v>1.087</v>
      </c>
      <c r="J356" s="291"/>
    </row>
    <row r="357" spans="1:10">
      <c r="A357" s="289" t="s">
        <v>1535</v>
      </c>
      <c r="B357" s="305">
        <v>0</v>
      </c>
      <c r="C357" s="305">
        <v>0</v>
      </c>
      <c r="D357" s="305">
        <v>0</v>
      </c>
      <c r="E357" s="305">
        <v>0</v>
      </c>
      <c r="F357" s="305">
        <v>0</v>
      </c>
      <c r="G357" s="305">
        <v>0</v>
      </c>
      <c r="H357" s="305">
        <v>1</v>
      </c>
      <c r="I357" s="306">
        <f t="shared" si="0"/>
        <v>1.087</v>
      </c>
      <c r="J357" s="291"/>
    </row>
    <row r="358" spans="1:10">
      <c r="A358" s="289" t="s">
        <v>98</v>
      </c>
      <c r="B358" s="305">
        <v>0</v>
      </c>
      <c r="C358" s="305">
        <v>0</v>
      </c>
      <c r="D358" s="305">
        <v>0</v>
      </c>
      <c r="E358" s="305">
        <v>0</v>
      </c>
      <c r="F358" s="305">
        <v>0</v>
      </c>
      <c r="G358" s="305">
        <v>0</v>
      </c>
      <c r="H358" s="305">
        <v>1</v>
      </c>
      <c r="I358" s="306">
        <f t="shared" si="0"/>
        <v>1.087</v>
      </c>
      <c r="J358" s="291"/>
    </row>
    <row r="359" spans="1:10">
      <c r="A359" s="289" t="s">
        <v>99</v>
      </c>
      <c r="B359" s="305">
        <v>0</v>
      </c>
      <c r="C359" s="305">
        <v>0</v>
      </c>
      <c r="D359" s="305">
        <v>0</v>
      </c>
      <c r="E359" s="305">
        <v>0</v>
      </c>
      <c r="F359" s="305">
        <v>0</v>
      </c>
      <c r="G359" s="305">
        <v>1</v>
      </c>
      <c r="H359" s="305">
        <v>0</v>
      </c>
      <c r="I359" s="306">
        <f t="shared" si="0"/>
        <v>1.07</v>
      </c>
      <c r="J359" s="291"/>
    </row>
    <row r="360" spans="1:10">
      <c r="A360" s="289" t="s">
        <v>111</v>
      </c>
      <c r="B360" s="305">
        <v>0</v>
      </c>
      <c r="C360" s="305">
        <v>0</v>
      </c>
      <c r="D360" s="305">
        <v>0</v>
      </c>
      <c r="E360" s="305">
        <v>0</v>
      </c>
      <c r="F360" s="305">
        <v>1</v>
      </c>
      <c r="G360" s="305">
        <v>0</v>
      </c>
      <c r="H360" s="305">
        <v>0</v>
      </c>
      <c r="I360" s="306">
        <f t="shared" si="0"/>
        <v>1.0509999999999999</v>
      </c>
      <c r="J360" s="291"/>
    </row>
    <row r="361" spans="1:10">
      <c r="A361" s="289" t="s">
        <v>131</v>
      </c>
      <c r="B361" s="305">
        <v>0</v>
      </c>
      <c r="C361" s="305">
        <v>0</v>
      </c>
      <c r="D361" s="305">
        <v>0</v>
      </c>
      <c r="E361" s="305">
        <v>0</v>
      </c>
      <c r="F361" s="305">
        <v>0</v>
      </c>
      <c r="G361" s="305">
        <v>0</v>
      </c>
      <c r="H361" s="305">
        <v>1</v>
      </c>
      <c r="I361" s="306">
        <f t="shared" si="0"/>
        <v>1.087</v>
      </c>
      <c r="J361" s="291"/>
    </row>
    <row r="362" spans="1:10">
      <c r="A362" s="289" t="s">
        <v>132</v>
      </c>
      <c r="B362" s="305">
        <v>0</v>
      </c>
      <c r="C362" s="305">
        <v>0</v>
      </c>
      <c r="D362" s="305">
        <v>0</v>
      </c>
      <c r="E362" s="305">
        <v>0</v>
      </c>
      <c r="F362" s="305">
        <v>0</v>
      </c>
      <c r="G362" s="305">
        <v>0</v>
      </c>
      <c r="H362" s="305">
        <v>1</v>
      </c>
      <c r="I362" s="306">
        <f t="shared" si="0"/>
        <v>1.087</v>
      </c>
      <c r="J362" s="291"/>
    </row>
    <row r="363" spans="1:10">
      <c r="A363" s="289" t="s">
        <v>133</v>
      </c>
      <c r="B363" s="305">
        <v>0</v>
      </c>
      <c r="C363" s="305">
        <v>0</v>
      </c>
      <c r="D363" s="305">
        <v>0</v>
      </c>
      <c r="E363" s="305">
        <v>0</v>
      </c>
      <c r="F363" s="305">
        <v>0</v>
      </c>
      <c r="G363" s="305">
        <v>0</v>
      </c>
      <c r="H363" s="305">
        <v>1</v>
      </c>
      <c r="I363" s="306">
        <f t="shared" si="0"/>
        <v>1.087</v>
      </c>
      <c r="J363" s="291"/>
    </row>
    <row r="364" spans="1:10">
      <c r="A364" s="289" t="s">
        <v>134</v>
      </c>
      <c r="B364" s="305">
        <v>0</v>
      </c>
      <c r="C364" s="305">
        <v>0</v>
      </c>
      <c r="D364" s="305">
        <v>0</v>
      </c>
      <c r="E364" s="305">
        <v>0</v>
      </c>
      <c r="F364" s="305">
        <v>0</v>
      </c>
      <c r="G364" s="305">
        <v>0</v>
      </c>
      <c r="H364" s="305">
        <v>1</v>
      </c>
      <c r="I364" s="306">
        <f t="shared" si="0"/>
        <v>1.087</v>
      </c>
      <c r="J364" s="291"/>
    </row>
    <row r="365" spans="1:10">
      <c r="A365" s="289" t="s">
        <v>135</v>
      </c>
      <c r="B365" s="305">
        <v>0</v>
      </c>
      <c r="C365" s="305">
        <v>0</v>
      </c>
      <c r="D365" s="305">
        <v>0</v>
      </c>
      <c r="E365" s="305">
        <v>0</v>
      </c>
      <c r="F365" s="305">
        <v>0</v>
      </c>
      <c r="G365" s="305">
        <v>0</v>
      </c>
      <c r="H365" s="305">
        <v>1</v>
      </c>
      <c r="I365" s="306">
        <f t="shared" si="0"/>
        <v>1.087</v>
      </c>
      <c r="J365" s="291"/>
    </row>
    <row r="366" spans="1:10">
      <c r="A366" s="289" t="s">
        <v>1534</v>
      </c>
      <c r="B366" s="305">
        <v>0</v>
      </c>
      <c r="C366" s="305">
        <v>0</v>
      </c>
      <c r="D366" s="305">
        <v>0</v>
      </c>
      <c r="E366" s="305">
        <v>0</v>
      </c>
      <c r="F366" s="305">
        <v>0</v>
      </c>
      <c r="G366" s="305">
        <v>0</v>
      </c>
      <c r="H366" s="305">
        <v>1</v>
      </c>
      <c r="I366" s="306">
        <f t="shared" si="0"/>
        <v>1.087</v>
      </c>
      <c r="J366" s="291"/>
    </row>
    <row r="367" spans="1:10">
      <c r="A367" s="289" t="s">
        <v>100</v>
      </c>
      <c r="B367" s="305">
        <v>0</v>
      </c>
      <c r="C367" s="305">
        <v>0</v>
      </c>
      <c r="D367" s="305">
        <v>0</v>
      </c>
      <c r="E367" s="305">
        <v>0</v>
      </c>
      <c r="F367" s="305">
        <v>0</v>
      </c>
      <c r="G367" s="305">
        <v>1</v>
      </c>
      <c r="H367" s="305">
        <v>0</v>
      </c>
      <c r="I367" s="306">
        <f t="shared" si="0"/>
        <v>1.07</v>
      </c>
      <c r="J367" s="291"/>
    </row>
    <row r="368" spans="1:10">
      <c r="A368" s="289" t="s">
        <v>101</v>
      </c>
      <c r="B368" s="305">
        <v>0</v>
      </c>
      <c r="C368" s="305">
        <v>0</v>
      </c>
      <c r="D368" s="305">
        <v>0</v>
      </c>
      <c r="E368" s="305">
        <v>0</v>
      </c>
      <c r="F368" s="305">
        <v>0</v>
      </c>
      <c r="G368" s="305">
        <v>0</v>
      </c>
      <c r="H368" s="305">
        <v>1</v>
      </c>
      <c r="I368" s="306">
        <f t="shared" si="0"/>
        <v>1.087</v>
      </c>
      <c r="J368" s="291"/>
    </row>
    <row r="369" spans="1:10">
      <c r="A369" s="289" t="s">
        <v>102</v>
      </c>
      <c r="B369" s="305">
        <v>0</v>
      </c>
      <c r="C369" s="305">
        <v>0</v>
      </c>
      <c r="D369" s="305">
        <v>0</v>
      </c>
      <c r="E369" s="305">
        <v>0</v>
      </c>
      <c r="F369" s="305">
        <v>0</v>
      </c>
      <c r="G369" s="305">
        <v>0</v>
      </c>
      <c r="H369" s="305">
        <v>1</v>
      </c>
      <c r="I369" s="306">
        <f t="shared" si="0"/>
        <v>1.087</v>
      </c>
      <c r="J369" s="291"/>
    </row>
    <row r="370" spans="1:10">
      <c r="A370" s="289" t="s">
        <v>103</v>
      </c>
      <c r="B370" s="305">
        <v>0</v>
      </c>
      <c r="C370" s="305">
        <v>0</v>
      </c>
      <c r="D370" s="305">
        <v>0</v>
      </c>
      <c r="E370" s="305">
        <v>0</v>
      </c>
      <c r="F370" s="305">
        <v>0</v>
      </c>
      <c r="G370" s="305">
        <v>1</v>
      </c>
      <c r="H370" s="305">
        <v>0</v>
      </c>
      <c r="I370" s="306">
        <f t="shared" si="0"/>
        <v>1.07</v>
      </c>
      <c r="J370" s="291"/>
    </row>
    <row r="371" spans="1:10">
      <c r="A371" s="289" t="s">
        <v>104</v>
      </c>
      <c r="B371" s="305">
        <v>0</v>
      </c>
      <c r="C371" s="305">
        <v>0</v>
      </c>
      <c r="D371" s="305">
        <v>0</v>
      </c>
      <c r="E371" s="305">
        <v>0</v>
      </c>
      <c r="F371" s="305">
        <v>0</v>
      </c>
      <c r="G371" s="305">
        <v>1</v>
      </c>
      <c r="H371" s="305">
        <v>0</v>
      </c>
      <c r="I371" s="306">
        <f t="shared" si="0"/>
        <v>1.07</v>
      </c>
      <c r="J371" s="291"/>
    </row>
    <row r="372" spans="1:10">
      <c r="A372" s="289" t="s">
        <v>112</v>
      </c>
      <c r="B372" s="305">
        <v>0</v>
      </c>
      <c r="C372" s="305">
        <v>0</v>
      </c>
      <c r="D372" s="305">
        <v>0</v>
      </c>
      <c r="E372" s="305">
        <v>0</v>
      </c>
      <c r="F372" s="305">
        <v>1</v>
      </c>
      <c r="G372" s="305">
        <v>0</v>
      </c>
      <c r="H372" s="305">
        <v>0</v>
      </c>
      <c r="I372" s="306">
        <f t="shared" si="0"/>
        <v>1.0509999999999999</v>
      </c>
      <c r="J372" s="291"/>
    </row>
    <row r="373" spans="1:10">
      <c r="A373" s="289" t="s">
        <v>113</v>
      </c>
      <c r="B373" s="305">
        <v>0</v>
      </c>
      <c r="C373" s="305">
        <v>0</v>
      </c>
      <c r="D373" s="305">
        <v>0</v>
      </c>
      <c r="E373" s="305">
        <v>0</v>
      </c>
      <c r="F373" s="305">
        <v>1</v>
      </c>
      <c r="G373" s="305">
        <v>0</v>
      </c>
      <c r="H373" s="305">
        <v>0</v>
      </c>
      <c r="I373" s="306">
        <f t="shared" si="0"/>
        <v>1.0509999999999999</v>
      </c>
      <c r="J373" s="291"/>
    </row>
    <row r="375" spans="1:10" ht="21" customHeight="1">
      <c r="A375" s="1" t="s">
        <v>265</v>
      </c>
    </row>
    <row r="377" spans="1:10">
      <c r="B377" s="288" t="s">
        <v>61</v>
      </c>
      <c r="C377" s="288" t="s">
        <v>62</v>
      </c>
      <c r="D377" s="288" t="s">
        <v>63</v>
      </c>
      <c r="E377" s="288" t="s">
        <v>64</v>
      </c>
      <c r="F377" s="288" t="s">
        <v>65</v>
      </c>
      <c r="G377" s="288" t="s">
        <v>66</v>
      </c>
      <c r="H377" s="288" t="s">
        <v>67</v>
      </c>
    </row>
    <row r="378" spans="1:10">
      <c r="A378" s="289" t="s">
        <v>61</v>
      </c>
      <c r="B378" s="305">
        <v>1</v>
      </c>
      <c r="C378" s="305">
        <v>0</v>
      </c>
      <c r="D378" s="305">
        <v>0</v>
      </c>
      <c r="E378" s="305">
        <v>0</v>
      </c>
      <c r="F378" s="305">
        <v>0</v>
      </c>
      <c r="G378" s="305">
        <v>0</v>
      </c>
      <c r="H378" s="305">
        <v>0</v>
      </c>
      <c r="I378" s="291"/>
    </row>
    <row r="379" spans="1:10">
      <c r="A379" s="289" t="s">
        <v>62</v>
      </c>
      <c r="B379" s="305">
        <v>0</v>
      </c>
      <c r="C379" s="305">
        <v>1</v>
      </c>
      <c r="D379" s="305">
        <v>0</v>
      </c>
      <c r="E379" s="305">
        <v>0</v>
      </c>
      <c r="F379" s="305">
        <v>0</v>
      </c>
      <c r="G379" s="305">
        <v>0</v>
      </c>
      <c r="H379" s="305">
        <v>0</v>
      </c>
      <c r="I379" s="291"/>
    </row>
    <row r="380" spans="1:10">
      <c r="A380" s="289" t="s">
        <v>63</v>
      </c>
      <c r="B380" s="305">
        <v>0</v>
      </c>
      <c r="C380" s="305">
        <v>0</v>
      </c>
      <c r="D380" s="305">
        <v>1</v>
      </c>
      <c r="E380" s="305">
        <v>0</v>
      </c>
      <c r="F380" s="305">
        <v>0</v>
      </c>
      <c r="G380" s="305">
        <v>0</v>
      </c>
      <c r="H380" s="305">
        <v>0</v>
      </c>
      <c r="I380" s="291"/>
    </row>
    <row r="381" spans="1:10">
      <c r="A381" s="289" t="s">
        <v>64</v>
      </c>
      <c r="B381" s="305">
        <v>0</v>
      </c>
      <c r="C381" s="305">
        <v>0</v>
      </c>
      <c r="D381" s="305">
        <v>0</v>
      </c>
      <c r="E381" s="305">
        <v>1</v>
      </c>
      <c r="F381" s="305">
        <v>0</v>
      </c>
      <c r="G381" s="305">
        <v>0</v>
      </c>
      <c r="H381" s="305">
        <v>0</v>
      </c>
      <c r="I381" s="291"/>
    </row>
    <row r="382" spans="1:10">
      <c r="A382" s="289" t="s">
        <v>69</v>
      </c>
      <c r="B382" s="305">
        <v>0</v>
      </c>
      <c r="C382" s="305">
        <v>0</v>
      </c>
      <c r="D382" s="305">
        <v>0</v>
      </c>
      <c r="E382" s="305">
        <v>1</v>
      </c>
      <c r="F382" s="305">
        <v>0</v>
      </c>
      <c r="G382" s="305">
        <v>0</v>
      </c>
      <c r="H382" s="305">
        <v>0</v>
      </c>
      <c r="I382" s="291"/>
    </row>
    <row r="383" spans="1:10">
      <c r="A383" s="289" t="s">
        <v>65</v>
      </c>
      <c r="B383" s="305">
        <v>0</v>
      </c>
      <c r="C383" s="305">
        <v>0</v>
      </c>
      <c r="D383" s="305">
        <v>0</v>
      </c>
      <c r="E383" s="305">
        <v>0</v>
      </c>
      <c r="F383" s="305">
        <v>1</v>
      </c>
      <c r="G383" s="305">
        <v>0</v>
      </c>
      <c r="H383" s="305">
        <v>0</v>
      </c>
      <c r="I383" s="291"/>
    </row>
    <row r="384" spans="1:10">
      <c r="A384" s="289" t="s">
        <v>66</v>
      </c>
      <c r="B384" s="305">
        <v>0</v>
      </c>
      <c r="C384" s="305">
        <v>0</v>
      </c>
      <c r="D384" s="305">
        <v>0</v>
      </c>
      <c r="E384" s="305">
        <v>0</v>
      </c>
      <c r="F384" s="305">
        <v>0</v>
      </c>
      <c r="G384" s="305">
        <v>1</v>
      </c>
      <c r="H384" s="305">
        <v>0</v>
      </c>
      <c r="I384" s="291"/>
    </row>
    <row r="385" spans="1:9">
      <c r="A385" s="289" t="s">
        <v>67</v>
      </c>
      <c r="B385" s="305">
        <v>0</v>
      </c>
      <c r="C385" s="305">
        <v>0</v>
      </c>
      <c r="D385" s="305">
        <v>0</v>
      </c>
      <c r="E385" s="305">
        <v>0</v>
      </c>
      <c r="F385" s="305">
        <v>0</v>
      </c>
      <c r="G385" s="305">
        <v>0</v>
      </c>
      <c r="H385" s="305">
        <v>1</v>
      </c>
      <c r="I385" s="291"/>
    </row>
    <row r="387" spans="1:9" ht="21" customHeight="1">
      <c r="A387" s="1" t="s">
        <v>266</v>
      </c>
    </row>
    <row r="388" spans="1:9">
      <c r="A388" s="287" t="s">
        <v>255</v>
      </c>
    </row>
    <row r="389" spans="1:9">
      <c r="A389" s="301" t="s">
        <v>267</v>
      </c>
    </row>
    <row r="390" spans="1:9">
      <c r="A390" s="301" t="s">
        <v>257</v>
      </c>
    </row>
    <row r="391" spans="1:9">
      <c r="A391" s="287" t="s">
        <v>268</v>
      </c>
    </row>
    <row r="393" spans="1:9" ht="45">
      <c r="B393" s="288" t="s">
        <v>269</v>
      </c>
    </row>
    <row r="394" spans="1:9">
      <c r="A394" s="289" t="s">
        <v>61</v>
      </c>
      <c r="B394" s="306">
        <f t="shared" ref="B394:B401" si="1">SUMPRODUCT($B378:$H378,$B$104:$H$104)</f>
        <v>1.002</v>
      </c>
      <c r="C394" s="291"/>
    </row>
    <row r="395" spans="1:9">
      <c r="A395" s="289" t="s">
        <v>62</v>
      </c>
      <c r="B395" s="306">
        <f t="shared" si="1"/>
        <v>1.0069999999999999</v>
      </c>
      <c r="C395" s="291"/>
    </row>
    <row r="396" spans="1:9">
      <c r="A396" s="289" t="s">
        <v>63</v>
      </c>
      <c r="B396" s="306">
        <f t="shared" si="1"/>
        <v>1.016</v>
      </c>
      <c r="C396" s="291"/>
    </row>
    <row r="397" spans="1:9">
      <c r="A397" s="289" t="s">
        <v>64</v>
      </c>
      <c r="B397" s="306">
        <f t="shared" si="1"/>
        <v>1.0229999999999999</v>
      </c>
      <c r="C397" s="291"/>
    </row>
    <row r="398" spans="1:9">
      <c r="A398" s="289" t="s">
        <v>69</v>
      </c>
      <c r="B398" s="306">
        <f t="shared" si="1"/>
        <v>1.0229999999999999</v>
      </c>
      <c r="C398" s="291"/>
    </row>
    <row r="399" spans="1:9">
      <c r="A399" s="289" t="s">
        <v>65</v>
      </c>
      <c r="B399" s="306">
        <f t="shared" si="1"/>
        <v>1.0509999999999999</v>
      </c>
      <c r="C399" s="291"/>
    </row>
    <row r="400" spans="1:9">
      <c r="A400" s="289" t="s">
        <v>66</v>
      </c>
      <c r="B400" s="306">
        <f t="shared" si="1"/>
        <v>1.07</v>
      </c>
      <c r="C400" s="291"/>
    </row>
    <row r="401" spans="1:11">
      <c r="A401" s="289" t="s">
        <v>67</v>
      </c>
      <c r="B401" s="306">
        <f t="shared" si="1"/>
        <v>1.087</v>
      </c>
      <c r="C401" s="291"/>
    </row>
    <row r="403" spans="1:11" ht="21" customHeight="1">
      <c r="A403" s="1" t="s">
        <v>270</v>
      </c>
    </row>
    <row r="404" spans="1:11">
      <c r="A404" s="287" t="s">
        <v>255</v>
      </c>
    </row>
    <row r="405" spans="1:11">
      <c r="A405" s="301" t="s">
        <v>271</v>
      </c>
    </row>
    <row r="406" spans="1:11">
      <c r="A406" s="287" t="s">
        <v>272</v>
      </c>
    </row>
    <row r="407" spans="1:11">
      <c r="A407" s="287" t="s">
        <v>273</v>
      </c>
    </row>
    <row r="409" spans="1:11">
      <c r="B409" s="288" t="s">
        <v>60</v>
      </c>
      <c r="C409" s="288" t="s">
        <v>61</v>
      </c>
      <c r="D409" s="288" t="s">
        <v>62</v>
      </c>
      <c r="E409" s="288" t="s">
        <v>63</v>
      </c>
      <c r="F409" s="288" t="s">
        <v>64</v>
      </c>
      <c r="G409" s="288" t="s">
        <v>69</v>
      </c>
      <c r="H409" s="288" t="s">
        <v>65</v>
      </c>
      <c r="I409" s="288" t="s">
        <v>66</v>
      </c>
      <c r="J409" s="288" t="s">
        <v>67</v>
      </c>
    </row>
    <row r="410" spans="1:11" ht="30">
      <c r="A410" s="289" t="s">
        <v>274</v>
      </c>
      <c r="B410" s="294">
        <v>1</v>
      </c>
      <c r="C410" s="307">
        <f>$B$394</f>
        <v>1.002</v>
      </c>
      <c r="D410" s="307">
        <f>$B$395</f>
        <v>1.0069999999999999</v>
      </c>
      <c r="E410" s="307">
        <f>$B$396</f>
        <v>1.016</v>
      </c>
      <c r="F410" s="307">
        <f>$B$397</f>
        <v>1.0229999999999999</v>
      </c>
      <c r="G410" s="307">
        <f>$B$398</f>
        <v>1.0229999999999999</v>
      </c>
      <c r="H410" s="307">
        <f>$B$399</f>
        <v>1.0509999999999999</v>
      </c>
      <c r="I410" s="307">
        <f>$B$400</f>
        <v>1.07</v>
      </c>
      <c r="J410" s="307">
        <f>$B$401</f>
        <v>1.087</v>
      </c>
      <c r="K410" s="291"/>
    </row>
    <row r="412" spans="1:11" ht="21" customHeight="1">
      <c r="A412" s="1" t="s">
        <v>275</v>
      </c>
    </row>
    <row r="413" spans="1:11">
      <c r="A413" s="287" t="s">
        <v>1521</v>
      </c>
    </row>
    <row r="414" spans="1:11">
      <c r="A414" s="287" t="s">
        <v>1520</v>
      </c>
    </row>
    <row r="415" spans="1:11">
      <c r="A415" s="287" t="s">
        <v>1519</v>
      </c>
    </row>
    <row r="417" spans="1:10">
      <c r="B417" s="288" t="s">
        <v>60</v>
      </c>
      <c r="C417" s="288" t="s">
        <v>61</v>
      </c>
      <c r="D417" s="288" t="s">
        <v>62</v>
      </c>
      <c r="E417" s="288" t="s">
        <v>63</v>
      </c>
      <c r="F417" s="288" t="s">
        <v>64</v>
      </c>
      <c r="G417" s="288" t="s">
        <v>65</v>
      </c>
      <c r="H417" s="288" t="s">
        <v>66</v>
      </c>
      <c r="I417" s="288" t="s">
        <v>67</v>
      </c>
    </row>
    <row r="418" spans="1:10">
      <c r="A418" s="289" t="s">
        <v>92</v>
      </c>
      <c r="B418" s="294">
        <v>1</v>
      </c>
      <c r="C418" s="294">
        <v>1</v>
      </c>
      <c r="D418" s="294">
        <v>1</v>
      </c>
      <c r="E418" s="294">
        <v>1</v>
      </c>
      <c r="F418" s="294">
        <v>1</v>
      </c>
      <c r="G418" s="294">
        <v>1</v>
      </c>
      <c r="H418" s="294">
        <v>1</v>
      </c>
      <c r="I418" s="294">
        <v>1</v>
      </c>
      <c r="J418" s="291"/>
    </row>
    <row r="419" spans="1:10">
      <c r="A419" s="289" t="s">
        <v>93</v>
      </c>
      <c r="B419" s="294">
        <v>1</v>
      </c>
      <c r="C419" s="294">
        <v>1</v>
      </c>
      <c r="D419" s="294">
        <v>1</v>
      </c>
      <c r="E419" s="294">
        <v>1</v>
      </c>
      <c r="F419" s="294">
        <v>1</v>
      </c>
      <c r="G419" s="294">
        <v>1</v>
      </c>
      <c r="H419" s="294">
        <v>1</v>
      </c>
      <c r="I419" s="294">
        <v>1</v>
      </c>
      <c r="J419" s="291"/>
    </row>
    <row r="420" spans="1:10">
      <c r="A420" s="289" t="s">
        <v>129</v>
      </c>
      <c r="B420" s="294">
        <v>1</v>
      </c>
      <c r="C420" s="294">
        <v>1</v>
      </c>
      <c r="D420" s="294">
        <v>1</v>
      </c>
      <c r="E420" s="294">
        <v>1</v>
      </c>
      <c r="F420" s="294">
        <v>1</v>
      </c>
      <c r="G420" s="294">
        <v>1</v>
      </c>
      <c r="H420" s="294">
        <v>1</v>
      </c>
      <c r="I420" s="294">
        <v>1</v>
      </c>
      <c r="J420" s="291"/>
    </row>
    <row r="421" spans="1:10">
      <c r="A421" s="289" t="s">
        <v>94</v>
      </c>
      <c r="B421" s="294">
        <v>1</v>
      </c>
      <c r="C421" s="294">
        <v>1</v>
      </c>
      <c r="D421" s="294">
        <v>1</v>
      </c>
      <c r="E421" s="294">
        <v>1</v>
      </c>
      <c r="F421" s="294">
        <v>1</v>
      </c>
      <c r="G421" s="294">
        <v>1</v>
      </c>
      <c r="H421" s="294">
        <v>1</v>
      </c>
      <c r="I421" s="294">
        <v>1</v>
      </c>
      <c r="J421" s="291"/>
    </row>
    <row r="422" spans="1:10">
      <c r="A422" s="289" t="s">
        <v>95</v>
      </c>
      <c r="B422" s="294">
        <v>1</v>
      </c>
      <c r="C422" s="294">
        <v>1</v>
      </c>
      <c r="D422" s="294">
        <v>1</v>
      </c>
      <c r="E422" s="294">
        <v>1</v>
      </c>
      <c r="F422" s="294">
        <v>1</v>
      </c>
      <c r="G422" s="294">
        <v>1</v>
      </c>
      <c r="H422" s="294">
        <v>1</v>
      </c>
      <c r="I422" s="294">
        <v>1</v>
      </c>
      <c r="J422" s="291"/>
    </row>
    <row r="423" spans="1:10">
      <c r="A423" s="289" t="s">
        <v>130</v>
      </c>
      <c r="B423" s="294">
        <v>1</v>
      </c>
      <c r="C423" s="294">
        <v>1</v>
      </c>
      <c r="D423" s="294">
        <v>1</v>
      </c>
      <c r="E423" s="294">
        <v>1</v>
      </c>
      <c r="F423" s="294">
        <v>1</v>
      </c>
      <c r="G423" s="294">
        <v>1</v>
      </c>
      <c r="H423" s="294">
        <v>1</v>
      </c>
      <c r="I423" s="294">
        <v>1</v>
      </c>
      <c r="J423" s="291"/>
    </row>
    <row r="424" spans="1:10">
      <c r="A424" s="289" t="s">
        <v>96</v>
      </c>
      <c r="B424" s="294">
        <v>1</v>
      </c>
      <c r="C424" s="294">
        <v>1</v>
      </c>
      <c r="D424" s="294">
        <v>1</v>
      </c>
      <c r="E424" s="294">
        <v>1</v>
      </c>
      <c r="F424" s="294">
        <v>1</v>
      </c>
      <c r="G424" s="294">
        <v>1</v>
      </c>
      <c r="H424" s="294">
        <v>1</v>
      </c>
      <c r="I424" s="294">
        <v>1</v>
      </c>
      <c r="J424" s="291"/>
    </row>
    <row r="425" spans="1:10">
      <c r="A425" s="289" t="s">
        <v>97</v>
      </c>
      <c r="B425" s="294">
        <v>1</v>
      </c>
      <c r="C425" s="294">
        <v>1</v>
      </c>
      <c r="D425" s="294">
        <v>1</v>
      </c>
      <c r="E425" s="294">
        <v>1</v>
      </c>
      <c r="F425" s="294">
        <v>1</v>
      </c>
      <c r="G425" s="294">
        <v>1</v>
      </c>
      <c r="H425" s="294">
        <v>1</v>
      </c>
      <c r="I425" s="294">
        <v>0</v>
      </c>
      <c r="J425" s="291"/>
    </row>
    <row r="426" spans="1:10">
      <c r="A426" s="289" t="s">
        <v>110</v>
      </c>
      <c r="B426" s="294">
        <v>1</v>
      </c>
      <c r="C426" s="294">
        <v>1</v>
      </c>
      <c r="D426" s="294">
        <v>1</v>
      </c>
      <c r="E426" s="294">
        <v>1</v>
      </c>
      <c r="F426" s="294">
        <v>1</v>
      </c>
      <c r="G426" s="294">
        <v>1</v>
      </c>
      <c r="H426" s="294">
        <v>0</v>
      </c>
      <c r="I426" s="294">
        <v>0</v>
      </c>
      <c r="J426" s="291"/>
    </row>
    <row r="427" spans="1:10">
      <c r="A427" s="289" t="s">
        <v>1536</v>
      </c>
      <c r="B427" s="294">
        <v>1</v>
      </c>
      <c r="C427" s="294">
        <v>1</v>
      </c>
      <c r="D427" s="294">
        <v>1</v>
      </c>
      <c r="E427" s="294">
        <v>1</v>
      </c>
      <c r="F427" s="294">
        <v>1</v>
      </c>
      <c r="G427" s="294">
        <v>1</v>
      </c>
      <c r="H427" s="294">
        <v>1</v>
      </c>
      <c r="I427" s="294">
        <v>1</v>
      </c>
      <c r="J427" s="291"/>
    </row>
    <row r="428" spans="1:10">
      <c r="A428" s="289" t="s">
        <v>1535</v>
      </c>
      <c r="B428" s="294">
        <v>1</v>
      </c>
      <c r="C428" s="294">
        <v>1</v>
      </c>
      <c r="D428" s="294">
        <v>1</v>
      </c>
      <c r="E428" s="294">
        <v>1</v>
      </c>
      <c r="F428" s="294">
        <v>1</v>
      </c>
      <c r="G428" s="294">
        <v>1</v>
      </c>
      <c r="H428" s="294">
        <v>1</v>
      </c>
      <c r="I428" s="294">
        <v>1</v>
      </c>
      <c r="J428" s="291"/>
    </row>
    <row r="429" spans="1:10">
      <c r="A429" s="289" t="s">
        <v>98</v>
      </c>
      <c r="B429" s="294">
        <v>1</v>
      </c>
      <c r="C429" s="294">
        <v>1</v>
      </c>
      <c r="D429" s="294">
        <v>1</v>
      </c>
      <c r="E429" s="294">
        <v>1</v>
      </c>
      <c r="F429" s="294">
        <v>1</v>
      </c>
      <c r="G429" s="294">
        <v>1</v>
      </c>
      <c r="H429" s="294">
        <v>1</v>
      </c>
      <c r="I429" s="294">
        <v>1</v>
      </c>
      <c r="J429" s="291"/>
    </row>
    <row r="430" spans="1:10">
      <c r="A430" s="289" t="s">
        <v>99</v>
      </c>
      <c r="B430" s="294">
        <v>1</v>
      </c>
      <c r="C430" s="294">
        <v>1</v>
      </c>
      <c r="D430" s="294">
        <v>1</v>
      </c>
      <c r="E430" s="294">
        <v>1</v>
      </c>
      <c r="F430" s="294">
        <v>1</v>
      </c>
      <c r="G430" s="294">
        <v>1</v>
      </c>
      <c r="H430" s="294">
        <v>1</v>
      </c>
      <c r="I430" s="294">
        <v>0</v>
      </c>
      <c r="J430" s="291"/>
    </row>
    <row r="431" spans="1:10">
      <c r="A431" s="289" t="s">
        <v>111</v>
      </c>
      <c r="B431" s="294">
        <v>1</v>
      </c>
      <c r="C431" s="294">
        <v>1</v>
      </c>
      <c r="D431" s="294">
        <v>1</v>
      </c>
      <c r="E431" s="294">
        <v>1</v>
      </c>
      <c r="F431" s="294">
        <v>1</v>
      </c>
      <c r="G431" s="294">
        <v>1</v>
      </c>
      <c r="H431" s="294">
        <v>0</v>
      </c>
      <c r="I431" s="294">
        <v>0</v>
      </c>
      <c r="J431" s="291"/>
    </row>
    <row r="432" spans="1:10">
      <c r="A432" s="289" t="s">
        <v>131</v>
      </c>
      <c r="B432" s="294">
        <v>1</v>
      </c>
      <c r="C432" s="294">
        <v>1</v>
      </c>
      <c r="D432" s="294">
        <v>1</v>
      </c>
      <c r="E432" s="294">
        <v>1</v>
      </c>
      <c r="F432" s="294">
        <v>1</v>
      </c>
      <c r="G432" s="294">
        <v>1</v>
      </c>
      <c r="H432" s="294">
        <v>1</v>
      </c>
      <c r="I432" s="294">
        <v>1</v>
      </c>
      <c r="J432" s="291"/>
    </row>
    <row r="433" spans="1:10">
      <c r="A433" s="289" t="s">
        <v>132</v>
      </c>
      <c r="B433" s="294">
        <v>1</v>
      </c>
      <c r="C433" s="294">
        <v>1</v>
      </c>
      <c r="D433" s="294">
        <v>1</v>
      </c>
      <c r="E433" s="294">
        <v>1</v>
      </c>
      <c r="F433" s="294">
        <v>1</v>
      </c>
      <c r="G433" s="294">
        <v>1</v>
      </c>
      <c r="H433" s="294">
        <v>1</v>
      </c>
      <c r="I433" s="294">
        <v>1</v>
      </c>
      <c r="J433" s="291"/>
    </row>
    <row r="434" spans="1:10">
      <c r="A434" s="289" t="s">
        <v>133</v>
      </c>
      <c r="B434" s="294">
        <v>1</v>
      </c>
      <c r="C434" s="294">
        <v>1</v>
      </c>
      <c r="D434" s="294">
        <v>1</v>
      </c>
      <c r="E434" s="294">
        <v>1</v>
      </c>
      <c r="F434" s="294">
        <v>1</v>
      </c>
      <c r="G434" s="294">
        <v>1</v>
      </c>
      <c r="H434" s="294">
        <v>1</v>
      </c>
      <c r="I434" s="294">
        <v>1</v>
      </c>
      <c r="J434" s="291"/>
    </row>
    <row r="435" spans="1:10">
      <c r="A435" s="289" t="s">
        <v>134</v>
      </c>
      <c r="B435" s="294">
        <v>1</v>
      </c>
      <c r="C435" s="294">
        <v>1</v>
      </c>
      <c r="D435" s="294">
        <v>1</v>
      </c>
      <c r="E435" s="294">
        <v>1</v>
      </c>
      <c r="F435" s="294">
        <v>1</v>
      </c>
      <c r="G435" s="294">
        <v>1</v>
      </c>
      <c r="H435" s="294">
        <v>1</v>
      </c>
      <c r="I435" s="294">
        <v>1</v>
      </c>
      <c r="J435" s="291"/>
    </row>
    <row r="436" spans="1:10">
      <c r="A436" s="289" t="s">
        <v>135</v>
      </c>
      <c r="B436" s="294">
        <v>1</v>
      </c>
      <c r="C436" s="294">
        <v>1</v>
      </c>
      <c r="D436" s="294">
        <v>1</v>
      </c>
      <c r="E436" s="294">
        <v>1</v>
      </c>
      <c r="F436" s="294">
        <v>1</v>
      </c>
      <c r="G436" s="294">
        <v>1</v>
      </c>
      <c r="H436" s="294">
        <v>1</v>
      </c>
      <c r="I436" s="294">
        <v>1</v>
      </c>
      <c r="J436" s="291"/>
    </row>
    <row r="437" spans="1:10">
      <c r="A437" s="289" t="s">
        <v>1534</v>
      </c>
      <c r="B437" s="294">
        <v>1</v>
      </c>
      <c r="C437" s="294">
        <v>1</v>
      </c>
      <c r="D437" s="294">
        <v>1</v>
      </c>
      <c r="E437" s="294">
        <v>1</v>
      </c>
      <c r="F437" s="294">
        <v>1</v>
      </c>
      <c r="G437" s="294">
        <v>1</v>
      </c>
      <c r="H437" s="294">
        <v>1</v>
      </c>
      <c r="I437" s="294">
        <v>0</v>
      </c>
      <c r="J437" s="291"/>
    </row>
    <row r="438" spans="1:10">
      <c r="A438" s="289" t="s">
        <v>100</v>
      </c>
      <c r="B438" s="294">
        <v>1</v>
      </c>
      <c r="C438" s="294">
        <v>1</v>
      </c>
      <c r="D438" s="294">
        <v>1</v>
      </c>
      <c r="E438" s="294">
        <v>1</v>
      </c>
      <c r="F438" s="294">
        <v>1</v>
      </c>
      <c r="G438" s="294">
        <v>1</v>
      </c>
      <c r="H438" s="294">
        <v>0</v>
      </c>
      <c r="I438" s="294">
        <v>0</v>
      </c>
      <c r="J438" s="291"/>
    </row>
    <row r="439" spans="1:10">
      <c r="A439" s="289" t="s">
        <v>101</v>
      </c>
      <c r="B439" s="294">
        <v>1</v>
      </c>
      <c r="C439" s="294">
        <v>1</v>
      </c>
      <c r="D439" s="294">
        <v>1</v>
      </c>
      <c r="E439" s="294">
        <v>1</v>
      </c>
      <c r="F439" s="294">
        <v>1</v>
      </c>
      <c r="G439" s="294">
        <v>1</v>
      </c>
      <c r="H439" s="294">
        <v>1</v>
      </c>
      <c r="I439" s="294">
        <v>0</v>
      </c>
      <c r="J439" s="291"/>
    </row>
    <row r="440" spans="1:10">
      <c r="A440" s="289" t="s">
        <v>102</v>
      </c>
      <c r="B440" s="294">
        <v>1</v>
      </c>
      <c r="C440" s="294">
        <v>1</v>
      </c>
      <c r="D440" s="294">
        <v>1</v>
      </c>
      <c r="E440" s="294">
        <v>1</v>
      </c>
      <c r="F440" s="294">
        <v>1</v>
      </c>
      <c r="G440" s="294">
        <v>1</v>
      </c>
      <c r="H440" s="294">
        <v>1</v>
      </c>
      <c r="I440" s="294">
        <v>0</v>
      </c>
      <c r="J440" s="291"/>
    </row>
    <row r="441" spans="1:10">
      <c r="A441" s="289" t="s">
        <v>103</v>
      </c>
      <c r="B441" s="294">
        <v>1</v>
      </c>
      <c r="C441" s="294">
        <v>1</v>
      </c>
      <c r="D441" s="294">
        <v>1</v>
      </c>
      <c r="E441" s="294">
        <v>1</v>
      </c>
      <c r="F441" s="294">
        <v>1</v>
      </c>
      <c r="G441" s="294">
        <v>1</v>
      </c>
      <c r="H441" s="294">
        <v>0</v>
      </c>
      <c r="I441" s="294">
        <v>0</v>
      </c>
      <c r="J441" s="291"/>
    </row>
    <row r="442" spans="1:10">
      <c r="A442" s="289" t="s">
        <v>104</v>
      </c>
      <c r="B442" s="294">
        <v>1</v>
      </c>
      <c r="C442" s="294">
        <v>1</v>
      </c>
      <c r="D442" s="294">
        <v>1</v>
      </c>
      <c r="E442" s="294">
        <v>1</v>
      </c>
      <c r="F442" s="294">
        <v>1</v>
      </c>
      <c r="G442" s="294">
        <v>1</v>
      </c>
      <c r="H442" s="294">
        <v>0</v>
      </c>
      <c r="I442" s="294">
        <v>0</v>
      </c>
      <c r="J442" s="291"/>
    </row>
    <row r="443" spans="1:10">
      <c r="A443" s="289" t="s">
        <v>112</v>
      </c>
      <c r="B443" s="294">
        <v>1</v>
      </c>
      <c r="C443" s="294">
        <v>1</v>
      </c>
      <c r="D443" s="294">
        <v>1</v>
      </c>
      <c r="E443" s="294">
        <v>1</v>
      </c>
      <c r="F443" s="294">
        <v>1</v>
      </c>
      <c r="G443" s="294">
        <v>0</v>
      </c>
      <c r="H443" s="294">
        <v>0</v>
      </c>
      <c r="I443" s="294">
        <v>0</v>
      </c>
      <c r="J443" s="291"/>
    </row>
    <row r="444" spans="1:10">
      <c r="A444" s="289" t="s">
        <v>113</v>
      </c>
      <c r="B444" s="294">
        <v>1</v>
      </c>
      <c r="C444" s="294">
        <v>1</v>
      </c>
      <c r="D444" s="294">
        <v>1</v>
      </c>
      <c r="E444" s="294">
        <v>1</v>
      </c>
      <c r="F444" s="294">
        <v>1</v>
      </c>
      <c r="G444" s="294">
        <v>0</v>
      </c>
      <c r="H444" s="294">
        <v>0</v>
      </c>
      <c r="I444" s="294">
        <v>0</v>
      </c>
      <c r="J444" s="291"/>
    </row>
    <row r="446" spans="1:10" ht="21" customHeight="1">
      <c r="A446" s="1" t="s">
        <v>276</v>
      </c>
    </row>
    <row r="447" spans="1:10">
      <c r="A447" s="287" t="s">
        <v>255</v>
      </c>
    </row>
    <row r="448" spans="1:10">
      <c r="A448" s="301" t="s">
        <v>277</v>
      </c>
    </row>
    <row r="449" spans="1:3">
      <c r="A449" s="287" t="s">
        <v>278</v>
      </c>
    </row>
    <row r="451" spans="1:3">
      <c r="B451" s="288" t="s">
        <v>62</v>
      </c>
    </row>
    <row r="452" spans="1:3">
      <c r="A452" s="289" t="s">
        <v>62</v>
      </c>
      <c r="B452" s="308">
        <f>1-$B$36</f>
        <v>0.30743437083181213</v>
      </c>
      <c r="C452" s="291"/>
    </row>
    <row r="454" spans="1:3" ht="21" customHeight="1">
      <c r="A454" s="1" t="s">
        <v>279</v>
      </c>
    </row>
    <row r="455" spans="1:3">
      <c r="A455" s="287" t="s">
        <v>255</v>
      </c>
    </row>
    <row r="456" spans="1:3">
      <c r="A456" s="301" t="s">
        <v>277</v>
      </c>
    </row>
    <row r="457" spans="1:3">
      <c r="A457" s="287" t="s">
        <v>278</v>
      </c>
    </row>
    <row r="459" spans="1:3">
      <c r="B459" s="288" t="s">
        <v>63</v>
      </c>
    </row>
    <row r="460" spans="1:3">
      <c r="A460" s="289" t="s">
        <v>63</v>
      </c>
      <c r="B460" s="308">
        <f>1-$B$36</f>
        <v>0.30743437083181213</v>
      </c>
      <c r="C460" s="291"/>
    </row>
    <row r="462" spans="1:3" ht="21" customHeight="1">
      <c r="A462" s="1" t="s">
        <v>280</v>
      </c>
    </row>
    <row r="463" spans="1:3">
      <c r="A463" s="287" t="s">
        <v>255</v>
      </c>
    </row>
    <row r="464" spans="1:3">
      <c r="A464" s="301" t="s">
        <v>277</v>
      </c>
    </row>
    <row r="465" spans="1:9">
      <c r="A465" s="287" t="s">
        <v>278</v>
      </c>
    </row>
    <row r="467" spans="1:9">
      <c r="B467" s="288" t="s">
        <v>64</v>
      </c>
    </row>
    <row r="468" spans="1:9">
      <c r="A468" s="289" t="s">
        <v>64</v>
      </c>
      <c r="B468" s="308">
        <f>1-$B$36</f>
        <v>0.30743437083181213</v>
      </c>
      <c r="C468" s="291"/>
    </row>
    <row r="470" spans="1:9" ht="21" customHeight="1">
      <c r="A470" s="1" t="s">
        <v>281</v>
      </c>
    </row>
    <row r="471" spans="1:9">
      <c r="A471" s="287" t="s">
        <v>255</v>
      </c>
    </row>
    <row r="472" spans="1:9">
      <c r="A472" s="301" t="s">
        <v>277</v>
      </c>
    </row>
    <row r="473" spans="1:9">
      <c r="A473" s="301" t="s">
        <v>282</v>
      </c>
    </row>
    <row r="474" spans="1:9">
      <c r="A474" s="301" t="s">
        <v>283</v>
      </c>
    </row>
    <row r="475" spans="1:9">
      <c r="A475" s="301" t="s">
        <v>284</v>
      </c>
    </row>
    <row r="476" spans="1:9">
      <c r="A476" s="287" t="s">
        <v>285</v>
      </c>
    </row>
    <row r="477" spans="1:9">
      <c r="A477" s="287" t="s">
        <v>286</v>
      </c>
    </row>
    <row r="478" spans="1:9">
      <c r="A478" s="287" t="s">
        <v>287</v>
      </c>
    </row>
    <row r="480" spans="1:9">
      <c r="B480" s="288" t="s">
        <v>60</v>
      </c>
      <c r="C480" s="288" t="s">
        <v>61</v>
      </c>
      <c r="D480" s="288" t="s">
        <v>62</v>
      </c>
      <c r="E480" s="288" t="s">
        <v>63</v>
      </c>
      <c r="F480" s="288" t="s">
        <v>64</v>
      </c>
      <c r="G480" s="288" t="s">
        <v>65</v>
      </c>
      <c r="H480" s="288" t="s">
        <v>66</v>
      </c>
      <c r="I480" s="288" t="s">
        <v>67</v>
      </c>
    </row>
    <row r="481" spans="1:10">
      <c r="A481" s="289" t="s">
        <v>60</v>
      </c>
      <c r="B481" s="294">
        <v>1</v>
      </c>
      <c r="C481" s="309"/>
      <c r="D481" s="309"/>
      <c r="E481" s="309"/>
      <c r="F481" s="309"/>
      <c r="G481" s="309"/>
      <c r="H481" s="309"/>
      <c r="I481" s="309"/>
      <c r="J481" s="291"/>
    </row>
    <row r="482" spans="1:10">
      <c r="A482" s="289" t="s">
        <v>61</v>
      </c>
      <c r="B482" s="309"/>
      <c r="C482" s="310">
        <v>1</v>
      </c>
      <c r="D482" s="310">
        <v>0</v>
      </c>
      <c r="E482" s="310">
        <v>0</v>
      </c>
      <c r="F482" s="310">
        <v>0</v>
      </c>
      <c r="G482" s="310">
        <v>0</v>
      </c>
      <c r="H482" s="310">
        <v>0</v>
      </c>
      <c r="I482" s="310">
        <v>0</v>
      </c>
      <c r="J482" s="291"/>
    </row>
    <row r="483" spans="1:10">
      <c r="A483" s="289" t="s">
        <v>62</v>
      </c>
      <c r="B483" s="309"/>
      <c r="C483" s="310">
        <v>0</v>
      </c>
      <c r="D483" s="311">
        <f>$B$452</f>
        <v>0.30743437083181213</v>
      </c>
      <c r="E483" s="310">
        <v>0</v>
      </c>
      <c r="F483" s="310">
        <v>0</v>
      </c>
      <c r="G483" s="310">
        <v>0</v>
      </c>
      <c r="H483" s="310">
        <v>0</v>
      </c>
      <c r="I483" s="310">
        <v>0</v>
      </c>
      <c r="J483" s="291"/>
    </row>
    <row r="484" spans="1:10">
      <c r="A484" s="289" t="s">
        <v>63</v>
      </c>
      <c r="B484" s="309"/>
      <c r="C484" s="310">
        <v>0</v>
      </c>
      <c r="D484" s="310">
        <v>0</v>
      </c>
      <c r="E484" s="311">
        <f>$B$460</f>
        <v>0.30743437083181213</v>
      </c>
      <c r="F484" s="310">
        <v>0</v>
      </c>
      <c r="G484" s="310">
        <v>0</v>
      </c>
      <c r="H484" s="310">
        <v>0</v>
      </c>
      <c r="I484" s="310">
        <v>0</v>
      </c>
      <c r="J484" s="291"/>
    </row>
    <row r="485" spans="1:10">
      <c r="A485" s="289" t="s">
        <v>64</v>
      </c>
      <c r="B485" s="309"/>
      <c r="C485" s="310">
        <v>0</v>
      </c>
      <c r="D485" s="310">
        <v>0</v>
      </c>
      <c r="E485" s="310">
        <v>0</v>
      </c>
      <c r="F485" s="311">
        <f>$B$468</f>
        <v>0.30743437083181213</v>
      </c>
      <c r="G485" s="310">
        <v>0</v>
      </c>
      <c r="H485" s="310">
        <v>0</v>
      </c>
      <c r="I485" s="310">
        <v>0</v>
      </c>
      <c r="J485" s="291"/>
    </row>
    <row r="486" spans="1:10">
      <c r="A486" s="289" t="s">
        <v>69</v>
      </c>
      <c r="B486" s="309"/>
      <c r="C486" s="310">
        <v>0</v>
      </c>
      <c r="D486" s="310">
        <v>0</v>
      </c>
      <c r="E486" s="310">
        <v>0</v>
      </c>
      <c r="F486" s="311">
        <f>$B$36</f>
        <v>0.69256562916818787</v>
      </c>
      <c r="G486" s="310">
        <v>0</v>
      </c>
      <c r="H486" s="310">
        <v>0</v>
      </c>
      <c r="I486" s="310">
        <v>0</v>
      </c>
      <c r="J486" s="291"/>
    </row>
    <row r="487" spans="1:10">
      <c r="A487" s="289" t="s">
        <v>65</v>
      </c>
      <c r="B487" s="309"/>
      <c r="C487" s="310">
        <v>0</v>
      </c>
      <c r="D487" s="310">
        <v>0</v>
      </c>
      <c r="E487" s="310">
        <v>0</v>
      </c>
      <c r="F487" s="310">
        <v>0</v>
      </c>
      <c r="G487" s="310">
        <v>1</v>
      </c>
      <c r="H487" s="310">
        <v>0</v>
      </c>
      <c r="I487" s="310">
        <v>0</v>
      </c>
      <c r="J487" s="291"/>
    </row>
    <row r="488" spans="1:10">
      <c r="A488" s="289" t="s">
        <v>66</v>
      </c>
      <c r="B488" s="309"/>
      <c r="C488" s="310">
        <v>0</v>
      </c>
      <c r="D488" s="310">
        <v>0</v>
      </c>
      <c r="E488" s="310">
        <v>0</v>
      </c>
      <c r="F488" s="310">
        <v>0</v>
      </c>
      <c r="G488" s="310">
        <v>0</v>
      </c>
      <c r="H488" s="310">
        <v>1</v>
      </c>
      <c r="I488" s="310">
        <v>0</v>
      </c>
      <c r="J488" s="291"/>
    </row>
    <row r="489" spans="1:10">
      <c r="A489" s="289" t="s">
        <v>67</v>
      </c>
      <c r="B489" s="309"/>
      <c r="C489" s="310">
        <v>0</v>
      </c>
      <c r="D489" s="310">
        <v>0</v>
      </c>
      <c r="E489" s="310">
        <v>0</v>
      </c>
      <c r="F489" s="310">
        <v>0</v>
      </c>
      <c r="G489" s="310">
        <v>0</v>
      </c>
      <c r="H489" s="310">
        <v>0</v>
      </c>
      <c r="I489" s="310">
        <v>1</v>
      </c>
      <c r="J489" s="291"/>
    </row>
    <row r="491" spans="1:10" ht="21" customHeight="1">
      <c r="A491" s="1" t="s">
        <v>288</v>
      </c>
    </row>
    <row r="492" spans="1:10">
      <c r="A492" s="287" t="s">
        <v>255</v>
      </c>
    </row>
    <row r="493" spans="1:10">
      <c r="A493" s="301" t="s">
        <v>289</v>
      </c>
    </row>
    <row r="494" spans="1:10">
      <c r="A494" s="301" t="s">
        <v>290</v>
      </c>
    </row>
    <row r="495" spans="1:10">
      <c r="A495" s="287" t="s">
        <v>268</v>
      </c>
    </row>
    <row r="497" spans="1:11">
      <c r="B497" s="288" t="s">
        <v>60</v>
      </c>
      <c r="C497" s="288" t="s">
        <v>61</v>
      </c>
      <c r="D497" s="288" t="s">
        <v>62</v>
      </c>
      <c r="E497" s="288" t="s">
        <v>63</v>
      </c>
      <c r="F497" s="288" t="s">
        <v>64</v>
      </c>
      <c r="G497" s="288" t="s">
        <v>69</v>
      </c>
      <c r="H497" s="288" t="s">
        <v>65</v>
      </c>
      <c r="I497" s="288" t="s">
        <v>66</v>
      </c>
      <c r="J497" s="288" t="s">
        <v>67</v>
      </c>
    </row>
    <row r="498" spans="1:11">
      <c r="A498" s="289" t="s">
        <v>92</v>
      </c>
      <c r="B498" s="306">
        <f t="shared" ref="B498:B524" si="2">SUMPRODUCT($B418:$I418,$B$481:$I$481)</f>
        <v>1</v>
      </c>
      <c r="C498" s="306">
        <f t="shared" ref="C498:C524" si="3">SUMPRODUCT($B418:$I418,$B$482:$I$482)</f>
        <v>1</v>
      </c>
      <c r="D498" s="306">
        <f t="shared" ref="D498:D524" si="4">SUMPRODUCT($B418:$I418,$B$483:$I$483)</f>
        <v>0.30743437083181213</v>
      </c>
      <c r="E498" s="306">
        <f t="shared" ref="E498:E524" si="5">SUMPRODUCT($B418:$I418,$B$484:$I$484)</f>
        <v>0.30743437083181213</v>
      </c>
      <c r="F498" s="306">
        <f t="shared" ref="F498:F524" si="6">SUMPRODUCT($B418:$I418,$B$485:$I$485)</f>
        <v>0.30743437083181213</v>
      </c>
      <c r="G498" s="306">
        <f t="shared" ref="G498:G524" si="7">SUMPRODUCT($B418:$I418,$B$486:$I$486)</f>
        <v>0.69256562916818787</v>
      </c>
      <c r="H498" s="306">
        <f t="shared" ref="H498:H524" si="8">SUMPRODUCT($B418:$I418,$B$487:$I$487)</f>
        <v>1</v>
      </c>
      <c r="I498" s="306">
        <f t="shared" ref="I498:I524" si="9">SUMPRODUCT($B418:$I418,$B$488:$I$488)</f>
        <v>1</v>
      </c>
      <c r="J498" s="306">
        <f t="shared" ref="J498:J524" si="10">SUMPRODUCT($B418:$I418,$B$489:$I$489)</f>
        <v>1</v>
      </c>
      <c r="K498" s="291"/>
    </row>
    <row r="499" spans="1:11">
      <c r="A499" s="289" t="s">
        <v>93</v>
      </c>
      <c r="B499" s="306">
        <f t="shared" si="2"/>
        <v>1</v>
      </c>
      <c r="C499" s="306">
        <f t="shared" si="3"/>
        <v>1</v>
      </c>
      <c r="D499" s="306">
        <f t="shared" si="4"/>
        <v>0.30743437083181213</v>
      </c>
      <c r="E499" s="306">
        <f t="shared" si="5"/>
        <v>0.30743437083181213</v>
      </c>
      <c r="F499" s="306">
        <f t="shared" si="6"/>
        <v>0.30743437083181213</v>
      </c>
      <c r="G499" s="306">
        <f t="shared" si="7"/>
        <v>0.69256562916818787</v>
      </c>
      <c r="H499" s="306">
        <f t="shared" si="8"/>
        <v>1</v>
      </c>
      <c r="I499" s="306">
        <f t="shared" si="9"/>
        <v>1</v>
      </c>
      <c r="J499" s="306">
        <f t="shared" si="10"/>
        <v>1</v>
      </c>
      <c r="K499" s="291"/>
    </row>
    <row r="500" spans="1:11">
      <c r="A500" s="289" t="s">
        <v>129</v>
      </c>
      <c r="B500" s="306">
        <f t="shared" si="2"/>
        <v>1</v>
      </c>
      <c r="C500" s="306">
        <f t="shared" si="3"/>
        <v>1</v>
      </c>
      <c r="D500" s="306">
        <f t="shared" si="4"/>
        <v>0.30743437083181213</v>
      </c>
      <c r="E500" s="306">
        <f t="shared" si="5"/>
        <v>0.30743437083181213</v>
      </c>
      <c r="F500" s="306">
        <f t="shared" si="6"/>
        <v>0.30743437083181213</v>
      </c>
      <c r="G500" s="306">
        <f t="shared" si="7"/>
        <v>0.69256562916818787</v>
      </c>
      <c r="H500" s="306">
        <f t="shared" si="8"/>
        <v>1</v>
      </c>
      <c r="I500" s="306">
        <f t="shared" si="9"/>
        <v>1</v>
      </c>
      <c r="J500" s="306">
        <f t="shared" si="10"/>
        <v>1</v>
      </c>
      <c r="K500" s="291"/>
    </row>
    <row r="501" spans="1:11">
      <c r="A501" s="289" t="s">
        <v>94</v>
      </c>
      <c r="B501" s="306">
        <f t="shared" si="2"/>
        <v>1</v>
      </c>
      <c r="C501" s="306">
        <f t="shared" si="3"/>
        <v>1</v>
      </c>
      <c r="D501" s="306">
        <f t="shared" si="4"/>
        <v>0.30743437083181213</v>
      </c>
      <c r="E501" s="306">
        <f t="shared" si="5"/>
        <v>0.30743437083181213</v>
      </c>
      <c r="F501" s="306">
        <f t="shared" si="6"/>
        <v>0.30743437083181213</v>
      </c>
      <c r="G501" s="306">
        <f t="shared" si="7"/>
        <v>0.69256562916818787</v>
      </c>
      <c r="H501" s="306">
        <f t="shared" si="8"/>
        <v>1</v>
      </c>
      <c r="I501" s="306">
        <f t="shared" si="9"/>
        <v>1</v>
      </c>
      <c r="J501" s="306">
        <f t="shared" si="10"/>
        <v>1</v>
      </c>
      <c r="K501" s="291"/>
    </row>
    <row r="502" spans="1:11">
      <c r="A502" s="289" t="s">
        <v>95</v>
      </c>
      <c r="B502" s="306">
        <f t="shared" si="2"/>
        <v>1</v>
      </c>
      <c r="C502" s="306">
        <f t="shared" si="3"/>
        <v>1</v>
      </c>
      <c r="D502" s="306">
        <f t="shared" si="4"/>
        <v>0.30743437083181213</v>
      </c>
      <c r="E502" s="306">
        <f t="shared" si="5"/>
        <v>0.30743437083181213</v>
      </c>
      <c r="F502" s="306">
        <f t="shared" si="6"/>
        <v>0.30743437083181213</v>
      </c>
      <c r="G502" s="306">
        <f t="shared" si="7"/>
        <v>0.69256562916818787</v>
      </c>
      <c r="H502" s="306">
        <f t="shared" si="8"/>
        <v>1</v>
      </c>
      <c r="I502" s="306">
        <f t="shared" si="9"/>
        <v>1</v>
      </c>
      <c r="J502" s="306">
        <f t="shared" si="10"/>
        <v>1</v>
      </c>
      <c r="K502" s="291"/>
    </row>
    <row r="503" spans="1:11">
      <c r="A503" s="289" t="s">
        <v>130</v>
      </c>
      <c r="B503" s="306">
        <f t="shared" si="2"/>
        <v>1</v>
      </c>
      <c r="C503" s="306">
        <f t="shared" si="3"/>
        <v>1</v>
      </c>
      <c r="D503" s="306">
        <f t="shared" si="4"/>
        <v>0.30743437083181213</v>
      </c>
      <c r="E503" s="306">
        <f t="shared" si="5"/>
        <v>0.30743437083181213</v>
      </c>
      <c r="F503" s="306">
        <f t="shared" si="6"/>
        <v>0.30743437083181213</v>
      </c>
      <c r="G503" s="306">
        <f t="shared" si="7"/>
        <v>0.69256562916818787</v>
      </c>
      <c r="H503" s="306">
        <f t="shared" si="8"/>
        <v>1</v>
      </c>
      <c r="I503" s="306">
        <f t="shared" si="9"/>
        <v>1</v>
      </c>
      <c r="J503" s="306">
        <f t="shared" si="10"/>
        <v>1</v>
      </c>
      <c r="K503" s="291"/>
    </row>
    <row r="504" spans="1:11">
      <c r="A504" s="289" t="s">
        <v>96</v>
      </c>
      <c r="B504" s="306">
        <f t="shared" si="2"/>
        <v>1</v>
      </c>
      <c r="C504" s="306">
        <f t="shared" si="3"/>
        <v>1</v>
      </c>
      <c r="D504" s="306">
        <f t="shared" si="4"/>
        <v>0.30743437083181213</v>
      </c>
      <c r="E504" s="306">
        <f t="shared" si="5"/>
        <v>0.30743437083181213</v>
      </c>
      <c r="F504" s="306">
        <f t="shared" si="6"/>
        <v>0.30743437083181213</v>
      </c>
      <c r="G504" s="306">
        <f t="shared" si="7"/>
        <v>0.69256562916818787</v>
      </c>
      <c r="H504" s="306">
        <f t="shared" si="8"/>
        <v>1</v>
      </c>
      <c r="I504" s="306">
        <f t="shared" si="9"/>
        <v>1</v>
      </c>
      <c r="J504" s="306">
        <f t="shared" si="10"/>
        <v>1</v>
      </c>
      <c r="K504" s="291"/>
    </row>
    <row r="505" spans="1:11">
      <c r="A505" s="289" t="s">
        <v>97</v>
      </c>
      <c r="B505" s="306">
        <f t="shared" si="2"/>
        <v>1</v>
      </c>
      <c r="C505" s="306">
        <f t="shared" si="3"/>
        <v>1</v>
      </c>
      <c r="D505" s="306">
        <f t="shared" si="4"/>
        <v>0.30743437083181213</v>
      </c>
      <c r="E505" s="306">
        <f t="shared" si="5"/>
        <v>0.30743437083181213</v>
      </c>
      <c r="F505" s="306">
        <f t="shared" si="6"/>
        <v>0.30743437083181213</v>
      </c>
      <c r="G505" s="306">
        <f t="shared" si="7"/>
        <v>0.69256562916818787</v>
      </c>
      <c r="H505" s="306">
        <f t="shared" si="8"/>
        <v>1</v>
      </c>
      <c r="I505" s="306">
        <f t="shared" si="9"/>
        <v>1</v>
      </c>
      <c r="J505" s="306">
        <f t="shared" si="10"/>
        <v>0</v>
      </c>
      <c r="K505" s="291"/>
    </row>
    <row r="506" spans="1:11">
      <c r="A506" s="289" t="s">
        <v>110</v>
      </c>
      <c r="B506" s="306">
        <f t="shared" si="2"/>
        <v>1</v>
      </c>
      <c r="C506" s="306">
        <f t="shared" si="3"/>
        <v>1</v>
      </c>
      <c r="D506" s="306">
        <f t="shared" si="4"/>
        <v>0.30743437083181213</v>
      </c>
      <c r="E506" s="306">
        <f t="shared" si="5"/>
        <v>0.30743437083181213</v>
      </c>
      <c r="F506" s="306">
        <f t="shared" si="6"/>
        <v>0.30743437083181213</v>
      </c>
      <c r="G506" s="306">
        <f t="shared" si="7"/>
        <v>0.69256562916818787</v>
      </c>
      <c r="H506" s="306">
        <f t="shared" si="8"/>
        <v>1</v>
      </c>
      <c r="I506" s="306">
        <f t="shared" si="9"/>
        <v>0</v>
      </c>
      <c r="J506" s="306">
        <f t="shared" si="10"/>
        <v>0</v>
      </c>
      <c r="K506" s="291"/>
    </row>
    <row r="507" spans="1:11">
      <c r="A507" s="289" t="s">
        <v>1536</v>
      </c>
      <c r="B507" s="306">
        <f t="shared" si="2"/>
        <v>1</v>
      </c>
      <c r="C507" s="306">
        <f t="shared" si="3"/>
        <v>1</v>
      </c>
      <c r="D507" s="306">
        <f t="shared" si="4"/>
        <v>0.30743437083181213</v>
      </c>
      <c r="E507" s="306">
        <f t="shared" si="5"/>
        <v>0.30743437083181213</v>
      </c>
      <c r="F507" s="306">
        <f t="shared" si="6"/>
        <v>0.30743437083181213</v>
      </c>
      <c r="G507" s="306">
        <f t="shared" si="7"/>
        <v>0.69256562916818787</v>
      </c>
      <c r="H507" s="306">
        <f t="shared" si="8"/>
        <v>1</v>
      </c>
      <c r="I507" s="306">
        <f t="shared" si="9"/>
        <v>1</v>
      </c>
      <c r="J507" s="306">
        <f t="shared" si="10"/>
        <v>1</v>
      </c>
      <c r="K507" s="291"/>
    </row>
    <row r="508" spans="1:11">
      <c r="A508" s="289" t="s">
        <v>1535</v>
      </c>
      <c r="B508" s="306">
        <f t="shared" si="2"/>
        <v>1</v>
      </c>
      <c r="C508" s="306">
        <f t="shared" si="3"/>
        <v>1</v>
      </c>
      <c r="D508" s="306">
        <f t="shared" si="4"/>
        <v>0.30743437083181213</v>
      </c>
      <c r="E508" s="306">
        <f t="shared" si="5"/>
        <v>0.30743437083181213</v>
      </c>
      <c r="F508" s="306">
        <f t="shared" si="6"/>
        <v>0.30743437083181213</v>
      </c>
      <c r="G508" s="306">
        <f t="shared" si="7"/>
        <v>0.69256562916818787</v>
      </c>
      <c r="H508" s="306">
        <f t="shared" si="8"/>
        <v>1</v>
      </c>
      <c r="I508" s="306">
        <f t="shared" si="9"/>
        <v>1</v>
      </c>
      <c r="J508" s="306">
        <f t="shared" si="10"/>
        <v>1</v>
      </c>
      <c r="K508" s="291"/>
    </row>
    <row r="509" spans="1:11">
      <c r="A509" s="289" t="s">
        <v>98</v>
      </c>
      <c r="B509" s="306">
        <f t="shared" si="2"/>
        <v>1</v>
      </c>
      <c r="C509" s="306">
        <f t="shared" si="3"/>
        <v>1</v>
      </c>
      <c r="D509" s="306">
        <f t="shared" si="4"/>
        <v>0.30743437083181213</v>
      </c>
      <c r="E509" s="306">
        <f t="shared" si="5"/>
        <v>0.30743437083181213</v>
      </c>
      <c r="F509" s="306">
        <f t="shared" si="6"/>
        <v>0.30743437083181213</v>
      </c>
      <c r="G509" s="306">
        <f t="shared" si="7"/>
        <v>0.69256562916818787</v>
      </c>
      <c r="H509" s="306">
        <f t="shared" si="8"/>
        <v>1</v>
      </c>
      <c r="I509" s="306">
        <f t="shared" si="9"/>
        <v>1</v>
      </c>
      <c r="J509" s="306">
        <f t="shared" si="10"/>
        <v>1</v>
      </c>
      <c r="K509" s="291"/>
    </row>
    <row r="510" spans="1:11">
      <c r="A510" s="289" t="s">
        <v>99</v>
      </c>
      <c r="B510" s="306">
        <f t="shared" si="2"/>
        <v>1</v>
      </c>
      <c r="C510" s="306">
        <f t="shared" si="3"/>
        <v>1</v>
      </c>
      <c r="D510" s="306">
        <f t="shared" si="4"/>
        <v>0.30743437083181213</v>
      </c>
      <c r="E510" s="306">
        <f t="shared" si="5"/>
        <v>0.30743437083181213</v>
      </c>
      <c r="F510" s="306">
        <f t="shared" si="6"/>
        <v>0.30743437083181213</v>
      </c>
      <c r="G510" s="306">
        <f t="shared" si="7"/>
        <v>0.69256562916818787</v>
      </c>
      <c r="H510" s="306">
        <f t="shared" si="8"/>
        <v>1</v>
      </c>
      <c r="I510" s="306">
        <f t="shared" si="9"/>
        <v>1</v>
      </c>
      <c r="J510" s="306">
        <f t="shared" si="10"/>
        <v>0</v>
      </c>
      <c r="K510" s="291"/>
    </row>
    <row r="511" spans="1:11">
      <c r="A511" s="289" t="s">
        <v>111</v>
      </c>
      <c r="B511" s="306">
        <f t="shared" si="2"/>
        <v>1</v>
      </c>
      <c r="C511" s="306">
        <f t="shared" si="3"/>
        <v>1</v>
      </c>
      <c r="D511" s="306">
        <f t="shared" si="4"/>
        <v>0.30743437083181213</v>
      </c>
      <c r="E511" s="306">
        <f t="shared" si="5"/>
        <v>0.30743437083181213</v>
      </c>
      <c r="F511" s="306">
        <f t="shared" si="6"/>
        <v>0.30743437083181213</v>
      </c>
      <c r="G511" s="306">
        <f t="shared" si="7"/>
        <v>0.69256562916818787</v>
      </c>
      <c r="H511" s="306">
        <f t="shared" si="8"/>
        <v>1</v>
      </c>
      <c r="I511" s="306">
        <f t="shared" si="9"/>
        <v>0</v>
      </c>
      <c r="J511" s="306">
        <f t="shared" si="10"/>
        <v>0</v>
      </c>
      <c r="K511" s="291"/>
    </row>
    <row r="512" spans="1:11">
      <c r="A512" s="289" t="s">
        <v>131</v>
      </c>
      <c r="B512" s="306">
        <f t="shared" si="2"/>
        <v>1</v>
      </c>
      <c r="C512" s="306">
        <f t="shared" si="3"/>
        <v>1</v>
      </c>
      <c r="D512" s="306">
        <f t="shared" si="4"/>
        <v>0.30743437083181213</v>
      </c>
      <c r="E512" s="306">
        <f t="shared" si="5"/>
        <v>0.30743437083181213</v>
      </c>
      <c r="F512" s="306">
        <f t="shared" si="6"/>
        <v>0.30743437083181213</v>
      </c>
      <c r="G512" s="306">
        <f t="shared" si="7"/>
        <v>0.69256562916818787</v>
      </c>
      <c r="H512" s="306">
        <f t="shared" si="8"/>
        <v>1</v>
      </c>
      <c r="I512" s="306">
        <f t="shared" si="9"/>
        <v>1</v>
      </c>
      <c r="J512" s="306">
        <f t="shared" si="10"/>
        <v>1</v>
      </c>
      <c r="K512" s="291"/>
    </row>
    <row r="513" spans="1:11">
      <c r="A513" s="289" t="s">
        <v>132</v>
      </c>
      <c r="B513" s="306">
        <f t="shared" si="2"/>
        <v>1</v>
      </c>
      <c r="C513" s="306">
        <f t="shared" si="3"/>
        <v>1</v>
      </c>
      <c r="D513" s="306">
        <f t="shared" si="4"/>
        <v>0.30743437083181213</v>
      </c>
      <c r="E513" s="306">
        <f t="shared" si="5"/>
        <v>0.30743437083181213</v>
      </c>
      <c r="F513" s="306">
        <f t="shared" si="6"/>
        <v>0.30743437083181213</v>
      </c>
      <c r="G513" s="306">
        <f t="shared" si="7"/>
        <v>0.69256562916818787</v>
      </c>
      <c r="H513" s="306">
        <f t="shared" si="8"/>
        <v>1</v>
      </c>
      <c r="I513" s="306">
        <f t="shared" si="9"/>
        <v>1</v>
      </c>
      <c r="J513" s="306">
        <f t="shared" si="10"/>
        <v>1</v>
      </c>
      <c r="K513" s="291"/>
    </row>
    <row r="514" spans="1:11">
      <c r="A514" s="289" t="s">
        <v>133</v>
      </c>
      <c r="B514" s="306">
        <f t="shared" si="2"/>
        <v>1</v>
      </c>
      <c r="C514" s="306">
        <f t="shared" si="3"/>
        <v>1</v>
      </c>
      <c r="D514" s="306">
        <f t="shared" si="4"/>
        <v>0.30743437083181213</v>
      </c>
      <c r="E514" s="306">
        <f t="shared" si="5"/>
        <v>0.30743437083181213</v>
      </c>
      <c r="F514" s="306">
        <f t="shared" si="6"/>
        <v>0.30743437083181213</v>
      </c>
      <c r="G514" s="306">
        <f t="shared" si="7"/>
        <v>0.69256562916818787</v>
      </c>
      <c r="H514" s="306">
        <f t="shared" si="8"/>
        <v>1</v>
      </c>
      <c r="I514" s="306">
        <f t="shared" si="9"/>
        <v>1</v>
      </c>
      <c r="J514" s="306">
        <f t="shared" si="10"/>
        <v>1</v>
      </c>
      <c r="K514" s="291"/>
    </row>
    <row r="515" spans="1:11">
      <c r="A515" s="289" t="s">
        <v>134</v>
      </c>
      <c r="B515" s="306">
        <f t="shared" si="2"/>
        <v>1</v>
      </c>
      <c r="C515" s="306">
        <f t="shared" si="3"/>
        <v>1</v>
      </c>
      <c r="D515" s="306">
        <f t="shared" si="4"/>
        <v>0.30743437083181213</v>
      </c>
      <c r="E515" s="306">
        <f t="shared" si="5"/>
        <v>0.30743437083181213</v>
      </c>
      <c r="F515" s="306">
        <f t="shared" si="6"/>
        <v>0.30743437083181213</v>
      </c>
      <c r="G515" s="306">
        <f t="shared" si="7"/>
        <v>0.69256562916818787</v>
      </c>
      <c r="H515" s="306">
        <f t="shared" si="8"/>
        <v>1</v>
      </c>
      <c r="I515" s="306">
        <f t="shared" si="9"/>
        <v>1</v>
      </c>
      <c r="J515" s="306">
        <f t="shared" si="10"/>
        <v>1</v>
      </c>
      <c r="K515" s="291"/>
    </row>
    <row r="516" spans="1:11">
      <c r="A516" s="289" t="s">
        <v>135</v>
      </c>
      <c r="B516" s="306">
        <f t="shared" si="2"/>
        <v>1</v>
      </c>
      <c r="C516" s="306">
        <f t="shared" si="3"/>
        <v>1</v>
      </c>
      <c r="D516" s="306">
        <f t="shared" si="4"/>
        <v>0.30743437083181213</v>
      </c>
      <c r="E516" s="306">
        <f t="shared" si="5"/>
        <v>0.30743437083181213</v>
      </c>
      <c r="F516" s="306">
        <f t="shared" si="6"/>
        <v>0.30743437083181213</v>
      </c>
      <c r="G516" s="306">
        <f t="shared" si="7"/>
        <v>0.69256562916818787</v>
      </c>
      <c r="H516" s="306">
        <f t="shared" si="8"/>
        <v>1</v>
      </c>
      <c r="I516" s="306">
        <f t="shared" si="9"/>
        <v>1</v>
      </c>
      <c r="J516" s="306">
        <f t="shared" si="10"/>
        <v>1</v>
      </c>
      <c r="K516" s="291"/>
    </row>
    <row r="517" spans="1:11">
      <c r="A517" s="289" t="s">
        <v>1534</v>
      </c>
      <c r="B517" s="306">
        <f t="shared" si="2"/>
        <v>1</v>
      </c>
      <c r="C517" s="306">
        <f t="shared" si="3"/>
        <v>1</v>
      </c>
      <c r="D517" s="306">
        <f t="shared" si="4"/>
        <v>0.30743437083181213</v>
      </c>
      <c r="E517" s="306">
        <f t="shared" si="5"/>
        <v>0.30743437083181213</v>
      </c>
      <c r="F517" s="306">
        <f t="shared" si="6"/>
        <v>0.30743437083181213</v>
      </c>
      <c r="G517" s="306">
        <f t="shared" si="7"/>
        <v>0.69256562916818787</v>
      </c>
      <c r="H517" s="306">
        <f t="shared" si="8"/>
        <v>1</v>
      </c>
      <c r="I517" s="306">
        <f t="shared" si="9"/>
        <v>1</v>
      </c>
      <c r="J517" s="306">
        <f t="shared" si="10"/>
        <v>0</v>
      </c>
      <c r="K517" s="291"/>
    </row>
    <row r="518" spans="1:11">
      <c r="A518" s="289" t="s">
        <v>100</v>
      </c>
      <c r="B518" s="306">
        <f t="shared" si="2"/>
        <v>1</v>
      </c>
      <c r="C518" s="306">
        <f t="shared" si="3"/>
        <v>1</v>
      </c>
      <c r="D518" s="306">
        <f t="shared" si="4"/>
        <v>0.30743437083181213</v>
      </c>
      <c r="E518" s="306">
        <f t="shared" si="5"/>
        <v>0.30743437083181213</v>
      </c>
      <c r="F518" s="306">
        <f t="shared" si="6"/>
        <v>0.30743437083181213</v>
      </c>
      <c r="G518" s="306">
        <f t="shared" si="7"/>
        <v>0.69256562916818787</v>
      </c>
      <c r="H518" s="306">
        <f t="shared" si="8"/>
        <v>1</v>
      </c>
      <c r="I518" s="306">
        <f t="shared" si="9"/>
        <v>0</v>
      </c>
      <c r="J518" s="306">
        <f t="shared" si="10"/>
        <v>0</v>
      </c>
      <c r="K518" s="291"/>
    </row>
    <row r="519" spans="1:11">
      <c r="A519" s="289" t="s">
        <v>101</v>
      </c>
      <c r="B519" s="306">
        <f t="shared" si="2"/>
        <v>1</v>
      </c>
      <c r="C519" s="306">
        <f t="shared" si="3"/>
        <v>1</v>
      </c>
      <c r="D519" s="306">
        <f t="shared" si="4"/>
        <v>0.30743437083181213</v>
      </c>
      <c r="E519" s="306">
        <f t="shared" si="5"/>
        <v>0.30743437083181213</v>
      </c>
      <c r="F519" s="306">
        <f t="shared" si="6"/>
        <v>0.30743437083181213</v>
      </c>
      <c r="G519" s="306">
        <f t="shared" si="7"/>
        <v>0.69256562916818787</v>
      </c>
      <c r="H519" s="306">
        <f t="shared" si="8"/>
        <v>1</v>
      </c>
      <c r="I519" s="306">
        <f t="shared" si="9"/>
        <v>1</v>
      </c>
      <c r="J519" s="306">
        <f t="shared" si="10"/>
        <v>0</v>
      </c>
      <c r="K519" s="291"/>
    </row>
    <row r="520" spans="1:11">
      <c r="A520" s="289" t="s">
        <v>102</v>
      </c>
      <c r="B520" s="306">
        <f t="shared" si="2"/>
        <v>1</v>
      </c>
      <c r="C520" s="306">
        <f t="shared" si="3"/>
        <v>1</v>
      </c>
      <c r="D520" s="306">
        <f t="shared" si="4"/>
        <v>0.30743437083181213</v>
      </c>
      <c r="E520" s="306">
        <f t="shared" si="5"/>
        <v>0.30743437083181213</v>
      </c>
      <c r="F520" s="306">
        <f t="shared" si="6"/>
        <v>0.30743437083181213</v>
      </c>
      <c r="G520" s="306">
        <f t="shared" si="7"/>
        <v>0.69256562916818787</v>
      </c>
      <c r="H520" s="306">
        <f t="shared" si="8"/>
        <v>1</v>
      </c>
      <c r="I520" s="306">
        <f t="shared" si="9"/>
        <v>1</v>
      </c>
      <c r="J520" s="306">
        <f t="shared" si="10"/>
        <v>0</v>
      </c>
      <c r="K520" s="291"/>
    </row>
    <row r="521" spans="1:11">
      <c r="A521" s="289" t="s">
        <v>103</v>
      </c>
      <c r="B521" s="306">
        <f t="shared" si="2"/>
        <v>1</v>
      </c>
      <c r="C521" s="306">
        <f t="shared" si="3"/>
        <v>1</v>
      </c>
      <c r="D521" s="306">
        <f t="shared" si="4"/>
        <v>0.30743437083181213</v>
      </c>
      <c r="E521" s="306">
        <f t="shared" si="5"/>
        <v>0.30743437083181213</v>
      </c>
      <c r="F521" s="306">
        <f t="shared" si="6"/>
        <v>0.30743437083181213</v>
      </c>
      <c r="G521" s="306">
        <f t="shared" si="7"/>
        <v>0.69256562916818787</v>
      </c>
      <c r="H521" s="306">
        <f t="shared" si="8"/>
        <v>1</v>
      </c>
      <c r="I521" s="306">
        <f t="shared" si="9"/>
        <v>0</v>
      </c>
      <c r="J521" s="306">
        <f t="shared" si="10"/>
        <v>0</v>
      </c>
      <c r="K521" s="291"/>
    </row>
    <row r="522" spans="1:11">
      <c r="A522" s="289" t="s">
        <v>104</v>
      </c>
      <c r="B522" s="306">
        <f t="shared" si="2"/>
        <v>1</v>
      </c>
      <c r="C522" s="306">
        <f t="shared" si="3"/>
        <v>1</v>
      </c>
      <c r="D522" s="306">
        <f t="shared" si="4"/>
        <v>0.30743437083181213</v>
      </c>
      <c r="E522" s="306">
        <f t="shared" si="5"/>
        <v>0.30743437083181213</v>
      </c>
      <c r="F522" s="306">
        <f t="shared" si="6"/>
        <v>0.30743437083181213</v>
      </c>
      <c r="G522" s="306">
        <f t="shared" si="7"/>
        <v>0.69256562916818787</v>
      </c>
      <c r="H522" s="306">
        <f t="shared" si="8"/>
        <v>1</v>
      </c>
      <c r="I522" s="306">
        <f t="shared" si="9"/>
        <v>0</v>
      </c>
      <c r="J522" s="306">
        <f t="shared" si="10"/>
        <v>0</v>
      </c>
      <c r="K522" s="291"/>
    </row>
    <row r="523" spans="1:11">
      <c r="A523" s="289" t="s">
        <v>112</v>
      </c>
      <c r="B523" s="306">
        <f t="shared" si="2"/>
        <v>1</v>
      </c>
      <c r="C523" s="306">
        <f t="shared" si="3"/>
        <v>1</v>
      </c>
      <c r="D523" s="306">
        <f t="shared" si="4"/>
        <v>0.30743437083181213</v>
      </c>
      <c r="E523" s="306">
        <f t="shared" si="5"/>
        <v>0.30743437083181213</v>
      </c>
      <c r="F523" s="306">
        <f t="shared" si="6"/>
        <v>0.30743437083181213</v>
      </c>
      <c r="G523" s="306">
        <f t="shared" si="7"/>
        <v>0.69256562916818787</v>
      </c>
      <c r="H523" s="306">
        <f t="shared" si="8"/>
        <v>0</v>
      </c>
      <c r="I523" s="306">
        <f t="shared" si="9"/>
        <v>0</v>
      </c>
      <c r="J523" s="306">
        <f t="shared" si="10"/>
        <v>0</v>
      </c>
      <c r="K523" s="291"/>
    </row>
    <row r="524" spans="1:11">
      <c r="A524" s="289" t="s">
        <v>113</v>
      </c>
      <c r="B524" s="306">
        <f t="shared" si="2"/>
        <v>1</v>
      </c>
      <c r="C524" s="306">
        <f t="shared" si="3"/>
        <v>1</v>
      </c>
      <c r="D524" s="306">
        <f t="shared" si="4"/>
        <v>0.30743437083181213</v>
      </c>
      <c r="E524" s="306">
        <f t="shared" si="5"/>
        <v>0.30743437083181213</v>
      </c>
      <c r="F524" s="306">
        <f t="shared" si="6"/>
        <v>0.30743437083181213</v>
      </c>
      <c r="G524" s="306">
        <f t="shared" si="7"/>
        <v>0.69256562916818787</v>
      </c>
      <c r="H524" s="306">
        <f t="shared" si="8"/>
        <v>0</v>
      </c>
      <c r="I524" s="306">
        <f t="shared" si="9"/>
        <v>0</v>
      </c>
      <c r="J524" s="306">
        <f t="shared" si="10"/>
        <v>0</v>
      </c>
      <c r="K524" s="291"/>
    </row>
    <row r="526" spans="1:11" ht="21" customHeight="1">
      <c r="A526" s="1" t="s">
        <v>291</v>
      </c>
    </row>
    <row r="527" spans="1:11">
      <c r="A527" s="287" t="s">
        <v>255</v>
      </c>
    </row>
    <row r="528" spans="1:11">
      <c r="A528" s="287" t="s">
        <v>292</v>
      </c>
    </row>
    <row r="529" spans="1:11">
      <c r="A529" s="287" t="s">
        <v>293</v>
      </c>
    </row>
    <row r="530" spans="1:11">
      <c r="A530" s="301" t="s">
        <v>294</v>
      </c>
    </row>
    <row r="531" spans="1:11">
      <c r="A531" s="287" t="s">
        <v>295</v>
      </c>
    </row>
    <row r="533" spans="1:11">
      <c r="B533" s="288" t="s">
        <v>60</v>
      </c>
      <c r="C533" s="288" t="s">
        <v>61</v>
      </c>
      <c r="D533" s="288" t="s">
        <v>62</v>
      </c>
      <c r="E533" s="288" t="s">
        <v>63</v>
      </c>
      <c r="F533" s="288" t="s">
        <v>64</v>
      </c>
      <c r="G533" s="288" t="s">
        <v>69</v>
      </c>
      <c r="H533" s="288" t="s">
        <v>65</v>
      </c>
      <c r="I533" s="288" t="s">
        <v>66</v>
      </c>
      <c r="J533" s="288" t="s">
        <v>67</v>
      </c>
    </row>
    <row r="534" spans="1:11">
      <c r="A534" s="289" t="s">
        <v>92</v>
      </c>
      <c r="B534" s="307">
        <f t="shared" ref="B534:J534" si="11">B498</f>
        <v>1</v>
      </c>
      <c r="C534" s="307">
        <f t="shared" si="11"/>
        <v>1</v>
      </c>
      <c r="D534" s="307">
        <f t="shared" si="11"/>
        <v>0.30743437083181213</v>
      </c>
      <c r="E534" s="307">
        <f t="shared" si="11"/>
        <v>0.30743437083181213</v>
      </c>
      <c r="F534" s="307">
        <f t="shared" si="11"/>
        <v>0.30743437083181213</v>
      </c>
      <c r="G534" s="307">
        <f t="shared" si="11"/>
        <v>0.69256562916818787</v>
      </c>
      <c r="H534" s="307">
        <f t="shared" si="11"/>
        <v>1</v>
      </c>
      <c r="I534" s="307">
        <f t="shared" si="11"/>
        <v>1</v>
      </c>
      <c r="J534" s="307">
        <f t="shared" si="11"/>
        <v>1</v>
      </c>
      <c r="K534" s="291"/>
    </row>
    <row r="535" spans="1:11">
      <c r="A535" s="289" t="s">
        <v>93</v>
      </c>
      <c r="B535" s="307">
        <f t="shared" ref="B535:J535" si="12">B499</f>
        <v>1</v>
      </c>
      <c r="C535" s="307">
        <f t="shared" si="12"/>
        <v>1</v>
      </c>
      <c r="D535" s="307">
        <f t="shared" si="12"/>
        <v>0.30743437083181213</v>
      </c>
      <c r="E535" s="307">
        <f t="shared" si="12"/>
        <v>0.30743437083181213</v>
      </c>
      <c r="F535" s="307">
        <f t="shared" si="12"/>
        <v>0.30743437083181213</v>
      </c>
      <c r="G535" s="307">
        <f t="shared" si="12"/>
        <v>0.69256562916818787</v>
      </c>
      <c r="H535" s="307">
        <f t="shared" si="12"/>
        <v>1</v>
      </c>
      <c r="I535" s="307">
        <f t="shared" si="12"/>
        <v>1</v>
      </c>
      <c r="J535" s="307">
        <f t="shared" si="12"/>
        <v>1</v>
      </c>
      <c r="K535" s="291"/>
    </row>
    <row r="536" spans="1:11">
      <c r="A536" s="289" t="s">
        <v>129</v>
      </c>
      <c r="B536" s="307">
        <f t="shared" ref="B536:J536" si="13">B500</f>
        <v>1</v>
      </c>
      <c r="C536" s="307">
        <f t="shared" si="13"/>
        <v>1</v>
      </c>
      <c r="D536" s="307">
        <f t="shared" si="13"/>
        <v>0.30743437083181213</v>
      </c>
      <c r="E536" s="307">
        <f t="shared" si="13"/>
        <v>0.30743437083181213</v>
      </c>
      <c r="F536" s="307">
        <f t="shared" si="13"/>
        <v>0.30743437083181213</v>
      </c>
      <c r="G536" s="307">
        <f t="shared" si="13"/>
        <v>0.69256562916818787</v>
      </c>
      <c r="H536" s="307">
        <f t="shared" si="13"/>
        <v>1</v>
      </c>
      <c r="I536" s="307">
        <f t="shared" si="13"/>
        <v>1</v>
      </c>
      <c r="J536" s="307">
        <f t="shared" si="13"/>
        <v>1</v>
      </c>
      <c r="K536" s="291"/>
    </row>
    <row r="537" spans="1:11">
      <c r="A537" s="289" t="s">
        <v>94</v>
      </c>
      <c r="B537" s="307">
        <f t="shared" ref="B537:J537" si="14">B501</f>
        <v>1</v>
      </c>
      <c r="C537" s="307">
        <f t="shared" si="14"/>
        <v>1</v>
      </c>
      <c r="D537" s="307">
        <f t="shared" si="14"/>
        <v>0.30743437083181213</v>
      </c>
      <c r="E537" s="307">
        <f t="shared" si="14"/>
        <v>0.30743437083181213</v>
      </c>
      <c r="F537" s="307">
        <f t="shared" si="14"/>
        <v>0.30743437083181213</v>
      </c>
      <c r="G537" s="307">
        <f t="shared" si="14"/>
        <v>0.69256562916818787</v>
      </c>
      <c r="H537" s="307">
        <f t="shared" si="14"/>
        <v>1</v>
      </c>
      <c r="I537" s="307">
        <f t="shared" si="14"/>
        <v>1</v>
      </c>
      <c r="J537" s="307">
        <f t="shared" si="14"/>
        <v>1</v>
      </c>
      <c r="K537" s="291"/>
    </row>
    <row r="538" spans="1:11">
      <c r="A538" s="289" t="s">
        <v>95</v>
      </c>
      <c r="B538" s="307">
        <f t="shared" ref="B538:J538" si="15">B502</f>
        <v>1</v>
      </c>
      <c r="C538" s="307">
        <f t="shared" si="15"/>
        <v>1</v>
      </c>
      <c r="D538" s="307">
        <f t="shared" si="15"/>
        <v>0.30743437083181213</v>
      </c>
      <c r="E538" s="307">
        <f t="shared" si="15"/>
        <v>0.30743437083181213</v>
      </c>
      <c r="F538" s="307">
        <f t="shared" si="15"/>
        <v>0.30743437083181213</v>
      </c>
      <c r="G538" s="307">
        <f t="shared" si="15"/>
        <v>0.69256562916818787</v>
      </c>
      <c r="H538" s="307">
        <f t="shared" si="15"/>
        <v>1</v>
      </c>
      <c r="I538" s="307">
        <f t="shared" si="15"/>
        <v>1</v>
      </c>
      <c r="J538" s="307">
        <f t="shared" si="15"/>
        <v>1</v>
      </c>
      <c r="K538" s="291"/>
    </row>
    <row r="539" spans="1:11">
      <c r="A539" s="289" t="s">
        <v>130</v>
      </c>
      <c r="B539" s="307">
        <f t="shared" ref="B539:J539" si="16">B503</f>
        <v>1</v>
      </c>
      <c r="C539" s="307">
        <f t="shared" si="16"/>
        <v>1</v>
      </c>
      <c r="D539" s="307">
        <f t="shared" si="16"/>
        <v>0.30743437083181213</v>
      </c>
      <c r="E539" s="307">
        <f t="shared" si="16"/>
        <v>0.30743437083181213</v>
      </c>
      <c r="F539" s="307">
        <f t="shared" si="16"/>
        <v>0.30743437083181213</v>
      </c>
      <c r="G539" s="307">
        <f t="shared" si="16"/>
        <v>0.69256562916818787</v>
      </c>
      <c r="H539" s="307">
        <f t="shared" si="16"/>
        <v>1</v>
      </c>
      <c r="I539" s="307">
        <f t="shared" si="16"/>
        <v>1</v>
      </c>
      <c r="J539" s="307">
        <f t="shared" si="16"/>
        <v>1</v>
      </c>
      <c r="K539" s="291"/>
    </row>
    <row r="540" spans="1:11">
      <c r="A540" s="289" t="s">
        <v>96</v>
      </c>
      <c r="B540" s="307">
        <f t="shared" ref="B540:J540" si="17">B504</f>
        <v>1</v>
      </c>
      <c r="C540" s="307">
        <f t="shared" si="17"/>
        <v>1</v>
      </c>
      <c r="D540" s="307">
        <f t="shared" si="17"/>
        <v>0.30743437083181213</v>
      </c>
      <c r="E540" s="307">
        <f t="shared" si="17"/>
        <v>0.30743437083181213</v>
      </c>
      <c r="F540" s="307">
        <f t="shared" si="17"/>
        <v>0.30743437083181213</v>
      </c>
      <c r="G540" s="307">
        <f t="shared" si="17"/>
        <v>0.69256562916818787</v>
      </c>
      <c r="H540" s="307">
        <f t="shared" si="17"/>
        <v>1</v>
      </c>
      <c r="I540" s="307">
        <f t="shared" si="17"/>
        <v>1</v>
      </c>
      <c r="J540" s="307">
        <f t="shared" si="17"/>
        <v>1</v>
      </c>
      <c r="K540" s="291"/>
    </row>
    <row r="541" spans="1:11">
      <c r="A541" s="289" t="s">
        <v>97</v>
      </c>
      <c r="B541" s="307">
        <f t="shared" ref="B541:J541" si="18">B505</f>
        <v>1</v>
      </c>
      <c r="C541" s="307">
        <f t="shared" si="18"/>
        <v>1</v>
      </c>
      <c r="D541" s="307">
        <f t="shared" si="18"/>
        <v>0.30743437083181213</v>
      </c>
      <c r="E541" s="307">
        <f t="shared" si="18"/>
        <v>0.30743437083181213</v>
      </c>
      <c r="F541" s="307">
        <f t="shared" si="18"/>
        <v>0.30743437083181213</v>
      </c>
      <c r="G541" s="307">
        <f t="shared" si="18"/>
        <v>0.69256562916818787</v>
      </c>
      <c r="H541" s="307">
        <f t="shared" si="18"/>
        <v>1</v>
      </c>
      <c r="I541" s="307">
        <f t="shared" si="18"/>
        <v>1</v>
      </c>
      <c r="J541" s="307">
        <f t="shared" si="18"/>
        <v>0</v>
      </c>
      <c r="K541" s="291"/>
    </row>
    <row r="542" spans="1:11">
      <c r="A542" s="289" t="s">
        <v>110</v>
      </c>
      <c r="B542" s="307">
        <f t="shared" ref="B542:J542" si="19">B506</f>
        <v>1</v>
      </c>
      <c r="C542" s="307">
        <f t="shared" si="19"/>
        <v>1</v>
      </c>
      <c r="D542" s="307">
        <f t="shared" si="19"/>
        <v>0.30743437083181213</v>
      </c>
      <c r="E542" s="307">
        <f t="shared" si="19"/>
        <v>0.30743437083181213</v>
      </c>
      <c r="F542" s="307">
        <f t="shared" si="19"/>
        <v>0.30743437083181213</v>
      </c>
      <c r="G542" s="307">
        <f t="shared" si="19"/>
        <v>0.69256562916818787</v>
      </c>
      <c r="H542" s="307">
        <f t="shared" si="19"/>
        <v>1</v>
      </c>
      <c r="I542" s="307">
        <f t="shared" si="19"/>
        <v>0</v>
      </c>
      <c r="J542" s="307">
        <f t="shared" si="19"/>
        <v>0</v>
      </c>
      <c r="K542" s="291"/>
    </row>
    <row r="543" spans="1:11">
      <c r="A543" s="289" t="s">
        <v>1536</v>
      </c>
      <c r="B543" s="307">
        <f t="shared" ref="B543:J543" si="20">B507</f>
        <v>1</v>
      </c>
      <c r="C543" s="307">
        <f t="shared" si="20"/>
        <v>1</v>
      </c>
      <c r="D543" s="307">
        <f t="shared" si="20"/>
        <v>0.30743437083181213</v>
      </c>
      <c r="E543" s="307">
        <f t="shared" si="20"/>
        <v>0.30743437083181213</v>
      </c>
      <c r="F543" s="307">
        <f t="shared" si="20"/>
        <v>0.30743437083181213</v>
      </c>
      <c r="G543" s="307">
        <f t="shared" si="20"/>
        <v>0.69256562916818787</v>
      </c>
      <c r="H543" s="307">
        <f t="shared" si="20"/>
        <v>1</v>
      </c>
      <c r="I543" s="307">
        <f t="shared" si="20"/>
        <v>1</v>
      </c>
      <c r="J543" s="307">
        <f t="shared" si="20"/>
        <v>1</v>
      </c>
      <c r="K543" s="291"/>
    </row>
    <row r="544" spans="1:11">
      <c r="A544" s="289" t="s">
        <v>1535</v>
      </c>
      <c r="B544" s="307">
        <f t="shared" ref="B544:J544" si="21">B508</f>
        <v>1</v>
      </c>
      <c r="C544" s="307">
        <f t="shared" si="21"/>
        <v>1</v>
      </c>
      <c r="D544" s="307">
        <f t="shared" si="21"/>
        <v>0.30743437083181213</v>
      </c>
      <c r="E544" s="307">
        <f t="shared" si="21"/>
        <v>0.30743437083181213</v>
      </c>
      <c r="F544" s="307">
        <f t="shared" si="21"/>
        <v>0.30743437083181213</v>
      </c>
      <c r="G544" s="307">
        <f t="shared" si="21"/>
        <v>0.69256562916818787</v>
      </c>
      <c r="H544" s="307">
        <f t="shared" si="21"/>
        <v>1</v>
      </c>
      <c r="I544" s="307">
        <f t="shared" si="21"/>
        <v>1</v>
      </c>
      <c r="J544" s="307">
        <f t="shared" si="21"/>
        <v>1</v>
      </c>
      <c r="K544" s="291"/>
    </row>
    <row r="545" spans="1:11">
      <c r="A545" s="289" t="s">
        <v>98</v>
      </c>
      <c r="B545" s="307">
        <f t="shared" ref="B545:J545" si="22">B509</f>
        <v>1</v>
      </c>
      <c r="C545" s="307">
        <f t="shared" si="22"/>
        <v>1</v>
      </c>
      <c r="D545" s="307">
        <f t="shared" si="22"/>
        <v>0.30743437083181213</v>
      </c>
      <c r="E545" s="307">
        <f t="shared" si="22"/>
        <v>0.30743437083181213</v>
      </c>
      <c r="F545" s="307">
        <f t="shared" si="22"/>
        <v>0.30743437083181213</v>
      </c>
      <c r="G545" s="307">
        <f t="shared" si="22"/>
        <v>0.69256562916818787</v>
      </c>
      <c r="H545" s="307">
        <f t="shared" si="22"/>
        <v>1</v>
      </c>
      <c r="I545" s="307">
        <f t="shared" si="22"/>
        <v>1</v>
      </c>
      <c r="J545" s="307">
        <f t="shared" si="22"/>
        <v>1</v>
      </c>
      <c r="K545" s="291"/>
    </row>
    <row r="546" spans="1:11">
      <c r="A546" s="289" t="s">
        <v>99</v>
      </c>
      <c r="B546" s="307">
        <f t="shared" ref="B546:J546" si="23">B510</f>
        <v>1</v>
      </c>
      <c r="C546" s="307">
        <f t="shared" si="23"/>
        <v>1</v>
      </c>
      <c r="D546" s="307">
        <f t="shared" si="23"/>
        <v>0.30743437083181213</v>
      </c>
      <c r="E546" s="307">
        <f t="shared" si="23"/>
        <v>0.30743437083181213</v>
      </c>
      <c r="F546" s="307">
        <f t="shared" si="23"/>
        <v>0.30743437083181213</v>
      </c>
      <c r="G546" s="307">
        <f t="shared" si="23"/>
        <v>0.69256562916818787</v>
      </c>
      <c r="H546" s="307">
        <f t="shared" si="23"/>
        <v>1</v>
      </c>
      <c r="I546" s="307">
        <f t="shared" si="23"/>
        <v>1</v>
      </c>
      <c r="J546" s="307">
        <f t="shared" si="23"/>
        <v>0</v>
      </c>
      <c r="K546" s="291"/>
    </row>
    <row r="547" spans="1:11">
      <c r="A547" s="289" t="s">
        <v>111</v>
      </c>
      <c r="B547" s="307">
        <f t="shared" ref="B547:J547" si="24">B511</f>
        <v>1</v>
      </c>
      <c r="C547" s="307">
        <f t="shared" si="24"/>
        <v>1</v>
      </c>
      <c r="D547" s="307">
        <f t="shared" si="24"/>
        <v>0.30743437083181213</v>
      </c>
      <c r="E547" s="307">
        <f t="shared" si="24"/>
        <v>0.30743437083181213</v>
      </c>
      <c r="F547" s="307">
        <f t="shared" si="24"/>
        <v>0.30743437083181213</v>
      </c>
      <c r="G547" s="307">
        <f t="shared" si="24"/>
        <v>0.69256562916818787</v>
      </c>
      <c r="H547" s="307">
        <f t="shared" si="24"/>
        <v>1</v>
      </c>
      <c r="I547" s="307">
        <f t="shared" si="24"/>
        <v>0</v>
      </c>
      <c r="J547" s="307">
        <f t="shared" si="24"/>
        <v>0</v>
      </c>
      <c r="K547" s="291"/>
    </row>
    <row r="548" spans="1:11">
      <c r="A548" s="289" t="s">
        <v>131</v>
      </c>
      <c r="B548" s="307">
        <f t="shared" ref="B548:J548" si="25">B512</f>
        <v>1</v>
      </c>
      <c r="C548" s="307">
        <f t="shared" si="25"/>
        <v>1</v>
      </c>
      <c r="D548" s="307">
        <f t="shared" si="25"/>
        <v>0.30743437083181213</v>
      </c>
      <c r="E548" s="307">
        <f t="shared" si="25"/>
        <v>0.30743437083181213</v>
      </c>
      <c r="F548" s="307">
        <f t="shared" si="25"/>
        <v>0.30743437083181213</v>
      </c>
      <c r="G548" s="307">
        <f t="shared" si="25"/>
        <v>0.69256562916818787</v>
      </c>
      <c r="H548" s="307">
        <f t="shared" si="25"/>
        <v>1</v>
      </c>
      <c r="I548" s="307">
        <f t="shared" si="25"/>
        <v>1</v>
      </c>
      <c r="J548" s="307">
        <f t="shared" si="25"/>
        <v>1</v>
      </c>
      <c r="K548" s="291"/>
    </row>
    <row r="549" spans="1:11">
      <c r="A549" s="289" t="s">
        <v>132</v>
      </c>
      <c r="B549" s="307">
        <f t="shared" ref="B549:J549" si="26">B513</f>
        <v>1</v>
      </c>
      <c r="C549" s="307">
        <f t="shared" si="26"/>
        <v>1</v>
      </c>
      <c r="D549" s="307">
        <f t="shared" si="26"/>
        <v>0.30743437083181213</v>
      </c>
      <c r="E549" s="307">
        <f t="shared" si="26"/>
        <v>0.30743437083181213</v>
      </c>
      <c r="F549" s="307">
        <f t="shared" si="26"/>
        <v>0.30743437083181213</v>
      </c>
      <c r="G549" s="307">
        <f t="shared" si="26"/>
        <v>0.69256562916818787</v>
      </c>
      <c r="H549" s="307">
        <f t="shared" si="26"/>
        <v>1</v>
      </c>
      <c r="I549" s="307">
        <f t="shared" si="26"/>
        <v>1</v>
      </c>
      <c r="J549" s="307">
        <f t="shared" si="26"/>
        <v>1</v>
      </c>
      <c r="K549" s="291"/>
    </row>
    <row r="550" spans="1:11">
      <c r="A550" s="289" t="s">
        <v>133</v>
      </c>
      <c r="B550" s="307">
        <f t="shared" ref="B550:J550" si="27">B514</f>
        <v>1</v>
      </c>
      <c r="C550" s="307">
        <f t="shared" si="27"/>
        <v>1</v>
      </c>
      <c r="D550" s="307">
        <f t="shared" si="27"/>
        <v>0.30743437083181213</v>
      </c>
      <c r="E550" s="307">
        <f t="shared" si="27"/>
        <v>0.30743437083181213</v>
      </c>
      <c r="F550" s="307">
        <f t="shared" si="27"/>
        <v>0.30743437083181213</v>
      </c>
      <c r="G550" s="307">
        <f t="shared" si="27"/>
        <v>0.69256562916818787</v>
      </c>
      <c r="H550" s="307">
        <f t="shared" si="27"/>
        <v>1</v>
      </c>
      <c r="I550" s="307">
        <f t="shared" si="27"/>
        <v>1</v>
      </c>
      <c r="J550" s="307">
        <f t="shared" si="27"/>
        <v>1</v>
      </c>
      <c r="K550" s="291"/>
    </row>
    <row r="551" spans="1:11">
      <c r="A551" s="289" t="s">
        <v>134</v>
      </c>
      <c r="B551" s="307">
        <f t="shared" ref="B551:J551" si="28">B515</f>
        <v>1</v>
      </c>
      <c r="C551" s="307">
        <f t="shared" si="28"/>
        <v>1</v>
      </c>
      <c r="D551" s="307">
        <f t="shared" si="28"/>
        <v>0.30743437083181213</v>
      </c>
      <c r="E551" s="307">
        <f t="shared" si="28"/>
        <v>0.30743437083181213</v>
      </c>
      <c r="F551" s="307">
        <f t="shared" si="28"/>
        <v>0.30743437083181213</v>
      </c>
      <c r="G551" s="307">
        <f t="shared" si="28"/>
        <v>0.69256562916818787</v>
      </c>
      <c r="H551" s="307">
        <f t="shared" si="28"/>
        <v>1</v>
      </c>
      <c r="I551" s="307">
        <f t="shared" si="28"/>
        <v>1</v>
      </c>
      <c r="J551" s="307">
        <f t="shared" si="28"/>
        <v>1</v>
      </c>
      <c r="K551" s="291"/>
    </row>
    <row r="552" spans="1:11">
      <c r="A552" s="289" t="s">
        <v>135</v>
      </c>
      <c r="B552" s="307">
        <f t="shared" ref="B552:J552" si="29">B516</f>
        <v>1</v>
      </c>
      <c r="C552" s="307">
        <f t="shared" si="29"/>
        <v>1</v>
      </c>
      <c r="D552" s="307">
        <f t="shared" si="29"/>
        <v>0.30743437083181213</v>
      </c>
      <c r="E552" s="307">
        <f t="shared" si="29"/>
        <v>0.30743437083181213</v>
      </c>
      <c r="F552" s="307">
        <f t="shared" si="29"/>
        <v>0.30743437083181213</v>
      </c>
      <c r="G552" s="307">
        <f t="shared" si="29"/>
        <v>0.69256562916818787</v>
      </c>
      <c r="H552" s="307">
        <f t="shared" si="29"/>
        <v>1</v>
      </c>
      <c r="I552" s="307">
        <f t="shared" si="29"/>
        <v>1</v>
      </c>
      <c r="J552" s="307">
        <f t="shared" si="29"/>
        <v>1</v>
      </c>
      <c r="K552" s="291"/>
    </row>
    <row r="553" spans="1:11">
      <c r="A553" s="289" t="s">
        <v>1534</v>
      </c>
      <c r="B553" s="307">
        <f t="shared" ref="B553:J553" si="30">B517</f>
        <v>1</v>
      </c>
      <c r="C553" s="307">
        <f t="shared" si="30"/>
        <v>1</v>
      </c>
      <c r="D553" s="307">
        <f t="shared" si="30"/>
        <v>0.30743437083181213</v>
      </c>
      <c r="E553" s="307">
        <f t="shared" si="30"/>
        <v>0.30743437083181213</v>
      </c>
      <c r="F553" s="307">
        <f t="shared" si="30"/>
        <v>0.30743437083181213</v>
      </c>
      <c r="G553" s="307">
        <f t="shared" si="30"/>
        <v>0.69256562916818787</v>
      </c>
      <c r="H553" s="307">
        <f t="shared" si="30"/>
        <v>1</v>
      </c>
      <c r="I553" s="307">
        <f t="shared" si="30"/>
        <v>1</v>
      </c>
      <c r="J553" s="307">
        <f t="shared" si="30"/>
        <v>0</v>
      </c>
      <c r="K553" s="291"/>
    </row>
    <row r="554" spans="1:11">
      <c r="A554" s="289" t="s">
        <v>100</v>
      </c>
      <c r="B554" s="307">
        <f t="shared" ref="B554:J554" si="31">B518</f>
        <v>1</v>
      </c>
      <c r="C554" s="307">
        <f t="shared" si="31"/>
        <v>1</v>
      </c>
      <c r="D554" s="307">
        <f t="shared" si="31"/>
        <v>0.30743437083181213</v>
      </c>
      <c r="E554" s="307">
        <f t="shared" si="31"/>
        <v>0.30743437083181213</v>
      </c>
      <c r="F554" s="307">
        <f t="shared" si="31"/>
        <v>0.30743437083181213</v>
      </c>
      <c r="G554" s="307">
        <f t="shared" si="31"/>
        <v>0.69256562916818787</v>
      </c>
      <c r="H554" s="307">
        <f t="shared" si="31"/>
        <v>1</v>
      </c>
      <c r="I554" s="307">
        <f t="shared" si="31"/>
        <v>0</v>
      </c>
      <c r="J554" s="307">
        <f t="shared" si="31"/>
        <v>0</v>
      </c>
      <c r="K554" s="291"/>
    </row>
    <row r="555" spans="1:11">
      <c r="A555" s="289" t="s">
        <v>101</v>
      </c>
      <c r="B555" s="307">
        <f t="shared" ref="B555:J555" si="32">B519</f>
        <v>1</v>
      </c>
      <c r="C555" s="307">
        <f t="shared" si="32"/>
        <v>1</v>
      </c>
      <c r="D555" s="307">
        <f t="shared" si="32"/>
        <v>0.30743437083181213</v>
      </c>
      <c r="E555" s="307">
        <f t="shared" si="32"/>
        <v>0.30743437083181213</v>
      </c>
      <c r="F555" s="307">
        <f t="shared" si="32"/>
        <v>0.30743437083181213</v>
      </c>
      <c r="G555" s="307">
        <f t="shared" si="32"/>
        <v>0.69256562916818787</v>
      </c>
      <c r="H555" s="307">
        <f t="shared" si="32"/>
        <v>1</v>
      </c>
      <c r="I555" s="307">
        <f t="shared" si="32"/>
        <v>1</v>
      </c>
      <c r="J555" s="307">
        <f t="shared" si="32"/>
        <v>0</v>
      </c>
      <c r="K555" s="291"/>
    </row>
    <row r="556" spans="1:11">
      <c r="A556" s="289" t="s">
        <v>102</v>
      </c>
      <c r="B556" s="307">
        <f t="shared" ref="B556:J556" si="33">B520</f>
        <v>1</v>
      </c>
      <c r="C556" s="307">
        <f t="shared" si="33"/>
        <v>1</v>
      </c>
      <c r="D556" s="307">
        <f t="shared" si="33"/>
        <v>0.30743437083181213</v>
      </c>
      <c r="E556" s="307">
        <f t="shared" si="33"/>
        <v>0.30743437083181213</v>
      </c>
      <c r="F556" s="307">
        <f t="shared" si="33"/>
        <v>0.30743437083181213</v>
      </c>
      <c r="G556" s="307">
        <f t="shared" si="33"/>
        <v>0.69256562916818787</v>
      </c>
      <c r="H556" s="307">
        <f t="shared" si="33"/>
        <v>1</v>
      </c>
      <c r="I556" s="307">
        <f t="shared" si="33"/>
        <v>1</v>
      </c>
      <c r="J556" s="307">
        <f t="shared" si="33"/>
        <v>0</v>
      </c>
      <c r="K556" s="291"/>
    </row>
    <row r="557" spans="1:11">
      <c r="A557" s="289" t="s">
        <v>103</v>
      </c>
      <c r="B557" s="307">
        <f t="shared" ref="B557:J557" si="34">B521</f>
        <v>1</v>
      </c>
      <c r="C557" s="307">
        <f t="shared" si="34"/>
        <v>1</v>
      </c>
      <c r="D557" s="307">
        <f t="shared" si="34"/>
        <v>0.30743437083181213</v>
      </c>
      <c r="E557" s="307">
        <f t="shared" si="34"/>
        <v>0.30743437083181213</v>
      </c>
      <c r="F557" s="307">
        <f t="shared" si="34"/>
        <v>0.30743437083181213</v>
      </c>
      <c r="G557" s="307">
        <f t="shared" si="34"/>
        <v>0.69256562916818787</v>
      </c>
      <c r="H557" s="307">
        <f t="shared" si="34"/>
        <v>1</v>
      </c>
      <c r="I557" s="307">
        <f t="shared" si="34"/>
        <v>0</v>
      </c>
      <c r="J557" s="307">
        <f t="shared" si="34"/>
        <v>0</v>
      </c>
      <c r="K557" s="291"/>
    </row>
    <row r="558" spans="1:11">
      <c r="A558" s="289" t="s">
        <v>104</v>
      </c>
      <c r="B558" s="307">
        <f t="shared" ref="B558:J558" si="35">B522</f>
        <v>1</v>
      </c>
      <c r="C558" s="307">
        <f t="shared" si="35"/>
        <v>1</v>
      </c>
      <c r="D558" s="307">
        <f t="shared" si="35"/>
        <v>0.30743437083181213</v>
      </c>
      <c r="E558" s="307">
        <f t="shared" si="35"/>
        <v>0.30743437083181213</v>
      </c>
      <c r="F558" s="307">
        <f t="shared" si="35"/>
        <v>0.30743437083181213</v>
      </c>
      <c r="G558" s="307">
        <f t="shared" si="35"/>
        <v>0.69256562916818787</v>
      </c>
      <c r="H558" s="307">
        <f t="shared" si="35"/>
        <v>1</v>
      </c>
      <c r="I558" s="307">
        <f t="shared" si="35"/>
        <v>0</v>
      </c>
      <c r="J558" s="307">
        <f t="shared" si="35"/>
        <v>0</v>
      </c>
      <c r="K558" s="291"/>
    </row>
    <row r="559" spans="1:11">
      <c r="A559" s="289" t="s">
        <v>112</v>
      </c>
      <c r="B559" s="307">
        <f t="shared" ref="B559:J559" si="36">B523</f>
        <v>1</v>
      </c>
      <c r="C559" s="307">
        <f t="shared" si="36"/>
        <v>1</v>
      </c>
      <c r="D559" s="307">
        <f t="shared" si="36"/>
        <v>0.30743437083181213</v>
      </c>
      <c r="E559" s="307">
        <f t="shared" si="36"/>
        <v>0.30743437083181213</v>
      </c>
      <c r="F559" s="307">
        <f t="shared" si="36"/>
        <v>0.30743437083181213</v>
      </c>
      <c r="G559" s="307">
        <f t="shared" si="36"/>
        <v>0.69256562916818787</v>
      </c>
      <c r="H559" s="307">
        <f t="shared" si="36"/>
        <v>0</v>
      </c>
      <c r="I559" s="307">
        <f t="shared" si="36"/>
        <v>0</v>
      </c>
      <c r="J559" s="307">
        <f t="shared" si="36"/>
        <v>0</v>
      </c>
      <c r="K559" s="291"/>
    </row>
    <row r="560" spans="1:11">
      <c r="A560" s="289" t="s">
        <v>113</v>
      </c>
      <c r="B560" s="307">
        <f t="shared" ref="B560:J560" si="37">B524</f>
        <v>1</v>
      </c>
      <c r="C560" s="307">
        <f t="shared" si="37"/>
        <v>1</v>
      </c>
      <c r="D560" s="307">
        <f t="shared" si="37"/>
        <v>0.30743437083181213</v>
      </c>
      <c r="E560" s="307">
        <f t="shared" si="37"/>
        <v>0.30743437083181213</v>
      </c>
      <c r="F560" s="307">
        <f t="shared" si="37"/>
        <v>0.30743437083181213</v>
      </c>
      <c r="G560" s="307">
        <f t="shared" si="37"/>
        <v>0.69256562916818787</v>
      </c>
      <c r="H560" s="307">
        <f t="shared" si="37"/>
        <v>0</v>
      </c>
      <c r="I560" s="307">
        <f t="shared" si="37"/>
        <v>0</v>
      </c>
      <c r="J560" s="307">
        <f t="shared" si="37"/>
        <v>0</v>
      </c>
      <c r="K560" s="291"/>
    </row>
    <row r="562" spans="1:11" ht="21" customHeight="1">
      <c r="A562" s="1" t="s">
        <v>296</v>
      </c>
    </row>
    <row r="563" spans="1:11">
      <c r="A563" s="287" t="s">
        <v>255</v>
      </c>
    </row>
    <row r="564" spans="1:11">
      <c r="A564" s="301" t="s">
        <v>297</v>
      </c>
    </row>
    <row r="565" spans="1:11">
      <c r="A565" s="301" t="s">
        <v>298</v>
      </c>
    </row>
    <row r="566" spans="1:11">
      <c r="A566" s="301" t="s">
        <v>299</v>
      </c>
    </row>
    <row r="567" spans="1:11">
      <c r="A567" s="287" t="s">
        <v>300</v>
      </c>
    </row>
    <row r="569" spans="1:11">
      <c r="B569" s="288" t="s">
        <v>60</v>
      </c>
      <c r="C569" s="288" t="s">
        <v>61</v>
      </c>
      <c r="D569" s="288" t="s">
        <v>62</v>
      </c>
      <c r="E569" s="288" t="s">
        <v>63</v>
      </c>
      <c r="F569" s="288" t="s">
        <v>64</v>
      </c>
      <c r="G569" s="288" t="s">
        <v>69</v>
      </c>
      <c r="H569" s="288" t="s">
        <v>65</v>
      </c>
      <c r="I569" s="288" t="s">
        <v>66</v>
      </c>
      <c r="J569" s="288" t="s">
        <v>67</v>
      </c>
    </row>
    <row r="570" spans="1:11">
      <c r="A570" s="289" t="s">
        <v>92</v>
      </c>
      <c r="B570" s="306">
        <f t="shared" ref="B570:J570" si="38">IF(B$410="",B534,B534*$I347/B$410)</f>
        <v>1.087</v>
      </c>
      <c r="C570" s="306">
        <f t="shared" si="38"/>
        <v>1.0848303393213572</v>
      </c>
      <c r="D570" s="306">
        <f t="shared" si="38"/>
        <v>0.33185815401606733</v>
      </c>
      <c r="E570" s="306">
        <f t="shared" si="38"/>
        <v>0.32891846564387772</v>
      </c>
      <c r="F570" s="306">
        <f t="shared" si="38"/>
        <v>0.32666780165608972</v>
      </c>
      <c r="G570" s="306">
        <f t="shared" si="38"/>
        <v>0.73589329316306973</v>
      </c>
      <c r="H570" s="306">
        <f t="shared" si="38"/>
        <v>1.0342530922930542</v>
      </c>
      <c r="I570" s="306">
        <f t="shared" si="38"/>
        <v>1.0158878504672897</v>
      </c>
      <c r="J570" s="306">
        <f t="shared" si="38"/>
        <v>1</v>
      </c>
      <c r="K570" s="291"/>
    </row>
    <row r="571" spans="1:11">
      <c r="A571" s="289" t="s">
        <v>93</v>
      </c>
      <c r="B571" s="306">
        <f t="shared" ref="B571:J571" si="39">IF(B$410="",B535,B535*$I348/B$410)</f>
        <v>1.087</v>
      </c>
      <c r="C571" s="306">
        <f t="shared" si="39"/>
        <v>1.0848303393213572</v>
      </c>
      <c r="D571" s="306">
        <f t="shared" si="39"/>
        <v>0.33185815401606733</v>
      </c>
      <c r="E571" s="306">
        <f t="shared" si="39"/>
        <v>0.32891846564387772</v>
      </c>
      <c r="F571" s="306">
        <f t="shared" si="39"/>
        <v>0.32666780165608972</v>
      </c>
      <c r="G571" s="306">
        <f t="shared" si="39"/>
        <v>0.73589329316306973</v>
      </c>
      <c r="H571" s="306">
        <f t="shared" si="39"/>
        <v>1.0342530922930542</v>
      </c>
      <c r="I571" s="306">
        <f t="shared" si="39"/>
        <v>1.0158878504672897</v>
      </c>
      <c r="J571" s="306">
        <f t="shared" si="39"/>
        <v>1</v>
      </c>
      <c r="K571" s="291"/>
    </row>
    <row r="572" spans="1:11">
      <c r="A572" s="289" t="s">
        <v>129</v>
      </c>
      <c r="B572" s="306">
        <f t="shared" ref="B572:J572" si="40">IF(B$410="",B536,B536*$I349/B$410)</f>
        <v>1.087</v>
      </c>
      <c r="C572" s="306">
        <f t="shared" si="40"/>
        <v>1.0848303393213572</v>
      </c>
      <c r="D572" s="306">
        <f t="shared" si="40"/>
        <v>0.33185815401606733</v>
      </c>
      <c r="E572" s="306">
        <f t="shared" si="40"/>
        <v>0.32891846564387772</v>
      </c>
      <c r="F572" s="306">
        <f t="shared" si="40"/>
        <v>0.32666780165608972</v>
      </c>
      <c r="G572" s="306">
        <f t="shared" si="40"/>
        <v>0.73589329316306973</v>
      </c>
      <c r="H572" s="306">
        <f t="shared" si="40"/>
        <v>1.0342530922930542</v>
      </c>
      <c r="I572" s="306">
        <f t="shared" si="40"/>
        <v>1.0158878504672897</v>
      </c>
      <c r="J572" s="306">
        <f t="shared" si="40"/>
        <v>1</v>
      </c>
      <c r="K572" s="291"/>
    </row>
    <row r="573" spans="1:11">
      <c r="A573" s="289" t="s">
        <v>94</v>
      </c>
      <c r="B573" s="306">
        <f t="shared" ref="B573:J573" si="41">IF(B$410="",B537,B537*$I350/B$410)</f>
        <v>1.087</v>
      </c>
      <c r="C573" s="306">
        <f t="shared" si="41"/>
        <v>1.0848303393213572</v>
      </c>
      <c r="D573" s="306">
        <f t="shared" si="41"/>
        <v>0.33185815401606733</v>
      </c>
      <c r="E573" s="306">
        <f t="shared" si="41"/>
        <v>0.32891846564387772</v>
      </c>
      <c r="F573" s="306">
        <f t="shared" si="41"/>
        <v>0.32666780165608972</v>
      </c>
      <c r="G573" s="306">
        <f t="shared" si="41"/>
        <v>0.73589329316306973</v>
      </c>
      <c r="H573" s="306">
        <f t="shared" si="41"/>
        <v>1.0342530922930542</v>
      </c>
      <c r="I573" s="306">
        <f t="shared" si="41"/>
        <v>1.0158878504672897</v>
      </c>
      <c r="J573" s="306">
        <f t="shared" si="41"/>
        <v>1</v>
      </c>
      <c r="K573" s="291"/>
    </row>
    <row r="574" spans="1:11">
      <c r="A574" s="289" t="s">
        <v>95</v>
      </c>
      <c r="B574" s="306">
        <f t="shared" ref="B574:J574" si="42">IF(B$410="",B538,B538*$I351/B$410)</f>
        <v>1.087</v>
      </c>
      <c r="C574" s="306">
        <f t="shared" si="42"/>
        <v>1.0848303393213572</v>
      </c>
      <c r="D574" s="306">
        <f t="shared" si="42"/>
        <v>0.33185815401606733</v>
      </c>
      <c r="E574" s="306">
        <f t="shared" si="42"/>
        <v>0.32891846564387772</v>
      </c>
      <c r="F574" s="306">
        <f t="shared" si="42"/>
        <v>0.32666780165608972</v>
      </c>
      <c r="G574" s="306">
        <f t="shared" si="42"/>
        <v>0.73589329316306973</v>
      </c>
      <c r="H574" s="306">
        <f t="shared" si="42"/>
        <v>1.0342530922930542</v>
      </c>
      <c r="I574" s="306">
        <f t="shared" si="42"/>
        <v>1.0158878504672897</v>
      </c>
      <c r="J574" s="306">
        <f t="shared" si="42"/>
        <v>1</v>
      </c>
      <c r="K574" s="291"/>
    </row>
    <row r="575" spans="1:11">
      <c r="A575" s="289" t="s">
        <v>130</v>
      </c>
      <c r="B575" s="306">
        <f t="shared" ref="B575:J575" si="43">IF(B$410="",B539,B539*$I352/B$410)</f>
        <v>1.087</v>
      </c>
      <c r="C575" s="306">
        <f t="shared" si="43"/>
        <v>1.0848303393213572</v>
      </c>
      <c r="D575" s="306">
        <f t="shared" si="43"/>
        <v>0.33185815401606733</v>
      </c>
      <c r="E575" s="306">
        <f t="shared" si="43"/>
        <v>0.32891846564387772</v>
      </c>
      <c r="F575" s="306">
        <f t="shared" si="43"/>
        <v>0.32666780165608972</v>
      </c>
      <c r="G575" s="306">
        <f t="shared" si="43"/>
        <v>0.73589329316306973</v>
      </c>
      <c r="H575" s="306">
        <f t="shared" si="43"/>
        <v>1.0342530922930542</v>
      </c>
      <c r="I575" s="306">
        <f t="shared" si="43"/>
        <v>1.0158878504672897</v>
      </c>
      <c r="J575" s="306">
        <f t="shared" si="43"/>
        <v>1</v>
      </c>
      <c r="K575" s="291"/>
    </row>
    <row r="576" spans="1:11">
      <c r="A576" s="289" t="s">
        <v>96</v>
      </c>
      <c r="B576" s="306">
        <f t="shared" ref="B576:J576" si="44">IF(B$410="",B540,B540*$I353/B$410)</f>
        <v>1.087</v>
      </c>
      <c r="C576" s="306">
        <f t="shared" si="44"/>
        <v>1.0848303393213572</v>
      </c>
      <c r="D576" s="306">
        <f t="shared" si="44"/>
        <v>0.33185815401606733</v>
      </c>
      <c r="E576" s="306">
        <f t="shared" si="44"/>
        <v>0.32891846564387772</v>
      </c>
      <c r="F576" s="306">
        <f t="shared" si="44"/>
        <v>0.32666780165608972</v>
      </c>
      <c r="G576" s="306">
        <f t="shared" si="44"/>
        <v>0.73589329316306973</v>
      </c>
      <c r="H576" s="306">
        <f t="shared" si="44"/>
        <v>1.0342530922930542</v>
      </c>
      <c r="I576" s="306">
        <f t="shared" si="44"/>
        <v>1.0158878504672897</v>
      </c>
      <c r="J576" s="306">
        <f t="shared" si="44"/>
        <v>1</v>
      </c>
      <c r="K576" s="291"/>
    </row>
    <row r="577" spans="1:11">
      <c r="A577" s="289" t="s">
        <v>97</v>
      </c>
      <c r="B577" s="306">
        <f t="shared" ref="B577:J577" si="45">IF(B$410="",B541,B541*$I354/B$410)</f>
        <v>1.07</v>
      </c>
      <c r="C577" s="306">
        <f t="shared" si="45"/>
        <v>1.0678642714570858</v>
      </c>
      <c r="D577" s="306">
        <f t="shared" si="45"/>
        <v>0.3266681000894131</v>
      </c>
      <c r="E577" s="306">
        <f t="shared" si="45"/>
        <v>0.32377438660436908</v>
      </c>
      <c r="F577" s="306">
        <f t="shared" si="45"/>
        <v>0.321558921593391</v>
      </c>
      <c r="G577" s="306">
        <f t="shared" si="45"/>
        <v>0.72438438241442926</v>
      </c>
      <c r="H577" s="306">
        <f t="shared" si="45"/>
        <v>1.0180780209324454</v>
      </c>
      <c r="I577" s="306">
        <f t="shared" si="45"/>
        <v>1</v>
      </c>
      <c r="J577" s="306">
        <f t="shared" si="45"/>
        <v>0</v>
      </c>
      <c r="K577" s="291"/>
    </row>
    <row r="578" spans="1:11">
      <c r="A578" s="289" t="s">
        <v>110</v>
      </c>
      <c r="B578" s="306">
        <f t="shared" ref="B578:J578" si="46">IF(B$410="",B542,B542*$I355/B$410)</f>
        <v>1.0509999999999999</v>
      </c>
      <c r="C578" s="306">
        <f t="shared" si="46"/>
        <v>1.0489021956087823</v>
      </c>
      <c r="D578" s="306">
        <f t="shared" si="46"/>
        <v>0.3208674515831525</v>
      </c>
      <c r="E578" s="306">
        <f t="shared" si="46"/>
        <v>0.3180251217955064</v>
      </c>
      <c r="F578" s="306">
        <f t="shared" si="46"/>
        <v>0.31584899681743356</v>
      </c>
      <c r="G578" s="306">
        <f t="shared" si="46"/>
        <v>0.71152148216594868</v>
      </c>
      <c r="H578" s="306">
        <f t="shared" si="46"/>
        <v>1</v>
      </c>
      <c r="I578" s="306">
        <f t="shared" si="46"/>
        <v>0</v>
      </c>
      <c r="J578" s="306">
        <f t="shared" si="46"/>
        <v>0</v>
      </c>
      <c r="K578" s="291"/>
    </row>
    <row r="579" spans="1:11">
      <c r="A579" s="289" t="s">
        <v>1536</v>
      </c>
      <c r="B579" s="306">
        <f t="shared" ref="B579:J579" si="47">IF(B$410="",B543,B543*$I356/B$410)</f>
        <v>1.087</v>
      </c>
      <c r="C579" s="306">
        <f t="shared" si="47"/>
        <v>1.0848303393213572</v>
      </c>
      <c r="D579" s="306">
        <f t="shared" si="47"/>
        <v>0.33185815401606733</v>
      </c>
      <c r="E579" s="306">
        <f t="shared" si="47"/>
        <v>0.32891846564387772</v>
      </c>
      <c r="F579" s="306">
        <f t="shared" si="47"/>
        <v>0.32666780165608972</v>
      </c>
      <c r="G579" s="306">
        <f t="shared" si="47"/>
        <v>0.73589329316306973</v>
      </c>
      <c r="H579" s="306">
        <f t="shared" si="47"/>
        <v>1.0342530922930542</v>
      </c>
      <c r="I579" s="306">
        <f t="shared" si="47"/>
        <v>1.0158878504672897</v>
      </c>
      <c r="J579" s="306">
        <f t="shared" si="47"/>
        <v>1</v>
      </c>
      <c r="K579" s="291"/>
    </row>
    <row r="580" spans="1:11">
      <c r="A580" s="289" t="s">
        <v>1535</v>
      </c>
      <c r="B580" s="306">
        <f t="shared" ref="B580:J580" si="48">IF(B$410="",B544,B544*$I357/B$410)</f>
        <v>1.087</v>
      </c>
      <c r="C580" s="306">
        <f t="shared" si="48"/>
        <v>1.0848303393213572</v>
      </c>
      <c r="D580" s="306">
        <f t="shared" si="48"/>
        <v>0.33185815401606733</v>
      </c>
      <c r="E580" s="306">
        <f t="shared" si="48"/>
        <v>0.32891846564387772</v>
      </c>
      <c r="F580" s="306">
        <f t="shared" si="48"/>
        <v>0.32666780165608972</v>
      </c>
      <c r="G580" s="306">
        <f t="shared" si="48"/>
        <v>0.73589329316306973</v>
      </c>
      <c r="H580" s="306">
        <f t="shared" si="48"/>
        <v>1.0342530922930542</v>
      </c>
      <c r="I580" s="306">
        <f t="shared" si="48"/>
        <v>1.0158878504672897</v>
      </c>
      <c r="J580" s="306">
        <f t="shared" si="48"/>
        <v>1</v>
      </c>
      <c r="K580" s="291"/>
    </row>
    <row r="581" spans="1:11">
      <c r="A581" s="289" t="s">
        <v>98</v>
      </c>
      <c r="B581" s="306">
        <f t="shared" ref="B581:J581" si="49">IF(B$410="",B545,B545*$I358/B$410)</f>
        <v>1.087</v>
      </c>
      <c r="C581" s="306">
        <f t="shared" si="49"/>
        <v>1.0848303393213572</v>
      </c>
      <c r="D581" s="306">
        <f t="shared" si="49"/>
        <v>0.33185815401606733</v>
      </c>
      <c r="E581" s="306">
        <f t="shared" si="49"/>
        <v>0.32891846564387772</v>
      </c>
      <c r="F581" s="306">
        <f t="shared" si="49"/>
        <v>0.32666780165608972</v>
      </c>
      <c r="G581" s="306">
        <f t="shared" si="49"/>
        <v>0.73589329316306973</v>
      </c>
      <c r="H581" s="306">
        <f t="shared" si="49"/>
        <v>1.0342530922930542</v>
      </c>
      <c r="I581" s="306">
        <f t="shared" si="49"/>
        <v>1.0158878504672897</v>
      </c>
      <c r="J581" s="306">
        <f t="shared" si="49"/>
        <v>1</v>
      </c>
      <c r="K581" s="291"/>
    </row>
    <row r="582" spans="1:11">
      <c r="A582" s="289" t="s">
        <v>99</v>
      </c>
      <c r="B582" s="306">
        <f t="shared" ref="B582:J582" si="50">IF(B$410="",B546,B546*$I359/B$410)</f>
        <v>1.07</v>
      </c>
      <c r="C582" s="306">
        <f t="shared" si="50"/>
        <v>1.0678642714570858</v>
      </c>
      <c r="D582" s="306">
        <f t="shared" si="50"/>
        <v>0.3266681000894131</v>
      </c>
      <c r="E582" s="306">
        <f t="shared" si="50"/>
        <v>0.32377438660436908</v>
      </c>
      <c r="F582" s="306">
        <f t="shared" si="50"/>
        <v>0.321558921593391</v>
      </c>
      <c r="G582" s="306">
        <f t="shared" si="50"/>
        <v>0.72438438241442926</v>
      </c>
      <c r="H582" s="306">
        <f t="shared" si="50"/>
        <v>1.0180780209324454</v>
      </c>
      <c r="I582" s="306">
        <f t="shared" si="50"/>
        <v>1</v>
      </c>
      <c r="J582" s="306">
        <f t="shared" si="50"/>
        <v>0</v>
      </c>
      <c r="K582" s="291"/>
    </row>
    <row r="583" spans="1:11">
      <c r="A583" s="289" t="s">
        <v>111</v>
      </c>
      <c r="B583" s="306">
        <f t="shared" ref="B583:J583" si="51">IF(B$410="",B547,B547*$I360/B$410)</f>
        <v>1.0509999999999999</v>
      </c>
      <c r="C583" s="306">
        <f t="shared" si="51"/>
        <v>1.0489021956087823</v>
      </c>
      <c r="D583" s="306">
        <f t="shared" si="51"/>
        <v>0.3208674515831525</v>
      </c>
      <c r="E583" s="306">
        <f t="shared" si="51"/>
        <v>0.3180251217955064</v>
      </c>
      <c r="F583" s="306">
        <f t="shared" si="51"/>
        <v>0.31584899681743356</v>
      </c>
      <c r="G583" s="306">
        <f t="shared" si="51"/>
        <v>0.71152148216594868</v>
      </c>
      <c r="H583" s="306">
        <f t="shared" si="51"/>
        <v>1</v>
      </c>
      <c r="I583" s="306">
        <f t="shared" si="51"/>
        <v>0</v>
      </c>
      <c r="J583" s="306">
        <f t="shared" si="51"/>
        <v>0</v>
      </c>
      <c r="K583" s="291"/>
    </row>
    <row r="584" spans="1:11">
      <c r="A584" s="289" t="s">
        <v>131</v>
      </c>
      <c r="B584" s="306">
        <f t="shared" ref="B584:J584" si="52">IF(B$410="",B548,B548*$I361/B$410)</f>
        <v>1.087</v>
      </c>
      <c r="C584" s="306">
        <f t="shared" si="52"/>
        <v>1.0848303393213572</v>
      </c>
      <c r="D584" s="306">
        <f t="shared" si="52"/>
        <v>0.33185815401606733</v>
      </c>
      <c r="E584" s="306">
        <f t="shared" si="52"/>
        <v>0.32891846564387772</v>
      </c>
      <c r="F584" s="306">
        <f t="shared" si="52"/>
        <v>0.32666780165608972</v>
      </c>
      <c r="G584" s="306">
        <f t="shared" si="52"/>
        <v>0.73589329316306973</v>
      </c>
      <c r="H584" s="306">
        <f t="shared" si="52"/>
        <v>1.0342530922930542</v>
      </c>
      <c r="I584" s="306">
        <f t="shared" si="52"/>
        <v>1.0158878504672897</v>
      </c>
      <c r="J584" s="306">
        <f t="shared" si="52"/>
        <v>1</v>
      </c>
      <c r="K584" s="291"/>
    </row>
    <row r="585" spans="1:11">
      <c r="A585" s="289" t="s">
        <v>132</v>
      </c>
      <c r="B585" s="306">
        <f t="shared" ref="B585:J585" si="53">IF(B$410="",B549,B549*$I362/B$410)</f>
        <v>1.087</v>
      </c>
      <c r="C585" s="306">
        <f t="shared" si="53"/>
        <v>1.0848303393213572</v>
      </c>
      <c r="D585" s="306">
        <f t="shared" si="53"/>
        <v>0.33185815401606733</v>
      </c>
      <c r="E585" s="306">
        <f t="shared" si="53"/>
        <v>0.32891846564387772</v>
      </c>
      <c r="F585" s="306">
        <f t="shared" si="53"/>
        <v>0.32666780165608972</v>
      </c>
      <c r="G585" s="306">
        <f t="shared" si="53"/>
        <v>0.73589329316306973</v>
      </c>
      <c r="H585" s="306">
        <f t="shared" si="53"/>
        <v>1.0342530922930542</v>
      </c>
      <c r="I585" s="306">
        <f t="shared" si="53"/>
        <v>1.0158878504672897</v>
      </c>
      <c r="J585" s="306">
        <f t="shared" si="53"/>
        <v>1</v>
      </c>
      <c r="K585" s="291"/>
    </row>
    <row r="586" spans="1:11">
      <c r="A586" s="289" t="s">
        <v>133</v>
      </c>
      <c r="B586" s="306">
        <f t="shared" ref="B586:J586" si="54">IF(B$410="",B550,B550*$I363/B$410)</f>
        <v>1.087</v>
      </c>
      <c r="C586" s="306">
        <f t="shared" si="54"/>
        <v>1.0848303393213572</v>
      </c>
      <c r="D586" s="306">
        <f t="shared" si="54"/>
        <v>0.33185815401606733</v>
      </c>
      <c r="E586" s="306">
        <f t="shared" si="54"/>
        <v>0.32891846564387772</v>
      </c>
      <c r="F586" s="306">
        <f t="shared" si="54"/>
        <v>0.32666780165608972</v>
      </c>
      <c r="G586" s="306">
        <f t="shared" si="54"/>
        <v>0.73589329316306973</v>
      </c>
      <c r="H586" s="306">
        <f t="shared" si="54"/>
        <v>1.0342530922930542</v>
      </c>
      <c r="I586" s="306">
        <f t="shared" si="54"/>
        <v>1.0158878504672897</v>
      </c>
      <c r="J586" s="306">
        <f t="shared" si="54"/>
        <v>1</v>
      </c>
      <c r="K586" s="291"/>
    </row>
    <row r="587" spans="1:11">
      <c r="A587" s="289" t="s">
        <v>134</v>
      </c>
      <c r="B587" s="306">
        <f t="shared" ref="B587:J587" si="55">IF(B$410="",B551,B551*$I364/B$410)</f>
        <v>1.087</v>
      </c>
      <c r="C587" s="306">
        <f t="shared" si="55"/>
        <v>1.0848303393213572</v>
      </c>
      <c r="D587" s="306">
        <f t="shared" si="55"/>
        <v>0.33185815401606733</v>
      </c>
      <c r="E587" s="306">
        <f t="shared" si="55"/>
        <v>0.32891846564387772</v>
      </c>
      <c r="F587" s="306">
        <f t="shared" si="55"/>
        <v>0.32666780165608972</v>
      </c>
      <c r="G587" s="306">
        <f t="shared" si="55"/>
        <v>0.73589329316306973</v>
      </c>
      <c r="H587" s="306">
        <f t="shared" si="55"/>
        <v>1.0342530922930542</v>
      </c>
      <c r="I587" s="306">
        <f t="shared" si="55"/>
        <v>1.0158878504672897</v>
      </c>
      <c r="J587" s="306">
        <f t="shared" si="55"/>
        <v>1</v>
      </c>
      <c r="K587" s="291"/>
    </row>
    <row r="588" spans="1:11">
      <c r="A588" s="289" t="s">
        <v>135</v>
      </c>
      <c r="B588" s="306">
        <f t="shared" ref="B588:J588" si="56">IF(B$410="",B552,B552*$I365/B$410)</f>
        <v>1.087</v>
      </c>
      <c r="C588" s="306">
        <f t="shared" si="56"/>
        <v>1.0848303393213572</v>
      </c>
      <c r="D588" s="306">
        <f t="shared" si="56"/>
        <v>0.33185815401606733</v>
      </c>
      <c r="E588" s="306">
        <f t="shared" si="56"/>
        <v>0.32891846564387772</v>
      </c>
      <c r="F588" s="306">
        <f t="shared" si="56"/>
        <v>0.32666780165608972</v>
      </c>
      <c r="G588" s="306">
        <f t="shared" si="56"/>
        <v>0.73589329316306973</v>
      </c>
      <c r="H588" s="306">
        <f t="shared" si="56"/>
        <v>1.0342530922930542</v>
      </c>
      <c r="I588" s="306">
        <f t="shared" si="56"/>
        <v>1.0158878504672897</v>
      </c>
      <c r="J588" s="306">
        <f t="shared" si="56"/>
        <v>1</v>
      </c>
      <c r="K588" s="291"/>
    </row>
    <row r="589" spans="1:11">
      <c r="A589" s="289" t="s">
        <v>1534</v>
      </c>
      <c r="B589" s="306">
        <f t="shared" ref="B589:J589" si="57">IF(B$410="",B553,B553*$I366/B$410)</f>
        <v>1.087</v>
      </c>
      <c r="C589" s="306">
        <f t="shared" si="57"/>
        <v>1.0848303393213572</v>
      </c>
      <c r="D589" s="306">
        <f t="shared" si="57"/>
        <v>0.33185815401606733</v>
      </c>
      <c r="E589" s="306">
        <f t="shared" si="57"/>
        <v>0.32891846564387772</v>
      </c>
      <c r="F589" s="306">
        <f t="shared" si="57"/>
        <v>0.32666780165608972</v>
      </c>
      <c r="G589" s="306">
        <f t="shared" si="57"/>
        <v>0.73589329316306973</v>
      </c>
      <c r="H589" s="306">
        <f t="shared" si="57"/>
        <v>1.0342530922930542</v>
      </c>
      <c r="I589" s="306">
        <f t="shared" si="57"/>
        <v>1.0158878504672897</v>
      </c>
      <c r="J589" s="306">
        <f t="shared" si="57"/>
        <v>0</v>
      </c>
      <c r="K589" s="291"/>
    </row>
    <row r="590" spans="1:11">
      <c r="A590" s="289" t="s">
        <v>100</v>
      </c>
      <c r="B590" s="306">
        <f t="shared" ref="B590:J590" si="58">IF(B$410="",B554,B554*$I367/B$410)</f>
        <v>1.07</v>
      </c>
      <c r="C590" s="306">
        <f t="shared" si="58"/>
        <v>1.0678642714570858</v>
      </c>
      <c r="D590" s="306">
        <f t="shared" si="58"/>
        <v>0.3266681000894131</v>
      </c>
      <c r="E590" s="306">
        <f t="shared" si="58"/>
        <v>0.32377438660436908</v>
      </c>
      <c r="F590" s="306">
        <f t="shared" si="58"/>
        <v>0.321558921593391</v>
      </c>
      <c r="G590" s="306">
        <f t="shared" si="58"/>
        <v>0.72438438241442926</v>
      </c>
      <c r="H590" s="306">
        <f t="shared" si="58"/>
        <v>1.0180780209324454</v>
      </c>
      <c r="I590" s="306">
        <f t="shared" si="58"/>
        <v>0</v>
      </c>
      <c r="J590" s="306">
        <f t="shared" si="58"/>
        <v>0</v>
      </c>
      <c r="K590" s="291"/>
    </row>
    <row r="591" spans="1:11">
      <c r="A591" s="289" t="s">
        <v>101</v>
      </c>
      <c r="B591" s="306">
        <f t="shared" ref="B591:J591" si="59">IF(B$410="",B555,B555*$I368/B$410)</f>
        <v>1.087</v>
      </c>
      <c r="C591" s="306">
        <f t="shared" si="59"/>
        <v>1.0848303393213572</v>
      </c>
      <c r="D591" s="306">
        <f t="shared" si="59"/>
        <v>0.33185815401606733</v>
      </c>
      <c r="E591" s="306">
        <f t="shared" si="59"/>
        <v>0.32891846564387772</v>
      </c>
      <c r="F591" s="306">
        <f t="shared" si="59"/>
        <v>0.32666780165608972</v>
      </c>
      <c r="G591" s="306">
        <f t="shared" si="59"/>
        <v>0.73589329316306973</v>
      </c>
      <c r="H591" s="306">
        <f t="shared" si="59"/>
        <v>1.0342530922930542</v>
      </c>
      <c r="I591" s="306">
        <f t="shared" si="59"/>
        <v>1.0158878504672897</v>
      </c>
      <c r="J591" s="306">
        <f t="shared" si="59"/>
        <v>0</v>
      </c>
      <c r="K591" s="291"/>
    </row>
    <row r="592" spans="1:11">
      <c r="A592" s="289" t="s">
        <v>102</v>
      </c>
      <c r="B592" s="306">
        <f t="shared" ref="B592:J592" si="60">IF(B$410="",B556,B556*$I369/B$410)</f>
        <v>1.087</v>
      </c>
      <c r="C592" s="306">
        <f t="shared" si="60"/>
        <v>1.0848303393213572</v>
      </c>
      <c r="D592" s="306">
        <f t="shared" si="60"/>
        <v>0.33185815401606733</v>
      </c>
      <c r="E592" s="306">
        <f t="shared" si="60"/>
        <v>0.32891846564387772</v>
      </c>
      <c r="F592" s="306">
        <f t="shared" si="60"/>
        <v>0.32666780165608972</v>
      </c>
      <c r="G592" s="306">
        <f t="shared" si="60"/>
        <v>0.73589329316306973</v>
      </c>
      <c r="H592" s="306">
        <f t="shared" si="60"/>
        <v>1.0342530922930542</v>
      </c>
      <c r="I592" s="306">
        <f t="shared" si="60"/>
        <v>1.0158878504672897</v>
      </c>
      <c r="J592" s="306">
        <f t="shared" si="60"/>
        <v>0</v>
      </c>
      <c r="K592" s="291"/>
    </row>
    <row r="593" spans="1:11">
      <c r="A593" s="289" t="s">
        <v>103</v>
      </c>
      <c r="B593" s="306">
        <f t="shared" ref="B593:J593" si="61">IF(B$410="",B557,B557*$I370/B$410)</f>
        <v>1.07</v>
      </c>
      <c r="C593" s="306">
        <f t="shared" si="61"/>
        <v>1.0678642714570858</v>
      </c>
      <c r="D593" s="306">
        <f t="shared" si="61"/>
        <v>0.3266681000894131</v>
      </c>
      <c r="E593" s="306">
        <f t="shared" si="61"/>
        <v>0.32377438660436908</v>
      </c>
      <c r="F593" s="306">
        <f t="shared" si="61"/>
        <v>0.321558921593391</v>
      </c>
      <c r="G593" s="306">
        <f t="shared" si="61"/>
        <v>0.72438438241442926</v>
      </c>
      <c r="H593" s="306">
        <f t="shared" si="61"/>
        <v>1.0180780209324454</v>
      </c>
      <c r="I593" s="306">
        <f t="shared" si="61"/>
        <v>0</v>
      </c>
      <c r="J593" s="306">
        <f t="shared" si="61"/>
        <v>0</v>
      </c>
      <c r="K593" s="291"/>
    </row>
    <row r="594" spans="1:11">
      <c r="A594" s="289" t="s">
        <v>104</v>
      </c>
      <c r="B594" s="306">
        <f t="shared" ref="B594:J594" si="62">IF(B$410="",B558,B558*$I371/B$410)</f>
        <v>1.07</v>
      </c>
      <c r="C594" s="306">
        <f t="shared" si="62"/>
        <v>1.0678642714570858</v>
      </c>
      <c r="D594" s="306">
        <f t="shared" si="62"/>
        <v>0.3266681000894131</v>
      </c>
      <c r="E594" s="306">
        <f t="shared" si="62"/>
        <v>0.32377438660436908</v>
      </c>
      <c r="F594" s="306">
        <f t="shared" si="62"/>
        <v>0.321558921593391</v>
      </c>
      <c r="G594" s="306">
        <f t="shared" si="62"/>
        <v>0.72438438241442926</v>
      </c>
      <c r="H594" s="306">
        <f t="shared" si="62"/>
        <v>1.0180780209324454</v>
      </c>
      <c r="I594" s="306">
        <f t="shared" si="62"/>
        <v>0</v>
      </c>
      <c r="J594" s="306">
        <f t="shared" si="62"/>
        <v>0</v>
      </c>
      <c r="K594" s="291"/>
    </row>
    <row r="595" spans="1:11">
      <c r="A595" s="289" t="s">
        <v>112</v>
      </c>
      <c r="B595" s="306">
        <f t="shared" ref="B595:J595" si="63">IF(B$410="",B559,B559*$I372/B$410)</f>
        <v>1.0509999999999999</v>
      </c>
      <c r="C595" s="306">
        <f t="shared" si="63"/>
        <v>1.0489021956087823</v>
      </c>
      <c r="D595" s="306">
        <f t="shared" si="63"/>
        <v>0.3208674515831525</v>
      </c>
      <c r="E595" s="306">
        <f t="shared" si="63"/>
        <v>0.3180251217955064</v>
      </c>
      <c r="F595" s="306">
        <f t="shared" si="63"/>
        <v>0.31584899681743356</v>
      </c>
      <c r="G595" s="306">
        <f t="shared" si="63"/>
        <v>0.71152148216594868</v>
      </c>
      <c r="H595" s="306">
        <f t="shared" si="63"/>
        <v>0</v>
      </c>
      <c r="I595" s="306">
        <f t="shared" si="63"/>
        <v>0</v>
      </c>
      <c r="J595" s="306">
        <f t="shared" si="63"/>
        <v>0</v>
      </c>
      <c r="K595" s="291"/>
    </row>
    <row r="596" spans="1:11">
      <c r="A596" s="289" t="s">
        <v>113</v>
      </c>
      <c r="B596" s="306">
        <f t="shared" ref="B596:J596" si="64">IF(B$410="",B560,B560*$I373/B$410)</f>
        <v>1.0509999999999999</v>
      </c>
      <c r="C596" s="306">
        <f t="shared" si="64"/>
        <v>1.0489021956087823</v>
      </c>
      <c r="D596" s="306">
        <f t="shared" si="64"/>
        <v>0.3208674515831525</v>
      </c>
      <c r="E596" s="306">
        <f t="shared" si="64"/>
        <v>0.3180251217955064</v>
      </c>
      <c r="F596" s="306">
        <f t="shared" si="64"/>
        <v>0.31584899681743356</v>
      </c>
      <c r="G596" s="306">
        <f t="shared" si="64"/>
        <v>0.71152148216594868</v>
      </c>
      <c r="H596" s="306">
        <f t="shared" si="64"/>
        <v>0</v>
      </c>
      <c r="I596" s="306">
        <f t="shared" si="64"/>
        <v>0</v>
      </c>
      <c r="J596" s="306">
        <f t="shared" si="64"/>
        <v>0</v>
      </c>
      <c r="K596" s="291"/>
    </row>
    <row r="598" spans="1:11" ht="21" customHeight="1">
      <c r="A598" s="1" t="str">
        <f>"Network model for "&amp;CDCM!B7&amp;" in "&amp;CDCM!C7&amp;" ("&amp;CDCM!D7&amp;")"</f>
        <v>Network model for West Mids in 0 (Forecast)</v>
      </c>
    </row>
    <row r="599" spans="1:11">
      <c r="A599" s="287" t="s">
        <v>301</v>
      </c>
    </row>
    <row r="601" spans="1:11" ht="21" customHeight="1">
      <c r="A601" s="1" t="s">
        <v>302</v>
      </c>
    </row>
    <row r="602" spans="1:11">
      <c r="A602" s="287" t="s">
        <v>255</v>
      </c>
    </row>
    <row r="603" spans="1:11">
      <c r="A603" s="301" t="s">
        <v>303</v>
      </c>
    </row>
    <row r="604" spans="1:11">
      <c r="A604" s="301" t="s">
        <v>304</v>
      </c>
    </row>
    <row r="605" spans="1:11">
      <c r="A605" s="301" t="s">
        <v>305</v>
      </c>
    </row>
    <row r="606" spans="1:11">
      <c r="A606" s="287" t="s">
        <v>306</v>
      </c>
    </row>
    <row r="608" spans="1:11">
      <c r="B608" s="288" t="s">
        <v>307</v>
      </c>
    </row>
    <row r="609" spans="1:10">
      <c r="A609" s="289" t="s">
        <v>307</v>
      </c>
      <c r="B609" s="308">
        <f>PMT(B14,C14,-1)*IF(OR(F14&gt;366,F14&lt;365),F14/365.25,1)</f>
        <v>5.2877645650893153E-2</v>
      </c>
      <c r="C609" s="291"/>
    </row>
    <row r="611" spans="1:10" ht="21" customHeight="1">
      <c r="A611" s="1" t="s">
        <v>308</v>
      </c>
    </row>
    <row r="612" spans="1:10">
      <c r="A612" s="287" t="s">
        <v>255</v>
      </c>
    </row>
    <row r="613" spans="1:10">
      <c r="A613" s="301" t="s">
        <v>309</v>
      </c>
    </row>
    <row r="614" spans="1:10">
      <c r="A614" s="287" t="s">
        <v>272</v>
      </c>
    </row>
    <row r="615" spans="1:10">
      <c r="A615" s="287" t="s">
        <v>273</v>
      </c>
    </row>
    <row r="617" spans="1:10">
      <c r="B617" s="288" t="s">
        <v>60</v>
      </c>
      <c r="C617" s="288" t="s">
        <v>61</v>
      </c>
      <c r="D617" s="288" t="s">
        <v>62</v>
      </c>
      <c r="E617" s="288" t="s">
        <v>63</v>
      </c>
      <c r="F617" s="288" t="s">
        <v>64</v>
      </c>
      <c r="G617" s="288" t="s">
        <v>65</v>
      </c>
      <c r="H617" s="288" t="s">
        <v>66</v>
      </c>
      <c r="I617" s="288" t="s">
        <v>67</v>
      </c>
    </row>
    <row r="618" spans="1:10" ht="30">
      <c r="A618" s="289" t="s">
        <v>310</v>
      </c>
      <c r="B618" s="294">
        <v>1</v>
      </c>
      <c r="C618" s="307">
        <f>$B104</f>
        <v>1.002</v>
      </c>
      <c r="D618" s="307">
        <f>$C104</f>
        <v>1.0069999999999999</v>
      </c>
      <c r="E618" s="307">
        <f>$D104</f>
        <v>1.016</v>
      </c>
      <c r="F618" s="307">
        <f>$E104</f>
        <v>1.0229999999999999</v>
      </c>
      <c r="G618" s="307">
        <f>$F104</f>
        <v>1.0509999999999999</v>
      </c>
      <c r="H618" s="307">
        <f>$G104</f>
        <v>1.07</v>
      </c>
      <c r="I618" s="307">
        <f>$H104</f>
        <v>1.087</v>
      </c>
      <c r="J618" s="291"/>
    </row>
    <row r="620" spans="1:10" ht="21" customHeight="1">
      <c r="A620" s="1" t="s">
        <v>311</v>
      </c>
    </row>
    <row r="621" spans="1:10">
      <c r="A621" s="287" t="s">
        <v>255</v>
      </c>
    </row>
    <row r="622" spans="1:10">
      <c r="A622" s="301" t="s">
        <v>312</v>
      </c>
    </row>
    <row r="623" spans="1:10">
      <c r="A623" s="301" t="s">
        <v>313</v>
      </c>
    </row>
    <row r="624" spans="1:10">
      <c r="A624" s="302" t="s">
        <v>258</v>
      </c>
      <c r="B624" s="302" t="s">
        <v>314</v>
      </c>
      <c r="C624" s="302" t="s">
        <v>315</v>
      </c>
    </row>
    <row r="625" spans="1:4">
      <c r="A625" s="302" t="s">
        <v>261</v>
      </c>
      <c r="B625" s="302" t="s">
        <v>316</v>
      </c>
      <c r="C625" s="302" t="s">
        <v>317</v>
      </c>
    </row>
    <row r="627" spans="1:4" ht="45">
      <c r="B627" s="288" t="s">
        <v>318</v>
      </c>
      <c r="C627" s="288" t="s">
        <v>319</v>
      </c>
    </row>
    <row r="628" spans="1:4">
      <c r="A628" s="289" t="s">
        <v>60</v>
      </c>
      <c r="B628" s="306">
        <f>$B$618</f>
        <v>1</v>
      </c>
      <c r="C628" s="309"/>
      <c r="D628" s="291"/>
    </row>
    <row r="629" spans="1:4">
      <c r="A629" s="289" t="s">
        <v>61</v>
      </c>
      <c r="B629" s="306">
        <f>$C$618</f>
        <v>1.002</v>
      </c>
      <c r="C629" s="306">
        <f t="shared" ref="C629:C635" si="65">B628</f>
        <v>1</v>
      </c>
      <c r="D629" s="291"/>
    </row>
    <row r="630" spans="1:4">
      <c r="A630" s="289" t="s">
        <v>62</v>
      </c>
      <c r="B630" s="306">
        <f>$D$618</f>
        <v>1.0069999999999999</v>
      </c>
      <c r="C630" s="306">
        <f t="shared" si="65"/>
        <v>1.002</v>
      </c>
      <c r="D630" s="291"/>
    </row>
    <row r="631" spans="1:4">
      <c r="A631" s="289" t="s">
        <v>63</v>
      </c>
      <c r="B631" s="306">
        <f>$E$618</f>
        <v>1.016</v>
      </c>
      <c r="C631" s="306">
        <f t="shared" si="65"/>
        <v>1.0069999999999999</v>
      </c>
      <c r="D631" s="291"/>
    </row>
    <row r="632" spans="1:4">
      <c r="A632" s="289" t="s">
        <v>64</v>
      </c>
      <c r="B632" s="306">
        <f>$F$618</f>
        <v>1.0229999999999999</v>
      </c>
      <c r="C632" s="306">
        <f t="shared" si="65"/>
        <v>1.016</v>
      </c>
      <c r="D632" s="291"/>
    </row>
    <row r="633" spans="1:4">
      <c r="A633" s="289" t="s">
        <v>65</v>
      </c>
      <c r="B633" s="306">
        <f>$G$618</f>
        <v>1.0509999999999999</v>
      </c>
      <c r="C633" s="306">
        <f t="shared" si="65"/>
        <v>1.0229999999999999</v>
      </c>
      <c r="D633" s="291"/>
    </row>
    <row r="634" spans="1:4">
      <c r="A634" s="289" t="s">
        <v>66</v>
      </c>
      <c r="B634" s="306">
        <f>$H$618</f>
        <v>1.07</v>
      </c>
      <c r="C634" s="306">
        <f t="shared" si="65"/>
        <v>1.0509999999999999</v>
      </c>
      <c r="D634" s="291"/>
    </row>
    <row r="635" spans="1:4">
      <c r="A635" s="289" t="s">
        <v>67</v>
      </c>
      <c r="B635" s="306">
        <f>$I$618</f>
        <v>1.087</v>
      </c>
      <c r="C635" s="306">
        <f t="shared" si="65"/>
        <v>1.07</v>
      </c>
      <c r="D635" s="291"/>
    </row>
    <row r="637" spans="1:4" ht="21" customHeight="1">
      <c r="A637" s="1" t="s">
        <v>320</v>
      </c>
    </row>
    <row r="638" spans="1:4">
      <c r="A638" s="287" t="s">
        <v>255</v>
      </c>
    </row>
    <row r="639" spans="1:4">
      <c r="A639" s="301" t="s">
        <v>321</v>
      </c>
    </row>
    <row r="640" spans="1:4">
      <c r="A640" s="301" t="s">
        <v>322</v>
      </c>
    </row>
    <row r="641" spans="1:5">
      <c r="A641" s="302" t="s">
        <v>258</v>
      </c>
      <c r="B641" s="302" t="s">
        <v>323</v>
      </c>
      <c r="C641" s="302" t="s">
        <v>323</v>
      </c>
      <c r="D641" s="302" t="s">
        <v>323</v>
      </c>
    </row>
    <row r="642" spans="1:5">
      <c r="A642" s="302" t="s">
        <v>261</v>
      </c>
      <c r="B642" s="302" t="s">
        <v>324</v>
      </c>
      <c r="C642" s="302" t="s">
        <v>324</v>
      </c>
      <c r="D642" s="302" t="s">
        <v>325</v>
      </c>
    </row>
    <row r="644" spans="1:5" ht="30">
      <c r="B644" s="288" t="s">
        <v>326</v>
      </c>
      <c r="C644" s="288" t="s">
        <v>327</v>
      </c>
      <c r="D644" s="288" t="s">
        <v>328</v>
      </c>
    </row>
    <row r="645" spans="1:5">
      <c r="A645" s="289" t="s">
        <v>60</v>
      </c>
      <c r="B645" s="309"/>
      <c r="C645" s="308">
        <f>1/(1+B24)</f>
        <v>0.946530126659337</v>
      </c>
      <c r="D645" s="308">
        <f t="shared" ref="D645:D651" si="66">1/C645-1</f>
        <v>5.649040831841079E-2</v>
      </c>
      <c r="E645" s="291"/>
    </row>
    <row r="646" spans="1:5">
      <c r="A646" s="289" t="s">
        <v>61</v>
      </c>
      <c r="B646" s="308">
        <f>1/(1+B25)</f>
        <v>0.97506877605304432</v>
      </c>
      <c r="C646" s="308">
        <f t="shared" ref="C646:C652" si="67">C645/(1+B25)</f>
        <v>0.92293197209905276</v>
      </c>
      <c r="D646" s="308">
        <f t="shared" si="66"/>
        <v>8.3503476129090037E-2</v>
      </c>
      <c r="E646" s="291"/>
    </row>
    <row r="647" spans="1:5">
      <c r="A647" s="289" t="s">
        <v>62</v>
      </c>
      <c r="B647" s="308">
        <f t="shared" ref="B647:B652" si="68">B646/(1+B26)</f>
        <v>0.97506877605304432</v>
      </c>
      <c r="C647" s="308">
        <f t="shared" si="67"/>
        <v>0.92293197209905276</v>
      </c>
      <c r="D647" s="308">
        <f t="shared" si="66"/>
        <v>8.3503476129090037E-2</v>
      </c>
      <c r="E647" s="291"/>
    </row>
    <row r="648" spans="1:5">
      <c r="A648" s="289" t="s">
        <v>63</v>
      </c>
      <c r="B648" s="308">
        <f t="shared" si="68"/>
        <v>0.94977475777960851</v>
      </c>
      <c r="C648" s="308">
        <f t="shared" si="67"/>
        <v>0.89899042177897392</v>
      </c>
      <c r="D648" s="308">
        <f t="shared" si="66"/>
        <v>0.11235890369236912</v>
      </c>
      <c r="E648" s="291"/>
    </row>
    <row r="649" spans="1:5">
      <c r="A649" s="289" t="s">
        <v>64</v>
      </c>
      <c r="B649" s="308">
        <f t="shared" si="68"/>
        <v>0.94977475777960851</v>
      </c>
      <c r="C649" s="308">
        <f t="shared" si="67"/>
        <v>0.89899042177897392</v>
      </c>
      <c r="D649" s="308">
        <f t="shared" si="66"/>
        <v>0.11235890369236912</v>
      </c>
      <c r="E649" s="291"/>
    </row>
    <row r="650" spans="1:5">
      <c r="A650" s="289" t="s">
        <v>65</v>
      </c>
      <c r="B650" s="308">
        <f t="shared" si="68"/>
        <v>0.70878713267134963</v>
      </c>
      <c r="C650" s="308">
        <f t="shared" si="67"/>
        <v>0.67088837446192084</v>
      </c>
      <c r="D650" s="308">
        <f t="shared" si="66"/>
        <v>0.49056093094777475</v>
      </c>
      <c r="E650" s="291"/>
    </row>
    <row r="651" spans="1:5">
      <c r="A651" s="289" t="s">
        <v>66</v>
      </c>
      <c r="B651" s="308">
        <f t="shared" si="68"/>
        <v>0.70878713267134963</v>
      </c>
      <c r="C651" s="308">
        <f t="shared" si="67"/>
        <v>0.67088837446192084</v>
      </c>
      <c r="D651" s="308">
        <f t="shared" si="66"/>
        <v>0.49056093094777475</v>
      </c>
      <c r="E651" s="291"/>
    </row>
    <row r="652" spans="1:5">
      <c r="A652" s="289" t="s">
        <v>67</v>
      </c>
      <c r="B652" s="308">
        <f t="shared" si="68"/>
        <v>0.70878713267134963</v>
      </c>
      <c r="C652" s="308">
        <f t="shared" si="67"/>
        <v>0.67088837446192084</v>
      </c>
      <c r="D652" s="309"/>
      <c r="E652" s="291"/>
    </row>
    <row r="654" spans="1:5" ht="21" customHeight="1">
      <c r="A654" s="1" t="s">
        <v>329</v>
      </c>
    </row>
    <row r="655" spans="1:5">
      <c r="A655" s="287" t="s">
        <v>255</v>
      </c>
    </row>
    <row r="656" spans="1:5">
      <c r="A656" s="301" t="s">
        <v>330</v>
      </c>
    </row>
    <row r="657" spans="1:3">
      <c r="A657" s="301" t="s">
        <v>331</v>
      </c>
    </row>
    <row r="658" spans="1:3">
      <c r="A658" s="287" t="s">
        <v>332</v>
      </c>
    </row>
    <row r="660" spans="1:3" ht="45">
      <c r="B660" s="288" t="s">
        <v>333</v>
      </c>
    </row>
    <row r="661" spans="1:3">
      <c r="A661" s="289" t="s">
        <v>61</v>
      </c>
      <c r="B661" s="306">
        <f>B$41/B$646</f>
        <v>512.78434124814976</v>
      </c>
      <c r="C661" s="291"/>
    </row>
    <row r="662" spans="1:3">
      <c r="A662" s="289" t="s">
        <v>62</v>
      </c>
      <c r="B662" s="306">
        <f>B$41/B$647</f>
        <v>512.78434124814976</v>
      </c>
      <c r="C662" s="291"/>
    </row>
    <row r="663" spans="1:3">
      <c r="A663" s="289" t="s">
        <v>63</v>
      </c>
      <c r="B663" s="306">
        <f>B$41/B$648</f>
        <v>526.44060700128966</v>
      </c>
      <c r="C663" s="291"/>
    </row>
    <row r="664" spans="1:3">
      <c r="A664" s="289" t="s">
        <v>64</v>
      </c>
      <c r="B664" s="306">
        <f>B$41/B$649</f>
        <v>526.44060700128966</v>
      </c>
      <c r="C664" s="291"/>
    </row>
    <row r="665" spans="1:3">
      <c r="A665" s="289" t="s">
        <v>65</v>
      </c>
      <c r="B665" s="306">
        <f>B$41/B$650</f>
        <v>705.43041338172816</v>
      </c>
      <c r="C665" s="291"/>
    </row>
    <row r="666" spans="1:3">
      <c r="A666" s="289" t="s">
        <v>66</v>
      </c>
      <c r="B666" s="306">
        <f>B$41/B$651</f>
        <v>705.43041338172816</v>
      </c>
      <c r="C666" s="291"/>
    </row>
    <row r="667" spans="1:3">
      <c r="A667" s="289" t="s">
        <v>67</v>
      </c>
      <c r="B667" s="306">
        <f>B$41/B$652</f>
        <v>705.43041338172816</v>
      </c>
      <c r="C667" s="291"/>
    </row>
    <row r="669" spans="1:3" ht="21" customHeight="1">
      <c r="A669" s="1" t="s">
        <v>334</v>
      </c>
    </row>
    <row r="670" spans="1:3">
      <c r="A670" s="287" t="s">
        <v>255</v>
      </c>
    </row>
    <row r="671" spans="1:3">
      <c r="A671" s="301" t="s">
        <v>335</v>
      </c>
    </row>
    <row r="672" spans="1:3">
      <c r="A672" s="301" t="s">
        <v>336</v>
      </c>
    </row>
    <row r="673" spans="1:3">
      <c r="A673" s="301" t="s">
        <v>337</v>
      </c>
    </row>
    <row r="674" spans="1:3">
      <c r="A674" s="287" t="s">
        <v>338</v>
      </c>
    </row>
    <row r="676" spans="1:3" ht="60">
      <c r="B676" s="288" t="s">
        <v>339</v>
      </c>
    </row>
    <row r="677" spans="1:3">
      <c r="A677" s="289" t="s">
        <v>61</v>
      </c>
      <c r="B677" s="306">
        <f>B661*C$646/B$629</f>
        <v>472.32042248469912</v>
      </c>
      <c r="C677" s="291"/>
    </row>
    <row r="678" spans="1:3">
      <c r="A678" s="289" t="s">
        <v>62</v>
      </c>
      <c r="B678" s="306">
        <f>B662*C$647/B$630</f>
        <v>469.97523667295786</v>
      </c>
      <c r="C678" s="291"/>
    </row>
    <row r="679" spans="1:3">
      <c r="A679" s="289" t="s">
        <v>63</v>
      </c>
      <c r="B679" s="306">
        <f>B663*C$648/B$631</f>
        <v>465.81207020636657</v>
      </c>
      <c r="C679" s="291"/>
    </row>
    <row r="680" spans="1:3">
      <c r="A680" s="289" t="s">
        <v>64</v>
      </c>
      <c r="B680" s="306">
        <f>B664*C$649/B$632</f>
        <v>462.62469533691939</v>
      </c>
      <c r="C680" s="291"/>
    </row>
    <row r="681" spans="1:3">
      <c r="A681" s="289" t="s">
        <v>65</v>
      </c>
      <c r="B681" s="306">
        <f>B665*C$650/B$633</f>
        <v>450.29977481414699</v>
      </c>
      <c r="C681" s="291"/>
    </row>
    <row r="682" spans="1:3">
      <c r="A682" s="289" t="s">
        <v>66</v>
      </c>
      <c r="B682" s="306">
        <f>B666*C$651/B$634</f>
        <v>442.30379750436305</v>
      </c>
      <c r="C682" s="291"/>
    </row>
    <row r="683" spans="1:3">
      <c r="A683" s="289" t="s">
        <v>67</v>
      </c>
      <c r="B683" s="306">
        <f>B667*C$652/B$635</f>
        <v>435.38644280558276</v>
      </c>
      <c r="C683" s="291"/>
    </row>
    <row r="685" spans="1:3" ht="21" customHeight="1">
      <c r="A685" s="1" t="s">
        <v>340</v>
      </c>
    </row>
    <row r="686" spans="1:3">
      <c r="A686" s="287" t="s">
        <v>255</v>
      </c>
    </row>
    <row r="687" spans="1:3">
      <c r="A687" s="301" t="s">
        <v>277</v>
      </c>
    </row>
    <row r="688" spans="1:3">
      <c r="A688" s="301" t="s">
        <v>282</v>
      </c>
    </row>
    <row r="689" spans="1:10">
      <c r="A689" s="301" t="s">
        <v>283</v>
      </c>
    </row>
    <row r="690" spans="1:10">
      <c r="A690" s="301" t="s">
        <v>284</v>
      </c>
    </row>
    <row r="691" spans="1:10">
      <c r="A691" s="287" t="s">
        <v>285</v>
      </c>
    </row>
    <row r="692" spans="1:10">
      <c r="A692" s="287" t="s">
        <v>341</v>
      </c>
    </row>
    <row r="694" spans="1:10">
      <c r="B694" s="288" t="s">
        <v>61</v>
      </c>
      <c r="C694" s="288" t="s">
        <v>62</v>
      </c>
      <c r="D694" s="288" t="s">
        <v>63</v>
      </c>
      <c r="E694" s="288" t="s">
        <v>64</v>
      </c>
      <c r="F694" s="288" t="s">
        <v>69</v>
      </c>
      <c r="G694" s="288" t="s">
        <v>65</v>
      </c>
      <c r="H694" s="288" t="s">
        <v>66</v>
      </c>
      <c r="I694" s="288" t="s">
        <v>67</v>
      </c>
    </row>
    <row r="695" spans="1:10">
      <c r="A695" s="289" t="s">
        <v>61</v>
      </c>
      <c r="B695" s="310">
        <v>1</v>
      </c>
      <c r="C695" s="310">
        <v>0</v>
      </c>
      <c r="D695" s="310">
        <v>0</v>
      </c>
      <c r="E695" s="310">
        <v>0</v>
      </c>
      <c r="F695" s="310">
        <v>0</v>
      </c>
      <c r="G695" s="310">
        <v>0</v>
      </c>
      <c r="H695" s="310">
        <v>0</v>
      </c>
      <c r="I695" s="310">
        <v>0</v>
      </c>
      <c r="J695" s="291"/>
    </row>
    <row r="696" spans="1:10">
      <c r="A696" s="289" t="s">
        <v>62</v>
      </c>
      <c r="B696" s="310">
        <v>0</v>
      </c>
      <c r="C696" s="311">
        <f>$B$452</f>
        <v>0.30743437083181213</v>
      </c>
      <c r="D696" s="310">
        <v>0</v>
      </c>
      <c r="E696" s="310">
        <v>0</v>
      </c>
      <c r="F696" s="310">
        <v>0</v>
      </c>
      <c r="G696" s="310">
        <v>0</v>
      </c>
      <c r="H696" s="310">
        <v>0</v>
      </c>
      <c r="I696" s="310">
        <v>0</v>
      </c>
      <c r="J696" s="291"/>
    </row>
    <row r="697" spans="1:10">
      <c r="A697" s="289" t="s">
        <v>63</v>
      </c>
      <c r="B697" s="310">
        <v>0</v>
      </c>
      <c r="C697" s="310">
        <v>0</v>
      </c>
      <c r="D697" s="311">
        <f>$B$460</f>
        <v>0.30743437083181213</v>
      </c>
      <c r="E697" s="310">
        <v>0</v>
      </c>
      <c r="F697" s="310">
        <v>0</v>
      </c>
      <c r="G697" s="310">
        <v>0</v>
      </c>
      <c r="H697" s="310">
        <v>0</v>
      </c>
      <c r="I697" s="310">
        <v>0</v>
      </c>
      <c r="J697" s="291"/>
    </row>
    <row r="698" spans="1:10">
      <c r="A698" s="289" t="s">
        <v>64</v>
      </c>
      <c r="B698" s="310">
        <v>0</v>
      </c>
      <c r="C698" s="310">
        <v>0</v>
      </c>
      <c r="D698" s="310">
        <v>0</v>
      </c>
      <c r="E698" s="311">
        <f>$B$468</f>
        <v>0.30743437083181213</v>
      </c>
      <c r="F698" s="311">
        <f>$B$36</f>
        <v>0.69256562916818787</v>
      </c>
      <c r="G698" s="310">
        <v>0</v>
      </c>
      <c r="H698" s="310">
        <v>0</v>
      </c>
      <c r="I698" s="310">
        <v>0</v>
      </c>
      <c r="J698" s="291"/>
    </row>
    <row r="699" spans="1:10">
      <c r="A699" s="289" t="s">
        <v>65</v>
      </c>
      <c r="B699" s="310">
        <v>0</v>
      </c>
      <c r="C699" s="310">
        <v>0</v>
      </c>
      <c r="D699" s="310">
        <v>0</v>
      </c>
      <c r="E699" s="310">
        <v>0</v>
      </c>
      <c r="F699" s="310">
        <v>0</v>
      </c>
      <c r="G699" s="310">
        <v>1</v>
      </c>
      <c r="H699" s="310">
        <v>0</v>
      </c>
      <c r="I699" s="310">
        <v>0</v>
      </c>
      <c r="J699" s="291"/>
    </row>
    <row r="700" spans="1:10">
      <c r="A700" s="289" t="s">
        <v>66</v>
      </c>
      <c r="B700" s="310">
        <v>0</v>
      </c>
      <c r="C700" s="310">
        <v>0</v>
      </c>
      <c r="D700" s="310">
        <v>0</v>
      </c>
      <c r="E700" s="310">
        <v>0</v>
      </c>
      <c r="F700" s="310">
        <v>0</v>
      </c>
      <c r="G700" s="310">
        <v>0</v>
      </c>
      <c r="H700" s="310">
        <v>1</v>
      </c>
      <c r="I700" s="310">
        <v>0</v>
      </c>
      <c r="J700" s="291"/>
    </row>
    <row r="701" spans="1:10">
      <c r="A701" s="289" t="s">
        <v>67</v>
      </c>
      <c r="B701" s="310">
        <v>0</v>
      </c>
      <c r="C701" s="310">
        <v>0</v>
      </c>
      <c r="D701" s="310">
        <v>0</v>
      </c>
      <c r="E701" s="310">
        <v>0</v>
      </c>
      <c r="F701" s="310">
        <v>0</v>
      </c>
      <c r="G701" s="310">
        <v>0</v>
      </c>
      <c r="H701" s="310">
        <v>0</v>
      </c>
      <c r="I701" s="310">
        <v>1</v>
      </c>
      <c r="J701" s="291"/>
    </row>
    <row r="703" spans="1:10" ht="21" customHeight="1">
      <c r="A703" s="1" t="s">
        <v>342</v>
      </c>
    </row>
    <row r="704" spans="1:10">
      <c r="A704" s="287" t="s">
        <v>255</v>
      </c>
    </row>
    <row r="705" spans="1:3">
      <c r="A705" s="301" t="s">
        <v>343</v>
      </c>
    </row>
    <row r="706" spans="1:3">
      <c r="A706" s="301" t="s">
        <v>344</v>
      </c>
    </row>
    <row r="707" spans="1:3">
      <c r="A707" s="287" t="s">
        <v>268</v>
      </c>
    </row>
    <row r="709" spans="1:3" ht="45">
      <c r="B709" s="288" t="s">
        <v>345</v>
      </c>
    </row>
    <row r="710" spans="1:3">
      <c r="A710" s="289" t="s">
        <v>61</v>
      </c>
      <c r="B710" s="306">
        <f>SUMPRODUCT(B$677:B$683,$B$695:$B$701)</f>
        <v>472.32042248469912</v>
      </c>
      <c r="C710" s="291"/>
    </row>
    <row r="711" spans="1:3">
      <c r="A711" s="289" t="s">
        <v>62</v>
      </c>
      <c r="B711" s="306">
        <f>SUMPRODUCT(B$677:B$683,$C$695:$C$701)</f>
        <v>144.48654119308279</v>
      </c>
      <c r="C711" s="291"/>
    </row>
    <row r="712" spans="1:3">
      <c r="A712" s="289" t="s">
        <v>63</v>
      </c>
      <c r="B712" s="306">
        <f>SUMPRODUCT(B$677:B$683,$D$695:$D$701)</f>
        <v>143.20664072975822</v>
      </c>
      <c r="C712" s="291"/>
    </row>
    <row r="713" spans="1:3">
      <c r="A713" s="289" t="s">
        <v>64</v>
      </c>
      <c r="B713" s="306">
        <f>SUMPRODUCT(B$677:B$683,$E$695:$E$701)</f>
        <v>142.22673214216459</v>
      </c>
      <c r="C713" s="291"/>
    </row>
    <row r="714" spans="1:3">
      <c r="A714" s="289" t="s">
        <v>69</v>
      </c>
      <c r="B714" s="306">
        <f>SUMPRODUCT(B$677:B$683,$F$695:$F$701)</f>
        <v>320.39796319475482</v>
      </c>
      <c r="C714" s="291"/>
    </row>
    <row r="715" spans="1:3">
      <c r="A715" s="289" t="s">
        <v>65</v>
      </c>
      <c r="B715" s="306">
        <f>SUMPRODUCT(B$677:B$683,$G$695:$G$701)</f>
        <v>450.29977481414699</v>
      </c>
      <c r="C715" s="291"/>
    </row>
    <row r="716" spans="1:3">
      <c r="A716" s="289" t="s">
        <v>66</v>
      </c>
      <c r="B716" s="306">
        <f>SUMPRODUCT(B$677:B$683,$H$695:$H$701)</f>
        <v>442.30379750436305</v>
      </c>
      <c r="C716" s="291"/>
    </row>
    <row r="717" spans="1:3">
      <c r="A717" s="289" t="s">
        <v>67</v>
      </c>
      <c r="B717" s="306">
        <f>SUMPRODUCT(B$677:B$683,$I$695:$I$701)</f>
        <v>435.38644280558276</v>
      </c>
      <c r="C717" s="291"/>
    </row>
    <row r="719" spans="1:3" ht="21" customHeight="1">
      <c r="A719" s="1" t="s">
        <v>346</v>
      </c>
    </row>
    <row r="720" spans="1:3">
      <c r="A720" s="287" t="s">
        <v>255</v>
      </c>
    </row>
    <row r="721" spans="1:3">
      <c r="A721" s="301" t="s">
        <v>347</v>
      </c>
    </row>
    <row r="722" spans="1:3">
      <c r="A722" s="301" t="s">
        <v>348</v>
      </c>
    </row>
    <row r="723" spans="1:3">
      <c r="A723" s="301" t="s">
        <v>349</v>
      </c>
    </row>
    <row r="724" spans="1:3">
      <c r="A724" s="287" t="s">
        <v>350</v>
      </c>
    </row>
    <row r="726" spans="1:3">
      <c r="B726" s="288" t="s">
        <v>351</v>
      </c>
    </row>
    <row r="727" spans="1:3">
      <c r="A727" s="289" t="s">
        <v>352</v>
      </c>
      <c r="B727" s="306">
        <f t="shared" ref="B727:B734" si="69">IF(B710,0.001*B46*B$609/B710,0)</f>
        <v>6.2012530118035896</v>
      </c>
      <c r="C727" s="291"/>
    </row>
    <row r="728" spans="1:3">
      <c r="A728" s="289" t="s">
        <v>353</v>
      </c>
      <c r="B728" s="306">
        <f t="shared" si="69"/>
        <v>4.6404582894106197</v>
      </c>
      <c r="C728" s="291"/>
    </row>
    <row r="729" spans="1:3">
      <c r="A729" s="289" t="s">
        <v>354</v>
      </c>
      <c r="B729" s="306">
        <f t="shared" si="69"/>
        <v>4.8243838818101814</v>
      </c>
      <c r="C729" s="291"/>
    </row>
    <row r="730" spans="1:3">
      <c r="A730" s="289" t="s">
        <v>355</v>
      </c>
      <c r="B730" s="306">
        <f t="shared" si="69"/>
        <v>9.1795112489262607</v>
      </c>
      <c r="C730" s="291"/>
    </row>
    <row r="731" spans="1:3">
      <c r="A731" s="289" t="s">
        <v>356</v>
      </c>
      <c r="B731" s="306">
        <f t="shared" si="69"/>
        <v>4.3440018160378022</v>
      </c>
      <c r="C731" s="291"/>
    </row>
    <row r="732" spans="1:3">
      <c r="A732" s="289" t="s">
        <v>357</v>
      </c>
      <c r="B732" s="306">
        <f t="shared" si="69"/>
        <v>20.070648092727239</v>
      </c>
      <c r="C732" s="291"/>
    </row>
    <row r="733" spans="1:3">
      <c r="A733" s="289" t="s">
        <v>358</v>
      </c>
      <c r="B733" s="306">
        <f t="shared" si="69"/>
        <v>9.2197732866386808</v>
      </c>
      <c r="C733" s="291"/>
    </row>
    <row r="734" spans="1:3">
      <c r="A734" s="289" t="s">
        <v>359</v>
      </c>
      <c r="B734" s="306">
        <f t="shared" si="69"/>
        <v>21.341795844234184</v>
      </c>
      <c r="C734" s="291"/>
    </row>
    <row r="736" spans="1:3" ht="21" customHeight="1">
      <c r="A736" s="1" t="str">
        <f>"Service models for "&amp;CDCM!B7&amp;" in "&amp;CDCM!C7&amp;" ("&amp;CDCM!D7&amp;")"</f>
        <v>Service models for West Mids in 0 (Forecast)</v>
      </c>
    </row>
    <row r="737" spans="1:3">
      <c r="A737" s="287" t="s">
        <v>360</v>
      </c>
    </row>
    <row r="739" spans="1:3" ht="21" customHeight="1">
      <c r="A739" s="1" t="s">
        <v>361</v>
      </c>
    </row>
    <row r="740" spans="1:3">
      <c r="A740" s="287" t="s">
        <v>255</v>
      </c>
    </row>
    <row r="741" spans="1:3">
      <c r="A741" s="301" t="s">
        <v>362</v>
      </c>
    </row>
    <row r="742" spans="1:3">
      <c r="A742" s="301" t="s">
        <v>363</v>
      </c>
    </row>
    <row r="743" spans="1:3">
      <c r="A743" s="287" t="s">
        <v>268</v>
      </c>
    </row>
    <row r="745" spans="1:3" ht="30">
      <c r="B745" s="288" t="s">
        <v>364</v>
      </c>
    </row>
    <row r="746" spans="1:3">
      <c r="A746" s="289" t="s">
        <v>92</v>
      </c>
      <c r="B746" s="312">
        <f t="shared" ref="B746:B761" si="70">SUMPRODUCT($B68:$I68,$B$58:$I$58)</f>
        <v>296.1304228623568</v>
      </c>
      <c r="C746" s="291"/>
    </row>
    <row r="747" spans="1:3">
      <c r="A747" s="289" t="s">
        <v>93</v>
      </c>
      <c r="B747" s="312">
        <f t="shared" si="70"/>
        <v>296.1304228623568</v>
      </c>
      <c r="C747" s="291"/>
    </row>
    <row r="748" spans="1:3">
      <c r="A748" s="289" t="s">
        <v>94</v>
      </c>
      <c r="B748" s="312">
        <f t="shared" si="70"/>
        <v>666.23423784695512</v>
      </c>
      <c r="C748" s="291"/>
    </row>
    <row r="749" spans="1:3">
      <c r="A749" s="289" t="s">
        <v>95</v>
      </c>
      <c r="B749" s="312">
        <f t="shared" si="70"/>
        <v>666.23423784695512</v>
      </c>
      <c r="C749" s="291"/>
    </row>
    <row r="750" spans="1:3">
      <c r="A750" s="289" t="s">
        <v>96</v>
      </c>
      <c r="B750" s="312">
        <f t="shared" si="70"/>
        <v>811.1354380130341</v>
      </c>
      <c r="C750" s="291"/>
    </row>
    <row r="751" spans="1:3">
      <c r="A751" s="289" t="s">
        <v>97</v>
      </c>
      <c r="B751" s="312">
        <f t="shared" si="70"/>
        <v>601.55423712008644</v>
      </c>
      <c r="C751" s="291"/>
    </row>
    <row r="752" spans="1:3">
      <c r="A752" s="289" t="s">
        <v>1536</v>
      </c>
      <c r="B752" s="312">
        <f t="shared" si="70"/>
        <v>296.1304228623568</v>
      </c>
      <c r="C752" s="291"/>
    </row>
    <row r="753" spans="1:3">
      <c r="A753" s="289" t="s">
        <v>1535</v>
      </c>
      <c r="B753" s="312">
        <f t="shared" si="70"/>
        <v>666.23423784695512</v>
      </c>
      <c r="C753" s="291"/>
    </row>
    <row r="754" spans="1:3">
      <c r="A754" s="289" t="s">
        <v>98</v>
      </c>
      <c r="B754" s="312">
        <f t="shared" si="70"/>
        <v>1367.4666525823041</v>
      </c>
      <c r="C754" s="291"/>
    </row>
    <row r="755" spans="1:3">
      <c r="A755" s="289" t="s">
        <v>99</v>
      </c>
      <c r="B755" s="312">
        <f t="shared" si="70"/>
        <v>1053.2407152251476</v>
      </c>
      <c r="C755" s="291"/>
    </row>
    <row r="756" spans="1:3">
      <c r="A756" s="289" t="s">
        <v>1534</v>
      </c>
      <c r="B756" s="312">
        <f t="shared" si="70"/>
        <v>0</v>
      </c>
      <c r="C756" s="291"/>
    </row>
    <row r="757" spans="1:3">
      <c r="A757" s="289" t="s">
        <v>100</v>
      </c>
      <c r="B757" s="312">
        <f t="shared" si="70"/>
        <v>0</v>
      </c>
      <c r="C757" s="291"/>
    </row>
    <row r="758" spans="1:3">
      <c r="A758" s="289" t="s">
        <v>101</v>
      </c>
      <c r="B758" s="312">
        <f t="shared" si="70"/>
        <v>0</v>
      </c>
      <c r="C758" s="291"/>
    </row>
    <row r="759" spans="1:3">
      <c r="A759" s="289" t="s">
        <v>102</v>
      </c>
      <c r="B759" s="312">
        <f t="shared" si="70"/>
        <v>0</v>
      </c>
      <c r="C759" s="291"/>
    </row>
    <row r="760" spans="1:3">
      <c r="A760" s="289" t="s">
        <v>103</v>
      </c>
      <c r="B760" s="312">
        <f t="shared" si="70"/>
        <v>0</v>
      </c>
      <c r="C760" s="291"/>
    </row>
    <row r="761" spans="1:3">
      <c r="A761" s="289" t="s">
        <v>104</v>
      </c>
      <c r="B761" s="312">
        <f t="shared" si="70"/>
        <v>0</v>
      </c>
      <c r="C761" s="291"/>
    </row>
    <row r="763" spans="1:3" ht="21" customHeight="1">
      <c r="A763" s="1" t="s">
        <v>1617</v>
      </c>
    </row>
    <row r="764" spans="1:3">
      <c r="A764" s="287" t="s">
        <v>255</v>
      </c>
    </row>
    <row r="765" spans="1:3">
      <c r="A765" s="301" t="s">
        <v>365</v>
      </c>
    </row>
    <row r="766" spans="1:3">
      <c r="A766" s="301" t="s">
        <v>363</v>
      </c>
    </row>
    <row r="767" spans="1:3">
      <c r="A767" s="287" t="s">
        <v>268</v>
      </c>
    </row>
    <row r="769" spans="1:3" ht="30">
      <c r="B769" s="288" t="s">
        <v>364</v>
      </c>
    </row>
    <row r="770" spans="1:3">
      <c r="A770" s="289" t="s">
        <v>1618</v>
      </c>
      <c r="B770" s="312">
        <f>SUMPRODUCT($B90:$I90,$B$58:$I$58)</f>
        <v>268.81530698674197</v>
      </c>
      <c r="C770" s="291"/>
    </row>
    <row r="772" spans="1:3" ht="21" customHeight="1">
      <c r="A772" s="1" t="s">
        <v>1619</v>
      </c>
    </row>
    <row r="773" spans="1:3">
      <c r="A773" s="287" t="s">
        <v>255</v>
      </c>
    </row>
    <row r="774" spans="1:3">
      <c r="A774" s="301" t="s">
        <v>366</v>
      </c>
    </row>
    <row r="775" spans="1:3">
      <c r="A775" s="301" t="s">
        <v>1620</v>
      </c>
    </row>
    <row r="776" spans="1:3">
      <c r="A776" s="301" t="s">
        <v>349</v>
      </c>
    </row>
    <row r="777" spans="1:3">
      <c r="A777" s="287" t="s">
        <v>367</v>
      </c>
    </row>
    <row r="779" spans="1:3" ht="30">
      <c r="B779" s="288" t="s">
        <v>364</v>
      </c>
    </row>
    <row r="780" spans="1:3">
      <c r="A780" s="289" t="s">
        <v>1621</v>
      </c>
      <c r="B780" s="306">
        <f>0.1*$D14*B770*$B609</f>
        <v>0</v>
      </c>
      <c r="C780" s="291"/>
    </row>
    <row r="782" spans="1:3" ht="21" customHeight="1">
      <c r="A782" s="1" t="s">
        <v>368</v>
      </c>
    </row>
    <row r="783" spans="1:3">
      <c r="A783" s="287" t="s">
        <v>255</v>
      </c>
    </row>
    <row r="784" spans="1:3">
      <c r="A784" s="301" t="s">
        <v>369</v>
      </c>
    </row>
    <row r="785" spans="1:3">
      <c r="A785" s="301" t="s">
        <v>370</v>
      </c>
    </row>
    <row r="786" spans="1:3">
      <c r="A786" s="287" t="s">
        <v>268</v>
      </c>
    </row>
    <row r="788" spans="1:3" ht="30">
      <c r="B788" s="288" t="s">
        <v>371</v>
      </c>
    </row>
    <row r="789" spans="1:3">
      <c r="A789" s="289" t="s">
        <v>110</v>
      </c>
      <c r="B789" s="312">
        <f>SUMPRODUCT($B95:$F95,$B$63:$F$63)</f>
        <v>10449.370039655318</v>
      </c>
      <c r="C789" s="291"/>
    </row>
    <row r="790" spans="1:3">
      <c r="A790" s="289" t="s">
        <v>111</v>
      </c>
      <c r="B790" s="312">
        <f>SUMPRODUCT($B96:$F96,$B$63:$F$63)</f>
        <v>10449.370039655318</v>
      </c>
      <c r="C790" s="291"/>
    </row>
    <row r="791" spans="1:3">
      <c r="A791" s="289" t="s">
        <v>112</v>
      </c>
      <c r="B791" s="312">
        <f>SUMPRODUCT($B97:$F97,$B$63:$F$63)</f>
        <v>5037.9942875934403</v>
      </c>
      <c r="C791" s="291"/>
    </row>
    <row r="792" spans="1:3">
      <c r="A792" s="289" t="s">
        <v>113</v>
      </c>
      <c r="B792" s="312">
        <f>SUMPRODUCT($B98:$F98,$B$63:$F$63)</f>
        <v>5037.9942875934403</v>
      </c>
      <c r="C792" s="291"/>
    </row>
    <row r="794" spans="1:3" ht="21" customHeight="1">
      <c r="A794" s="1" t="s">
        <v>372</v>
      </c>
    </row>
    <row r="795" spans="1:3">
      <c r="A795" s="287" t="s">
        <v>255</v>
      </c>
    </row>
    <row r="796" spans="1:3">
      <c r="A796" s="301" t="s">
        <v>373</v>
      </c>
    </row>
    <row r="797" spans="1:3">
      <c r="A797" s="301" t="s">
        <v>374</v>
      </c>
    </row>
    <row r="798" spans="1:3">
      <c r="A798" s="287" t="s">
        <v>273</v>
      </c>
    </row>
    <row r="800" spans="1:3" ht="30">
      <c r="B800" s="288" t="s">
        <v>364</v>
      </c>
      <c r="C800" s="288" t="s">
        <v>371</v>
      </c>
    </row>
    <row r="801" spans="1:4">
      <c r="A801" s="289" t="s">
        <v>92</v>
      </c>
      <c r="B801" s="307">
        <f>$B$746</f>
        <v>296.1304228623568</v>
      </c>
      <c r="C801" s="309"/>
      <c r="D801" s="291"/>
    </row>
    <row r="802" spans="1:4">
      <c r="A802" s="289" t="s">
        <v>93</v>
      </c>
      <c r="B802" s="307">
        <f>$B$747</f>
        <v>296.1304228623568</v>
      </c>
      <c r="C802" s="309"/>
      <c r="D802" s="291"/>
    </row>
    <row r="803" spans="1:4">
      <c r="A803" s="289" t="s">
        <v>129</v>
      </c>
      <c r="B803" s="309"/>
      <c r="C803" s="309"/>
      <c r="D803" s="291"/>
    </row>
    <row r="804" spans="1:4">
      <c r="A804" s="289" t="s">
        <v>94</v>
      </c>
      <c r="B804" s="307">
        <f>$B$748</f>
        <v>666.23423784695512</v>
      </c>
      <c r="C804" s="309"/>
      <c r="D804" s="291"/>
    </row>
    <row r="805" spans="1:4">
      <c r="A805" s="289" t="s">
        <v>95</v>
      </c>
      <c r="B805" s="307">
        <f>$B$749</f>
        <v>666.23423784695512</v>
      </c>
      <c r="C805" s="309"/>
      <c r="D805" s="291"/>
    </row>
    <row r="806" spans="1:4">
      <c r="A806" s="289" t="s">
        <v>130</v>
      </c>
      <c r="B806" s="309"/>
      <c r="C806" s="309"/>
      <c r="D806" s="291"/>
    </row>
    <row r="807" spans="1:4">
      <c r="A807" s="289" t="s">
        <v>96</v>
      </c>
      <c r="B807" s="307">
        <f>$B$750</f>
        <v>811.1354380130341</v>
      </c>
      <c r="C807" s="309"/>
      <c r="D807" s="291"/>
    </row>
    <row r="808" spans="1:4">
      <c r="A808" s="289" t="s">
        <v>97</v>
      </c>
      <c r="B808" s="307">
        <f>$B$751</f>
        <v>601.55423712008644</v>
      </c>
      <c r="C808" s="309"/>
      <c r="D808" s="291"/>
    </row>
    <row r="809" spans="1:4">
      <c r="A809" s="289" t="s">
        <v>110</v>
      </c>
      <c r="B809" s="309"/>
      <c r="C809" s="307">
        <f>$B$789</f>
        <v>10449.370039655318</v>
      </c>
      <c r="D809" s="291"/>
    </row>
    <row r="810" spans="1:4">
      <c r="A810" s="289" t="s">
        <v>1536</v>
      </c>
      <c r="B810" s="307">
        <f>$B$752</f>
        <v>296.1304228623568</v>
      </c>
      <c r="C810" s="309"/>
      <c r="D810" s="291"/>
    </row>
    <row r="811" spans="1:4">
      <c r="A811" s="289" t="s">
        <v>1535</v>
      </c>
      <c r="B811" s="307">
        <f>$B$753</f>
        <v>666.23423784695512</v>
      </c>
      <c r="C811" s="309"/>
      <c r="D811" s="291"/>
    </row>
    <row r="812" spans="1:4">
      <c r="A812" s="289" t="s">
        <v>98</v>
      </c>
      <c r="B812" s="307">
        <f>$B$754</f>
        <v>1367.4666525823041</v>
      </c>
      <c r="C812" s="309"/>
      <c r="D812" s="291"/>
    </row>
    <row r="813" spans="1:4">
      <c r="A813" s="289" t="s">
        <v>99</v>
      </c>
      <c r="B813" s="307">
        <f>$B$755</f>
        <v>1053.2407152251476</v>
      </c>
      <c r="C813" s="309"/>
      <c r="D813" s="291"/>
    </row>
    <row r="814" spans="1:4">
      <c r="A814" s="289" t="s">
        <v>111</v>
      </c>
      <c r="B814" s="309"/>
      <c r="C814" s="307">
        <f>$B$790</f>
        <v>10449.370039655318</v>
      </c>
      <c r="D814" s="291"/>
    </row>
    <row r="815" spans="1:4">
      <c r="A815" s="289" t="s">
        <v>131</v>
      </c>
      <c r="B815" s="309"/>
      <c r="C815" s="309"/>
      <c r="D815" s="291"/>
    </row>
    <row r="816" spans="1:4">
      <c r="A816" s="289" t="s">
        <v>132</v>
      </c>
      <c r="B816" s="309"/>
      <c r="C816" s="309"/>
      <c r="D816" s="291"/>
    </row>
    <row r="817" spans="1:4">
      <c r="A817" s="289" t="s">
        <v>133</v>
      </c>
      <c r="B817" s="309"/>
      <c r="C817" s="309"/>
      <c r="D817" s="291"/>
    </row>
    <row r="818" spans="1:4">
      <c r="A818" s="289" t="s">
        <v>134</v>
      </c>
      <c r="B818" s="309"/>
      <c r="C818" s="309"/>
      <c r="D818" s="291"/>
    </row>
    <row r="819" spans="1:4">
      <c r="A819" s="289" t="s">
        <v>135</v>
      </c>
      <c r="B819" s="309"/>
      <c r="C819" s="309"/>
      <c r="D819" s="291"/>
    </row>
    <row r="820" spans="1:4">
      <c r="A820" s="289" t="s">
        <v>1534</v>
      </c>
      <c r="B820" s="307">
        <f>$B$756</f>
        <v>0</v>
      </c>
      <c r="C820" s="309"/>
      <c r="D820" s="291"/>
    </row>
    <row r="821" spans="1:4">
      <c r="A821" s="289" t="s">
        <v>100</v>
      </c>
      <c r="B821" s="307">
        <f>$B$757</f>
        <v>0</v>
      </c>
      <c r="C821" s="309"/>
      <c r="D821" s="291"/>
    </row>
    <row r="822" spans="1:4">
      <c r="A822" s="289" t="s">
        <v>101</v>
      </c>
      <c r="B822" s="307">
        <f>$B$758</f>
        <v>0</v>
      </c>
      <c r="C822" s="309"/>
      <c r="D822" s="291"/>
    </row>
    <row r="823" spans="1:4">
      <c r="A823" s="289" t="s">
        <v>102</v>
      </c>
      <c r="B823" s="307">
        <f>$B$759</f>
        <v>0</v>
      </c>
      <c r="C823" s="309"/>
      <c r="D823" s="291"/>
    </row>
    <row r="824" spans="1:4">
      <c r="A824" s="289" t="s">
        <v>103</v>
      </c>
      <c r="B824" s="307">
        <f>$B$760</f>
        <v>0</v>
      </c>
      <c r="C824" s="309"/>
      <c r="D824" s="291"/>
    </row>
    <row r="825" spans="1:4">
      <c r="A825" s="289" t="s">
        <v>104</v>
      </c>
      <c r="B825" s="307">
        <f>$B$761</f>
        <v>0</v>
      </c>
      <c r="C825" s="309"/>
      <c r="D825" s="291"/>
    </row>
    <row r="826" spans="1:4">
      <c r="A826" s="289" t="s">
        <v>112</v>
      </c>
      <c r="B826" s="309"/>
      <c r="C826" s="307">
        <f>$B$791</f>
        <v>5037.9942875934403</v>
      </c>
      <c r="D826" s="291"/>
    </row>
    <row r="827" spans="1:4">
      <c r="A827" s="289" t="s">
        <v>113</v>
      </c>
      <c r="B827" s="309"/>
      <c r="C827" s="307">
        <f>$B$792</f>
        <v>5037.9942875934403</v>
      </c>
      <c r="D827" s="291"/>
    </row>
    <row r="829" spans="1:4" ht="21" customHeight="1">
      <c r="A829" s="1" t="s">
        <v>375</v>
      </c>
    </row>
    <row r="830" spans="1:4">
      <c r="A830" s="287" t="s">
        <v>255</v>
      </c>
    </row>
    <row r="831" spans="1:4">
      <c r="A831" s="301" t="s">
        <v>376</v>
      </c>
    </row>
    <row r="832" spans="1:4">
      <c r="A832" s="301" t="s">
        <v>377</v>
      </c>
    </row>
    <row r="833" spans="1:5">
      <c r="A833" s="301" t="s">
        <v>349</v>
      </c>
    </row>
    <row r="834" spans="1:5">
      <c r="A834" s="301" t="s">
        <v>378</v>
      </c>
    </row>
    <row r="835" spans="1:5">
      <c r="A835" s="301" t="s">
        <v>379</v>
      </c>
    </row>
    <row r="836" spans="1:5">
      <c r="A836" s="302" t="s">
        <v>258</v>
      </c>
      <c r="B836" s="302" t="s">
        <v>380</v>
      </c>
      <c r="C836" s="302"/>
      <c r="D836" s="302" t="s">
        <v>381</v>
      </c>
    </row>
    <row r="837" spans="1:5">
      <c r="A837" s="302" t="s">
        <v>261</v>
      </c>
      <c r="B837" s="302" t="s">
        <v>382</v>
      </c>
      <c r="C837" s="302"/>
      <c r="D837" s="302" t="s">
        <v>383</v>
      </c>
    </row>
    <row r="839" spans="1:5">
      <c r="B839" s="300" t="s">
        <v>384</v>
      </c>
      <c r="C839" s="300"/>
    </row>
    <row r="840" spans="1:5" ht="30">
      <c r="B840" s="288" t="s">
        <v>364</v>
      </c>
      <c r="C840" s="288" t="s">
        <v>371</v>
      </c>
      <c r="D840" s="288" t="s">
        <v>385</v>
      </c>
    </row>
    <row r="841" spans="1:5">
      <c r="A841" s="289" t="s">
        <v>92</v>
      </c>
      <c r="B841" s="306">
        <f t="shared" ref="B841:C867" si="71">100/$F$14*B801*$B$609*$D$14</f>
        <v>0</v>
      </c>
      <c r="C841" s="306">
        <f t="shared" si="71"/>
        <v>0</v>
      </c>
      <c r="D841" s="306">
        <f t="shared" ref="D841:D867" si="72">SUM($B841:$C841)</f>
        <v>0</v>
      </c>
      <c r="E841" s="291"/>
    </row>
    <row r="842" spans="1:5">
      <c r="A842" s="289" t="s">
        <v>93</v>
      </c>
      <c r="B842" s="306">
        <f t="shared" si="71"/>
        <v>0</v>
      </c>
      <c r="C842" s="306">
        <f t="shared" si="71"/>
        <v>0</v>
      </c>
      <c r="D842" s="306">
        <f t="shared" si="72"/>
        <v>0</v>
      </c>
      <c r="E842" s="291"/>
    </row>
    <row r="843" spans="1:5">
      <c r="A843" s="289" t="s">
        <v>129</v>
      </c>
      <c r="B843" s="306">
        <f t="shared" si="71"/>
        <v>0</v>
      </c>
      <c r="C843" s="306">
        <f t="shared" si="71"/>
        <v>0</v>
      </c>
      <c r="D843" s="306">
        <f t="shared" si="72"/>
        <v>0</v>
      </c>
      <c r="E843" s="291"/>
    </row>
    <row r="844" spans="1:5">
      <c r="A844" s="289" t="s">
        <v>94</v>
      </c>
      <c r="B844" s="306">
        <f t="shared" si="71"/>
        <v>0</v>
      </c>
      <c r="C844" s="306">
        <f t="shared" si="71"/>
        <v>0</v>
      </c>
      <c r="D844" s="306">
        <f t="shared" si="72"/>
        <v>0</v>
      </c>
      <c r="E844" s="291"/>
    </row>
    <row r="845" spans="1:5">
      <c r="A845" s="289" t="s">
        <v>95</v>
      </c>
      <c r="B845" s="306">
        <f t="shared" si="71"/>
        <v>0</v>
      </c>
      <c r="C845" s="306">
        <f t="shared" si="71"/>
        <v>0</v>
      </c>
      <c r="D845" s="306">
        <f t="shared" si="72"/>
        <v>0</v>
      </c>
      <c r="E845" s="291"/>
    </row>
    <row r="846" spans="1:5">
      <c r="A846" s="289" t="s">
        <v>130</v>
      </c>
      <c r="B846" s="306">
        <f t="shared" si="71"/>
        <v>0</v>
      </c>
      <c r="C846" s="306">
        <f t="shared" si="71"/>
        <v>0</v>
      </c>
      <c r="D846" s="306">
        <f t="shared" si="72"/>
        <v>0</v>
      </c>
      <c r="E846" s="291"/>
    </row>
    <row r="847" spans="1:5">
      <c r="A847" s="289" t="s">
        <v>96</v>
      </c>
      <c r="B847" s="306">
        <f t="shared" si="71"/>
        <v>0</v>
      </c>
      <c r="C847" s="306">
        <f t="shared" si="71"/>
        <v>0</v>
      </c>
      <c r="D847" s="306">
        <f t="shared" si="72"/>
        <v>0</v>
      </c>
      <c r="E847" s="291"/>
    </row>
    <row r="848" spans="1:5">
      <c r="A848" s="289" t="s">
        <v>97</v>
      </c>
      <c r="B848" s="306">
        <f t="shared" si="71"/>
        <v>0</v>
      </c>
      <c r="C848" s="306">
        <f t="shared" si="71"/>
        <v>0</v>
      </c>
      <c r="D848" s="306">
        <f t="shared" si="72"/>
        <v>0</v>
      </c>
      <c r="E848" s="291"/>
    </row>
    <row r="849" spans="1:5">
      <c r="A849" s="289" t="s">
        <v>110</v>
      </c>
      <c r="B849" s="306">
        <f t="shared" si="71"/>
        <v>0</v>
      </c>
      <c r="C849" s="306">
        <f t="shared" si="71"/>
        <v>0</v>
      </c>
      <c r="D849" s="306">
        <f t="shared" si="72"/>
        <v>0</v>
      </c>
      <c r="E849" s="291"/>
    </row>
    <row r="850" spans="1:5">
      <c r="A850" s="289" t="s">
        <v>1536</v>
      </c>
      <c r="B850" s="306">
        <f t="shared" si="71"/>
        <v>0</v>
      </c>
      <c r="C850" s="306">
        <f t="shared" si="71"/>
        <v>0</v>
      </c>
      <c r="D850" s="306">
        <f t="shared" si="72"/>
        <v>0</v>
      </c>
      <c r="E850" s="291"/>
    </row>
    <row r="851" spans="1:5">
      <c r="A851" s="289" t="s">
        <v>1535</v>
      </c>
      <c r="B851" s="306">
        <f t="shared" si="71"/>
        <v>0</v>
      </c>
      <c r="C851" s="306">
        <f t="shared" si="71"/>
        <v>0</v>
      </c>
      <c r="D851" s="306">
        <f t="shared" si="72"/>
        <v>0</v>
      </c>
      <c r="E851" s="291"/>
    </row>
    <row r="852" spans="1:5">
      <c r="A852" s="289" t="s">
        <v>98</v>
      </c>
      <c r="B852" s="306">
        <f t="shared" si="71"/>
        <v>0</v>
      </c>
      <c r="C852" s="306">
        <f t="shared" si="71"/>
        <v>0</v>
      </c>
      <c r="D852" s="306">
        <f t="shared" si="72"/>
        <v>0</v>
      </c>
      <c r="E852" s="291"/>
    </row>
    <row r="853" spans="1:5">
      <c r="A853" s="289" t="s">
        <v>99</v>
      </c>
      <c r="B853" s="306">
        <f t="shared" si="71"/>
        <v>0</v>
      </c>
      <c r="C853" s="306">
        <f t="shared" si="71"/>
        <v>0</v>
      </c>
      <c r="D853" s="306">
        <f t="shared" si="72"/>
        <v>0</v>
      </c>
      <c r="E853" s="291"/>
    </row>
    <row r="854" spans="1:5">
      <c r="A854" s="289" t="s">
        <v>111</v>
      </c>
      <c r="B854" s="306">
        <f t="shared" si="71"/>
        <v>0</v>
      </c>
      <c r="C854" s="306">
        <f t="shared" si="71"/>
        <v>0</v>
      </c>
      <c r="D854" s="306">
        <f t="shared" si="72"/>
        <v>0</v>
      </c>
      <c r="E854" s="291"/>
    </row>
    <row r="855" spans="1:5">
      <c r="A855" s="289" t="s">
        <v>131</v>
      </c>
      <c r="B855" s="306">
        <f t="shared" si="71"/>
        <v>0</v>
      </c>
      <c r="C855" s="306">
        <f t="shared" si="71"/>
        <v>0</v>
      </c>
      <c r="D855" s="306">
        <f t="shared" si="72"/>
        <v>0</v>
      </c>
      <c r="E855" s="291"/>
    </row>
    <row r="856" spans="1:5">
      <c r="A856" s="289" t="s">
        <v>132</v>
      </c>
      <c r="B856" s="306">
        <f t="shared" si="71"/>
        <v>0</v>
      </c>
      <c r="C856" s="306">
        <f t="shared" si="71"/>
        <v>0</v>
      </c>
      <c r="D856" s="306">
        <f t="shared" si="72"/>
        <v>0</v>
      </c>
      <c r="E856" s="291"/>
    </row>
    <row r="857" spans="1:5">
      <c r="A857" s="289" t="s">
        <v>133</v>
      </c>
      <c r="B857" s="306">
        <f t="shared" si="71"/>
        <v>0</v>
      </c>
      <c r="C857" s="306">
        <f t="shared" si="71"/>
        <v>0</v>
      </c>
      <c r="D857" s="306">
        <f t="shared" si="72"/>
        <v>0</v>
      </c>
      <c r="E857" s="291"/>
    </row>
    <row r="858" spans="1:5">
      <c r="A858" s="289" t="s">
        <v>134</v>
      </c>
      <c r="B858" s="306">
        <f t="shared" si="71"/>
        <v>0</v>
      </c>
      <c r="C858" s="306">
        <f t="shared" si="71"/>
        <v>0</v>
      </c>
      <c r="D858" s="306">
        <f t="shared" si="72"/>
        <v>0</v>
      </c>
      <c r="E858" s="291"/>
    </row>
    <row r="859" spans="1:5">
      <c r="A859" s="289" t="s">
        <v>135</v>
      </c>
      <c r="B859" s="306">
        <f t="shared" si="71"/>
        <v>0</v>
      </c>
      <c r="C859" s="306">
        <f t="shared" si="71"/>
        <v>0</v>
      </c>
      <c r="D859" s="306">
        <f t="shared" si="72"/>
        <v>0</v>
      </c>
      <c r="E859" s="291"/>
    </row>
    <row r="860" spans="1:5">
      <c r="A860" s="289" t="s">
        <v>1534</v>
      </c>
      <c r="B860" s="306">
        <f t="shared" si="71"/>
        <v>0</v>
      </c>
      <c r="C860" s="306">
        <f t="shared" si="71"/>
        <v>0</v>
      </c>
      <c r="D860" s="306">
        <f t="shared" si="72"/>
        <v>0</v>
      </c>
      <c r="E860" s="291"/>
    </row>
    <row r="861" spans="1:5">
      <c r="A861" s="289" t="s">
        <v>100</v>
      </c>
      <c r="B861" s="306">
        <f t="shared" si="71"/>
        <v>0</v>
      </c>
      <c r="C861" s="306">
        <f t="shared" si="71"/>
        <v>0</v>
      </c>
      <c r="D861" s="306">
        <f t="shared" si="72"/>
        <v>0</v>
      </c>
      <c r="E861" s="291"/>
    </row>
    <row r="862" spans="1:5">
      <c r="A862" s="289" t="s">
        <v>101</v>
      </c>
      <c r="B862" s="306">
        <f t="shared" si="71"/>
        <v>0</v>
      </c>
      <c r="C862" s="306">
        <f t="shared" si="71"/>
        <v>0</v>
      </c>
      <c r="D862" s="306">
        <f t="shared" si="72"/>
        <v>0</v>
      </c>
      <c r="E862" s="291"/>
    </row>
    <row r="863" spans="1:5">
      <c r="A863" s="289" t="s">
        <v>102</v>
      </c>
      <c r="B863" s="306">
        <f t="shared" si="71"/>
        <v>0</v>
      </c>
      <c r="C863" s="306">
        <f t="shared" si="71"/>
        <v>0</v>
      </c>
      <c r="D863" s="306">
        <f t="shared" si="72"/>
        <v>0</v>
      </c>
      <c r="E863" s="291"/>
    </row>
    <row r="864" spans="1:5">
      <c r="A864" s="289" t="s">
        <v>103</v>
      </c>
      <c r="B864" s="306">
        <f t="shared" si="71"/>
        <v>0</v>
      </c>
      <c r="C864" s="306">
        <f t="shared" si="71"/>
        <v>0</v>
      </c>
      <c r="D864" s="306">
        <f t="shared" si="72"/>
        <v>0</v>
      </c>
      <c r="E864" s="291"/>
    </row>
    <row r="865" spans="1:5">
      <c r="A865" s="289" t="s">
        <v>104</v>
      </c>
      <c r="B865" s="306">
        <f t="shared" si="71"/>
        <v>0</v>
      </c>
      <c r="C865" s="306">
        <f t="shared" si="71"/>
        <v>0</v>
      </c>
      <c r="D865" s="306">
        <f t="shared" si="72"/>
        <v>0</v>
      </c>
      <c r="E865" s="291"/>
    </row>
    <row r="866" spans="1:5">
      <c r="A866" s="289" t="s">
        <v>112</v>
      </c>
      <c r="B866" s="306">
        <f t="shared" si="71"/>
        <v>0</v>
      </c>
      <c r="C866" s="306">
        <f t="shared" si="71"/>
        <v>0</v>
      </c>
      <c r="D866" s="306">
        <f t="shared" si="72"/>
        <v>0</v>
      </c>
      <c r="E866" s="291"/>
    </row>
    <row r="867" spans="1:5">
      <c r="A867" s="289" t="s">
        <v>113</v>
      </c>
      <c r="B867" s="306">
        <f t="shared" si="71"/>
        <v>0</v>
      </c>
      <c r="C867" s="306">
        <f t="shared" si="71"/>
        <v>0</v>
      </c>
      <c r="D867" s="306">
        <f t="shared" si="72"/>
        <v>0</v>
      </c>
      <c r="E867" s="291"/>
    </row>
    <row r="869" spans="1:5" ht="21" customHeight="1">
      <c r="A869" s="1" t="str">
        <f>"Load characteristics for "&amp;CDCM!B7&amp;" in "&amp;CDCM!C7&amp;" ("&amp;CDCM!D7&amp;")"</f>
        <v>Load characteristics for West Mids in 0 (Forecast)</v>
      </c>
    </row>
    <row r="870" spans="1:5">
      <c r="A870" s="287" t="s">
        <v>386</v>
      </c>
    </row>
    <row r="871" spans="1:5">
      <c r="A871" s="287"/>
    </row>
    <row r="872" spans="1:5">
      <c r="A872" s="287" t="s">
        <v>387</v>
      </c>
    </row>
    <row r="873" spans="1:5">
      <c r="A873" s="287" t="s">
        <v>388</v>
      </c>
    </row>
    <row r="874" spans="1:5">
      <c r="A874" s="287"/>
    </row>
    <row r="875" spans="1:5">
      <c r="A875" s="287" t="s">
        <v>389</v>
      </c>
    </row>
    <row r="876" spans="1:5">
      <c r="A876" s="287" t="s">
        <v>390</v>
      </c>
    </row>
    <row r="877" spans="1:5">
      <c r="A877" s="287" t="s">
        <v>391</v>
      </c>
    </row>
    <row r="878" spans="1:5">
      <c r="A878" s="287" t="s">
        <v>392</v>
      </c>
    </row>
    <row r="880" spans="1:5" ht="21" customHeight="1">
      <c r="A880" s="1" t="s">
        <v>393</v>
      </c>
    </row>
    <row r="881" spans="1:3">
      <c r="A881" s="287" t="s">
        <v>255</v>
      </c>
    </row>
    <row r="882" spans="1:3">
      <c r="A882" s="301" t="s">
        <v>394</v>
      </c>
    </row>
    <row r="883" spans="1:3">
      <c r="A883" s="301" t="s">
        <v>395</v>
      </c>
    </row>
    <row r="884" spans="1:3">
      <c r="A884" s="287" t="s">
        <v>332</v>
      </c>
    </row>
    <row r="886" spans="1:3">
      <c r="B886" s="288" t="s">
        <v>396</v>
      </c>
    </row>
    <row r="887" spans="1:3">
      <c r="A887" s="289" t="s">
        <v>92</v>
      </c>
      <c r="B887" s="306">
        <f t="shared" ref="B887:B905" si="73">B116/C116</f>
        <v>2.0671871372848516</v>
      </c>
      <c r="C887" s="291"/>
    </row>
    <row r="888" spans="1:3">
      <c r="A888" s="289" t="s">
        <v>93</v>
      </c>
      <c r="B888" s="306">
        <f t="shared" si="73"/>
        <v>1.3833674747771425</v>
      </c>
      <c r="C888" s="291"/>
    </row>
    <row r="889" spans="1:3">
      <c r="A889" s="289" t="s">
        <v>129</v>
      </c>
      <c r="B889" s="306">
        <f t="shared" si="73"/>
        <v>0</v>
      </c>
      <c r="C889" s="291"/>
    </row>
    <row r="890" spans="1:3">
      <c r="A890" s="289" t="s">
        <v>94</v>
      </c>
      <c r="B890" s="306">
        <f t="shared" si="73"/>
        <v>1.746143498944833</v>
      </c>
      <c r="C890" s="291"/>
    </row>
    <row r="891" spans="1:3">
      <c r="A891" s="289" t="s">
        <v>95</v>
      </c>
      <c r="B891" s="306">
        <f t="shared" si="73"/>
        <v>1.4386763145328345</v>
      </c>
      <c r="C891" s="291"/>
    </row>
    <row r="892" spans="1:3">
      <c r="A892" s="289" t="s">
        <v>130</v>
      </c>
      <c r="B892" s="306">
        <f t="shared" si="73"/>
        <v>0</v>
      </c>
      <c r="C892" s="291"/>
    </row>
    <row r="893" spans="1:3">
      <c r="A893" s="289" t="s">
        <v>96</v>
      </c>
      <c r="B893" s="306">
        <f t="shared" si="73"/>
        <v>1.5641983109388984</v>
      </c>
      <c r="C893" s="291"/>
    </row>
    <row r="894" spans="1:3">
      <c r="A894" s="289" t="s">
        <v>97</v>
      </c>
      <c r="B894" s="306">
        <f t="shared" si="73"/>
        <v>1.5641983109388984</v>
      </c>
      <c r="C894" s="291"/>
    </row>
    <row r="895" spans="1:3">
      <c r="A895" s="289" t="s">
        <v>110</v>
      </c>
      <c r="B895" s="306">
        <f t="shared" si="73"/>
        <v>1.4740812427771732</v>
      </c>
      <c r="C895" s="291"/>
    </row>
    <row r="896" spans="1:3">
      <c r="A896" s="289" t="s">
        <v>1536</v>
      </c>
      <c r="B896" s="306">
        <f t="shared" si="73"/>
        <v>2.0060635150604322</v>
      </c>
      <c r="C896" s="291"/>
    </row>
    <row r="897" spans="1:3">
      <c r="A897" s="289" t="s">
        <v>1535</v>
      </c>
      <c r="B897" s="306">
        <f t="shared" si="73"/>
        <v>1.6761152715571428</v>
      </c>
      <c r="C897" s="291"/>
    </row>
    <row r="898" spans="1:3">
      <c r="A898" s="289" t="s">
        <v>98</v>
      </c>
      <c r="B898" s="306">
        <f t="shared" si="73"/>
        <v>1.4773151777774245</v>
      </c>
      <c r="C898" s="291"/>
    </row>
    <row r="899" spans="1:3">
      <c r="A899" s="289" t="s">
        <v>99</v>
      </c>
      <c r="B899" s="306">
        <f t="shared" si="73"/>
        <v>1.5330188332217269</v>
      </c>
      <c r="C899" s="291"/>
    </row>
    <row r="900" spans="1:3">
      <c r="A900" s="289" t="s">
        <v>111</v>
      </c>
      <c r="B900" s="306">
        <f t="shared" si="73"/>
        <v>1.1924876503845094</v>
      </c>
      <c r="C900" s="291"/>
    </row>
    <row r="901" spans="1:3">
      <c r="A901" s="289" t="s">
        <v>131</v>
      </c>
      <c r="B901" s="306">
        <f t="shared" si="73"/>
        <v>1</v>
      </c>
      <c r="C901" s="291"/>
    </row>
    <row r="902" spans="1:3">
      <c r="A902" s="289" t="s">
        <v>132</v>
      </c>
      <c r="B902" s="306">
        <f t="shared" si="73"/>
        <v>2.1145922016007237</v>
      </c>
      <c r="C902" s="291"/>
    </row>
    <row r="903" spans="1:3">
      <c r="A903" s="289" t="s">
        <v>133</v>
      </c>
      <c r="B903" s="306">
        <f t="shared" si="73"/>
        <v>3.7460491166599725</v>
      </c>
      <c r="C903" s="291"/>
    </row>
    <row r="904" spans="1:3">
      <c r="A904" s="289" t="s">
        <v>134</v>
      </c>
      <c r="B904" s="306">
        <f t="shared" si="73"/>
        <v>0</v>
      </c>
      <c r="C904" s="291"/>
    </row>
    <row r="905" spans="1:3">
      <c r="A905" s="289" t="s">
        <v>135</v>
      </c>
      <c r="B905" s="306">
        <f t="shared" si="73"/>
        <v>1.9818981142377059</v>
      </c>
      <c r="C905" s="291"/>
    </row>
    <row r="907" spans="1:3" ht="21" customHeight="1">
      <c r="A907" s="1" t="s">
        <v>397</v>
      </c>
    </row>
    <row r="908" spans="1:3">
      <c r="A908" s="287" t="s">
        <v>255</v>
      </c>
    </row>
    <row r="909" spans="1:3">
      <c r="A909" s="301" t="s">
        <v>398</v>
      </c>
    </row>
    <row r="910" spans="1:3">
      <c r="A910" s="287" t="s">
        <v>399</v>
      </c>
    </row>
    <row r="911" spans="1:3">
      <c r="A911" s="287" t="s">
        <v>273</v>
      </c>
    </row>
    <row r="913" spans="1:3">
      <c r="B913" s="288" t="s">
        <v>400</v>
      </c>
    </row>
    <row r="914" spans="1:3">
      <c r="A914" s="289" t="s">
        <v>92</v>
      </c>
      <c r="B914" s="307">
        <f>B$887</f>
        <v>2.0671871372848516</v>
      </c>
      <c r="C914" s="291"/>
    </row>
    <row r="915" spans="1:3">
      <c r="A915" s="289" t="s">
        <v>93</v>
      </c>
      <c r="B915" s="307">
        <f>B$888</f>
        <v>1.3833674747771425</v>
      </c>
      <c r="C915" s="291"/>
    </row>
    <row r="916" spans="1:3">
      <c r="A916" s="289" t="s">
        <v>129</v>
      </c>
      <c r="B916" s="307">
        <f>B$889</f>
        <v>0</v>
      </c>
      <c r="C916" s="291"/>
    </row>
    <row r="917" spans="1:3">
      <c r="A917" s="289" t="s">
        <v>94</v>
      </c>
      <c r="B917" s="307">
        <f>B$890</f>
        <v>1.746143498944833</v>
      </c>
      <c r="C917" s="291"/>
    </row>
    <row r="918" spans="1:3">
      <c r="A918" s="289" t="s">
        <v>95</v>
      </c>
      <c r="B918" s="307">
        <f>B$891</f>
        <v>1.4386763145328345</v>
      </c>
      <c r="C918" s="291"/>
    </row>
    <row r="919" spans="1:3">
      <c r="A919" s="289" t="s">
        <v>130</v>
      </c>
      <c r="B919" s="307">
        <f>B$892</f>
        <v>0</v>
      </c>
      <c r="C919" s="291"/>
    </row>
    <row r="920" spans="1:3">
      <c r="A920" s="289" t="s">
        <v>96</v>
      </c>
      <c r="B920" s="307">
        <f>B$893</f>
        <v>1.5641983109388984</v>
      </c>
      <c r="C920" s="291"/>
    </row>
    <row r="921" spans="1:3">
      <c r="A921" s="289" t="s">
        <v>97</v>
      </c>
      <c r="B921" s="307">
        <f>B$894</f>
        <v>1.5641983109388984</v>
      </c>
      <c r="C921" s="291"/>
    </row>
    <row r="922" spans="1:3">
      <c r="A922" s="289" t="s">
        <v>110</v>
      </c>
      <c r="B922" s="307">
        <f>B$895</f>
        <v>1.4740812427771732</v>
      </c>
      <c r="C922" s="291"/>
    </row>
    <row r="923" spans="1:3">
      <c r="A923" s="289" t="s">
        <v>1536</v>
      </c>
      <c r="B923" s="307">
        <f>B$896</f>
        <v>2.0060635150604322</v>
      </c>
      <c r="C923" s="291"/>
    </row>
    <row r="924" spans="1:3">
      <c r="A924" s="289" t="s">
        <v>1535</v>
      </c>
      <c r="B924" s="307">
        <f>B$897</f>
        <v>1.6761152715571428</v>
      </c>
      <c r="C924" s="291"/>
    </row>
    <row r="925" spans="1:3">
      <c r="A925" s="289" t="s">
        <v>98</v>
      </c>
      <c r="B925" s="307">
        <f>B$898</f>
        <v>1.4773151777774245</v>
      </c>
      <c r="C925" s="291"/>
    </row>
    <row r="926" spans="1:3">
      <c r="A926" s="289" t="s">
        <v>99</v>
      </c>
      <c r="B926" s="307">
        <f>B$899</f>
        <v>1.5330188332217269</v>
      </c>
      <c r="C926" s="291"/>
    </row>
    <row r="927" spans="1:3">
      <c r="A927" s="289" t="s">
        <v>111</v>
      </c>
      <c r="B927" s="307">
        <f>B$900</f>
        <v>1.1924876503845094</v>
      </c>
      <c r="C927" s="291"/>
    </row>
    <row r="928" spans="1:3">
      <c r="A928" s="289" t="s">
        <v>131</v>
      </c>
      <c r="B928" s="307">
        <f>B$901</f>
        <v>1</v>
      </c>
      <c r="C928" s="291"/>
    </row>
    <row r="929" spans="1:6">
      <c r="A929" s="289" t="s">
        <v>132</v>
      </c>
      <c r="B929" s="307">
        <f>B$902</f>
        <v>2.1145922016007237</v>
      </c>
      <c r="C929" s="291"/>
    </row>
    <row r="930" spans="1:6">
      <c r="A930" s="289" t="s">
        <v>133</v>
      </c>
      <c r="B930" s="307">
        <f>B$903</f>
        <v>3.7460491166599725</v>
      </c>
      <c r="C930" s="291"/>
    </row>
    <row r="931" spans="1:6">
      <c r="A931" s="289" t="s">
        <v>134</v>
      </c>
      <c r="B931" s="307">
        <f>B$904</f>
        <v>0</v>
      </c>
      <c r="C931" s="291"/>
    </row>
    <row r="932" spans="1:6">
      <c r="A932" s="289" t="s">
        <v>135</v>
      </c>
      <c r="B932" s="307">
        <f>B$905</f>
        <v>1.9818981142377059</v>
      </c>
      <c r="C932" s="291"/>
    </row>
    <row r="933" spans="1:6">
      <c r="A933" s="289" t="s">
        <v>1534</v>
      </c>
      <c r="B933" s="294">
        <v>-1</v>
      </c>
      <c r="C933" s="291"/>
    </row>
    <row r="934" spans="1:6">
      <c r="A934" s="289" t="s">
        <v>100</v>
      </c>
      <c r="B934" s="294">
        <v>-1</v>
      </c>
      <c r="C934" s="291"/>
    </row>
    <row r="935" spans="1:6">
      <c r="A935" s="289" t="s">
        <v>101</v>
      </c>
      <c r="B935" s="294">
        <v>-1</v>
      </c>
      <c r="C935" s="291"/>
    </row>
    <row r="936" spans="1:6">
      <c r="A936" s="289" t="s">
        <v>102</v>
      </c>
      <c r="B936" s="294">
        <v>-1</v>
      </c>
      <c r="C936" s="291"/>
    </row>
    <row r="937" spans="1:6">
      <c r="A937" s="289" t="s">
        <v>103</v>
      </c>
      <c r="B937" s="294">
        <v>-1</v>
      </c>
      <c r="C937" s="291"/>
    </row>
    <row r="938" spans="1:6">
      <c r="A938" s="289" t="s">
        <v>104</v>
      </c>
      <c r="B938" s="294">
        <v>-1</v>
      </c>
      <c r="C938" s="291"/>
    </row>
    <row r="939" spans="1:6">
      <c r="A939" s="289" t="s">
        <v>112</v>
      </c>
      <c r="B939" s="294">
        <v>-1</v>
      </c>
      <c r="C939" s="291"/>
    </row>
    <row r="940" spans="1:6">
      <c r="A940" s="289" t="s">
        <v>113</v>
      </c>
      <c r="B940" s="294">
        <v>-1</v>
      </c>
      <c r="C940" s="291"/>
    </row>
    <row r="942" spans="1:6" ht="21" customHeight="1">
      <c r="A942" s="1" t="s">
        <v>401</v>
      </c>
    </row>
    <row r="944" spans="1:6">
      <c r="B944" s="288" t="s">
        <v>119</v>
      </c>
      <c r="C944" s="288" t="s">
        <v>120</v>
      </c>
      <c r="D944" s="288" t="s">
        <v>121</v>
      </c>
      <c r="E944" s="288" t="s">
        <v>122</v>
      </c>
      <c r="F944" s="288" t="s">
        <v>123</v>
      </c>
    </row>
    <row r="945" spans="1:7">
      <c r="A945" s="297" t="s">
        <v>146</v>
      </c>
      <c r="G945" s="291"/>
    </row>
    <row r="946" spans="1:7">
      <c r="A946" s="289" t="s">
        <v>92</v>
      </c>
      <c r="B946" s="305">
        <v>1</v>
      </c>
      <c r="C946" s="305">
        <v>0</v>
      </c>
      <c r="D946" s="305">
        <v>0</v>
      </c>
      <c r="E946" s="305">
        <v>0</v>
      </c>
      <c r="F946" s="305">
        <v>0</v>
      </c>
      <c r="G946" s="291"/>
    </row>
    <row r="947" spans="1:7">
      <c r="A947" s="289" t="s">
        <v>147</v>
      </c>
      <c r="B947" s="305">
        <v>0</v>
      </c>
      <c r="C947" s="305">
        <v>1</v>
      </c>
      <c r="D947" s="305">
        <v>0</v>
      </c>
      <c r="E947" s="305">
        <v>0</v>
      </c>
      <c r="F947" s="305">
        <v>0</v>
      </c>
      <c r="G947" s="291"/>
    </row>
    <row r="948" spans="1:7">
      <c r="A948" s="289" t="s">
        <v>148</v>
      </c>
      <c r="B948" s="305">
        <v>0</v>
      </c>
      <c r="C948" s="305">
        <v>0</v>
      </c>
      <c r="D948" s="305">
        <v>1</v>
      </c>
      <c r="E948" s="305">
        <v>0</v>
      </c>
      <c r="F948" s="305">
        <v>0</v>
      </c>
      <c r="G948" s="291"/>
    </row>
    <row r="949" spans="1:7">
      <c r="A949" s="297" t="s">
        <v>149</v>
      </c>
      <c r="G949" s="291"/>
    </row>
    <row r="950" spans="1:7">
      <c r="A950" s="289" t="s">
        <v>93</v>
      </c>
      <c r="B950" s="305">
        <v>1</v>
      </c>
      <c r="C950" s="305">
        <v>0</v>
      </c>
      <c r="D950" s="305">
        <v>0</v>
      </c>
      <c r="E950" s="305">
        <v>0</v>
      </c>
      <c r="F950" s="305">
        <v>0</v>
      </c>
      <c r="G950" s="291"/>
    </row>
    <row r="951" spans="1:7">
      <c r="A951" s="289" t="s">
        <v>150</v>
      </c>
      <c r="B951" s="305">
        <v>0</v>
      </c>
      <c r="C951" s="305">
        <v>1</v>
      </c>
      <c r="D951" s="305">
        <v>0</v>
      </c>
      <c r="E951" s="305">
        <v>0</v>
      </c>
      <c r="F951" s="305">
        <v>0</v>
      </c>
      <c r="G951" s="291"/>
    </row>
    <row r="952" spans="1:7">
      <c r="A952" s="289" t="s">
        <v>151</v>
      </c>
      <c r="B952" s="305">
        <v>0</v>
      </c>
      <c r="C952" s="305">
        <v>0</v>
      </c>
      <c r="D952" s="305">
        <v>1</v>
      </c>
      <c r="E952" s="305">
        <v>0</v>
      </c>
      <c r="F952" s="305">
        <v>0</v>
      </c>
      <c r="G952" s="291"/>
    </row>
    <row r="953" spans="1:7">
      <c r="A953" s="297" t="s">
        <v>152</v>
      </c>
      <c r="G953" s="291"/>
    </row>
    <row r="954" spans="1:7">
      <c r="A954" s="289" t="s">
        <v>129</v>
      </c>
      <c r="B954" s="305">
        <v>1</v>
      </c>
      <c r="C954" s="305">
        <v>0</v>
      </c>
      <c r="D954" s="305">
        <v>0</v>
      </c>
      <c r="E954" s="305">
        <v>0</v>
      </c>
      <c r="F954" s="305">
        <v>0</v>
      </c>
      <c r="G954" s="291"/>
    </row>
    <row r="955" spans="1:7">
      <c r="A955" s="289" t="s">
        <v>153</v>
      </c>
      <c r="B955" s="305">
        <v>0</v>
      </c>
      <c r="C955" s="305">
        <v>1</v>
      </c>
      <c r="D955" s="305">
        <v>0</v>
      </c>
      <c r="E955" s="305">
        <v>0</v>
      </c>
      <c r="F955" s="305">
        <v>0</v>
      </c>
      <c r="G955" s="291"/>
    </row>
    <row r="956" spans="1:7">
      <c r="A956" s="289" t="s">
        <v>154</v>
      </c>
      <c r="B956" s="305">
        <v>0</v>
      </c>
      <c r="C956" s="305">
        <v>0</v>
      </c>
      <c r="D956" s="305">
        <v>1</v>
      </c>
      <c r="E956" s="305">
        <v>0</v>
      </c>
      <c r="F956" s="305">
        <v>0</v>
      </c>
      <c r="G956" s="291"/>
    </row>
    <row r="957" spans="1:7">
      <c r="A957" s="297" t="s">
        <v>155</v>
      </c>
      <c r="G957" s="291"/>
    </row>
    <row r="958" spans="1:7">
      <c r="A958" s="289" t="s">
        <v>94</v>
      </c>
      <c r="B958" s="305">
        <v>1</v>
      </c>
      <c r="C958" s="305">
        <v>0</v>
      </c>
      <c r="D958" s="305">
        <v>0</v>
      </c>
      <c r="E958" s="305">
        <v>0</v>
      </c>
      <c r="F958" s="305">
        <v>0</v>
      </c>
      <c r="G958" s="291"/>
    </row>
    <row r="959" spans="1:7">
      <c r="A959" s="289" t="s">
        <v>156</v>
      </c>
      <c r="B959" s="305">
        <v>0</v>
      </c>
      <c r="C959" s="305">
        <v>1</v>
      </c>
      <c r="D959" s="305">
        <v>0</v>
      </c>
      <c r="E959" s="305">
        <v>0</v>
      </c>
      <c r="F959" s="305">
        <v>0</v>
      </c>
      <c r="G959" s="291"/>
    </row>
    <row r="960" spans="1:7">
      <c r="A960" s="289" t="s">
        <v>157</v>
      </c>
      <c r="B960" s="305">
        <v>0</v>
      </c>
      <c r="C960" s="305">
        <v>0</v>
      </c>
      <c r="D960" s="305">
        <v>1</v>
      </c>
      <c r="E960" s="305">
        <v>0</v>
      </c>
      <c r="F960" s="305">
        <v>0</v>
      </c>
      <c r="G960" s="291"/>
    </row>
    <row r="961" spans="1:7">
      <c r="A961" s="297" t="s">
        <v>158</v>
      </c>
      <c r="G961" s="291"/>
    </row>
    <row r="962" spans="1:7">
      <c r="A962" s="289" t="s">
        <v>95</v>
      </c>
      <c r="B962" s="305">
        <v>1</v>
      </c>
      <c r="C962" s="305">
        <v>0</v>
      </c>
      <c r="D962" s="305">
        <v>0</v>
      </c>
      <c r="E962" s="305">
        <v>0</v>
      </c>
      <c r="F962" s="305">
        <v>0</v>
      </c>
      <c r="G962" s="291"/>
    </row>
    <row r="963" spans="1:7">
      <c r="A963" s="289" t="s">
        <v>159</v>
      </c>
      <c r="B963" s="305">
        <v>0</v>
      </c>
      <c r="C963" s="305">
        <v>1</v>
      </c>
      <c r="D963" s="305">
        <v>0</v>
      </c>
      <c r="E963" s="305">
        <v>0</v>
      </c>
      <c r="F963" s="305">
        <v>0</v>
      </c>
      <c r="G963" s="291"/>
    </row>
    <row r="964" spans="1:7">
      <c r="A964" s="289" t="s">
        <v>160</v>
      </c>
      <c r="B964" s="305">
        <v>0</v>
      </c>
      <c r="C964" s="305">
        <v>0</v>
      </c>
      <c r="D964" s="305">
        <v>1</v>
      </c>
      <c r="E964" s="305">
        <v>0</v>
      </c>
      <c r="F964" s="305">
        <v>0</v>
      </c>
      <c r="G964" s="291"/>
    </row>
    <row r="965" spans="1:7">
      <c r="A965" s="297" t="s">
        <v>161</v>
      </c>
      <c r="G965" s="291"/>
    </row>
    <row r="966" spans="1:7">
      <c r="A966" s="289" t="s">
        <v>130</v>
      </c>
      <c r="B966" s="305">
        <v>1</v>
      </c>
      <c r="C966" s="305">
        <v>0</v>
      </c>
      <c r="D966" s="305">
        <v>0</v>
      </c>
      <c r="E966" s="305">
        <v>0</v>
      </c>
      <c r="F966" s="305">
        <v>0</v>
      </c>
      <c r="G966" s="291"/>
    </row>
    <row r="967" spans="1:7" ht="30">
      <c r="A967" s="289" t="s">
        <v>162</v>
      </c>
      <c r="B967" s="305">
        <v>0</v>
      </c>
      <c r="C967" s="305">
        <v>1</v>
      </c>
      <c r="D967" s="305">
        <v>0</v>
      </c>
      <c r="E967" s="305">
        <v>0</v>
      </c>
      <c r="F967" s="305">
        <v>0</v>
      </c>
      <c r="G967" s="291"/>
    </row>
    <row r="968" spans="1:7" ht="30">
      <c r="A968" s="289" t="s">
        <v>163</v>
      </c>
      <c r="B968" s="305">
        <v>0</v>
      </c>
      <c r="C968" s="305">
        <v>0</v>
      </c>
      <c r="D968" s="305">
        <v>1</v>
      </c>
      <c r="E968" s="305">
        <v>0</v>
      </c>
      <c r="F968" s="305">
        <v>0</v>
      </c>
      <c r="G968" s="291"/>
    </row>
    <row r="969" spans="1:7">
      <c r="A969" s="297" t="s">
        <v>164</v>
      </c>
      <c r="G969" s="291"/>
    </row>
    <row r="970" spans="1:7">
      <c r="A970" s="289" t="s">
        <v>96</v>
      </c>
      <c r="B970" s="305">
        <v>1</v>
      </c>
      <c r="C970" s="305">
        <v>0</v>
      </c>
      <c r="D970" s="305">
        <v>0</v>
      </c>
      <c r="E970" s="305">
        <v>0</v>
      </c>
      <c r="F970" s="305">
        <v>0</v>
      </c>
      <c r="G970" s="291"/>
    </row>
    <row r="971" spans="1:7">
      <c r="A971" s="289" t="s">
        <v>165</v>
      </c>
      <c r="B971" s="305">
        <v>0</v>
      </c>
      <c r="C971" s="305">
        <v>1</v>
      </c>
      <c r="D971" s="305">
        <v>0</v>
      </c>
      <c r="E971" s="305">
        <v>0</v>
      </c>
      <c r="F971" s="305">
        <v>0</v>
      </c>
      <c r="G971" s="291"/>
    </row>
    <row r="972" spans="1:7">
      <c r="A972" s="289" t="s">
        <v>166</v>
      </c>
      <c r="B972" s="305">
        <v>0</v>
      </c>
      <c r="C972" s="305">
        <v>0</v>
      </c>
      <c r="D972" s="305">
        <v>1</v>
      </c>
      <c r="E972" s="305">
        <v>0</v>
      </c>
      <c r="F972" s="305">
        <v>0</v>
      </c>
      <c r="G972" s="291"/>
    </row>
    <row r="973" spans="1:7">
      <c r="A973" s="297" t="s">
        <v>167</v>
      </c>
      <c r="G973" s="291"/>
    </row>
    <row r="974" spans="1:7">
      <c r="A974" s="289" t="s">
        <v>97</v>
      </c>
      <c r="B974" s="305">
        <v>1</v>
      </c>
      <c r="C974" s="305">
        <v>0</v>
      </c>
      <c r="D974" s="305">
        <v>0</v>
      </c>
      <c r="E974" s="305">
        <v>0</v>
      </c>
      <c r="F974" s="305">
        <v>0</v>
      </c>
      <c r="G974" s="291"/>
    </row>
    <row r="975" spans="1:7">
      <c r="A975" s="297" t="s">
        <v>168</v>
      </c>
      <c r="G975" s="291"/>
    </row>
    <row r="976" spans="1:7">
      <c r="A976" s="289" t="s">
        <v>110</v>
      </c>
      <c r="B976" s="305">
        <v>1</v>
      </c>
      <c r="C976" s="305">
        <v>0</v>
      </c>
      <c r="D976" s="305">
        <v>0</v>
      </c>
      <c r="E976" s="305">
        <v>0</v>
      </c>
      <c r="F976" s="305">
        <v>0</v>
      </c>
      <c r="G976" s="291"/>
    </row>
    <row r="977" spans="1:7">
      <c r="A977" s="297" t="s">
        <v>1539</v>
      </c>
      <c r="G977" s="291"/>
    </row>
    <row r="978" spans="1:7">
      <c r="A978" s="289" t="s">
        <v>1536</v>
      </c>
      <c r="B978" s="305">
        <v>1</v>
      </c>
      <c r="C978" s="305">
        <v>0</v>
      </c>
      <c r="D978" s="305">
        <v>0</v>
      </c>
      <c r="E978" s="305">
        <v>0</v>
      </c>
      <c r="F978" s="305">
        <v>0</v>
      </c>
      <c r="G978" s="291"/>
    </row>
    <row r="979" spans="1:7">
      <c r="A979" s="289" t="s">
        <v>1533</v>
      </c>
      <c r="B979" s="305">
        <v>0</v>
      </c>
      <c r="C979" s="305">
        <v>1</v>
      </c>
      <c r="D979" s="305">
        <v>0</v>
      </c>
      <c r="E979" s="305">
        <v>0</v>
      </c>
      <c r="F979" s="305">
        <v>0</v>
      </c>
      <c r="G979" s="291"/>
    </row>
    <row r="980" spans="1:7">
      <c r="A980" s="289" t="s">
        <v>1530</v>
      </c>
      <c r="B980" s="305">
        <v>0</v>
      </c>
      <c r="C980" s="305">
        <v>0</v>
      </c>
      <c r="D980" s="305">
        <v>1</v>
      </c>
      <c r="E980" s="305">
        <v>0</v>
      </c>
      <c r="F980" s="305">
        <v>0</v>
      </c>
      <c r="G980" s="291"/>
    </row>
    <row r="981" spans="1:7">
      <c r="A981" s="297" t="s">
        <v>1538</v>
      </c>
      <c r="G981" s="291"/>
    </row>
    <row r="982" spans="1:7">
      <c r="A982" s="289" t="s">
        <v>1535</v>
      </c>
      <c r="B982" s="305">
        <v>1</v>
      </c>
      <c r="C982" s="305">
        <v>0</v>
      </c>
      <c r="D982" s="305">
        <v>0</v>
      </c>
      <c r="E982" s="305">
        <v>0</v>
      </c>
      <c r="F982" s="305">
        <v>0</v>
      </c>
      <c r="G982" s="291"/>
    </row>
    <row r="983" spans="1:7">
      <c r="A983" s="289" t="s">
        <v>1532</v>
      </c>
      <c r="B983" s="305">
        <v>0</v>
      </c>
      <c r="C983" s="305">
        <v>1</v>
      </c>
      <c r="D983" s="305">
        <v>0</v>
      </c>
      <c r="E983" s="305">
        <v>0</v>
      </c>
      <c r="F983" s="305">
        <v>0</v>
      </c>
      <c r="G983" s="291"/>
    </row>
    <row r="984" spans="1:7">
      <c r="A984" s="289" t="s">
        <v>1529</v>
      </c>
      <c r="B984" s="305">
        <v>0</v>
      </c>
      <c r="C984" s="305">
        <v>0</v>
      </c>
      <c r="D984" s="305">
        <v>1</v>
      </c>
      <c r="E984" s="305">
        <v>0</v>
      </c>
      <c r="F984" s="305">
        <v>0</v>
      </c>
      <c r="G984" s="291"/>
    </row>
    <row r="985" spans="1:7">
      <c r="A985" s="297" t="s">
        <v>169</v>
      </c>
      <c r="G985" s="291"/>
    </row>
    <row r="986" spans="1:7">
      <c r="A986" s="289" t="s">
        <v>98</v>
      </c>
      <c r="B986" s="305">
        <v>1</v>
      </c>
      <c r="C986" s="305">
        <v>0</v>
      </c>
      <c r="D986" s="305">
        <v>0</v>
      </c>
      <c r="E986" s="305">
        <v>0</v>
      </c>
      <c r="F986" s="305">
        <v>0</v>
      </c>
      <c r="G986" s="291"/>
    </row>
    <row r="987" spans="1:7">
      <c r="A987" s="289" t="s">
        <v>170</v>
      </c>
      <c r="B987" s="305">
        <v>0</v>
      </c>
      <c r="C987" s="305">
        <v>1</v>
      </c>
      <c r="D987" s="305">
        <v>0</v>
      </c>
      <c r="E987" s="305">
        <v>0</v>
      </c>
      <c r="F987" s="305">
        <v>0</v>
      </c>
      <c r="G987" s="291"/>
    </row>
    <row r="988" spans="1:7">
      <c r="A988" s="289" t="s">
        <v>171</v>
      </c>
      <c r="B988" s="305">
        <v>0</v>
      </c>
      <c r="C988" s="305">
        <v>0</v>
      </c>
      <c r="D988" s="305">
        <v>1</v>
      </c>
      <c r="E988" s="305">
        <v>0</v>
      </c>
      <c r="F988" s="305">
        <v>0</v>
      </c>
      <c r="G988" s="291"/>
    </row>
    <row r="989" spans="1:7">
      <c r="A989" s="297" t="s">
        <v>172</v>
      </c>
      <c r="G989" s="291"/>
    </row>
    <row r="990" spans="1:7">
      <c r="A990" s="289" t="s">
        <v>99</v>
      </c>
      <c r="B990" s="305">
        <v>1</v>
      </c>
      <c r="C990" s="305">
        <v>0</v>
      </c>
      <c r="D990" s="305">
        <v>0</v>
      </c>
      <c r="E990" s="305">
        <v>0</v>
      </c>
      <c r="F990" s="305">
        <v>0</v>
      </c>
      <c r="G990" s="291"/>
    </row>
    <row r="991" spans="1:7">
      <c r="A991" s="289" t="s">
        <v>173</v>
      </c>
      <c r="B991" s="305">
        <v>0</v>
      </c>
      <c r="C991" s="305">
        <v>0</v>
      </c>
      <c r="D991" s="305">
        <v>0</v>
      </c>
      <c r="E991" s="305">
        <v>1</v>
      </c>
      <c r="F991" s="305">
        <v>0</v>
      </c>
      <c r="G991" s="291"/>
    </row>
    <row r="992" spans="1:7">
      <c r="A992" s="297" t="s">
        <v>174</v>
      </c>
      <c r="G992" s="291"/>
    </row>
    <row r="993" spans="1:7">
      <c r="A993" s="289" t="s">
        <v>111</v>
      </c>
      <c r="B993" s="305">
        <v>1</v>
      </c>
      <c r="C993" s="305">
        <v>0</v>
      </c>
      <c r="D993" s="305">
        <v>0</v>
      </c>
      <c r="E993" s="305">
        <v>0</v>
      </c>
      <c r="F993" s="305">
        <v>0</v>
      </c>
      <c r="G993" s="291"/>
    </row>
    <row r="994" spans="1:7">
      <c r="A994" s="289" t="s">
        <v>175</v>
      </c>
      <c r="B994" s="305">
        <v>0</v>
      </c>
      <c r="C994" s="305">
        <v>0</v>
      </c>
      <c r="D994" s="305">
        <v>0</v>
      </c>
      <c r="E994" s="305">
        <v>0</v>
      </c>
      <c r="F994" s="305">
        <v>1</v>
      </c>
      <c r="G994" s="291"/>
    </row>
    <row r="995" spans="1:7">
      <c r="A995" s="297" t="s">
        <v>176</v>
      </c>
      <c r="G995" s="291"/>
    </row>
    <row r="996" spans="1:7">
      <c r="A996" s="289" t="s">
        <v>131</v>
      </c>
      <c r="B996" s="305">
        <v>1</v>
      </c>
      <c r="C996" s="305">
        <v>0</v>
      </c>
      <c r="D996" s="305">
        <v>0</v>
      </c>
      <c r="E996" s="305">
        <v>0</v>
      </c>
      <c r="F996" s="305">
        <v>0</v>
      </c>
      <c r="G996" s="291"/>
    </row>
    <row r="997" spans="1:7">
      <c r="A997" s="289" t="s">
        <v>177</v>
      </c>
      <c r="B997" s="305">
        <v>0</v>
      </c>
      <c r="C997" s="305">
        <v>1</v>
      </c>
      <c r="D997" s="305">
        <v>0</v>
      </c>
      <c r="E997" s="305">
        <v>0</v>
      </c>
      <c r="F997" s="305">
        <v>0</v>
      </c>
      <c r="G997" s="291"/>
    </row>
    <row r="998" spans="1:7">
      <c r="A998" s="289" t="s">
        <v>178</v>
      </c>
      <c r="B998" s="305">
        <v>0</v>
      </c>
      <c r="C998" s="305">
        <v>0</v>
      </c>
      <c r="D998" s="305">
        <v>1</v>
      </c>
      <c r="E998" s="305">
        <v>0</v>
      </c>
      <c r="F998" s="305">
        <v>0</v>
      </c>
      <c r="G998" s="291"/>
    </row>
    <row r="999" spans="1:7">
      <c r="A999" s="297" t="s">
        <v>179</v>
      </c>
      <c r="G999" s="291"/>
    </row>
    <row r="1000" spans="1:7">
      <c r="A1000" s="289" t="s">
        <v>132</v>
      </c>
      <c r="B1000" s="305">
        <v>1</v>
      </c>
      <c r="C1000" s="305">
        <v>0</v>
      </c>
      <c r="D1000" s="305">
        <v>0</v>
      </c>
      <c r="E1000" s="305">
        <v>0</v>
      </c>
      <c r="F1000" s="305">
        <v>0</v>
      </c>
      <c r="G1000" s="291"/>
    </row>
    <row r="1001" spans="1:7">
      <c r="A1001" s="289" t="s">
        <v>180</v>
      </c>
      <c r="B1001" s="305">
        <v>0</v>
      </c>
      <c r="C1001" s="305">
        <v>1</v>
      </c>
      <c r="D1001" s="305">
        <v>0</v>
      </c>
      <c r="E1001" s="305">
        <v>0</v>
      </c>
      <c r="F1001" s="305">
        <v>0</v>
      </c>
      <c r="G1001" s="291"/>
    </row>
    <row r="1002" spans="1:7">
      <c r="A1002" s="289" t="s">
        <v>181</v>
      </c>
      <c r="B1002" s="305">
        <v>0</v>
      </c>
      <c r="C1002" s="305">
        <v>0</v>
      </c>
      <c r="D1002" s="305">
        <v>1</v>
      </c>
      <c r="E1002" s="305">
        <v>0</v>
      </c>
      <c r="F1002" s="305">
        <v>0</v>
      </c>
      <c r="G1002" s="291"/>
    </row>
    <row r="1003" spans="1:7">
      <c r="A1003" s="297" t="s">
        <v>182</v>
      </c>
      <c r="G1003" s="291"/>
    </row>
    <row r="1004" spans="1:7">
      <c r="A1004" s="289" t="s">
        <v>133</v>
      </c>
      <c r="B1004" s="305">
        <v>1</v>
      </c>
      <c r="C1004" s="305">
        <v>0</v>
      </c>
      <c r="D1004" s="305">
        <v>0</v>
      </c>
      <c r="E1004" s="305">
        <v>0</v>
      </c>
      <c r="F1004" s="305">
        <v>0</v>
      </c>
      <c r="G1004" s="291"/>
    </row>
    <row r="1005" spans="1:7">
      <c r="A1005" s="289" t="s">
        <v>183</v>
      </c>
      <c r="B1005" s="305">
        <v>0</v>
      </c>
      <c r="C1005" s="305">
        <v>1</v>
      </c>
      <c r="D1005" s="305">
        <v>0</v>
      </c>
      <c r="E1005" s="305">
        <v>0</v>
      </c>
      <c r="F1005" s="305">
        <v>0</v>
      </c>
      <c r="G1005" s="291"/>
    </row>
    <row r="1006" spans="1:7">
      <c r="A1006" s="289" t="s">
        <v>184</v>
      </c>
      <c r="B1006" s="305">
        <v>0</v>
      </c>
      <c r="C1006" s="305">
        <v>0</v>
      </c>
      <c r="D1006" s="305">
        <v>1</v>
      </c>
      <c r="E1006" s="305">
        <v>0</v>
      </c>
      <c r="F1006" s="305">
        <v>0</v>
      </c>
      <c r="G1006" s="291"/>
    </row>
    <row r="1007" spans="1:7">
      <c r="A1007" s="297" t="s">
        <v>185</v>
      </c>
      <c r="G1007" s="291"/>
    </row>
    <row r="1008" spans="1:7">
      <c r="A1008" s="289" t="s">
        <v>134</v>
      </c>
      <c r="B1008" s="305">
        <v>1</v>
      </c>
      <c r="C1008" s="305">
        <v>0</v>
      </c>
      <c r="D1008" s="305">
        <v>0</v>
      </c>
      <c r="E1008" s="305">
        <v>0</v>
      </c>
      <c r="F1008" s="305">
        <v>0</v>
      </c>
      <c r="G1008" s="291"/>
    </row>
    <row r="1009" spans="1:7">
      <c r="A1009" s="289" t="s">
        <v>186</v>
      </c>
      <c r="B1009" s="305">
        <v>0</v>
      </c>
      <c r="C1009" s="305">
        <v>1</v>
      </c>
      <c r="D1009" s="305">
        <v>0</v>
      </c>
      <c r="E1009" s="305">
        <v>0</v>
      </c>
      <c r="F1009" s="305">
        <v>0</v>
      </c>
      <c r="G1009" s="291"/>
    </row>
    <row r="1010" spans="1:7">
      <c r="A1010" s="289" t="s">
        <v>187</v>
      </c>
      <c r="B1010" s="305">
        <v>0</v>
      </c>
      <c r="C1010" s="305">
        <v>0</v>
      </c>
      <c r="D1010" s="305">
        <v>1</v>
      </c>
      <c r="E1010" s="305">
        <v>0</v>
      </c>
      <c r="F1010" s="305">
        <v>0</v>
      </c>
      <c r="G1010" s="291"/>
    </row>
    <row r="1011" spans="1:7">
      <c r="A1011" s="297" t="s">
        <v>188</v>
      </c>
      <c r="G1011" s="291"/>
    </row>
    <row r="1012" spans="1:7">
      <c r="A1012" s="289" t="s">
        <v>135</v>
      </c>
      <c r="B1012" s="305">
        <v>1</v>
      </c>
      <c r="C1012" s="305">
        <v>0</v>
      </c>
      <c r="D1012" s="305">
        <v>0</v>
      </c>
      <c r="E1012" s="305">
        <v>0</v>
      </c>
      <c r="F1012" s="305">
        <v>0</v>
      </c>
      <c r="G1012" s="291"/>
    </row>
    <row r="1013" spans="1:7">
      <c r="A1013" s="289" t="s">
        <v>189</v>
      </c>
      <c r="B1013" s="305">
        <v>0</v>
      </c>
      <c r="C1013" s="305">
        <v>1</v>
      </c>
      <c r="D1013" s="305">
        <v>0</v>
      </c>
      <c r="E1013" s="305">
        <v>0</v>
      </c>
      <c r="F1013" s="305">
        <v>0</v>
      </c>
      <c r="G1013" s="291"/>
    </row>
    <row r="1014" spans="1:7">
      <c r="A1014" s="289" t="s">
        <v>190</v>
      </c>
      <c r="B1014" s="305">
        <v>0</v>
      </c>
      <c r="C1014" s="305">
        <v>0</v>
      </c>
      <c r="D1014" s="305">
        <v>1</v>
      </c>
      <c r="E1014" s="305">
        <v>0</v>
      </c>
      <c r="F1014" s="305">
        <v>0</v>
      </c>
      <c r="G1014" s="291"/>
    </row>
    <row r="1015" spans="1:7">
      <c r="A1015" s="297" t="s">
        <v>1537</v>
      </c>
      <c r="G1015" s="291"/>
    </row>
    <row r="1016" spans="1:7">
      <c r="A1016" s="289" t="s">
        <v>1534</v>
      </c>
      <c r="B1016" s="305">
        <v>1</v>
      </c>
      <c r="C1016" s="305">
        <v>0</v>
      </c>
      <c r="D1016" s="305">
        <v>0</v>
      </c>
      <c r="E1016" s="305">
        <v>0</v>
      </c>
      <c r="F1016" s="305">
        <v>0</v>
      </c>
      <c r="G1016" s="291"/>
    </row>
    <row r="1017" spans="1:7">
      <c r="A1017" s="289" t="s">
        <v>1531</v>
      </c>
      <c r="B1017" s="305">
        <v>1</v>
      </c>
      <c r="C1017" s="305">
        <v>0</v>
      </c>
      <c r="D1017" s="305">
        <v>0</v>
      </c>
      <c r="E1017" s="305">
        <v>0</v>
      </c>
      <c r="F1017" s="305">
        <v>0</v>
      </c>
      <c r="G1017" s="291"/>
    </row>
    <row r="1018" spans="1:7">
      <c r="A1018" s="289" t="s">
        <v>1528</v>
      </c>
      <c r="B1018" s="305">
        <v>1</v>
      </c>
      <c r="C1018" s="305">
        <v>0</v>
      </c>
      <c r="D1018" s="305">
        <v>0</v>
      </c>
      <c r="E1018" s="305">
        <v>0</v>
      </c>
      <c r="F1018" s="305">
        <v>0</v>
      </c>
      <c r="G1018" s="291"/>
    </row>
    <row r="1019" spans="1:7">
      <c r="A1019" s="297" t="s">
        <v>191</v>
      </c>
      <c r="G1019" s="291"/>
    </row>
    <row r="1020" spans="1:7">
      <c r="A1020" s="289" t="s">
        <v>100</v>
      </c>
      <c r="B1020" s="305">
        <v>1</v>
      </c>
      <c r="C1020" s="305">
        <v>0</v>
      </c>
      <c r="D1020" s="305">
        <v>0</v>
      </c>
      <c r="E1020" s="305">
        <v>0</v>
      </c>
      <c r="F1020" s="305">
        <v>0</v>
      </c>
      <c r="G1020" s="291"/>
    </row>
    <row r="1021" spans="1:7">
      <c r="A1021" s="289" t="s">
        <v>192</v>
      </c>
      <c r="B1021" s="305">
        <v>1</v>
      </c>
      <c r="C1021" s="305">
        <v>0</v>
      </c>
      <c r="D1021" s="305">
        <v>0</v>
      </c>
      <c r="E1021" s="305">
        <v>0</v>
      </c>
      <c r="F1021" s="305">
        <v>0</v>
      </c>
      <c r="G1021" s="291"/>
    </row>
    <row r="1022" spans="1:7">
      <c r="A1022" s="297" t="s">
        <v>193</v>
      </c>
      <c r="G1022" s="291"/>
    </row>
    <row r="1023" spans="1:7">
      <c r="A1023" s="289" t="s">
        <v>101</v>
      </c>
      <c r="B1023" s="305">
        <v>1</v>
      </c>
      <c r="C1023" s="305">
        <v>0</v>
      </c>
      <c r="D1023" s="305">
        <v>0</v>
      </c>
      <c r="E1023" s="305">
        <v>0</v>
      </c>
      <c r="F1023" s="305">
        <v>0</v>
      </c>
      <c r="G1023" s="291"/>
    </row>
    <row r="1024" spans="1:7">
      <c r="A1024" s="289" t="s">
        <v>194</v>
      </c>
      <c r="B1024" s="305">
        <v>1</v>
      </c>
      <c r="C1024" s="305">
        <v>0</v>
      </c>
      <c r="D1024" s="305">
        <v>0</v>
      </c>
      <c r="E1024" s="305">
        <v>0</v>
      </c>
      <c r="F1024" s="305">
        <v>0</v>
      </c>
      <c r="G1024" s="291"/>
    </row>
    <row r="1025" spans="1:7">
      <c r="A1025" s="289" t="s">
        <v>195</v>
      </c>
      <c r="B1025" s="305">
        <v>1</v>
      </c>
      <c r="C1025" s="305">
        <v>0</v>
      </c>
      <c r="D1025" s="305">
        <v>0</v>
      </c>
      <c r="E1025" s="305">
        <v>0</v>
      </c>
      <c r="F1025" s="305">
        <v>0</v>
      </c>
      <c r="G1025" s="291"/>
    </row>
    <row r="1026" spans="1:7">
      <c r="A1026" s="297" t="s">
        <v>196</v>
      </c>
      <c r="G1026" s="291"/>
    </row>
    <row r="1027" spans="1:7">
      <c r="A1027" s="289" t="s">
        <v>102</v>
      </c>
      <c r="B1027" s="305">
        <v>1</v>
      </c>
      <c r="C1027" s="305">
        <v>0</v>
      </c>
      <c r="D1027" s="305">
        <v>0</v>
      </c>
      <c r="E1027" s="305">
        <v>0</v>
      </c>
      <c r="F1027" s="305">
        <v>0</v>
      </c>
      <c r="G1027" s="291"/>
    </row>
    <row r="1028" spans="1:7">
      <c r="A1028" s="289" t="s">
        <v>197</v>
      </c>
      <c r="B1028" s="305">
        <v>1</v>
      </c>
      <c r="C1028" s="305">
        <v>0</v>
      </c>
      <c r="D1028" s="305">
        <v>0</v>
      </c>
      <c r="E1028" s="305">
        <v>0</v>
      </c>
      <c r="F1028" s="305">
        <v>0</v>
      </c>
      <c r="G1028" s="291"/>
    </row>
    <row r="1029" spans="1:7">
      <c r="A1029" s="289" t="s">
        <v>198</v>
      </c>
      <c r="B1029" s="305">
        <v>1</v>
      </c>
      <c r="C1029" s="305">
        <v>0</v>
      </c>
      <c r="D1029" s="305">
        <v>0</v>
      </c>
      <c r="E1029" s="305">
        <v>0</v>
      </c>
      <c r="F1029" s="305">
        <v>0</v>
      </c>
      <c r="G1029" s="291"/>
    </row>
    <row r="1030" spans="1:7">
      <c r="A1030" s="297" t="s">
        <v>199</v>
      </c>
      <c r="G1030" s="291"/>
    </row>
    <row r="1031" spans="1:7">
      <c r="A1031" s="289" t="s">
        <v>103</v>
      </c>
      <c r="B1031" s="305">
        <v>1</v>
      </c>
      <c r="C1031" s="305">
        <v>0</v>
      </c>
      <c r="D1031" s="305">
        <v>0</v>
      </c>
      <c r="E1031" s="305">
        <v>0</v>
      </c>
      <c r="F1031" s="305">
        <v>0</v>
      </c>
      <c r="G1031" s="291"/>
    </row>
    <row r="1032" spans="1:7">
      <c r="A1032" s="289" t="s">
        <v>200</v>
      </c>
      <c r="B1032" s="305">
        <v>1</v>
      </c>
      <c r="C1032" s="305">
        <v>0</v>
      </c>
      <c r="D1032" s="305">
        <v>0</v>
      </c>
      <c r="E1032" s="305">
        <v>0</v>
      </c>
      <c r="F1032" s="305">
        <v>0</v>
      </c>
      <c r="G1032" s="291"/>
    </row>
    <row r="1033" spans="1:7">
      <c r="A1033" s="297" t="s">
        <v>201</v>
      </c>
      <c r="G1033" s="291"/>
    </row>
    <row r="1034" spans="1:7">
      <c r="A1034" s="289" t="s">
        <v>104</v>
      </c>
      <c r="B1034" s="305">
        <v>1</v>
      </c>
      <c r="C1034" s="305">
        <v>0</v>
      </c>
      <c r="D1034" s="305">
        <v>0</v>
      </c>
      <c r="E1034" s="305">
        <v>0</v>
      </c>
      <c r="F1034" s="305">
        <v>0</v>
      </c>
      <c r="G1034" s="291"/>
    </row>
    <row r="1035" spans="1:7">
      <c r="A1035" s="289" t="s">
        <v>202</v>
      </c>
      <c r="B1035" s="305">
        <v>1</v>
      </c>
      <c r="C1035" s="305">
        <v>0</v>
      </c>
      <c r="D1035" s="305">
        <v>0</v>
      </c>
      <c r="E1035" s="305">
        <v>0</v>
      </c>
      <c r="F1035" s="305">
        <v>0</v>
      </c>
      <c r="G1035" s="291"/>
    </row>
    <row r="1036" spans="1:7">
      <c r="A1036" s="297" t="s">
        <v>203</v>
      </c>
      <c r="G1036" s="291"/>
    </row>
    <row r="1037" spans="1:7">
      <c r="A1037" s="289" t="s">
        <v>112</v>
      </c>
      <c r="B1037" s="305">
        <v>1</v>
      </c>
      <c r="C1037" s="305">
        <v>0</v>
      </c>
      <c r="D1037" s="305">
        <v>0</v>
      </c>
      <c r="E1037" s="305">
        <v>0</v>
      </c>
      <c r="F1037" s="305">
        <v>0</v>
      </c>
      <c r="G1037" s="291"/>
    </row>
    <row r="1038" spans="1:7">
      <c r="A1038" s="289" t="s">
        <v>204</v>
      </c>
      <c r="B1038" s="305">
        <v>1</v>
      </c>
      <c r="C1038" s="305">
        <v>0</v>
      </c>
      <c r="D1038" s="305">
        <v>0</v>
      </c>
      <c r="E1038" s="305">
        <v>0</v>
      </c>
      <c r="F1038" s="305">
        <v>0</v>
      </c>
      <c r="G1038" s="291"/>
    </row>
    <row r="1039" spans="1:7">
      <c r="A1039" s="297" t="s">
        <v>205</v>
      </c>
      <c r="G1039" s="291"/>
    </row>
    <row r="1040" spans="1:7">
      <c r="A1040" s="289" t="s">
        <v>113</v>
      </c>
      <c r="B1040" s="305">
        <v>1</v>
      </c>
      <c r="C1040" s="305">
        <v>0</v>
      </c>
      <c r="D1040" s="305">
        <v>0</v>
      </c>
      <c r="E1040" s="305">
        <v>0</v>
      </c>
      <c r="F1040" s="305">
        <v>0</v>
      </c>
      <c r="G1040" s="291"/>
    </row>
    <row r="1041" spans="1:9">
      <c r="A1041" s="289" t="s">
        <v>206</v>
      </c>
      <c r="B1041" s="305">
        <v>1</v>
      </c>
      <c r="C1041" s="305">
        <v>0</v>
      </c>
      <c r="D1041" s="305">
        <v>0</v>
      </c>
      <c r="E1041" s="305">
        <v>0</v>
      </c>
      <c r="F1041" s="305">
        <v>0</v>
      </c>
      <c r="G1041" s="291"/>
    </row>
    <row r="1043" spans="1:9" ht="21" customHeight="1">
      <c r="A1043" s="1" t="s">
        <v>402</v>
      </c>
    </row>
    <row r="1044" spans="1:9">
      <c r="A1044" s="287" t="s">
        <v>255</v>
      </c>
    </row>
    <row r="1045" spans="1:9">
      <c r="A1045" s="301" t="s">
        <v>403</v>
      </c>
    </row>
    <row r="1046" spans="1:9">
      <c r="A1046" s="301" t="s">
        <v>404</v>
      </c>
    </row>
    <row r="1047" spans="1:9">
      <c r="A1047" s="287" t="s">
        <v>405</v>
      </c>
    </row>
    <row r="1048" spans="1:9">
      <c r="A1048" s="301" t="s">
        <v>406</v>
      </c>
    </row>
    <row r="1049" spans="1:9">
      <c r="A1049" s="301" t="s">
        <v>407</v>
      </c>
    </row>
    <row r="1050" spans="1:9">
      <c r="A1050" s="301" t="s">
        <v>408</v>
      </c>
    </row>
    <row r="1051" spans="1:9">
      <c r="A1051" s="301" t="s">
        <v>409</v>
      </c>
    </row>
    <row r="1052" spans="1:9">
      <c r="A1052" s="301" t="s">
        <v>410</v>
      </c>
    </row>
    <row r="1053" spans="1:9">
      <c r="A1053" s="301" t="s">
        <v>411</v>
      </c>
    </row>
    <row r="1054" spans="1:9">
      <c r="A1054" s="301" t="s">
        <v>412</v>
      </c>
    </row>
    <row r="1055" spans="1:9">
      <c r="A1055" s="301" t="s">
        <v>413</v>
      </c>
    </row>
    <row r="1056" spans="1:9">
      <c r="A1056" s="302" t="s">
        <v>258</v>
      </c>
      <c r="B1056" s="302" t="s">
        <v>260</v>
      </c>
      <c r="C1056" s="302" t="s">
        <v>414</v>
      </c>
      <c r="D1056" s="302" t="s">
        <v>380</v>
      </c>
      <c r="E1056" s="302" t="s">
        <v>380</v>
      </c>
      <c r="F1056" s="302" t="s">
        <v>380</v>
      </c>
      <c r="G1056" s="302" t="s">
        <v>380</v>
      </c>
      <c r="H1056" s="302" t="s">
        <v>380</v>
      </c>
      <c r="I1056" s="302" t="s">
        <v>380</v>
      </c>
    </row>
    <row r="1057" spans="1:10">
      <c r="A1057" s="302" t="s">
        <v>261</v>
      </c>
      <c r="B1057" s="302" t="s">
        <v>263</v>
      </c>
      <c r="C1057" s="302" t="s">
        <v>415</v>
      </c>
      <c r="D1057" s="302" t="s">
        <v>416</v>
      </c>
      <c r="E1057" s="302" t="s">
        <v>417</v>
      </c>
      <c r="F1057" s="302" t="s">
        <v>418</v>
      </c>
      <c r="G1057" s="302" t="s">
        <v>419</v>
      </c>
      <c r="H1057" s="302" t="s">
        <v>420</v>
      </c>
      <c r="I1057" s="302" t="s">
        <v>421</v>
      </c>
    </row>
    <row r="1059" spans="1:10" ht="30">
      <c r="B1059" s="288" t="s">
        <v>422</v>
      </c>
      <c r="C1059" s="288" t="s">
        <v>423</v>
      </c>
      <c r="D1059" s="288" t="s">
        <v>140</v>
      </c>
      <c r="E1059" s="288" t="s">
        <v>141</v>
      </c>
      <c r="F1059" s="288" t="s">
        <v>142</v>
      </c>
      <c r="G1059" s="288" t="s">
        <v>143</v>
      </c>
      <c r="H1059" s="288" t="s">
        <v>144</v>
      </c>
      <c r="I1059" s="288" t="s">
        <v>145</v>
      </c>
    </row>
    <row r="1060" spans="1:10">
      <c r="A1060" s="297" t="s">
        <v>146</v>
      </c>
      <c r="J1060" s="291"/>
    </row>
    <row r="1061" spans="1:10">
      <c r="A1061" s="289" t="s">
        <v>92</v>
      </c>
      <c r="B1061" s="308">
        <f>SUMPRODUCT($B946:$F946,$B$110:$F$110)</f>
        <v>0</v>
      </c>
      <c r="C1061" s="311">
        <f>B1061</f>
        <v>0</v>
      </c>
      <c r="D1061" s="306">
        <f>B143*(1-B1061)</f>
        <v>7006599.2032143781</v>
      </c>
      <c r="E1061" s="306">
        <f>C143*(1-B1061)</f>
        <v>0</v>
      </c>
      <c r="F1061" s="306">
        <f t="shared" ref="F1061:G1063" si="74">D143*(1-B1061)</f>
        <v>0</v>
      </c>
      <c r="G1061" s="306">
        <f t="shared" si="74"/>
        <v>1967400.2028794924</v>
      </c>
      <c r="H1061" s="306">
        <f>F143*(1-B1061)</f>
        <v>0</v>
      </c>
      <c r="I1061" s="306">
        <f>G143*(1-B1061)</f>
        <v>0</v>
      </c>
      <c r="J1061" s="291"/>
    </row>
    <row r="1062" spans="1:10">
      <c r="A1062" s="289" t="s">
        <v>147</v>
      </c>
      <c r="B1062" s="308">
        <f>SUMPRODUCT($B947:$F947,$B$110:$F$110)</f>
        <v>0.33064254054995224</v>
      </c>
      <c r="C1062" s="311">
        <f>B1062</f>
        <v>0.33064254054995224</v>
      </c>
      <c r="D1062" s="306">
        <f>B144*(1-B1062)</f>
        <v>27824.305361469065</v>
      </c>
      <c r="E1062" s="306">
        <f>C144*(1-B1062)</f>
        <v>0</v>
      </c>
      <c r="F1062" s="306">
        <f t="shared" si="74"/>
        <v>0</v>
      </c>
      <c r="G1062" s="306">
        <f t="shared" si="74"/>
        <v>9346.7320466892397</v>
      </c>
      <c r="H1062" s="306">
        <f>F144*(1-B1062)</f>
        <v>0</v>
      </c>
      <c r="I1062" s="306">
        <f>G144*(1-B1062)</f>
        <v>0</v>
      </c>
      <c r="J1062" s="291"/>
    </row>
    <row r="1063" spans="1:10">
      <c r="A1063" s="289" t="s">
        <v>148</v>
      </c>
      <c r="B1063" s="308">
        <f>SUMPRODUCT($B948:$F948,$B$110:$F$110)</f>
        <v>0.51417010196128798</v>
      </c>
      <c r="C1063" s="311">
        <f>B1063</f>
        <v>0.51417010196128798</v>
      </c>
      <c r="D1063" s="306">
        <f>B145*(1-B1063)</f>
        <v>36008.831742373251</v>
      </c>
      <c r="E1063" s="306">
        <f>C145*(1-B1063)</f>
        <v>0</v>
      </c>
      <c r="F1063" s="306">
        <f t="shared" si="74"/>
        <v>0</v>
      </c>
      <c r="G1063" s="306">
        <f t="shared" si="74"/>
        <v>11950.476033200415</v>
      </c>
      <c r="H1063" s="306">
        <f>F145*(1-B1063)</f>
        <v>0</v>
      </c>
      <c r="I1063" s="306">
        <f>G145*(1-B1063)</f>
        <v>0</v>
      </c>
      <c r="J1063" s="291"/>
    </row>
    <row r="1064" spans="1:10">
      <c r="A1064" s="297" t="s">
        <v>149</v>
      </c>
      <c r="J1064" s="291"/>
    </row>
    <row r="1065" spans="1:10">
      <c r="A1065" s="289" t="s">
        <v>93</v>
      </c>
      <c r="B1065" s="308">
        <f>SUMPRODUCT($B950:$F950,$B$110:$F$110)</f>
        <v>0</v>
      </c>
      <c r="C1065" s="311">
        <f>B1065</f>
        <v>0</v>
      </c>
      <c r="D1065" s="306">
        <f>B147*(1-B1065)</f>
        <v>932948.80360757222</v>
      </c>
      <c r="E1065" s="306">
        <f>C147*(1-B1065)</f>
        <v>720595.7844260158</v>
      </c>
      <c r="F1065" s="306">
        <f t="shared" ref="F1065:G1067" si="75">D147*(1-B1065)</f>
        <v>0</v>
      </c>
      <c r="G1065" s="306">
        <f t="shared" si="75"/>
        <v>300314.63390594267</v>
      </c>
      <c r="H1065" s="306">
        <f>F147*(1-B1065)</f>
        <v>0</v>
      </c>
      <c r="I1065" s="306">
        <f>G147*(1-B1065)</f>
        <v>0</v>
      </c>
      <c r="J1065" s="291"/>
    </row>
    <row r="1066" spans="1:10">
      <c r="A1066" s="289" t="s">
        <v>150</v>
      </c>
      <c r="B1066" s="308">
        <f>SUMPRODUCT($B951:$F951,$B$110:$F$110)</f>
        <v>0.33064254054995224</v>
      </c>
      <c r="C1066" s="311">
        <f>B1066</f>
        <v>0.33064254054995224</v>
      </c>
      <c r="D1066" s="306">
        <f>B148*(1-B1066)</f>
        <v>1758.2623994188198</v>
      </c>
      <c r="E1066" s="306">
        <f>C148*(1-B1066)</f>
        <v>614.70511119099319</v>
      </c>
      <c r="F1066" s="306">
        <f t="shared" si="75"/>
        <v>0</v>
      </c>
      <c r="G1066" s="306">
        <f t="shared" si="75"/>
        <v>671.49275397519034</v>
      </c>
      <c r="H1066" s="306">
        <f>F148*(1-B1066)</f>
        <v>0</v>
      </c>
      <c r="I1066" s="306">
        <f>G148*(1-B1066)</f>
        <v>0</v>
      </c>
      <c r="J1066" s="291"/>
    </row>
    <row r="1067" spans="1:10">
      <c r="A1067" s="289" t="s">
        <v>151</v>
      </c>
      <c r="B1067" s="308">
        <f>SUMPRODUCT($B952:$F952,$B$110:$F$110)</f>
        <v>0.51417010196128798</v>
      </c>
      <c r="C1067" s="311">
        <f>B1067</f>
        <v>0.51417010196128798</v>
      </c>
      <c r="D1067" s="306">
        <f>B149*(1-B1067)</f>
        <v>1980.6134343319682</v>
      </c>
      <c r="E1067" s="306">
        <f>C149*(1-B1067)</f>
        <v>769.50496260262162</v>
      </c>
      <c r="F1067" s="306">
        <f t="shared" si="75"/>
        <v>0</v>
      </c>
      <c r="G1067" s="306">
        <f t="shared" si="75"/>
        <v>612.18887668770788</v>
      </c>
      <c r="H1067" s="306">
        <f>F149*(1-B1067)</f>
        <v>0</v>
      </c>
      <c r="I1067" s="306">
        <f>G149*(1-B1067)</f>
        <v>0</v>
      </c>
      <c r="J1067" s="291"/>
    </row>
    <row r="1068" spans="1:10">
      <c r="A1068" s="297" t="s">
        <v>152</v>
      </c>
      <c r="J1068" s="291"/>
    </row>
    <row r="1069" spans="1:10">
      <c r="A1069" s="289" t="s">
        <v>129</v>
      </c>
      <c r="B1069" s="308">
        <f>SUMPRODUCT($B954:$F954,$B$110:$F$110)</f>
        <v>0</v>
      </c>
      <c r="C1069" s="311">
        <f>B1069</f>
        <v>0</v>
      </c>
      <c r="D1069" s="306">
        <f>B151*(1-B1069)</f>
        <v>36106.46318967735</v>
      </c>
      <c r="E1069" s="306">
        <f>C151*(1-B1069)</f>
        <v>0</v>
      </c>
      <c r="F1069" s="306">
        <f t="shared" ref="F1069:G1071" si="76">D151*(1-B1069)</f>
        <v>0</v>
      </c>
      <c r="G1069" s="306">
        <f t="shared" si="76"/>
        <v>0</v>
      </c>
      <c r="H1069" s="306">
        <f>F151*(1-B1069)</f>
        <v>0</v>
      </c>
      <c r="I1069" s="306">
        <f>G151*(1-B1069)</f>
        <v>0</v>
      </c>
      <c r="J1069" s="291"/>
    </row>
    <row r="1070" spans="1:10">
      <c r="A1070" s="289" t="s">
        <v>153</v>
      </c>
      <c r="B1070" s="308">
        <f>SUMPRODUCT($B955:$F955,$B$110:$F$110)</f>
        <v>0.33064254054995224</v>
      </c>
      <c r="C1070" s="311">
        <f>B1070</f>
        <v>0.33064254054995224</v>
      </c>
      <c r="D1070" s="306">
        <f>B152*(1-B1070)</f>
        <v>0</v>
      </c>
      <c r="E1070" s="306">
        <f>C152*(1-B1070)</f>
        <v>0</v>
      </c>
      <c r="F1070" s="306">
        <f t="shared" si="76"/>
        <v>0</v>
      </c>
      <c r="G1070" s="306">
        <f t="shared" si="76"/>
        <v>0</v>
      </c>
      <c r="H1070" s="306">
        <f>F152*(1-B1070)</f>
        <v>0</v>
      </c>
      <c r="I1070" s="306">
        <f>G152*(1-B1070)</f>
        <v>0</v>
      </c>
      <c r="J1070" s="291"/>
    </row>
    <row r="1071" spans="1:10">
      <c r="A1071" s="289" t="s">
        <v>154</v>
      </c>
      <c r="B1071" s="308">
        <f>SUMPRODUCT($B956:$F956,$B$110:$F$110)</f>
        <v>0.51417010196128798</v>
      </c>
      <c r="C1071" s="311">
        <f>B1071</f>
        <v>0.51417010196128798</v>
      </c>
      <c r="D1071" s="306">
        <f>B153*(1-B1071)</f>
        <v>0</v>
      </c>
      <c r="E1071" s="306">
        <f>C153*(1-B1071)</f>
        <v>0</v>
      </c>
      <c r="F1071" s="306">
        <f t="shared" si="76"/>
        <v>0</v>
      </c>
      <c r="G1071" s="306">
        <f t="shared" si="76"/>
        <v>0</v>
      </c>
      <c r="H1071" s="306">
        <f>F153*(1-B1071)</f>
        <v>0</v>
      </c>
      <c r="I1071" s="306">
        <f>G153*(1-B1071)</f>
        <v>0</v>
      </c>
      <c r="J1071" s="291"/>
    </row>
    <row r="1072" spans="1:10">
      <c r="A1072" s="297" t="s">
        <v>155</v>
      </c>
      <c r="J1072" s="291"/>
    </row>
    <row r="1073" spans="1:10">
      <c r="A1073" s="289" t="s">
        <v>94</v>
      </c>
      <c r="B1073" s="308">
        <f>SUMPRODUCT($B958:$F958,$B$110:$F$110)</f>
        <v>0</v>
      </c>
      <c r="C1073" s="311">
        <f>B1073</f>
        <v>0</v>
      </c>
      <c r="D1073" s="306">
        <f>B155*(1-B1073)</f>
        <v>1619655.6585213088</v>
      </c>
      <c r="E1073" s="306">
        <f>C155*(1-B1073)</f>
        <v>0</v>
      </c>
      <c r="F1073" s="306">
        <f t="shared" ref="F1073:G1075" si="77">D155*(1-B1073)</f>
        <v>0</v>
      </c>
      <c r="G1073" s="306">
        <f t="shared" si="77"/>
        <v>135679.92656869252</v>
      </c>
      <c r="H1073" s="306">
        <f>F155*(1-B1073)</f>
        <v>0</v>
      </c>
      <c r="I1073" s="306">
        <f>G155*(1-B1073)</f>
        <v>0</v>
      </c>
      <c r="J1073" s="291"/>
    </row>
    <row r="1074" spans="1:10">
      <c r="A1074" s="289" t="s">
        <v>156</v>
      </c>
      <c r="B1074" s="308">
        <f>SUMPRODUCT($B959:$F959,$B$110:$F$110)</f>
        <v>0.33064254054995224</v>
      </c>
      <c r="C1074" s="311">
        <f>B1074</f>
        <v>0.33064254054995224</v>
      </c>
      <c r="D1074" s="306">
        <f>B156*(1-B1074)</f>
        <v>1935.2954594134417</v>
      </c>
      <c r="E1074" s="306">
        <f>C156*(1-B1074)</f>
        <v>0</v>
      </c>
      <c r="F1074" s="306">
        <f t="shared" si="77"/>
        <v>0</v>
      </c>
      <c r="G1074" s="306">
        <f t="shared" si="77"/>
        <v>5459.6401891708811</v>
      </c>
      <c r="H1074" s="306">
        <f>F156*(1-B1074)</f>
        <v>0</v>
      </c>
      <c r="I1074" s="306">
        <f>G156*(1-B1074)</f>
        <v>0</v>
      </c>
      <c r="J1074" s="291"/>
    </row>
    <row r="1075" spans="1:10">
      <c r="A1075" s="289" t="s">
        <v>157</v>
      </c>
      <c r="B1075" s="308">
        <f>SUMPRODUCT($B960:$F960,$B$110:$F$110)</f>
        <v>0.51417010196128798</v>
      </c>
      <c r="C1075" s="311">
        <f>B1075</f>
        <v>0.51417010196128798</v>
      </c>
      <c r="D1075" s="306">
        <f>B157*(1-B1075)</f>
        <v>7392.0644149885975</v>
      </c>
      <c r="E1075" s="306">
        <f>C157*(1-B1075)</f>
        <v>0</v>
      </c>
      <c r="F1075" s="306">
        <f t="shared" si="77"/>
        <v>0</v>
      </c>
      <c r="G1075" s="306">
        <f t="shared" si="77"/>
        <v>434.33583911788452</v>
      </c>
      <c r="H1075" s="306">
        <f>F157*(1-B1075)</f>
        <v>0</v>
      </c>
      <c r="I1075" s="306">
        <f>G157*(1-B1075)</f>
        <v>0</v>
      </c>
      <c r="J1075" s="291"/>
    </row>
    <row r="1076" spans="1:10">
      <c r="A1076" s="297" t="s">
        <v>158</v>
      </c>
      <c r="J1076" s="291"/>
    </row>
    <row r="1077" spans="1:10">
      <c r="A1077" s="289" t="s">
        <v>95</v>
      </c>
      <c r="B1077" s="308">
        <f>SUMPRODUCT($B962:$F962,$B$110:$F$110)</f>
        <v>0</v>
      </c>
      <c r="C1077" s="311">
        <f>B1077</f>
        <v>0</v>
      </c>
      <c r="D1077" s="306">
        <f>B159*(1-B1077)</f>
        <v>505281.77147158369</v>
      </c>
      <c r="E1077" s="306">
        <f>C159*(1-B1077)</f>
        <v>208404.41119819321</v>
      </c>
      <c r="F1077" s="306">
        <f t="shared" ref="F1077:G1079" si="78">D159*(1-B1077)</f>
        <v>0</v>
      </c>
      <c r="G1077" s="306">
        <f t="shared" si="78"/>
        <v>34491.689344628736</v>
      </c>
      <c r="H1077" s="306">
        <f>F159*(1-B1077)</f>
        <v>0</v>
      </c>
      <c r="I1077" s="306">
        <f>G159*(1-B1077)</f>
        <v>0</v>
      </c>
      <c r="J1077" s="291"/>
    </row>
    <row r="1078" spans="1:10">
      <c r="A1078" s="289" t="s">
        <v>159</v>
      </c>
      <c r="B1078" s="308">
        <f>SUMPRODUCT($B963:$F963,$B$110:$F$110)</f>
        <v>0.33064254054995224</v>
      </c>
      <c r="C1078" s="311">
        <f>B1078</f>
        <v>0.33064254054995224</v>
      </c>
      <c r="D1078" s="306">
        <f>B160*(1-B1078)</f>
        <v>588.63949952121789</v>
      </c>
      <c r="E1078" s="306">
        <f>C160*(1-B1078)</f>
        <v>218.14865501782307</v>
      </c>
      <c r="F1078" s="306">
        <f t="shared" si="78"/>
        <v>0</v>
      </c>
      <c r="G1078" s="306">
        <f t="shared" si="78"/>
        <v>12.037001991872813</v>
      </c>
      <c r="H1078" s="306">
        <f>F160*(1-B1078)</f>
        <v>0</v>
      </c>
      <c r="I1078" s="306">
        <f>G160*(1-B1078)</f>
        <v>0</v>
      </c>
      <c r="J1078" s="291"/>
    </row>
    <row r="1079" spans="1:10">
      <c r="A1079" s="289" t="s">
        <v>160</v>
      </c>
      <c r="B1079" s="308">
        <f>SUMPRODUCT($B964:$F964,$B$110:$F$110)</f>
        <v>0.51417010196128798</v>
      </c>
      <c r="C1079" s="311">
        <f>B1079</f>
        <v>0.51417010196128798</v>
      </c>
      <c r="D1079" s="306">
        <f>B161*(1-B1079)</f>
        <v>1794.6348975996236</v>
      </c>
      <c r="E1079" s="306">
        <f>C161*(1-B1079)</f>
        <v>511.93429691351025</v>
      </c>
      <c r="F1079" s="306">
        <f t="shared" si="78"/>
        <v>0</v>
      </c>
      <c r="G1079" s="306">
        <f t="shared" si="78"/>
        <v>37.442744751541753</v>
      </c>
      <c r="H1079" s="306">
        <f>F161*(1-B1079)</f>
        <v>0</v>
      </c>
      <c r="I1079" s="306">
        <f>G161*(1-B1079)</f>
        <v>0</v>
      </c>
      <c r="J1079" s="291"/>
    </row>
    <row r="1080" spans="1:10">
      <c r="A1080" s="297" t="s">
        <v>161</v>
      </c>
      <c r="J1080" s="291"/>
    </row>
    <row r="1081" spans="1:10">
      <c r="A1081" s="289" t="s">
        <v>130</v>
      </c>
      <c r="B1081" s="308">
        <f>SUMPRODUCT($B966:$F966,$B$110:$F$110)</f>
        <v>0</v>
      </c>
      <c r="C1081" s="311">
        <f>B1081</f>
        <v>0</v>
      </c>
      <c r="D1081" s="306">
        <f>B163*(1-B1081)</f>
        <v>6654.8554381718086</v>
      </c>
      <c r="E1081" s="306">
        <f>C163*(1-B1081)</f>
        <v>0</v>
      </c>
      <c r="F1081" s="306">
        <f t="shared" ref="F1081:G1083" si="79">D163*(1-B1081)</f>
        <v>0</v>
      </c>
      <c r="G1081" s="306">
        <f t="shared" si="79"/>
        <v>0</v>
      </c>
      <c r="H1081" s="306">
        <f>F163*(1-B1081)</f>
        <v>0</v>
      </c>
      <c r="I1081" s="306">
        <f>G163*(1-B1081)</f>
        <v>0</v>
      </c>
      <c r="J1081" s="291"/>
    </row>
    <row r="1082" spans="1:10" ht="30">
      <c r="A1082" s="289" t="s">
        <v>162</v>
      </c>
      <c r="B1082" s="308">
        <f>SUMPRODUCT($B967:$F967,$B$110:$F$110)</f>
        <v>0.33064254054995224</v>
      </c>
      <c r="C1082" s="311">
        <f>B1082</f>
        <v>0.33064254054995224</v>
      </c>
      <c r="D1082" s="306">
        <f>B164*(1-B1082)</f>
        <v>0</v>
      </c>
      <c r="E1082" s="306">
        <f>C164*(1-B1082)</f>
        <v>0</v>
      </c>
      <c r="F1082" s="306">
        <f t="shared" si="79"/>
        <v>0</v>
      </c>
      <c r="G1082" s="306">
        <f t="shared" si="79"/>
        <v>0</v>
      </c>
      <c r="H1082" s="306">
        <f>F164*(1-B1082)</f>
        <v>0</v>
      </c>
      <c r="I1082" s="306">
        <f>G164*(1-B1082)</f>
        <v>0</v>
      </c>
      <c r="J1082" s="291"/>
    </row>
    <row r="1083" spans="1:10" ht="30">
      <c r="A1083" s="289" t="s">
        <v>163</v>
      </c>
      <c r="B1083" s="308">
        <f>SUMPRODUCT($B968:$F968,$B$110:$F$110)</f>
        <v>0.51417010196128798</v>
      </c>
      <c r="C1083" s="311">
        <f>B1083</f>
        <v>0.51417010196128798</v>
      </c>
      <c r="D1083" s="306">
        <f>B165*(1-B1083)</f>
        <v>0</v>
      </c>
      <c r="E1083" s="306">
        <f>C165*(1-B1083)</f>
        <v>0</v>
      </c>
      <c r="F1083" s="306">
        <f t="shared" si="79"/>
        <v>0</v>
      </c>
      <c r="G1083" s="306">
        <f t="shared" si="79"/>
        <v>0</v>
      </c>
      <c r="H1083" s="306">
        <f>F165*(1-B1083)</f>
        <v>0</v>
      </c>
      <c r="I1083" s="306">
        <f>G165*(1-B1083)</f>
        <v>0</v>
      </c>
      <c r="J1083" s="291"/>
    </row>
    <row r="1084" spans="1:10">
      <c r="A1084" s="297" t="s">
        <v>164</v>
      </c>
      <c r="J1084" s="291"/>
    </row>
    <row r="1085" spans="1:10">
      <c r="A1085" s="289" t="s">
        <v>96</v>
      </c>
      <c r="B1085" s="308">
        <f>SUMPRODUCT($B970:$F970,$B$110:$F$110)</f>
        <v>0</v>
      </c>
      <c r="C1085" s="311">
        <f>B1085</f>
        <v>0</v>
      </c>
      <c r="D1085" s="306">
        <f>B167*(1-B1085)</f>
        <v>0</v>
      </c>
      <c r="E1085" s="306">
        <f>C167*(1-B1085)</f>
        <v>0</v>
      </c>
      <c r="F1085" s="306">
        <f t="shared" ref="F1085:G1087" si="80">D167*(1-B1085)</f>
        <v>0</v>
      </c>
      <c r="G1085" s="306">
        <f t="shared" si="80"/>
        <v>0</v>
      </c>
      <c r="H1085" s="306">
        <f>F167*(1-B1085)</f>
        <v>0</v>
      </c>
      <c r="I1085" s="306">
        <f>G167*(1-B1085)</f>
        <v>0</v>
      </c>
      <c r="J1085" s="291"/>
    </row>
    <row r="1086" spans="1:10">
      <c r="A1086" s="289" t="s">
        <v>165</v>
      </c>
      <c r="B1086" s="308">
        <f>SUMPRODUCT($B971:$F971,$B$110:$F$110)</f>
        <v>0.33064254054995224</v>
      </c>
      <c r="C1086" s="311">
        <f>B1086</f>
        <v>0.33064254054995224</v>
      </c>
      <c r="D1086" s="306">
        <f>B168*(1-B1086)</f>
        <v>0</v>
      </c>
      <c r="E1086" s="306">
        <f>C168*(1-B1086)</f>
        <v>0</v>
      </c>
      <c r="F1086" s="306">
        <f t="shared" si="80"/>
        <v>0</v>
      </c>
      <c r="G1086" s="306">
        <f t="shared" si="80"/>
        <v>0</v>
      </c>
      <c r="H1086" s="306">
        <f>F168*(1-B1086)</f>
        <v>0</v>
      </c>
      <c r="I1086" s="306">
        <f>G168*(1-B1086)</f>
        <v>0</v>
      </c>
      <c r="J1086" s="291"/>
    </row>
    <row r="1087" spans="1:10">
      <c r="A1087" s="289" t="s">
        <v>166</v>
      </c>
      <c r="B1087" s="308">
        <f>SUMPRODUCT($B972:$F972,$B$110:$F$110)</f>
        <v>0.51417010196128798</v>
      </c>
      <c r="C1087" s="311">
        <f>B1087</f>
        <v>0.51417010196128798</v>
      </c>
      <c r="D1087" s="306">
        <f>B169*(1-B1087)</f>
        <v>0</v>
      </c>
      <c r="E1087" s="306">
        <f>C169*(1-B1087)</f>
        <v>0</v>
      </c>
      <c r="F1087" s="306">
        <f t="shared" si="80"/>
        <v>0</v>
      </c>
      <c r="G1087" s="306">
        <f t="shared" si="80"/>
        <v>0</v>
      </c>
      <c r="H1087" s="306">
        <f>F169*(1-B1087)</f>
        <v>0</v>
      </c>
      <c r="I1087" s="306">
        <f>G169*(1-B1087)</f>
        <v>0</v>
      </c>
      <c r="J1087" s="291"/>
    </row>
    <row r="1088" spans="1:10">
      <c r="A1088" s="297" t="s">
        <v>167</v>
      </c>
      <c r="J1088" s="291"/>
    </row>
    <row r="1089" spans="1:10">
      <c r="A1089" s="289" t="s">
        <v>97</v>
      </c>
      <c r="B1089" s="308">
        <f>SUMPRODUCT($B974:$F974,$B$110:$F$110)</f>
        <v>0</v>
      </c>
      <c r="C1089" s="311">
        <f>B1089</f>
        <v>0</v>
      </c>
      <c r="D1089" s="306">
        <f>B171*(1-B1089)</f>
        <v>0</v>
      </c>
      <c r="E1089" s="306">
        <f>C171*(1-B1089)</f>
        <v>0</v>
      </c>
      <c r="F1089" s="306">
        <f>D171*(1-B1089)</f>
        <v>0</v>
      </c>
      <c r="G1089" s="306">
        <f>E171*(1-C1089)</f>
        <v>0</v>
      </c>
      <c r="H1089" s="306">
        <f>F171*(1-B1089)</f>
        <v>0</v>
      </c>
      <c r="I1089" s="306">
        <f>G171*(1-B1089)</f>
        <v>0</v>
      </c>
      <c r="J1089" s="291"/>
    </row>
    <row r="1090" spans="1:10">
      <c r="A1090" s="297" t="s">
        <v>168</v>
      </c>
      <c r="J1090" s="291"/>
    </row>
    <row r="1091" spans="1:10">
      <c r="A1091" s="289" t="s">
        <v>110</v>
      </c>
      <c r="B1091" s="308">
        <f>SUMPRODUCT($B976:$F976,$B$110:$F$110)</f>
        <v>0</v>
      </c>
      <c r="C1091" s="311">
        <f>B1091</f>
        <v>0</v>
      </c>
      <c r="D1091" s="306">
        <f>B173*(1-B1091)</f>
        <v>0</v>
      </c>
      <c r="E1091" s="306">
        <f>C173*(1-B1091)</f>
        <v>0</v>
      </c>
      <c r="F1091" s="306">
        <f>D173*(1-B1091)</f>
        <v>0</v>
      </c>
      <c r="G1091" s="306">
        <f>E173*(1-C1091)</f>
        <v>0</v>
      </c>
      <c r="H1091" s="306">
        <f>F173*(1-B1091)</f>
        <v>0</v>
      </c>
      <c r="I1091" s="306">
        <f>G173*(1-B1091)</f>
        <v>0</v>
      </c>
      <c r="J1091" s="291"/>
    </row>
    <row r="1092" spans="1:10">
      <c r="A1092" s="297" t="s">
        <v>1539</v>
      </c>
      <c r="J1092" s="291"/>
    </row>
    <row r="1093" spans="1:10">
      <c r="A1093" s="289" t="s">
        <v>1536</v>
      </c>
      <c r="B1093" s="308">
        <f>SUMPRODUCT($B978:$F978,$B$110:$F$110)</f>
        <v>0</v>
      </c>
      <c r="C1093" s="311">
        <f>B1093</f>
        <v>0</v>
      </c>
      <c r="D1093" s="306">
        <f>B175*(1-B1093)</f>
        <v>0</v>
      </c>
      <c r="E1093" s="306">
        <f>C175*(1-B1093)</f>
        <v>0</v>
      </c>
      <c r="F1093" s="306">
        <f t="shared" ref="F1093:G1095" si="81">D175*(1-B1093)</f>
        <v>0</v>
      </c>
      <c r="G1093" s="306">
        <f t="shared" si="81"/>
        <v>0</v>
      </c>
      <c r="H1093" s="306">
        <f>F175*(1-B1093)</f>
        <v>0</v>
      </c>
      <c r="I1093" s="306">
        <f>G175*(1-B1093)</f>
        <v>0</v>
      </c>
      <c r="J1093" s="291"/>
    </row>
    <row r="1094" spans="1:10">
      <c r="A1094" s="289" t="s">
        <v>1533</v>
      </c>
      <c r="B1094" s="308">
        <f>SUMPRODUCT($B979:$F979,$B$110:$F$110)</f>
        <v>0.33064254054995224</v>
      </c>
      <c r="C1094" s="311">
        <f>B1094</f>
        <v>0.33064254054995224</v>
      </c>
      <c r="D1094" s="306">
        <f>B176*(1-B1094)</f>
        <v>0</v>
      </c>
      <c r="E1094" s="306">
        <f>C176*(1-B1094)</f>
        <v>0</v>
      </c>
      <c r="F1094" s="306">
        <f t="shared" si="81"/>
        <v>0</v>
      </c>
      <c r="G1094" s="306">
        <f t="shared" si="81"/>
        <v>0</v>
      </c>
      <c r="H1094" s="306">
        <f>F176*(1-B1094)</f>
        <v>0</v>
      </c>
      <c r="I1094" s="306">
        <f>G176*(1-B1094)</f>
        <v>0</v>
      </c>
      <c r="J1094" s="291"/>
    </row>
    <row r="1095" spans="1:10">
      <c r="A1095" s="289" t="s">
        <v>1530</v>
      </c>
      <c r="B1095" s="308">
        <f>SUMPRODUCT($B980:$F980,$B$110:$F$110)</f>
        <v>0.51417010196128798</v>
      </c>
      <c r="C1095" s="311">
        <f>B1095</f>
        <v>0.51417010196128798</v>
      </c>
      <c r="D1095" s="306">
        <f>B177*(1-B1095)</f>
        <v>0</v>
      </c>
      <c r="E1095" s="306">
        <f>C177*(1-B1095)</f>
        <v>0</v>
      </c>
      <c r="F1095" s="306">
        <f t="shared" si="81"/>
        <v>0</v>
      </c>
      <c r="G1095" s="306">
        <f t="shared" si="81"/>
        <v>0</v>
      </c>
      <c r="H1095" s="306">
        <f>F177*(1-B1095)</f>
        <v>0</v>
      </c>
      <c r="I1095" s="306">
        <f>G177*(1-B1095)</f>
        <v>0</v>
      </c>
      <c r="J1095" s="291"/>
    </row>
    <row r="1096" spans="1:10">
      <c r="A1096" s="297" t="s">
        <v>1538</v>
      </c>
      <c r="J1096" s="291"/>
    </row>
    <row r="1097" spans="1:10">
      <c r="A1097" s="289" t="s">
        <v>1535</v>
      </c>
      <c r="B1097" s="308">
        <f>SUMPRODUCT($B982:$F982,$B$110:$F$110)</f>
        <v>0</v>
      </c>
      <c r="C1097" s="311">
        <f>B1097</f>
        <v>0</v>
      </c>
      <c r="D1097" s="306">
        <f>B179*(1-B1097)</f>
        <v>68262.213677721258</v>
      </c>
      <c r="E1097" s="306">
        <f>C179*(1-B1097)</f>
        <v>260187.85793102454</v>
      </c>
      <c r="F1097" s="306">
        <f t="shared" ref="F1097:G1099" si="82">D179*(1-B1097)</f>
        <v>288797.3281930369</v>
      </c>
      <c r="G1097" s="306">
        <f t="shared" si="82"/>
        <v>10460.824638436699</v>
      </c>
      <c r="H1097" s="306">
        <f>F179*(1-B1097)</f>
        <v>0</v>
      </c>
      <c r="I1097" s="306">
        <f>G179*(1-B1097)</f>
        <v>0</v>
      </c>
      <c r="J1097" s="291"/>
    </row>
    <row r="1098" spans="1:10">
      <c r="A1098" s="289" t="s">
        <v>1532</v>
      </c>
      <c r="B1098" s="308">
        <f>SUMPRODUCT($B983:$F983,$B$110:$F$110)</f>
        <v>0.33064254054995224</v>
      </c>
      <c r="C1098" s="311">
        <f>B1098</f>
        <v>0.33064254054995224</v>
      </c>
      <c r="D1098" s="306">
        <f>B180*(1-B1098)</f>
        <v>50.760359575661624</v>
      </c>
      <c r="E1098" s="306">
        <f>C180*(1-B1098)</f>
        <v>193.47789229563782</v>
      </c>
      <c r="F1098" s="306">
        <f t="shared" si="82"/>
        <v>246.45623150724848</v>
      </c>
      <c r="G1098" s="306">
        <f t="shared" si="82"/>
        <v>10.708202146197445</v>
      </c>
      <c r="H1098" s="306">
        <f>F180*(1-B1098)</f>
        <v>0</v>
      </c>
      <c r="I1098" s="306">
        <f>G180*(1-B1098)</f>
        <v>0</v>
      </c>
      <c r="J1098" s="291"/>
    </row>
    <row r="1099" spans="1:10">
      <c r="A1099" s="289" t="s">
        <v>1529</v>
      </c>
      <c r="B1099" s="308">
        <f>SUMPRODUCT($B984:$F984,$B$110:$F$110)</f>
        <v>0.51417010196128798</v>
      </c>
      <c r="C1099" s="311">
        <f>B1099</f>
        <v>0.51417010196128798</v>
      </c>
      <c r="D1099" s="306">
        <f>B181*(1-B1099)</f>
        <v>363.73949886364403</v>
      </c>
      <c r="E1099" s="306">
        <f>C181*(1-B1099)</f>
        <v>1386.4273652338893</v>
      </c>
      <c r="F1099" s="306">
        <f t="shared" si="82"/>
        <v>1520.9815711448973</v>
      </c>
      <c r="G1099" s="306">
        <f t="shared" si="82"/>
        <v>47.00316662210421</v>
      </c>
      <c r="H1099" s="306">
        <f>F181*(1-B1099)</f>
        <v>0</v>
      </c>
      <c r="I1099" s="306">
        <f>G181*(1-B1099)</f>
        <v>0</v>
      </c>
      <c r="J1099" s="291"/>
    </row>
    <row r="1100" spans="1:10">
      <c r="A1100" s="297" t="s">
        <v>169</v>
      </c>
      <c r="J1100" s="291"/>
    </row>
    <row r="1101" spans="1:10">
      <c r="A1101" s="289" t="s">
        <v>98</v>
      </c>
      <c r="B1101" s="308">
        <f>SUMPRODUCT($B986:$F986,$B$110:$F$110)</f>
        <v>0</v>
      </c>
      <c r="C1101" s="311">
        <f>B1101</f>
        <v>0</v>
      </c>
      <c r="D1101" s="306">
        <f>B183*(1-B1101)</f>
        <v>298957.28664096713</v>
      </c>
      <c r="E1101" s="306">
        <f>C183*(1-B1101)</f>
        <v>1176221.7888048878</v>
      </c>
      <c r="F1101" s="306">
        <f t="shared" ref="F1101:G1103" si="83">D183*(1-B1101)</f>
        <v>1263172.6301498166</v>
      </c>
      <c r="G1101" s="306">
        <f t="shared" si="83"/>
        <v>13816.622163023712</v>
      </c>
      <c r="H1101" s="306">
        <f>F183*(1-B1101)</f>
        <v>1508041.0074922552</v>
      </c>
      <c r="I1101" s="306">
        <f>G183*(1-B1101)</f>
        <v>196222.56397259844</v>
      </c>
      <c r="J1101" s="291"/>
    </row>
    <row r="1102" spans="1:10">
      <c r="A1102" s="289" t="s">
        <v>170</v>
      </c>
      <c r="B1102" s="308">
        <f>SUMPRODUCT($B987:$F987,$B$110:$F$110)</f>
        <v>0.33064254054995224</v>
      </c>
      <c r="C1102" s="311">
        <f>B1102</f>
        <v>0.33064254054995224</v>
      </c>
      <c r="D1102" s="306">
        <f>B184*(1-B1102)</f>
        <v>168.34028157356047</v>
      </c>
      <c r="E1102" s="306">
        <f>C184*(1-B1102)</f>
        <v>655.48236184954703</v>
      </c>
      <c r="F1102" s="306">
        <f t="shared" si="83"/>
        <v>886.15641599618118</v>
      </c>
      <c r="G1102" s="306">
        <f t="shared" si="83"/>
        <v>16.407836097192508</v>
      </c>
      <c r="H1102" s="306">
        <f>F184*(1-B1102)</f>
        <v>1237.6856450196319</v>
      </c>
      <c r="I1102" s="306">
        <f>G184*(1-B1102)</f>
        <v>45.486907161433862</v>
      </c>
      <c r="J1102" s="291"/>
    </row>
    <row r="1103" spans="1:10">
      <c r="A1103" s="289" t="s">
        <v>171</v>
      </c>
      <c r="B1103" s="308">
        <f>SUMPRODUCT($B988:$F988,$B$110:$F$110)</f>
        <v>0.51417010196128798</v>
      </c>
      <c r="C1103" s="311">
        <f>B1103</f>
        <v>0.51417010196128798</v>
      </c>
      <c r="D1103" s="306">
        <f>B185*(1-B1103)</f>
        <v>6576.9542149232229</v>
      </c>
      <c r="E1103" s="306">
        <f>C185*(1-B1103)</f>
        <v>23322.53096200361</v>
      </c>
      <c r="F1103" s="306">
        <f t="shared" si="83"/>
        <v>26584.63948196116</v>
      </c>
      <c r="G1103" s="306">
        <f t="shared" si="83"/>
        <v>152.81569004797817</v>
      </c>
      <c r="H1103" s="306">
        <f>F185*(1-B1103)</f>
        <v>36643.976172063733</v>
      </c>
      <c r="I1103" s="306">
        <f>G185*(1-B1103)</f>
        <v>2003.5258371390005</v>
      </c>
      <c r="J1103" s="291"/>
    </row>
    <row r="1104" spans="1:10">
      <c r="A1104" s="297" t="s">
        <v>172</v>
      </c>
      <c r="J1104" s="291"/>
    </row>
    <row r="1105" spans="1:10">
      <c r="A1105" s="289" t="s">
        <v>99</v>
      </c>
      <c r="B1105" s="308">
        <f>SUMPRODUCT($B990:$F990,$B$110:$F$110)</f>
        <v>0</v>
      </c>
      <c r="C1105" s="311">
        <f>B1105</f>
        <v>0</v>
      </c>
      <c r="D1105" s="306">
        <f>B187*(1-B1105)</f>
        <v>7018.5351050259123</v>
      </c>
      <c r="E1105" s="306">
        <f>C187*(1-B1105)</f>
        <v>27672.188641821547</v>
      </c>
      <c r="F1105" s="306">
        <f>D187*(1-B1105)</f>
        <v>31150.176618615114</v>
      </c>
      <c r="G1105" s="306">
        <f>E187*(1-C1105)</f>
        <v>122.79637271053774</v>
      </c>
      <c r="H1105" s="306">
        <f>F187*(1-B1105)</f>
        <v>50603.075477139901</v>
      </c>
      <c r="I1105" s="306">
        <f>G187*(1-B1105)</f>
        <v>4784.9905027288578</v>
      </c>
      <c r="J1105" s="291"/>
    </row>
    <row r="1106" spans="1:10">
      <c r="A1106" s="289" t="s">
        <v>173</v>
      </c>
      <c r="B1106" s="308">
        <f>SUMPRODUCT($B991:$F991,$B$110:$F$110)</f>
        <v>0.25833648748307197</v>
      </c>
      <c r="C1106" s="311">
        <f>B1106</f>
        <v>0.25833648748307197</v>
      </c>
      <c r="D1106" s="306">
        <f>B188*(1-B1106)</f>
        <v>362.08507320730644</v>
      </c>
      <c r="E1106" s="306">
        <f>C188*(1-B1106)</f>
        <v>1489.0751555651307</v>
      </c>
      <c r="F1106" s="306">
        <f>D188*(1-B1106)</f>
        <v>2050.6261049246364</v>
      </c>
      <c r="G1106" s="306">
        <f>E188*(1-C1106)</f>
        <v>4.1830342343403224</v>
      </c>
      <c r="H1106" s="306">
        <f>F188*(1-B1106)</f>
        <v>2509.820540604193</v>
      </c>
      <c r="I1106" s="306">
        <f>G188*(1-B1106)</f>
        <v>1169.084447095596</v>
      </c>
      <c r="J1106" s="291"/>
    </row>
    <row r="1107" spans="1:10">
      <c r="A1107" s="297" t="s">
        <v>174</v>
      </c>
      <c r="J1107" s="291"/>
    </row>
    <row r="1108" spans="1:10">
      <c r="A1108" s="289" t="s">
        <v>111</v>
      </c>
      <c r="B1108" s="308">
        <f>SUMPRODUCT($B993:$F993,$B$110:$F$110)</f>
        <v>0</v>
      </c>
      <c r="C1108" s="311">
        <f>B1108</f>
        <v>0</v>
      </c>
      <c r="D1108" s="306">
        <f>B190*(1-B1108)</f>
        <v>752034.67370639404</v>
      </c>
      <c r="E1108" s="306">
        <f>C190*(1-B1108)</f>
        <v>3018230.4256879073</v>
      </c>
      <c r="F1108" s="306">
        <f>D190*(1-B1108)</f>
        <v>3913761.9505902641</v>
      </c>
      <c r="G1108" s="306">
        <f>E190*(1-C1108)</f>
        <v>4028.1236359637046</v>
      </c>
      <c r="H1108" s="306">
        <f>F190*(1-B1108)</f>
        <v>2952679.7358666793</v>
      </c>
      <c r="I1108" s="306">
        <f>G190*(1-B1108)</f>
        <v>1051532.8176113358</v>
      </c>
      <c r="J1108" s="291"/>
    </row>
    <row r="1109" spans="1:10">
      <c r="A1109" s="289" t="s">
        <v>175</v>
      </c>
      <c r="B1109" s="308">
        <f>SUMPRODUCT($B994:$F994,$B$110:$F$110)</f>
        <v>0.15078510117655297</v>
      </c>
      <c r="C1109" s="311">
        <f>B1109</f>
        <v>0.15078510117655297</v>
      </c>
      <c r="D1109" s="306">
        <f>B191*(1-B1109)</f>
        <v>2360.8967797337727</v>
      </c>
      <c r="E1109" s="306">
        <f>C191*(1-B1109)</f>
        <v>7762.6750181122088</v>
      </c>
      <c r="F1109" s="306">
        <f>D191*(1-B1109)</f>
        <v>8656.1166647212394</v>
      </c>
      <c r="G1109" s="306">
        <f>E191*(1-C1109)</f>
        <v>18.20060006961063</v>
      </c>
      <c r="H1109" s="306">
        <f>F191*(1-B1109)</f>
        <v>19158.526389063823</v>
      </c>
      <c r="I1109" s="306">
        <f>G191*(1-B1109)</f>
        <v>707.39889120027863</v>
      </c>
      <c r="J1109" s="291"/>
    </row>
    <row r="1110" spans="1:10">
      <c r="A1110" s="297" t="s">
        <v>176</v>
      </c>
      <c r="J1110" s="291"/>
    </row>
    <row r="1111" spans="1:10">
      <c r="A1111" s="289" t="s">
        <v>131</v>
      </c>
      <c r="B1111" s="308">
        <f>SUMPRODUCT($B996:$F996,$B$110:$F$110)</f>
        <v>0</v>
      </c>
      <c r="C1111" s="311">
        <f>B1111</f>
        <v>0</v>
      </c>
      <c r="D1111" s="306">
        <f>B193*(1-B1111)</f>
        <v>53670.276181774323</v>
      </c>
      <c r="E1111" s="306">
        <f>C193*(1-B1111)</f>
        <v>0</v>
      </c>
      <c r="F1111" s="306">
        <f t="shared" ref="F1111:G1113" si="84">D193*(1-B1111)</f>
        <v>0</v>
      </c>
      <c r="G1111" s="306">
        <f t="shared" si="84"/>
        <v>945.29828999676329</v>
      </c>
      <c r="H1111" s="306">
        <f>F193*(1-B1111)</f>
        <v>0</v>
      </c>
      <c r="I1111" s="306">
        <f>G193*(1-B1111)</f>
        <v>0</v>
      </c>
      <c r="J1111" s="291"/>
    </row>
    <row r="1112" spans="1:10">
      <c r="A1112" s="289" t="s">
        <v>177</v>
      </c>
      <c r="B1112" s="308">
        <f>SUMPRODUCT($B997:$F997,$B$110:$F$110)</f>
        <v>0.33064254054995224</v>
      </c>
      <c r="C1112" s="311">
        <f>B1112</f>
        <v>0.33064254054995224</v>
      </c>
      <c r="D1112" s="306">
        <f>B194*(1-B1112)</f>
        <v>115.31714132912799</v>
      </c>
      <c r="E1112" s="306">
        <f>C194*(1-B1112)</f>
        <v>0</v>
      </c>
      <c r="F1112" s="306">
        <f t="shared" si="84"/>
        <v>0</v>
      </c>
      <c r="G1112" s="306">
        <f t="shared" si="84"/>
        <v>0</v>
      </c>
      <c r="H1112" s="306">
        <f>F194*(1-B1112)</f>
        <v>0</v>
      </c>
      <c r="I1112" s="306">
        <f>G194*(1-B1112)</f>
        <v>0</v>
      </c>
      <c r="J1112" s="291"/>
    </row>
    <row r="1113" spans="1:10">
      <c r="A1113" s="289" t="s">
        <v>178</v>
      </c>
      <c r="B1113" s="308">
        <f>SUMPRODUCT($B998:$F998,$B$110:$F$110)</f>
        <v>0.51417010196128798</v>
      </c>
      <c r="C1113" s="311">
        <f>B1113</f>
        <v>0.51417010196128798</v>
      </c>
      <c r="D1113" s="306">
        <f>B195*(1-B1113)</f>
        <v>0</v>
      </c>
      <c r="E1113" s="306">
        <f>C195*(1-B1113)</f>
        <v>0</v>
      </c>
      <c r="F1113" s="306">
        <f t="shared" si="84"/>
        <v>0</v>
      </c>
      <c r="G1113" s="306">
        <f t="shared" si="84"/>
        <v>0</v>
      </c>
      <c r="H1113" s="306">
        <f>F195*(1-B1113)</f>
        <v>0</v>
      </c>
      <c r="I1113" s="306">
        <f>G195*(1-B1113)</f>
        <v>0</v>
      </c>
      <c r="J1113" s="291"/>
    </row>
    <row r="1114" spans="1:10">
      <c r="A1114" s="297" t="s">
        <v>179</v>
      </c>
      <c r="J1114" s="291"/>
    </row>
    <row r="1115" spans="1:10">
      <c r="A1115" s="289" t="s">
        <v>132</v>
      </c>
      <c r="B1115" s="308">
        <f>SUMPRODUCT($B1000:$F1000,$B$110:$F$110)</f>
        <v>0</v>
      </c>
      <c r="C1115" s="311">
        <f>B1115</f>
        <v>0</v>
      </c>
      <c r="D1115" s="306">
        <f>B197*(1-B1115)</f>
        <v>16146.815302762892</v>
      </c>
      <c r="E1115" s="306">
        <f>C197*(1-B1115)</f>
        <v>0</v>
      </c>
      <c r="F1115" s="306">
        <f t="shared" ref="F1115:G1117" si="85">D197*(1-B1115)</f>
        <v>0</v>
      </c>
      <c r="G1115" s="306">
        <f t="shared" si="85"/>
        <v>683.89747668576126</v>
      </c>
      <c r="H1115" s="306">
        <f>F197*(1-B1115)</f>
        <v>0</v>
      </c>
      <c r="I1115" s="306">
        <f>G197*(1-B1115)</f>
        <v>0</v>
      </c>
      <c r="J1115" s="291"/>
    </row>
    <row r="1116" spans="1:10">
      <c r="A1116" s="289" t="s">
        <v>180</v>
      </c>
      <c r="B1116" s="308">
        <f>SUMPRODUCT($B1001:$F1001,$B$110:$F$110)</f>
        <v>0.33064254054995224</v>
      </c>
      <c r="C1116" s="311">
        <f>B1116</f>
        <v>0.33064254054995224</v>
      </c>
      <c r="D1116" s="306">
        <f>B198*(1-B1116)</f>
        <v>119.12118616953748</v>
      </c>
      <c r="E1116" s="306">
        <f>C198*(1-B1116)</f>
        <v>0</v>
      </c>
      <c r="F1116" s="306">
        <f t="shared" si="85"/>
        <v>0</v>
      </c>
      <c r="G1116" s="306">
        <f t="shared" si="85"/>
        <v>0</v>
      </c>
      <c r="H1116" s="306">
        <f>F198*(1-B1116)</f>
        <v>0</v>
      </c>
      <c r="I1116" s="306">
        <f>G198*(1-B1116)</f>
        <v>0</v>
      </c>
      <c r="J1116" s="291"/>
    </row>
    <row r="1117" spans="1:10">
      <c r="A1117" s="289" t="s">
        <v>181</v>
      </c>
      <c r="B1117" s="308">
        <f>SUMPRODUCT($B1002:$F1002,$B$110:$F$110)</f>
        <v>0.51417010196128798</v>
      </c>
      <c r="C1117" s="311">
        <f>B1117</f>
        <v>0.51417010196128798</v>
      </c>
      <c r="D1117" s="306">
        <f>B199*(1-B1117)</f>
        <v>278.72477267801742</v>
      </c>
      <c r="E1117" s="306">
        <f>C199*(1-B1117)</f>
        <v>0</v>
      </c>
      <c r="F1117" s="306">
        <f t="shared" si="85"/>
        <v>0</v>
      </c>
      <c r="G1117" s="306">
        <f t="shared" si="85"/>
        <v>0</v>
      </c>
      <c r="H1117" s="306">
        <f>F199*(1-B1117)</f>
        <v>0</v>
      </c>
      <c r="I1117" s="306">
        <f>G199*(1-B1117)</f>
        <v>0</v>
      </c>
      <c r="J1117" s="291"/>
    </row>
    <row r="1118" spans="1:10">
      <c r="A1118" s="297" t="s">
        <v>182</v>
      </c>
      <c r="J1118" s="291"/>
    </row>
    <row r="1119" spans="1:10">
      <c r="A1119" s="289" t="s">
        <v>133</v>
      </c>
      <c r="B1119" s="308">
        <f>SUMPRODUCT($B1004:$F1004,$B$110:$F$110)</f>
        <v>0</v>
      </c>
      <c r="C1119" s="311">
        <f>B1119</f>
        <v>0</v>
      </c>
      <c r="D1119" s="306">
        <f>B201*(1-B1119)</f>
        <v>770.36280056434089</v>
      </c>
      <c r="E1119" s="306">
        <f>C201*(1-B1119)</f>
        <v>0</v>
      </c>
      <c r="F1119" s="306">
        <f t="shared" ref="F1119:G1121" si="86">D201*(1-B1119)</f>
        <v>0</v>
      </c>
      <c r="G1119" s="306">
        <f t="shared" si="86"/>
        <v>140.83222112491973</v>
      </c>
      <c r="H1119" s="306">
        <f>F201*(1-B1119)</f>
        <v>0</v>
      </c>
      <c r="I1119" s="306">
        <f>G201*(1-B1119)</f>
        <v>0</v>
      </c>
      <c r="J1119" s="291"/>
    </row>
    <row r="1120" spans="1:10">
      <c r="A1120" s="289" t="s">
        <v>183</v>
      </c>
      <c r="B1120" s="308">
        <f>SUMPRODUCT($B1005:$F1005,$B$110:$F$110)</f>
        <v>0.33064254054995224</v>
      </c>
      <c r="C1120" s="311">
        <f>B1120</f>
        <v>0.33064254054995224</v>
      </c>
      <c r="D1120" s="306">
        <f>B202*(1-B1120)</f>
        <v>0</v>
      </c>
      <c r="E1120" s="306">
        <f>C202*(1-B1120)</f>
        <v>0</v>
      </c>
      <c r="F1120" s="306">
        <f t="shared" si="86"/>
        <v>0</v>
      </c>
      <c r="G1120" s="306">
        <f t="shared" si="86"/>
        <v>0</v>
      </c>
      <c r="H1120" s="306">
        <f>F202*(1-B1120)</f>
        <v>0</v>
      </c>
      <c r="I1120" s="306">
        <f>G202*(1-B1120)</f>
        <v>0</v>
      </c>
      <c r="J1120" s="291"/>
    </row>
    <row r="1121" spans="1:10">
      <c r="A1121" s="289" t="s">
        <v>184</v>
      </c>
      <c r="B1121" s="308">
        <f>SUMPRODUCT($B1006:$F1006,$B$110:$F$110)</f>
        <v>0.51417010196128798</v>
      </c>
      <c r="C1121" s="311">
        <f>B1121</f>
        <v>0.51417010196128798</v>
      </c>
      <c r="D1121" s="306">
        <f>B203*(1-B1121)</f>
        <v>13.998166705244142</v>
      </c>
      <c r="E1121" s="306">
        <f>C203*(1-B1121)</f>
        <v>0</v>
      </c>
      <c r="F1121" s="306">
        <f t="shared" si="86"/>
        <v>0</v>
      </c>
      <c r="G1121" s="306">
        <f t="shared" si="86"/>
        <v>0</v>
      </c>
      <c r="H1121" s="306">
        <f>F203*(1-B1121)</f>
        <v>0</v>
      </c>
      <c r="I1121" s="306">
        <f>G203*(1-B1121)</f>
        <v>0</v>
      </c>
      <c r="J1121" s="291"/>
    </row>
    <row r="1122" spans="1:10">
      <c r="A1122" s="297" t="s">
        <v>185</v>
      </c>
      <c r="J1122" s="291"/>
    </row>
    <row r="1123" spans="1:10">
      <c r="A1123" s="289" t="s">
        <v>134</v>
      </c>
      <c r="B1123" s="308">
        <f>SUMPRODUCT($B1008:$F1008,$B$110:$F$110)</f>
        <v>0</v>
      </c>
      <c r="C1123" s="311">
        <f>B1123</f>
        <v>0</v>
      </c>
      <c r="D1123" s="306">
        <f>B205*(1-B1123)</f>
        <v>4817.2532716792102</v>
      </c>
      <c r="E1123" s="306">
        <f>C205*(1-B1123)</f>
        <v>0</v>
      </c>
      <c r="F1123" s="306">
        <f t="shared" ref="F1123:G1125" si="87">D205*(1-B1123)</f>
        <v>0</v>
      </c>
      <c r="G1123" s="306">
        <f t="shared" si="87"/>
        <v>40.527257877674742</v>
      </c>
      <c r="H1123" s="306">
        <f>F205*(1-B1123)</f>
        <v>0</v>
      </c>
      <c r="I1123" s="306">
        <f>G205*(1-B1123)</f>
        <v>0</v>
      </c>
      <c r="J1123" s="291"/>
    </row>
    <row r="1124" spans="1:10">
      <c r="A1124" s="289" t="s">
        <v>186</v>
      </c>
      <c r="B1124" s="308">
        <f>SUMPRODUCT($B1009:$F1009,$B$110:$F$110)</f>
        <v>0.33064254054995224</v>
      </c>
      <c r="C1124" s="311">
        <f>B1124</f>
        <v>0.33064254054995224</v>
      </c>
      <c r="D1124" s="306">
        <f>B206*(1-B1124)</f>
        <v>0</v>
      </c>
      <c r="E1124" s="306">
        <f>C206*(1-B1124)</f>
        <v>0</v>
      </c>
      <c r="F1124" s="306">
        <f t="shared" si="87"/>
        <v>0</v>
      </c>
      <c r="G1124" s="306">
        <f t="shared" si="87"/>
        <v>0</v>
      </c>
      <c r="H1124" s="306">
        <f>F206*(1-B1124)</f>
        <v>0</v>
      </c>
      <c r="I1124" s="306">
        <f>G206*(1-B1124)</f>
        <v>0</v>
      </c>
      <c r="J1124" s="291"/>
    </row>
    <row r="1125" spans="1:10">
      <c r="A1125" s="289" t="s">
        <v>187</v>
      </c>
      <c r="B1125" s="308">
        <f>SUMPRODUCT($B1010:$F1010,$B$110:$F$110)</f>
        <v>0.51417010196128798</v>
      </c>
      <c r="C1125" s="311">
        <f>B1125</f>
        <v>0.51417010196128798</v>
      </c>
      <c r="D1125" s="306">
        <f>B207*(1-B1125)</f>
        <v>0</v>
      </c>
      <c r="E1125" s="306">
        <f>C207*(1-B1125)</f>
        <v>0</v>
      </c>
      <c r="F1125" s="306">
        <f t="shared" si="87"/>
        <v>0</v>
      </c>
      <c r="G1125" s="306">
        <f t="shared" si="87"/>
        <v>0</v>
      </c>
      <c r="H1125" s="306">
        <f>F207*(1-B1125)</f>
        <v>0</v>
      </c>
      <c r="I1125" s="306">
        <f>G207*(1-B1125)</f>
        <v>0</v>
      </c>
      <c r="J1125" s="291"/>
    </row>
    <row r="1126" spans="1:10">
      <c r="A1126" s="297" t="s">
        <v>188</v>
      </c>
      <c r="J1126" s="291"/>
    </row>
    <row r="1127" spans="1:10">
      <c r="A1127" s="289" t="s">
        <v>135</v>
      </c>
      <c r="B1127" s="308">
        <f>SUMPRODUCT($B1012:$F1012,$B$110:$F$110)</f>
        <v>0</v>
      </c>
      <c r="C1127" s="311">
        <f>B1127</f>
        <v>0</v>
      </c>
      <c r="D1127" s="306">
        <f>B209*(1-B1127)</f>
        <v>12679.091510220966</v>
      </c>
      <c r="E1127" s="306">
        <f>C209*(1-B1127)</f>
        <v>30029.713146509384</v>
      </c>
      <c r="F1127" s="306">
        <f t="shared" ref="F1127:G1129" si="88">D209*(1-B1127)</f>
        <v>206123.67095361077</v>
      </c>
      <c r="G1127" s="306">
        <f t="shared" si="88"/>
        <v>20.263628938837371</v>
      </c>
      <c r="H1127" s="306">
        <f>F209*(1-B1127)</f>
        <v>0</v>
      </c>
      <c r="I1127" s="306">
        <f>G209*(1-B1127)</f>
        <v>0</v>
      </c>
      <c r="J1127" s="291"/>
    </row>
    <row r="1128" spans="1:10">
      <c r="A1128" s="289" t="s">
        <v>189</v>
      </c>
      <c r="B1128" s="308">
        <f>SUMPRODUCT($B1013:$F1013,$B$110:$F$110)</f>
        <v>0.33064254054995224</v>
      </c>
      <c r="C1128" s="311">
        <f>B1128</f>
        <v>0.33064254054995224</v>
      </c>
      <c r="D1128" s="306">
        <f>B210*(1-B1128)</f>
        <v>0</v>
      </c>
      <c r="E1128" s="306">
        <f>C210*(1-B1128)</f>
        <v>0</v>
      </c>
      <c r="F1128" s="306">
        <f t="shared" si="88"/>
        <v>0</v>
      </c>
      <c r="G1128" s="306">
        <f t="shared" si="88"/>
        <v>0</v>
      </c>
      <c r="H1128" s="306">
        <f>F210*(1-B1128)</f>
        <v>0</v>
      </c>
      <c r="I1128" s="306">
        <f>G210*(1-B1128)</f>
        <v>0</v>
      </c>
      <c r="J1128" s="291"/>
    </row>
    <row r="1129" spans="1:10">
      <c r="A1129" s="289" t="s">
        <v>190</v>
      </c>
      <c r="B1129" s="308">
        <f>SUMPRODUCT($B1014:$F1014,$B$110:$F$110)</f>
        <v>0.51417010196128798</v>
      </c>
      <c r="C1129" s="311">
        <f>B1129</f>
        <v>0.51417010196128798</v>
      </c>
      <c r="D1129" s="306">
        <f>B211*(1-B1129)</f>
        <v>0</v>
      </c>
      <c r="E1129" s="306">
        <f>C211*(1-B1129)</f>
        <v>0</v>
      </c>
      <c r="F1129" s="306">
        <f t="shared" si="88"/>
        <v>0</v>
      </c>
      <c r="G1129" s="306">
        <f t="shared" si="88"/>
        <v>0</v>
      </c>
      <c r="H1129" s="306">
        <f>F211*(1-B1129)</f>
        <v>0</v>
      </c>
      <c r="I1129" s="306">
        <f>G211*(1-B1129)</f>
        <v>0</v>
      </c>
      <c r="J1129" s="291"/>
    </row>
    <row r="1130" spans="1:10">
      <c r="A1130" s="297" t="s">
        <v>1537</v>
      </c>
      <c r="J1130" s="291"/>
    </row>
    <row r="1131" spans="1:10">
      <c r="A1131" s="289" t="s">
        <v>1534</v>
      </c>
      <c r="B1131" s="308">
        <f>SUMPRODUCT($B1016:$F1016,$B$110:$F$110)</f>
        <v>0</v>
      </c>
      <c r="C1131" s="311">
        <f>B1131</f>
        <v>0</v>
      </c>
      <c r="D1131" s="306">
        <f>B213*(1-B1131)</f>
        <v>1660.7170232592748</v>
      </c>
      <c r="E1131" s="306">
        <f>C213*(1-B1131)</f>
        <v>0</v>
      </c>
      <c r="F1131" s="306">
        <f t="shared" ref="F1131:G1133" si="89">D213*(1-B1131)</f>
        <v>0</v>
      </c>
      <c r="G1131" s="306">
        <f t="shared" si="89"/>
        <v>119.55541073914044</v>
      </c>
      <c r="H1131" s="306">
        <f>F213*(1-B1131)</f>
        <v>0</v>
      </c>
      <c r="I1131" s="306">
        <f>G213*(1-B1131)</f>
        <v>0</v>
      </c>
      <c r="J1131" s="291"/>
    </row>
    <row r="1132" spans="1:10">
      <c r="A1132" s="289" t="s">
        <v>1531</v>
      </c>
      <c r="B1132" s="308">
        <f>SUMPRODUCT($B1017:$F1017,$B$110:$F$110)</f>
        <v>0</v>
      </c>
      <c r="C1132" s="310">
        <v>1</v>
      </c>
      <c r="D1132" s="306">
        <f>B214*(1-B1132)</f>
        <v>0</v>
      </c>
      <c r="E1132" s="306">
        <f>C214*(1-B1132)</f>
        <v>0</v>
      </c>
      <c r="F1132" s="306">
        <f t="shared" si="89"/>
        <v>0</v>
      </c>
      <c r="G1132" s="306">
        <f t="shared" si="89"/>
        <v>0</v>
      </c>
      <c r="H1132" s="306">
        <f>F214*(1-B1132)</f>
        <v>0</v>
      </c>
      <c r="I1132" s="306">
        <f>G214*(1-B1132)</f>
        <v>0</v>
      </c>
      <c r="J1132" s="291"/>
    </row>
    <row r="1133" spans="1:10">
      <c r="A1133" s="289" t="s">
        <v>1528</v>
      </c>
      <c r="B1133" s="308">
        <f>SUMPRODUCT($B1018:$F1018,$B$110:$F$110)</f>
        <v>0</v>
      </c>
      <c r="C1133" s="310">
        <v>1</v>
      </c>
      <c r="D1133" s="306">
        <f>B215*(1-B1133)</f>
        <v>0</v>
      </c>
      <c r="E1133" s="306">
        <f>C215*(1-B1133)</f>
        <v>0</v>
      </c>
      <c r="F1133" s="306">
        <f t="shared" si="89"/>
        <v>0</v>
      </c>
      <c r="G1133" s="306">
        <f t="shared" si="89"/>
        <v>0</v>
      </c>
      <c r="H1133" s="306">
        <f>F215*(1-B1133)</f>
        <v>0</v>
      </c>
      <c r="I1133" s="306">
        <f>G215*(1-B1133)</f>
        <v>0</v>
      </c>
      <c r="J1133" s="291"/>
    </row>
    <row r="1134" spans="1:10">
      <c r="A1134" s="297" t="s">
        <v>191</v>
      </c>
      <c r="J1134" s="291"/>
    </row>
    <row r="1135" spans="1:10">
      <c r="A1135" s="289" t="s">
        <v>100</v>
      </c>
      <c r="B1135" s="308">
        <f>SUMPRODUCT($B1020:$F1020,$B$110:$F$110)</f>
        <v>0</v>
      </c>
      <c r="C1135" s="311">
        <f>B1135</f>
        <v>0</v>
      </c>
      <c r="D1135" s="306">
        <f>B217*(1-B1135)</f>
        <v>0</v>
      </c>
      <c r="E1135" s="306">
        <f>C217*(1-B1135)</f>
        <v>0</v>
      </c>
      <c r="F1135" s="306">
        <f>D217*(1-B1135)</f>
        <v>0</v>
      </c>
      <c r="G1135" s="306">
        <f>E217*(1-C1135)</f>
        <v>0</v>
      </c>
      <c r="H1135" s="306">
        <f>F217*(1-B1135)</f>
        <v>0</v>
      </c>
      <c r="I1135" s="306">
        <f>G217*(1-B1135)</f>
        <v>0</v>
      </c>
      <c r="J1135" s="291"/>
    </row>
    <row r="1136" spans="1:10">
      <c r="A1136" s="289" t="s">
        <v>192</v>
      </c>
      <c r="B1136" s="308">
        <f>SUMPRODUCT($B1021:$F1021,$B$110:$F$110)</f>
        <v>0</v>
      </c>
      <c r="C1136" s="310">
        <v>1</v>
      </c>
      <c r="D1136" s="306">
        <f>B218*(1-B1136)</f>
        <v>0</v>
      </c>
      <c r="E1136" s="306">
        <f>C218*(1-B1136)</f>
        <v>0</v>
      </c>
      <c r="F1136" s="306">
        <f>D218*(1-B1136)</f>
        <v>0</v>
      </c>
      <c r="G1136" s="306">
        <f>E218*(1-C1136)</f>
        <v>0</v>
      </c>
      <c r="H1136" s="306">
        <f>F218*(1-B1136)</f>
        <v>0</v>
      </c>
      <c r="I1136" s="306">
        <f>G218*(1-B1136)</f>
        <v>0</v>
      </c>
      <c r="J1136" s="291"/>
    </row>
    <row r="1137" spans="1:10">
      <c r="A1137" s="297" t="s">
        <v>193</v>
      </c>
      <c r="J1137" s="291"/>
    </row>
    <row r="1138" spans="1:10">
      <c r="A1138" s="289" t="s">
        <v>101</v>
      </c>
      <c r="B1138" s="308">
        <f>SUMPRODUCT($B1023:$F1023,$B$110:$F$110)</f>
        <v>0</v>
      </c>
      <c r="C1138" s="311">
        <f>B1138</f>
        <v>0</v>
      </c>
      <c r="D1138" s="306">
        <f>B220*(1-B1138)</f>
        <v>24996.858841456458</v>
      </c>
      <c r="E1138" s="306">
        <f>C220*(1-B1138)</f>
        <v>0</v>
      </c>
      <c r="F1138" s="306">
        <f t="shared" ref="F1138:G1140" si="90">D220*(1-B1138)</f>
        <v>0</v>
      </c>
      <c r="G1138" s="306">
        <f t="shared" si="90"/>
        <v>167.17493874540833</v>
      </c>
      <c r="H1138" s="306">
        <f>F220*(1-B1138)</f>
        <v>0</v>
      </c>
      <c r="I1138" s="306">
        <f>G220*(1-B1138)</f>
        <v>1833.7618341721654</v>
      </c>
      <c r="J1138" s="291"/>
    </row>
    <row r="1139" spans="1:10">
      <c r="A1139" s="289" t="s">
        <v>194</v>
      </c>
      <c r="B1139" s="308">
        <f>SUMPRODUCT($B1024:$F1024,$B$110:$F$110)</f>
        <v>0</v>
      </c>
      <c r="C1139" s="310">
        <v>1</v>
      </c>
      <c r="D1139" s="306">
        <f>B221*(1-B1139)</f>
        <v>0</v>
      </c>
      <c r="E1139" s="306">
        <f>C221*(1-B1139)</f>
        <v>0</v>
      </c>
      <c r="F1139" s="306">
        <f t="shared" si="90"/>
        <v>0</v>
      </c>
      <c r="G1139" s="306">
        <f t="shared" si="90"/>
        <v>0</v>
      </c>
      <c r="H1139" s="306">
        <f>F221*(1-B1139)</f>
        <v>0</v>
      </c>
      <c r="I1139" s="306">
        <f>G221*(1-B1139)</f>
        <v>0</v>
      </c>
      <c r="J1139" s="291"/>
    </row>
    <row r="1140" spans="1:10">
      <c r="A1140" s="289" t="s">
        <v>195</v>
      </c>
      <c r="B1140" s="308">
        <f>SUMPRODUCT($B1025:$F1025,$B$110:$F$110)</f>
        <v>0</v>
      </c>
      <c r="C1140" s="310">
        <v>1</v>
      </c>
      <c r="D1140" s="306">
        <f>B222*(1-B1140)</f>
        <v>67.449079939668152</v>
      </c>
      <c r="E1140" s="306">
        <f>C222*(1-B1140)</f>
        <v>0</v>
      </c>
      <c r="F1140" s="306">
        <f t="shared" si="90"/>
        <v>0</v>
      </c>
      <c r="G1140" s="306">
        <f t="shared" si="90"/>
        <v>0</v>
      </c>
      <c r="H1140" s="306">
        <f>F222*(1-B1140)</f>
        <v>0</v>
      </c>
      <c r="I1140" s="306">
        <f>G222*(1-B1140)</f>
        <v>40.276868917141599</v>
      </c>
      <c r="J1140" s="291"/>
    </row>
    <row r="1141" spans="1:10">
      <c r="A1141" s="297" t="s">
        <v>196</v>
      </c>
      <c r="J1141" s="291"/>
    </row>
    <row r="1142" spans="1:10">
      <c r="A1142" s="289" t="s">
        <v>102</v>
      </c>
      <c r="B1142" s="308">
        <f>SUMPRODUCT($B1027:$F1027,$B$110:$F$110)</f>
        <v>0</v>
      </c>
      <c r="C1142" s="311">
        <f>B1142</f>
        <v>0</v>
      </c>
      <c r="D1142" s="306">
        <f>B224*(1-B1142)</f>
        <v>826.92226302739937</v>
      </c>
      <c r="E1142" s="306">
        <f>C224*(1-B1142)</f>
        <v>3731.6613783210264</v>
      </c>
      <c r="F1142" s="306">
        <f t="shared" ref="F1142:G1144" si="91">D224*(1-B1142)</f>
        <v>5008.4114190363289</v>
      </c>
      <c r="G1142" s="306">
        <f t="shared" si="91"/>
        <v>86.120422990058827</v>
      </c>
      <c r="H1142" s="306">
        <f>F224*(1-B1142)</f>
        <v>0</v>
      </c>
      <c r="I1142" s="306">
        <f>G224*(1-B1142)</f>
        <v>497.09178617320293</v>
      </c>
      <c r="J1142" s="291"/>
    </row>
    <row r="1143" spans="1:10">
      <c r="A1143" s="289" t="s">
        <v>197</v>
      </c>
      <c r="B1143" s="308">
        <f>SUMPRODUCT($B1028:$F1028,$B$110:$F$110)</f>
        <v>0</v>
      </c>
      <c r="C1143" s="310">
        <v>1</v>
      </c>
      <c r="D1143" s="306">
        <f>B225*(1-B1143)</f>
        <v>0</v>
      </c>
      <c r="E1143" s="306">
        <f>C225*(1-B1143)</f>
        <v>0</v>
      </c>
      <c r="F1143" s="306">
        <f t="shared" si="91"/>
        <v>0</v>
      </c>
      <c r="G1143" s="306">
        <f t="shared" si="91"/>
        <v>0</v>
      </c>
      <c r="H1143" s="306">
        <f>F225*(1-B1143)</f>
        <v>0</v>
      </c>
      <c r="I1143" s="306">
        <f>G225*(1-B1143)</f>
        <v>0</v>
      </c>
      <c r="J1143" s="291"/>
    </row>
    <row r="1144" spans="1:10">
      <c r="A1144" s="289" t="s">
        <v>198</v>
      </c>
      <c r="B1144" s="308">
        <f>SUMPRODUCT($B1029:$F1029,$B$110:$F$110)</f>
        <v>0</v>
      </c>
      <c r="C1144" s="310">
        <v>1</v>
      </c>
      <c r="D1144" s="306">
        <f>B226*(1-B1144)</f>
        <v>0.3293543489190548</v>
      </c>
      <c r="E1144" s="306">
        <f>C226*(1-B1144)</f>
        <v>0</v>
      </c>
      <c r="F1144" s="306">
        <f t="shared" si="91"/>
        <v>0</v>
      </c>
      <c r="G1144" s="306">
        <f t="shared" si="91"/>
        <v>0</v>
      </c>
      <c r="H1144" s="306">
        <f>F226*(1-B1144)</f>
        <v>0</v>
      </c>
      <c r="I1144" s="306">
        <f>G226*(1-B1144)</f>
        <v>0.38239675580885579</v>
      </c>
      <c r="J1144" s="291"/>
    </row>
    <row r="1145" spans="1:10">
      <c r="A1145" s="297" t="s">
        <v>199</v>
      </c>
      <c r="J1145" s="291"/>
    </row>
    <row r="1146" spans="1:10">
      <c r="A1146" s="289" t="s">
        <v>103</v>
      </c>
      <c r="B1146" s="308">
        <f>SUMPRODUCT($B1031:$F1031,$B$110:$F$110)</f>
        <v>0</v>
      </c>
      <c r="C1146" s="311">
        <f>B1146</f>
        <v>0</v>
      </c>
      <c r="D1146" s="306">
        <f>B228*(1-B1146)</f>
        <v>1213.6794216291853</v>
      </c>
      <c r="E1146" s="306">
        <f>C228*(1-B1146)</f>
        <v>0</v>
      </c>
      <c r="F1146" s="306">
        <f>D228*(1-B1146)</f>
        <v>0</v>
      </c>
      <c r="G1146" s="306">
        <f>E228*(1-C1146)</f>
        <v>5.0659072347093428</v>
      </c>
      <c r="H1146" s="306">
        <f>F228*(1-B1146)</f>
        <v>0</v>
      </c>
      <c r="I1146" s="306">
        <f>G228*(1-B1146)</f>
        <v>124.64962312250731</v>
      </c>
      <c r="J1146" s="291"/>
    </row>
    <row r="1147" spans="1:10">
      <c r="A1147" s="289" t="s">
        <v>200</v>
      </c>
      <c r="B1147" s="308">
        <f>SUMPRODUCT($B1032:$F1032,$B$110:$F$110)</f>
        <v>0</v>
      </c>
      <c r="C1147" s="310">
        <v>1</v>
      </c>
      <c r="D1147" s="306">
        <f>B229*(1-B1147)</f>
        <v>0</v>
      </c>
      <c r="E1147" s="306">
        <f>C229*(1-B1147)</f>
        <v>0</v>
      </c>
      <c r="F1147" s="306">
        <f>D229*(1-B1147)</f>
        <v>0</v>
      </c>
      <c r="G1147" s="306">
        <f>E229*(1-C1147)</f>
        <v>0</v>
      </c>
      <c r="H1147" s="306">
        <f>F229*(1-B1147)</f>
        <v>0</v>
      </c>
      <c r="I1147" s="306">
        <f>G229*(1-B1147)</f>
        <v>0</v>
      </c>
      <c r="J1147" s="291"/>
    </row>
    <row r="1148" spans="1:10">
      <c r="A1148" s="297" t="s">
        <v>201</v>
      </c>
      <c r="J1148" s="291"/>
    </row>
    <row r="1149" spans="1:10">
      <c r="A1149" s="289" t="s">
        <v>104</v>
      </c>
      <c r="B1149" s="308">
        <f>SUMPRODUCT($B1034:$F1034,$B$110:$F$110)</f>
        <v>0</v>
      </c>
      <c r="C1149" s="311">
        <f>B1149</f>
        <v>0</v>
      </c>
      <c r="D1149" s="306">
        <f>B231*(1-B1149)</f>
        <v>1398.4642496253416</v>
      </c>
      <c r="E1149" s="306">
        <f>C231*(1-B1149)</f>
        <v>3179.9868408000002</v>
      </c>
      <c r="F1149" s="306">
        <f>D231*(1-B1149)</f>
        <v>6128.1571032000011</v>
      </c>
      <c r="G1149" s="306">
        <f>E231*(1-C1149)</f>
        <v>4.0527257877674732</v>
      </c>
      <c r="H1149" s="306">
        <f>F231*(1-B1149)</f>
        <v>0</v>
      </c>
      <c r="I1149" s="306">
        <f>G231*(1-B1149)</f>
        <v>8.8798433495988469</v>
      </c>
      <c r="J1149" s="291"/>
    </row>
    <row r="1150" spans="1:10">
      <c r="A1150" s="289" t="s">
        <v>202</v>
      </c>
      <c r="B1150" s="308">
        <f>SUMPRODUCT($B1035:$F1035,$B$110:$F$110)</f>
        <v>0</v>
      </c>
      <c r="C1150" s="310">
        <v>1</v>
      </c>
      <c r="D1150" s="306">
        <f>B232*(1-B1150)</f>
        <v>0</v>
      </c>
      <c r="E1150" s="306">
        <f>C232*(1-B1150)</f>
        <v>0</v>
      </c>
      <c r="F1150" s="306">
        <f>D232*(1-B1150)</f>
        <v>0</v>
      </c>
      <c r="G1150" s="306">
        <f>E232*(1-C1150)</f>
        <v>0</v>
      </c>
      <c r="H1150" s="306">
        <f>F232*(1-B1150)</f>
        <v>0</v>
      </c>
      <c r="I1150" s="306">
        <f>G232*(1-B1150)</f>
        <v>0</v>
      </c>
      <c r="J1150" s="291"/>
    </row>
    <row r="1151" spans="1:10">
      <c r="A1151" s="297" t="s">
        <v>203</v>
      </c>
      <c r="J1151" s="291"/>
    </row>
    <row r="1152" spans="1:10">
      <c r="A1152" s="289" t="s">
        <v>112</v>
      </c>
      <c r="B1152" s="308">
        <f>SUMPRODUCT($B1037:$F1037,$B$110:$F$110)</f>
        <v>0</v>
      </c>
      <c r="C1152" s="311">
        <f>B1152</f>
        <v>0</v>
      </c>
      <c r="D1152" s="306">
        <f>B234*(1-B1152)</f>
        <v>95543.871083999999</v>
      </c>
      <c r="E1152" s="306">
        <f>C234*(1-B1152)</f>
        <v>0</v>
      </c>
      <c r="F1152" s="306">
        <f>D234*(1-B1152)</f>
        <v>0</v>
      </c>
      <c r="G1152" s="306">
        <f>E234*(1-C1152)</f>
        <v>55.359020484258814</v>
      </c>
      <c r="H1152" s="306">
        <f>F234*(1-B1152)</f>
        <v>0</v>
      </c>
      <c r="I1152" s="306">
        <f>G234*(1-B1152)</f>
        <v>3144.8579734229206</v>
      </c>
      <c r="J1152" s="291"/>
    </row>
    <row r="1153" spans="1:10">
      <c r="A1153" s="289" t="s">
        <v>204</v>
      </c>
      <c r="B1153" s="308">
        <f>SUMPRODUCT($B1038:$F1038,$B$110:$F$110)</f>
        <v>0</v>
      </c>
      <c r="C1153" s="310">
        <v>1</v>
      </c>
      <c r="D1153" s="306">
        <f>B235*(1-B1153)</f>
        <v>0</v>
      </c>
      <c r="E1153" s="306">
        <f>C235*(1-B1153)</f>
        <v>0</v>
      </c>
      <c r="F1153" s="306">
        <f>D235*(1-B1153)</f>
        <v>0</v>
      </c>
      <c r="G1153" s="306">
        <f>E235*(1-C1153)</f>
        <v>0</v>
      </c>
      <c r="H1153" s="306">
        <f>F235*(1-B1153)</f>
        <v>0</v>
      </c>
      <c r="I1153" s="306">
        <f>G235*(1-B1153)</f>
        <v>0</v>
      </c>
      <c r="J1153" s="291"/>
    </row>
    <row r="1154" spans="1:10">
      <c r="A1154" s="297" t="s">
        <v>205</v>
      </c>
      <c r="J1154" s="291"/>
    </row>
    <row r="1155" spans="1:10">
      <c r="A1155" s="289" t="s">
        <v>113</v>
      </c>
      <c r="B1155" s="308">
        <f>SUMPRODUCT($B1040:$F1040,$B$110:$F$110)</f>
        <v>0</v>
      </c>
      <c r="C1155" s="311">
        <f>B1155</f>
        <v>0</v>
      </c>
      <c r="D1155" s="306">
        <f>B237*(1-B1155)</f>
        <v>65104.786809687452</v>
      </c>
      <c r="E1155" s="306">
        <f>C237*(1-B1155)</f>
        <v>202236.73285292476</v>
      </c>
      <c r="F1155" s="306">
        <f>D237*(1-B1155)</f>
        <v>389530.18598588731</v>
      </c>
      <c r="G1155" s="306">
        <f>E237*(1-C1155)</f>
        <v>115.75067919435931</v>
      </c>
      <c r="H1155" s="306">
        <f>F237*(1-B1155)</f>
        <v>0</v>
      </c>
      <c r="I1155" s="306">
        <f>G237*(1-B1155)</f>
        <v>7784.0578486942413</v>
      </c>
      <c r="J1155" s="291"/>
    </row>
    <row r="1156" spans="1:10">
      <c r="A1156" s="289" t="s">
        <v>206</v>
      </c>
      <c r="B1156" s="308">
        <f>SUMPRODUCT($B1041:$F1041,$B$110:$F$110)</f>
        <v>0</v>
      </c>
      <c r="C1156" s="310">
        <v>1</v>
      </c>
      <c r="D1156" s="306">
        <f>B238*(1-B1156)</f>
        <v>0</v>
      </c>
      <c r="E1156" s="306">
        <f>C238*(1-B1156)</f>
        <v>0</v>
      </c>
      <c r="F1156" s="306">
        <f>D238*(1-B1156)</f>
        <v>0</v>
      </c>
      <c r="G1156" s="306">
        <f>E238*(1-C1156)</f>
        <v>0</v>
      </c>
      <c r="H1156" s="306">
        <f>F238*(1-B1156)</f>
        <v>0</v>
      </c>
      <c r="I1156" s="306">
        <f>G238*(1-B1156)</f>
        <v>0</v>
      </c>
      <c r="J1156" s="291"/>
    </row>
    <row r="1158" spans="1:10" ht="21" customHeight="1">
      <c r="A1158" s="1" t="s">
        <v>424</v>
      </c>
    </row>
    <row r="1159" spans="1:10">
      <c r="A1159" s="287" t="s">
        <v>255</v>
      </c>
    </row>
    <row r="1160" spans="1:10">
      <c r="A1160" s="301" t="s">
        <v>425</v>
      </c>
    </row>
    <row r="1161" spans="1:10">
      <c r="A1161" s="301" t="s">
        <v>426</v>
      </c>
    </row>
    <row r="1162" spans="1:10">
      <c r="A1162" s="301" t="s">
        <v>427</v>
      </c>
    </row>
    <row r="1163" spans="1:10">
      <c r="A1163" s="301" t="s">
        <v>428</v>
      </c>
    </row>
    <row r="1164" spans="1:10">
      <c r="A1164" s="301" t="s">
        <v>429</v>
      </c>
    </row>
    <row r="1165" spans="1:10">
      <c r="A1165" s="301" t="s">
        <v>430</v>
      </c>
    </row>
    <row r="1166" spans="1:10">
      <c r="A1166" s="302" t="s">
        <v>258</v>
      </c>
      <c r="B1166" s="302" t="s">
        <v>381</v>
      </c>
      <c r="C1166" s="302" t="s">
        <v>381</v>
      </c>
      <c r="D1166" s="302" t="s">
        <v>381</v>
      </c>
      <c r="E1166" s="302" t="s">
        <v>381</v>
      </c>
      <c r="F1166" s="302" t="s">
        <v>381</v>
      </c>
      <c r="G1166" s="302" t="s">
        <v>381</v>
      </c>
    </row>
    <row r="1167" spans="1:10">
      <c r="A1167" s="302" t="s">
        <v>261</v>
      </c>
      <c r="B1167" s="302" t="s">
        <v>431</v>
      </c>
      <c r="C1167" s="302" t="s">
        <v>432</v>
      </c>
      <c r="D1167" s="302" t="s">
        <v>433</v>
      </c>
      <c r="E1167" s="302" t="s">
        <v>434</v>
      </c>
      <c r="F1167" s="302" t="s">
        <v>383</v>
      </c>
      <c r="G1167" s="302" t="s">
        <v>435</v>
      </c>
    </row>
    <row r="1169" spans="1:8">
      <c r="B1169" s="288" t="s">
        <v>140</v>
      </c>
      <c r="C1169" s="288" t="s">
        <v>141</v>
      </c>
      <c r="D1169" s="288" t="s">
        <v>142</v>
      </c>
      <c r="E1169" s="288" t="s">
        <v>143</v>
      </c>
      <c r="F1169" s="288" t="s">
        <v>144</v>
      </c>
      <c r="G1169" s="288" t="s">
        <v>145</v>
      </c>
    </row>
    <row r="1170" spans="1:8">
      <c r="A1170" s="289" t="s">
        <v>92</v>
      </c>
      <c r="B1170" s="312">
        <f t="shared" ref="B1170:G1170" si="92">SUM(D$1061:D$1063)</f>
        <v>7070432.3403182207</v>
      </c>
      <c r="C1170" s="312">
        <f t="shared" si="92"/>
        <v>0</v>
      </c>
      <c r="D1170" s="312">
        <f t="shared" si="92"/>
        <v>0</v>
      </c>
      <c r="E1170" s="312">
        <f t="shared" si="92"/>
        <v>1988697.4109593821</v>
      </c>
      <c r="F1170" s="312">
        <f t="shared" si="92"/>
        <v>0</v>
      </c>
      <c r="G1170" s="312">
        <f t="shared" si="92"/>
        <v>0</v>
      </c>
      <c r="H1170" s="291"/>
    </row>
    <row r="1171" spans="1:8">
      <c r="A1171" s="289" t="s">
        <v>93</v>
      </c>
      <c r="B1171" s="312">
        <f t="shared" ref="B1171:G1171" si="93">SUM(D$1065:D$1067)</f>
        <v>936687.67944132304</v>
      </c>
      <c r="C1171" s="312">
        <f t="shared" si="93"/>
        <v>721979.99449980946</v>
      </c>
      <c r="D1171" s="312">
        <f t="shared" si="93"/>
        <v>0</v>
      </c>
      <c r="E1171" s="312">
        <f t="shared" si="93"/>
        <v>301598.3155366056</v>
      </c>
      <c r="F1171" s="312">
        <f t="shared" si="93"/>
        <v>0</v>
      </c>
      <c r="G1171" s="312">
        <f t="shared" si="93"/>
        <v>0</v>
      </c>
      <c r="H1171" s="291"/>
    </row>
    <row r="1172" spans="1:8">
      <c r="A1172" s="289" t="s">
        <v>129</v>
      </c>
      <c r="B1172" s="312">
        <f t="shared" ref="B1172:G1172" si="94">SUM(D$1069:D$1071)</f>
        <v>36106.46318967735</v>
      </c>
      <c r="C1172" s="312">
        <f t="shared" si="94"/>
        <v>0</v>
      </c>
      <c r="D1172" s="312">
        <f t="shared" si="94"/>
        <v>0</v>
      </c>
      <c r="E1172" s="312">
        <f t="shared" si="94"/>
        <v>0</v>
      </c>
      <c r="F1172" s="312">
        <f t="shared" si="94"/>
        <v>0</v>
      </c>
      <c r="G1172" s="312">
        <f t="shared" si="94"/>
        <v>0</v>
      </c>
      <c r="H1172" s="291"/>
    </row>
    <row r="1173" spans="1:8">
      <c r="A1173" s="289" t="s">
        <v>94</v>
      </c>
      <c r="B1173" s="312">
        <f t="shared" ref="B1173:G1173" si="95">SUM(D$1073:D$1075)</f>
        <v>1628983.0183957107</v>
      </c>
      <c r="C1173" s="312">
        <f t="shared" si="95"/>
        <v>0</v>
      </c>
      <c r="D1173" s="312">
        <f t="shared" si="95"/>
        <v>0</v>
      </c>
      <c r="E1173" s="312">
        <f t="shared" si="95"/>
        <v>141573.90259698126</v>
      </c>
      <c r="F1173" s="312">
        <f t="shared" si="95"/>
        <v>0</v>
      </c>
      <c r="G1173" s="312">
        <f t="shared" si="95"/>
        <v>0</v>
      </c>
      <c r="H1173" s="291"/>
    </row>
    <row r="1174" spans="1:8">
      <c r="A1174" s="289" t="s">
        <v>95</v>
      </c>
      <c r="B1174" s="312">
        <f t="shared" ref="B1174:G1174" si="96">SUM(D$1077:D$1079)</f>
        <v>507665.04586870456</v>
      </c>
      <c r="C1174" s="312">
        <f t="shared" si="96"/>
        <v>209134.49415012452</v>
      </c>
      <c r="D1174" s="312">
        <f t="shared" si="96"/>
        <v>0</v>
      </c>
      <c r="E1174" s="312">
        <f t="shared" si="96"/>
        <v>34541.169091372147</v>
      </c>
      <c r="F1174" s="312">
        <f t="shared" si="96"/>
        <v>0</v>
      </c>
      <c r="G1174" s="312">
        <f t="shared" si="96"/>
        <v>0</v>
      </c>
      <c r="H1174" s="291"/>
    </row>
    <row r="1175" spans="1:8">
      <c r="A1175" s="289" t="s">
        <v>130</v>
      </c>
      <c r="B1175" s="312">
        <f t="shared" ref="B1175:G1175" si="97">SUM(D$1081:D$1083)</f>
        <v>6654.8554381718086</v>
      </c>
      <c r="C1175" s="312">
        <f t="shared" si="97"/>
        <v>0</v>
      </c>
      <c r="D1175" s="312">
        <f t="shared" si="97"/>
        <v>0</v>
      </c>
      <c r="E1175" s="312">
        <f t="shared" si="97"/>
        <v>0</v>
      </c>
      <c r="F1175" s="312">
        <f t="shared" si="97"/>
        <v>0</v>
      </c>
      <c r="G1175" s="312">
        <f t="shared" si="97"/>
        <v>0</v>
      </c>
      <c r="H1175" s="291"/>
    </row>
    <row r="1176" spans="1:8">
      <c r="A1176" s="289" t="s">
        <v>96</v>
      </c>
      <c r="B1176" s="312">
        <f t="shared" ref="B1176:G1176" si="98">SUM(D$1085:D$1087)</f>
        <v>0</v>
      </c>
      <c r="C1176" s="312">
        <f t="shared" si="98"/>
        <v>0</v>
      </c>
      <c r="D1176" s="312">
        <f t="shared" si="98"/>
        <v>0</v>
      </c>
      <c r="E1176" s="312">
        <f t="shared" si="98"/>
        <v>0</v>
      </c>
      <c r="F1176" s="312">
        <f t="shared" si="98"/>
        <v>0</v>
      </c>
      <c r="G1176" s="312">
        <f t="shared" si="98"/>
        <v>0</v>
      </c>
      <c r="H1176" s="291"/>
    </row>
    <row r="1177" spans="1:8">
      <c r="A1177" s="289" t="s">
        <v>97</v>
      </c>
      <c r="B1177" s="312">
        <f t="shared" ref="B1177:G1177" si="99">SUM(D$1089:D$1089)</f>
        <v>0</v>
      </c>
      <c r="C1177" s="312">
        <f t="shared" si="99"/>
        <v>0</v>
      </c>
      <c r="D1177" s="312">
        <f t="shared" si="99"/>
        <v>0</v>
      </c>
      <c r="E1177" s="312">
        <f t="shared" si="99"/>
        <v>0</v>
      </c>
      <c r="F1177" s="312">
        <f t="shared" si="99"/>
        <v>0</v>
      </c>
      <c r="G1177" s="312">
        <f t="shared" si="99"/>
        <v>0</v>
      </c>
      <c r="H1177" s="291"/>
    </row>
    <row r="1178" spans="1:8">
      <c r="A1178" s="289" t="s">
        <v>110</v>
      </c>
      <c r="B1178" s="312">
        <f t="shared" ref="B1178:G1178" si="100">SUM(D$1091:D$1091)</f>
        <v>0</v>
      </c>
      <c r="C1178" s="312">
        <f t="shared" si="100"/>
        <v>0</v>
      </c>
      <c r="D1178" s="312">
        <f t="shared" si="100"/>
        <v>0</v>
      </c>
      <c r="E1178" s="312">
        <f t="shared" si="100"/>
        <v>0</v>
      </c>
      <c r="F1178" s="312">
        <f t="shared" si="100"/>
        <v>0</v>
      </c>
      <c r="G1178" s="312">
        <f t="shared" si="100"/>
        <v>0</v>
      </c>
      <c r="H1178" s="291"/>
    </row>
    <row r="1179" spans="1:8">
      <c r="A1179" s="289" t="s">
        <v>1536</v>
      </c>
      <c r="B1179" s="312">
        <f t="shared" ref="B1179:G1179" si="101">SUM(D$1093:D$1095)</f>
        <v>0</v>
      </c>
      <c r="C1179" s="312">
        <f t="shared" si="101"/>
        <v>0</v>
      </c>
      <c r="D1179" s="312">
        <f t="shared" si="101"/>
        <v>0</v>
      </c>
      <c r="E1179" s="312">
        <f t="shared" si="101"/>
        <v>0</v>
      </c>
      <c r="F1179" s="312">
        <f t="shared" si="101"/>
        <v>0</v>
      </c>
      <c r="G1179" s="312">
        <f t="shared" si="101"/>
        <v>0</v>
      </c>
      <c r="H1179" s="291"/>
    </row>
    <row r="1180" spans="1:8">
      <c r="A1180" s="289" t="s">
        <v>1535</v>
      </c>
      <c r="B1180" s="312">
        <f t="shared" ref="B1180:G1180" si="102">SUM(D$1097:D$1099)</f>
        <v>68676.713536160561</v>
      </c>
      <c r="C1180" s="312">
        <f t="shared" si="102"/>
        <v>261767.76318855406</v>
      </c>
      <c r="D1180" s="312">
        <f t="shared" si="102"/>
        <v>290564.76599568903</v>
      </c>
      <c r="E1180" s="312">
        <f t="shared" si="102"/>
        <v>10518.536007205001</v>
      </c>
      <c r="F1180" s="312">
        <f t="shared" si="102"/>
        <v>0</v>
      </c>
      <c r="G1180" s="312">
        <f t="shared" si="102"/>
        <v>0</v>
      </c>
      <c r="H1180" s="291"/>
    </row>
    <row r="1181" spans="1:8">
      <c r="A1181" s="289" t="s">
        <v>98</v>
      </c>
      <c r="B1181" s="312">
        <f t="shared" ref="B1181:G1181" si="103">SUM(D$1101:D$1103)</f>
        <v>305702.58113746386</v>
      </c>
      <c r="C1181" s="312">
        <f t="shared" si="103"/>
        <v>1200199.8021287411</v>
      </c>
      <c r="D1181" s="312">
        <f t="shared" si="103"/>
        <v>1290643.426047774</v>
      </c>
      <c r="E1181" s="312">
        <f t="shared" si="103"/>
        <v>13985.845689168884</v>
      </c>
      <c r="F1181" s="312">
        <f t="shared" si="103"/>
        <v>1545922.6693093386</v>
      </c>
      <c r="G1181" s="312">
        <f t="shared" si="103"/>
        <v>198271.57671689885</v>
      </c>
      <c r="H1181" s="291"/>
    </row>
    <row r="1182" spans="1:8">
      <c r="A1182" s="289" t="s">
        <v>99</v>
      </c>
      <c r="B1182" s="312">
        <f t="shared" ref="B1182:G1182" si="104">SUM(D$1105:D$1106)</f>
        <v>7380.6201782332191</v>
      </c>
      <c r="C1182" s="312">
        <f t="shared" si="104"/>
        <v>29161.263797386677</v>
      </c>
      <c r="D1182" s="312">
        <f t="shared" si="104"/>
        <v>33200.802723539753</v>
      </c>
      <c r="E1182" s="312">
        <f t="shared" si="104"/>
        <v>126.97940694487806</v>
      </c>
      <c r="F1182" s="312">
        <f t="shared" si="104"/>
        <v>53112.896017744097</v>
      </c>
      <c r="G1182" s="312">
        <f t="shared" si="104"/>
        <v>5954.0749498244541</v>
      </c>
      <c r="H1182" s="291"/>
    </row>
    <row r="1183" spans="1:8">
      <c r="A1183" s="289" t="s">
        <v>111</v>
      </c>
      <c r="B1183" s="312">
        <f t="shared" ref="B1183:G1183" si="105">SUM(D$1108:D$1109)</f>
        <v>754395.57048612786</v>
      </c>
      <c r="C1183" s="312">
        <f t="shared" si="105"/>
        <v>3025993.1007060194</v>
      </c>
      <c r="D1183" s="312">
        <f t="shared" si="105"/>
        <v>3922418.0672549852</v>
      </c>
      <c r="E1183" s="312">
        <f t="shared" si="105"/>
        <v>4046.3242360333152</v>
      </c>
      <c r="F1183" s="312">
        <f t="shared" si="105"/>
        <v>2971838.2622557431</v>
      </c>
      <c r="G1183" s="312">
        <f t="shared" si="105"/>
        <v>1052240.2165025361</v>
      </c>
      <c r="H1183" s="291"/>
    </row>
    <row r="1184" spans="1:8">
      <c r="A1184" s="289" t="s">
        <v>131</v>
      </c>
      <c r="B1184" s="312">
        <f t="shared" ref="B1184:G1184" si="106">SUM(D$1111:D$1113)</f>
        <v>53785.593323103451</v>
      </c>
      <c r="C1184" s="312">
        <f t="shared" si="106"/>
        <v>0</v>
      </c>
      <c r="D1184" s="312">
        <f t="shared" si="106"/>
        <v>0</v>
      </c>
      <c r="E1184" s="312">
        <f t="shared" si="106"/>
        <v>945.29828999676329</v>
      </c>
      <c r="F1184" s="312">
        <f t="shared" si="106"/>
        <v>0</v>
      </c>
      <c r="G1184" s="312">
        <f t="shared" si="106"/>
        <v>0</v>
      </c>
      <c r="H1184" s="291"/>
    </row>
    <row r="1185" spans="1:8">
      <c r="A1185" s="289" t="s">
        <v>132</v>
      </c>
      <c r="B1185" s="312">
        <f t="shared" ref="B1185:G1185" si="107">SUM(D$1115:D$1117)</f>
        <v>16544.661261610447</v>
      </c>
      <c r="C1185" s="312">
        <f t="shared" si="107"/>
        <v>0</v>
      </c>
      <c r="D1185" s="312">
        <f t="shared" si="107"/>
        <v>0</v>
      </c>
      <c r="E1185" s="312">
        <f t="shared" si="107"/>
        <v>683.89747668576126</v>
      </c>
      <c r="F1185" s="312">
        <f t="shared" si="107"/>
        <v>0</v>
      </c>
      <c r="G1185" s="312">
        <f t="shared" si="107"/>
        <v>0</v>
      </c>
      <c r="H1185" s="291"/>
    </row>
    <row r="1186" spans="1:8">
      <c r="A1186" s="289" t="s">
        <v>133</v>
      </c>
      <c r="B1186" s="312">
        <f t="shared" ref="B1186:G1186" si="108">SUM(D$1119:D$1121)</f>
        <v>784.36096726958499</v>
      </c>
      <c r="C1186" s="312">
        <f t="shared" si="108"/>
        <v>0</v>
      </c>
      <c r="D1186" s="312">
        <f t="shared" si="108"/>
        <v>0</v>
      </c>
      <c r="E1186" s="312">
        <f t="shared" si="108"/>
        <v>140.83222112491973</v>
      </c>
      <c r="F1186" s="312">
        <f t="shared" si="108"/>
        <v>0</v>
      </c>
      <c r="G1186" s="312">
        <f t="shared" si="108"/>
        <v>0</v>
      </c>
      <c r="H1186" s="291"/>
    </row>
    <row r="1187" spans="1:8">
      <c r="A1187" s="289" t="s">
        <v>134</v>
      </c>
      <c r="B1187" s="312">
        <f t="shared" ref="B1187:G1187" si="109">SUM(D$1123:D$1125)</f>
        <v>4817.2532716792102</v>
      </c>
      <c r="C1187" s="312">
        <f t="shared" si="109"/>
        <v>0</v>
      </c>
      <c r="D1187" s="312">
        <f t="shared" si="109"/>
        <v>0</v>
      </c>
      <c r="E1187" s="312">
        <f t="shared" si="109"/>
        <v>40.527257877674742</v>
      </c>
      <c r="F1187" s="312">
        <f t="shared" si="109"/>
        <v>0</v>
      </c>
      <c r="G1187" s="312">
        <f t="shared" si="109"/>
        <v>0</v>
      </c>
      <c r="H1187" s="291"/>
    </row>
    <row r="1188" spans="1:8">
      <c r="A1188" s="289" t="s">
        <v>135</v>
      </c>
      <c r="B1188" s="312">
        <f t="shared" ref="B1188:G1188" si="110">SUM(D$1127:D$1129)</f>
        <v>12679.091510220966</v>
      </c>
      <c r="C1188" s="312">
        <f t="shared" si="110"/>
        <v>30029.713146509384</v>
      </c>
      <c r="D1188" s="312">
        <f t="shared" si="110"/>
        <v>206123.67095361077</v>
      </c>
      <c r="E1188" s="312">
        <f t="shared" si="110"/>
        <v>20.263628938837371</v>
      </c>
      <c r="F1188" s="312">
        <f t="shared" si="110"/>
        <v>0</v>
      </c>
      <c r="G1188" s="312">
        <f t="shared" si="110"/>
        <v>0</v>
      </c>
      <c r="H1188" s="291"/>
    </row>
    <row r="1189" spans="1:8">
      <c r="A1189" s="289" t="s">
        <v>1534</v>
      </c>
      <c r="B1189" s="312">
        <f t="shared" ref="B1189:G1189" si="111">SUM(D$1131:D$1133)</f>
        <v>1660.7170232592748</v>
      </c>
      <c r="C1189" s="312">
        <f t="shared" si="111"/>
        <v>0</v>
      </c>
      <c r="D1189" s="312">
        <f t="shared" si="111"/>
        <v>0</v>
      </c>
      <c r="E1189" s="312">
        <f t="shared" si="111"/>
        <v>119.55541073914044</v>
      </c>
      <c r="F1189" s="312">
        <f t="shared" si="111"/>
        <v>0</v>
      </c>
      <c r="G1189" s="312">
        <f t="shared" si="111"/>
        <v>0</v>
      </c>
      <c r="H1189" s="291"/>
    </row>
    <row r="1190" spans="1:8">
      <c r="A1190" s="289" t="s">
        <v>100</v>
      </c>
      <c r="B1190" s="312">
        <f t="shared" ref="B1190:G1190" si="112">SUM(D$1135:D$1136)</f>
        <v>0</v>
      </c>
      <c r="C1190" s="312">
        <f t="shared" si="112"/>
        <v>0</v>
      </c>
      <c r="D1190" s="312">
        <f t="shared" si="112"/>
        <v>0</v>
      </c>
      <c r="E1190" s="312">
        <f t="shared" si="112"/>
        <v>0</v>
      </c>
      <c r="F1190" s="312">
        <f t="shared" si="112"/>
        <v>0</v>
      </c>
      <c r="G1190" s="312">
        <f t="shared" si="112"/>
        <v>0</v>
      </c>
      <c r="H1190" s="291"/>
    </row>
    <row r="1191" spans="1:8">
      <c r="A1191" s="289" t="s">
        <v>101</v>
      </c>
      <c r="B1191" s="312">
        <f t="shared" ref="B1191:G1191" si="113">SUM(D$1138:D$1140)</f>
        <v>25064.307921396128</v>
      </c>
      <c r="C1191" s="312">
        <f t="shared" si="113"/>
        <v>0</v>
      </c>
      <c r="D1191" s="312">
        <f t="shared" si="113"/>
        <v>0</v>
      </c>
      <c r="E1191" s="312">
        <f t="shared" si="113"/>
        <v>167.17493874540833</v>
      </c>
      <c r="F1191" s="312">
        <f t="shared" si="113"/>
        <v>0</v>
      </c>
      <c r="G1191" s="312">
        <f t="shared" si="113"/>
        <v>1874.0387030893071</v>
      </c>
      <c r="H1191" s="291"/>
    </row>
    <row r="1192" spans="1:8">
      <c r="A1192" s="289" t="s">
        <v>102</v>
      </c>
      <c r="B1192" s="312">
        <f t="shared" ref="B1192:G1192" si="114">SUM(D$1142:D$1144)</f>
        <v>827.25161737631845</v>
      </c>
      <c r="C1192" s="312">
        <f t="shared" si="114"/>
        <v>3731.6613783210264</v>
      </c>
      <c r="D1192" s="312">
        <f t="shared" si="114"/>
        <v>5008.4114190363289</v>
      </c>
      <c r="E1192" s="312">
        <f t="shared" si="114"/>
        <v>86.120422990058827</v>
      </c>
      <c r="F1192" s="312">
        <f t="shared" si="114"/>
        <v>0</v>
      </c>
      <c r="G1192" s="312">
        <f t="shared" si="114"/>
        <v>497.47418292901182</v>
      </c>
      <c r="H1192" s="291"/>
    </row>
    <row r="1193" spans="1:8">
      <c r="A1193" s="289" t="s">
        <v>103</v>
      </c>
      <c r="B1193" s="312">
        <f t="shared" ref="B1193:G1193" si="115">SUM(D$1146:D$1147)</f>
        <v>1213.6794216291853</v>
      </c>
      <c r="C1193" s="312">
        <f t="shared" si="115"/>
        <v>0</v>
      </c>
      <c r="D1193" s="312">
        <f t="shared" si="115"/>
        <v>0</v>
      </c>
      <c r="E1193" s="312">
        <f t="shared" si="115"/>
        <v>5.0659072347093428</v>
      </c>
      <c r="F1193" s="312">
        <f t="shared" si="115"/>
        <v>0</v>
      </c>
      <c r="G1193" s="312">
        <f t="shared" si="115"/>
        <v>124.64962312250731</v>
      </c>
      <c r="H1193" s="291"/>
    </row>
    <row r="1194" spans="1:8">
      <c r="A1194" s="289" t="s">
        <v>104</v>
      </c>
      <c r="B1194" s="312">
        <f t="shared" ref="B1194:G1194" si="116">SUM(D$1149:D$1150)</f>
        <v>1398.4642496253416</v>
      </c>
      <c r="C1194" s="312">
        <f t="shared" si="116"/>
        <v>3179.9868408000002</v>
      </c>
      <c r="D1194" s="312">
        <f t="shared" si="116"/>
        <v>6128.1571032000011</v>
      </c>
      <c r="E1194" s="312">
        <f t="shared" si="116"/>
        <v>4.0527257877674732</v>
      </c>
      <c r="F1194" s="312">
        <f t="shared" si="116"/>
        <v>0</v>
      </c>
      <c r="G1194" s="312">
        <f t="shared" si="116"/>
        <v>8.8798433495988469</v>
      </c>
      <c r="H1194" s="291"/>
    </row>
    <row r="1195" spans="1:8">
      <c r="A1195" s="289" t="s">
        <v>112</v>
      </c>
      <c r="B1195" s="312">
        <f t="shared" ref="B1195:G1195" si="117">SUM(D$1152:D$1153)</f>
        <v>95543.871083999999</v>
      </c>
      <c r="C1195" s="312">
        <f t="shared" si="117"/>
        <v>0</v>
      </c>
      <c r="D1195" s="312">
        <f t="shared" si="117"/>
        <v>0</v>
      </c>
      <c r="E1195" s="312">
        <f t="shared" si="117"/>
        <v>55.359020484258814</v>
      </c>
      <c r="F1195" s="312">
        <f t="shared" si="117"/>
        <v>0</v>
      </c>
      <c r="G1195" s="312">
        <f t="shared" si="117"/>
        <v>3144.8579734229206</v>
      </c>
      <c r="H1195" s="291"/>
    </row>
    <row r="1196" spans="1:8">
      <c r="A1196" s="289" t="s">
        <v>113</v>
      </c>
      <c r="B1196" s="312">
        <f t="shared" ref="B1196:G1196" si="118">SUM(D$1155:D$1156)</f>
        <v>65104.786809687452</v>
      </c>
      <c r="C1196" s="312">
        <f t="shared" si="118"/>
        <v>202236.73285292476</v>
      </c>
      <c r="D1196" s="312">
        <f t="shared" si="118"/>
        <v>389530.18598588731</v>
      </c>
      <c r="E1196" s="312">
        <f t="shared" si="118"/>
        <v>115.75067919435931</v>
      </c>
      <c r="F1196" s="312">
        <f t="shared" si="118"/>
        <v>0</v>
      </c>
      <c r="G1196" s="312">
        <f t="shared" si="118"/>
        <v>7784.0578486942413</v>
      </c>
      <c r="H1196" s="291"/>
    </row>
    <row r="1198" spans="1:8" ht="21" customHeight="1">
      <c r="A1198" s="1" t="str">
        <f>"Load characteristics for multiple unit rates for "&amp;CDCM!B7&amp;" in "&amp;CDCM!C7&amp;" ("&amp;CDCM!D7&amp;")"</f>
        <v>Load characteristics for multiple unit rates for West Mids in 0 (Forecast)</v>
      </c>
    </row>
    <row r="1200" spans="1:8" ht="21" customHeight="1">
      <c r="A1200" s="1" t="s">
        <v>436</v>
      </c>
    </row>
    <row r="1201" spans="1:6">
      <c r="A1201" s="287" t="s">
        <v>255</v>
      </c>
    </row>
    <row r="1202" spans="1:6">
      <c r="A1202" s="301" t="s">
        <v>437</v>
      </c>
    </row>
    <row r="1203" spans="1:6">
      <c r="A1203" s="301" t="s">
        <v>438</v>
      </c>
    </row>
    <row r="1204" spans="1:6">
      <c r="A1204" s="301" t="s">
        <v>439</v>
      </c>
    </row>
    <row r="1205" spans="1:6">
      <c r="A1205" s="302" t="s">
        <v>258</v>
      </c>
      <c r="B1205" s="302" t="s">
        <v>381</v>
      </c>
      <c r="C1205" s="302" t="s">
        <v>380</v>
      </c>
      <c r="D1205" s="302"/>
      <c r="E1205" s="302"/>
    </row>
    <row r="1206" spans="1:6">
      <c r="A1206" s="302" t="s">
        <v>261</v>
      </c>
      <c r="B1206" s="302" t="s">
        <v>431</v>
      </c>
      <c r="C1206" s="302" t="s">
        <v>440</v>
      </c>
      <c r="D1206" s="302"/>
      <c r="E1206" s="302"/>
    </row>
    <row r="1208" spans="1:6">
      <c r="C1208" s="300" t="s">
        <v>442</v>
      </c>
      <c r="D1208" s="300"/>
      <c r="E1208" s="300"/>
    </row>
    <row r="1209" spans="1:6">
      <c r="B1209" s="288" t="s">
        <v>441</v>
      </c>
      <c r="C1209" s="288" t="s">
        <v>233</v>
      </c>
      <c r="D1209" s="288" t="s">
        <v>234</v>
      </c>
      <c r="E1209" s="288" t="s">
        <v>235</v>
      </c>
    </row>
    <row r="1210" spans="1:6" ht="30">
      <c r="A1210" s="289" t="s">
        <v>443</v>
      </c>
      <c r="B1210" s="313">
        <f>SUM($B304:$D304)</f>
        <v>8760</v>
      </c>
      <c r="C1210" s="313">
        <f>B304*24*$F14/$B1210</f>
        <v>783</v>
      </c>
      <c r="D1210" s="313">
        <f>C304*24*$F14/$B1210</f>
        <v>2740.5</v>
      </c>
      <c r="E1210" s="313">
        <f>D304*24*$F14/$B1210</f>
        <v>5236.5</v>
      </c>
      <c r="F1210" s="291"/>
    </row>
    <row r="1212" spans="1:6" ht="21" customHeight="1">
      <c r="A1212" s="1" t="s">
        <v>444</v>
      </c>
    </row>
    <row r="1213" spans="1:6">
      <c r="A1213" s="287" t="s">
        <v>255</v>
      </c>
    </row>
    <row r="1214" spans="1:6">
      <c r="A1214" s="301" t="s">
        <v>445</v>
      </c>
    </row>
    <row r="1215" spans="1:6">
      <c r="A1215" s="301" t="s">
        <v>446</v>
      </c>
    </row>
    <row r="1216" spans="1:6">
      <c r="A1216" s="301" t="s">
        <v>447</v>
      </c>
    </row>
    <row r="1217" spans="1:6">
      <c r="A1217" s="301" t="s">
        <v>448</v>
      </c>
    </row>
    <row r="1218" spans="1:6">
      <c r="A1218" s="302" t="s">
        <v>258</v>
      </c>
      <c r="B1218" s="302" t="s">
        <v>381</v>
      </c>
      <c r="C1218" s="302" t="s">
        <v>380</v>
      </c>
      <c r="D1218" s="302"/>
      <c r="E1218" s="302"/>
    </row>
    <row r="1219" spans="1:6">
      <c r="A1219" s="302" t="s">
        <v>261</v>
      </c>
      <c r="B1219" s="302" t="s">
        <v>431</v>
      </c>
      <c r="C1219" s="302" t="s">
        <v>449</v>
      </c>
      <c r="D1219" s="302"/>
      <c r="E1219" s="302"/>
    </row>
    <row r="1221" spans="1:6">
      <c r="C1221" s="300" t="s">
        <v>451</v>
      </c>
      <c r="D1221" s="300"/>
      <c r="E1221" s="300"/>
    </row>
    <row r="1222" spans="1:6">
      <c r="B1222" s="288" t="s">
        <v>450</v>
      </c>
      <c r="C1222" s="288" t="s">
        <v>233</v>
      </c>
      <c r="D1222" s="288" t="s">
        <v>234</v>
      </c>
      <c r="E1222" s="288" t="s">
        <v>235</v>
      </c>
    </row>
    <row r="1223" spans="1:6">
      <c r="A1223" s="289" t="s">
        <v>92</v>
      </c>
      <c r="B1223" s="308">
        <f t="shared" ref="B1223:B1231" si="119">SUM($B265:$D265)</f>
        <v>1</v>
      </c>
      <c r="C1223" s="308">
        <f t="shared" ref="C1223:E1231" si="120">IF($B1223,B265/$B1223,C$1210/$F$14/24)</f>
        <v>0.15163735853906232</v>
      </c>
      <c r="D1223" s="308">
        <f t="shared" si="120"/>
        <v>0.41909005511697384</v>
      </c>
      <c r="E1223" s="308">
        <f t="shared" si="120"/>
        <v>0.42927258634396387</v>
      </c>
      <c r="F1223" s="291"/>
    </row>
    <row r="1224" spans="1:6">
      <c r="A1224" s="289" t="s">
        <v>93</v>
      </c>
      <c r="B1224" s="308">
        <f t="shared" si="119"/>
        <v>1</v>
      </c>
      <c r="C1224" s="308">
        <f t="shared" si="120"/>
        <v>0.14794456993942195</v>
      </c>
      <c r="D1224" s="308">
        <f t="shared" si="120"/>
        <v>0.41591847408405047</v>
      </c>
      <c r="E1224" s="308">
        <f t="shared" si="120"/>
        <v>0.43613695597652757</v>
      </c>
      <c r="F1224" s="291"/>
    </row>
    <row r="1225" spans="1:6">
      <c r="A1225" s="289" t="s">
        <v>129</v>
      </c>
      <c r="B1225" s="308">
        <f t="shared" si="119"/>
        <v>1</v>
      </c>
      <c r="C1225" s="308">
        <f t="shared" si="120"/>
        <v>2.8213273611215495E-3</v>
      </c>
      <c r="D1225" s="308">
        <f t="shared" si="120"/>
        <v>0.20906851428116469</v>
      </c>
      <c r="E1225" s="308">
        <f t="shared" si="120"/>
        <v>0.78811015835771381</v>
      </c>
      <c r="F1225" s="291"/>
    </row>
    <row r="1226" spans="1:6">
      <c r="A1226" s="289" t="s">
        <v>94</v>
      </c>
      <c r="B1226" s="308">
        <f t="shared" si="119"/>
        <v>1</v>
      </c>
      <c r="C1226" s="308">
        <f t="shared" si="120"/>
        <v>0.13166491281892173</v>
      </c>
      <c r="D1226" s="308">
        <f t="shared" si="120"/>
        <v>0.58418150754710119</v>
      </c>
      <c r="E1226" s="308">
        <f t="shared" si="120"/>
        <v>0.28415357963397708</v>
      </c>
      <c r="F1226" s="291"/>
    </row>
    <row r="1227" spans="1:6">
      <c r="A1227" s="289" t="s">
        <v>95</v>
      </c>
      <c r="B1227" s="308">
        <f t="shared" si="119"/>
        <v>1</v>
      </c>
      <c r="C1227" s="308">
        <f t="shared" si="120"/>
        <v>0.13097267676429289</v>
      </c>
      <c r="D1227" s="308">
        <f t="shared" si="120"/>
        <v>0.53624987448173789</v>
      </c>
      <c r="E1227" s="308">
        <f t="shared" si="120"/>
        <v>0.33277744875396925</v>
      </c>
      <c r="F1227" s="291"/>
    </row>
    <row r="1228" spans="1:6">
      <c r="A1228" s="289" t="s">
        <v>130</v>
      </c>
      <c r="B1228" s="308">
        <f t="shared" si="119"/>
        <v>1</v>
      </c>
      <c r="C1228" s="308">
        <f t="shared" si="120"/>
        <v>2.1180943708626887E-2</v>
      </c>
      <c r="D1228" s="308">
        <f t="shared" si="120"/>
        <v>0.17461755756654385</v>
      </c>
      <c r="E1228" s="308">
        <f t="shared" si="120"/>
        <v>0.80420149872482938</v>
      </c>
      <c r="F1228" s="291"/>
    </row>
    <row r="1229" spans="1:6">
      <c r="A1229" s="289" t="s">
        <v>96</v>
      </c>
      <c r="B1229" s="308">
        <f t="shared" si="119"/>
        <v>1</v>
      </c>
      <c r="C1229" s="308">
        <f t="shared" si="120"/>
        <v>0.13675751648464302</v>
      </c>
      <c r="D1229" s="308">
        <f t="shared" si="120"/>
        <v>0.52643299691979983</v>
      </c>
      <c r="E1229" s="308">
        <f t="shared" si="120"/>
        <v>0.33680948659555715</v>
      </c>
      <c r="F1229" s="291"/>
    </row>
    <row r="1230" spans="1:6">
      <c r="A1230" s="289" t="s">
        <v>97</v>
      </c>
      <c r="B1230" s="308">
        <f t="shared" si="119"/>
        <v>1</v>
      </c>
      <c r="C1230" s="308">
        <f t="shared" si="120"/>
        <v>0.13246682554357336</v>
      </c>
      <c r="D1230" s="308">
        <f t="shared" si="120"/>
        <v>0.5419021330055962</v>
      </c>
      <c r="E1230" s="308">
        <f t="shared" si="120"/>
        <v>0.32563104145083038</v>
      </c>
      <c r="F1230" s="291"/>
    </row>
    <row r="1231" spans="1:6">
      <c r="A1231" s="289" t="s">
        <v>110</v>
      </c>
      <c r="B1231" s="308">
        <f t="shared" si="119"/>
        <v>1</v>
      </c>
      <c r="C1231" s="308">
        <f t="shared" si="120"/>
        <v>0.13067404581003325</v>
      </c>
      <c r="D1231" s="308">
        <f t="shared" si="120"/>
        <v>0.55375454532068635</v>
      </c>
      <c r="E1231" s="308">
        <f t="shared" si="120"/>
        <v>0.31557140886928042</v>
      </c>
      <c r="F1231" s="291"/>
    </row>
    <row r="1233" spans="1:5" ht="21" customHeight="1">
      <c r="A1233" s="1" t="s">
        <v>452</v>
      </c>
    </row>
    <row r="1234" spans="1:5">
      <c r="A1234" s="287" t="s">
        <v>255</v>
      </c>
    </row>
    <row r="1235" spans="1:5">
      <c r="A1235" s="301" t="s">
        <v>453</v>
      </c>
    </row>
    <row r="1236" spans="1:5">
      <c r="A1236" s="287" t="s">
        <v>454</v>
      </c>
    </row>
    <row r="1237" spans="1:5">
      <c r="A1237" s="287" t="s">
        <v>273</v>
      </c>
    </row>
    <row r="1239" spans="1:5">
      <c r="B1239" s="288" t="s">
        <v>233</v>
      </c>
      <c r="C1239" s="288" t="s">
        <v>234</v>
      </c>
      <c r="D1239" s="288" t="s">
        <v>235</v>
      </c>
    </row>
    <row r="1240" spans="1:5">
      <c r="A1240" s="289" t="s">
        <v>92</v>
      </c>
      <c r="B1240" s="311">
        <f>C$1223</f>
        <v>0.15163735853906232</v>
      </c>
      <c r="C1240" s="311">
        <f>D$1223</f>
        <v>0.41909005511697384</v>
      </c>
      <c r="D1240" s="311">
        <f>E$1223</f>
        <v>0.42927258634396387</v>
      </c>
      <c r="E1240" s="291"/>
    </row>
    <row r="1241" spans="1:5">
      <c r="A1241" s="289" t="s">
        <v>93</v>
      </c>
      <c r="B1241" s="311">
        <f>C$1224</f>
        <v>0.14794456993942195</v>
      </c>
      <c r="C1241" s="311">
        <f>D$1224</f>
        <v>0.41591847408405047</v>
      </c>
      <c r="D1241" s="311">
        <f>E$1224</f>
        <v>0.43613695597652757</v>
      </c>
      <c r="E1241" s="291"/>
    </row>
    <row r="1242" spans="1:5">
      <c r="A1242" s="289" t="s">
        <v>129</v>
      </c>
      <c r="B1242" s="311">
        <f>C$1225</f>
        <v>2.8213273611215495E-3</v>
      </c>
      <c r="C1242" s="311">
        <f>D$1225</f>
        <v>0.20906851428116469</v>
      </c>
      <c r="D1242" s="311">
        <f>E$1225</f>
        <v>0.78811015835771381</v>
      </c>
      <c r="E1242" s="291"/>
    </row>
    <row r="1243" spans="1:5">
      <c r="A1243" s="289" t="s">
        <v>94</v>
      </c>
      <c r="B1243" s="311">
        <f>C$1226</f>
        <v>0.13166491281892173</v>
      </c>
      <c r="C1243" s="311">
        <f>D$1226</f>
        <v>0.58418150754710119</v>
      </c>
      <c r="D1243" s="311">
        <f>E$1226</f>
        <v>0.28415357963397708</v>
      </c>
      <c r="E1243" s="291"/>
    </row>
    <row r="1244" spans="1:5">
      <c r="A1244" s="289" t="s">
        <v>95</v>
      </c>
      <c r="B1244" s="311">
        <f>C$1227</f>
        <v>0.13097267676429289</v>
      </c>
      <c r="C1244" s="311">
        <f>D$1227</f>
        <v>0.53624987448173789</v>
      </c>
      <c r="D1244" s="311">
        <f>E$1227</f>
        <v>0.33277744875396925</v>
      </c>
      <c r="E1244" s="291"/>
    </row>
    <row r="1245" spans="1:5">
      <c r="A1245" s="289" t="s">
        <v>130</v>
      </c>
      <c r="B1245" s="311">
        <f>C$1228</f>
        <v>2.1180943708626887E-2</v>
      </c>
      <c r="C1245" s="311">
        <f>D$1228</f>
        <v>0.17461755756654385</v>
      </c>
      <c r="D1245" s="311">
        <f>E$1228</f>
        <v>0.80420149872482938</v>
      </c>
      <c r="E1245" s="291"/>
    </row>
    <row r="1246" spans="1:5">
      <c r="A1246" s="289" t="s">
        <v>96</v>
      </c>
      <c r="B1246" s="311">
        <f>C$1229</f>
        <v>0.13675751648464302</v>
      </c>
      <c r="C1246" s="311">
        <f>D$1229</f>
        <v>0.52643299691979983</v>
      </c>
      <c r="D1246" s="311">
        <f>E$1229</f>
        <v>0.33680948659555715</v>
      </c>
      <c r="E1246" s="291"/>
    </row>
    <row r="1247" spans="1:5">
      <c r="A1247" s="289" t="s">
        <v>97</v>
      </c>
      <c r="B1247" s="311">
        <f>C$1230</f>
        <v>0.13246682554357336</v>
      </c>
      <c r="C1247" s="311">
        <f>D$1230</f>
        <v>0.5419021330055962</v>
      </c>
      <c r="D1247" s="311">
        <f>E$1230</f>
        <v>0.32563104145083038</v>
      </c>
      <c r="E1247" s="291"/>
    </row>
    <row r="1248" spans="1:5">
      <c r="A1248" s="289" t="s">
        <v>110</v>
      </c>
      <c r="B1248" s="311">
        <f>C$1231</f>
        <v>0.13067404581003325</v>
      </c>
      <c r="C1248" s="311">
        <f>D$1231</f>
        <v>0.55375454532068635</v>
      </c>
      <c r="D1248" s="311">
        <f>E$1231</f>
        <v>0.31557140886928042</v>
      </c>
      <c r="E1248" s="291"/>
    </row>
    <row r="1249" spans="1:5">
      <c r="A1249" s="289" t="s">
        <v>1536</v>
      </c>
      <c r="B1249" s="310">
        <v>1</v>
      </c>
      <c r="C1249" s="310">
        <v>0</v>
      </c>
      <c r="D1249" s="310">
        <v>0</v>
      </c>
      <c r="E1249" s="291"/>
    </row>
    <row r="1250" spans="1:5">
      <c r="A1250" s="289" t="s">
        <v>1535</v>
      </c>
      <c r="B1250" s="310">
        <v>1</v>
      </c>
      <c r="C1250" s="310">
        <v>0</v>
      </c>
      <c r="D1250" s="310">
        <v>0</v>
      </c>
      <c r="E1250" s="291"/>
    </row>
    <row r="1251" spans="1:5">
      <c r="A1251" s="289" t="s">
        <v>98</v>
      </c>
      <c r="B1251" s="310">
        <v>1</v>
      </c>
      <c r="C1251" s="310">
        <v>0</v>
      </c>
      <c r="D1251" s="310">
        <v>0</v>
      </c>
      <c r="E1251" s="291"/>
    </row>
    <row r="1252" spans="1:5">
      <c r="A1252" s="289" t="s">
        <v>99</v>
      </c>
      <c r="B1252" s="310">
        <v>1</v>
      </c>
      <c r="C1252" s="310">
        <v>0</v>
      </c>
      <c r="D1252" s="310">
        <v>0</v>
      </c>
      <c r="E1252" s="291"/>
    </row>
    <row r="1253" spans="1:5">
      <c r="A1253" s="289" t="s">
        <v>111</v>
      </c>
      <c r="B1253" s="310">
        <v>1</v>
      </c>
      <c r="C1253" s="310">
        <v>0</v>
      </c>
      <c r="D1253" s="310">
        <v>0</v>
      </c>
      <c r="E1253" s="291"/>
    </row>
    <row r="1254" spans="1:5">
      <c r="A1254" s="289" t="s">
        <v>102</v>
      </c>
      <c r="B1254" s="310">
        <v>1</v>
      </c>
      <c r="C1254" s="310">
        <v>0</v>
      </c>
      <c r="D1254" s="310">
        <v>0</v>
      </c>
      <c r="E1254" s="291"/>
    </row>
    <row r="1255" spans="1:5">
      <c r="A1255" s="289" t="s">
        <v>104</v>
      </c>
      <c r="B1255" s="310">
        <v>1</v>
      </c>
      <c r="C1255" s="310">
        <v>0</v>
      </c>
      <c r="D1255" s="310">
        <v>0</v>
      </c>
      <c r="E1255" s="291"/>
    </row>
    <row r="1256" spans="1:5">
      <c r="A1256" s="289" t="s">
        <v>113</v>
      </c>
      <c r="B1256" s="310">
        <v>1</v>
      </c>
      <c r="C1256" s="310">
        <v>0</v>
      </c>
      <c r="D1256" s="310">
        <v>0</v>
      </c>
      <c r="E1256" s="291"/>
    </row>
    <row r="1258" spans="1:5" ht="21" customHeight="1">
      <c r="A1258" s="1" t="s">
        <v>455</v>
      </c>
    </row>
    <row r="1259" spans="1:5">
      <c r="A1259" s="287" t="s">
        <v>255</v>
      </c>
    </row>
    <row r="1260" spans="1:5">
      <c r="A1260" s="301" t="s">
        <v>456</v>
      </c>
    </row>
    <row r="1261" spans="1:5">
      <c r="A1261" s="301" t="s">
        <v>457</v>
      </c>
    </row>
    <row r="1262" spans="1:5">
      <c r="A1262" s="301" t="s">
        <v>447</v>
      </c>
    </row>
    <row r="1263" spans="1:5">
      <c r="A1263" s="301" t="s">
        <v>448</v>
      </c>
    </row>
    <row r="1264" spans="1:5">
      <c r="A1264" s="302" t="s">
        <v>258</v>
      </c>
      <c r="B1264" s="302" t="s">
        <v>381</v>
      </c>
      <c r="C1264" s="302" t="s">
        <v>380</v>
      </c>
      <c r="D1264" s="302"/>
      <c r="E1264" s="302"/>
    </row>
    <row r="1265" spans="1:6">
      <c r="A1265" s="302" t="s">
        <v>261</v>
      </c>
      <c r="B1265" s="302" t="s">
        <v>431</v>
      </c>
      <c r="C1265" s="302" t="s">
        <v>449</v>
      </c>
      <c r="D1265" s="302"/>
      <c r="E1265" s="302"/>
    </row>
    <row r="1267" spans="1:6">
      <c r="C1267" s="300" t="s">
        <v>458</v>
      </c>
      <c r="D1267" s="300"/>
      <c r="E1267" s="300"/>
    </row>
    <row r="1268" spans="1:6">
      <c r="B1268" s="288" t="s">
        <v>450</v>
      </c>
      <c r="C1268" s="288" t="s">
        <v>233</v>
      </c>
      <c r="D1268" s="288" t="s">
        <v>234</v>
      </c>
      <c r="E1268" s="288" t="s">
        <v>235</v>
      </c>
    </row>
    <row r="1269" spans="1:6">
      <c r="A1269" s="289" t="s">
        <v>93</v>
      </c>
      <c r="B1269" s="308">
        <f>SUM($B278:$D278)</f>
        <v>1</v>
      </c>
      <c r="C1269" s="308">
        <f t="shared" ref="C1269:E1273" si="121">IF($B1269,B278/$B1269,C$1210/$F$14/24)</f>
        <v>0</v>
      </c>
      <c r="D1269" s="308">
        <f t="shared" si="121"/>
        <v>0</v>
      </c>
      <c r="E1269" s="308">
        <f t="shared" si="121"/>
        <v>1</v>
      </c>
      <c r="F1269" s="291"/>
    </row>
    <row r="1270" spans="1:6">
      <c r="A1270" s="289" t="s">
        <v>95</v>
      </c>
      <c r="B1270" s="308">
        <f>SUM($B279:$D279)</f>
        <v>1</v>
      </c>
      <c r="C1270" s="308">
        <f t="shared" si="121"/>
        <v>0</v>
      </c>
      <c r="D1270" s="308">
        <f t="shared" si="121"/>
        <v>0</v>
      </c>
      <c r="E1270" s="308">
        <f t="shared" si="121"/>
        <v>1</v>
      </c>
      <c r="F1270" s="291"/>
    </row>
    <row r="1271" spans="1:6">
      <c r="A1271" s="289" t="s">
        <v>96</v>
      </c>
      <c r="B1271" s="308">
        <f>SUM($B280:$D280)</f>
        <v>1</v>
      </c>
      <c r="C1271" s="308">
        <f t="shared" si="121"/>
        <v>0</v>
      </c>
      <c r="D1271" s="308">
        <f t="shared" si="121"/>
        <v>0</v>
      </c>
      <c r="E1271" s="308">
        <f t="shared" si="121"/>
        <v>1</v>
      </c>
      <c r="F1271" s="291"/>
    </row>
    <row r="1272" spans="1:6">
      <c r="A1272" s="289" t="s">
        <v>97</v>
      </c>
      <c r="B1272" s="308">
        <f>SUM($B281:$D281)</f>
        <v>1</v>
      </c>
      <c r="C1272" s="308">
        <f t="shared" si="121"/>
        <v>0</v>
      </c>
      <c r="D1272" s="308">
        <f t="shared" si="121"/>
        <v>0</v>
      </c>
      <c r="E1272" s="308">
        <f t="shared" si="121"/>
        <v>1</v>
      </c>
      <c r="F1272" s="291"/>
    </row>
    <row r="1273" spans="1:6">
      <c r="A1273" s="289" t="s">
        <v>110</v>
      </c>
      <c r="B1273" s="308">
        <f>SUM($B282:$D282)</f>
        <v>1</v>
      </c>
      <c r="C1273" s="308">
        <f t="shared" si="121"/>
        <v>0</v>
      </c>
      <c r="D1273" s="308">
        <f t="shared" si="121"/>
        <v>0</v>
      </c>
      <c r="E1273" s="308">
        <f t="shared" si="121"/>
        <v>1</v>
      </c>
      <c r="F1273" s="291"/>
    </row>
    <row r="1275" spans="1:6" ht="21" customHeight="1">
      <c r="A1275" s="1" t="s">
        <v>459</v>
      </c>
    </row>
    <row r="1276" spans="1:6">
      <c r="A1276" s="287" t="s">
        <v>255</v>
      </c>
    </row>
    <row r="1277" spans="1:6">
      <c r="A1277" s="301" t="s">
        <v>460</v>
      </c>
    </row>
    <row r="1278" spans="1:6">
      <c r="A1278" s="287" t="s">
        <v>461</v>
      </c>
    </row>
    <row r="1279" spans="1:6">
      <c r="A1279" s="287" t="s">
        <v>273</v>
      </c>
    </row>
    <row r="1281" spans="1:5">
      <c r="B1281" s="288" t="s">
        <v>233</v>
      </c>
      <c r="C1281" s="288" t="s">
        <v>234</v>
      </c>
      <c r="D1281" s="288" t="s">
        <v>235</v>
      </c>
    </row>
    <row r="1282" spans="1:5">
      <c r="A1282" s="289" t="s">
        <v>93</v>
      </c>
      <c r="B1282" s="311">
        <f>C$1269</f>
        <v>0</v>
      </c>
      <c r="C1282" s="311">
        <f>D$1269</f>
        <v>0</v>
      </c>
      <c r="D1282" s="311">
        <f>E$1269</f>
        <v>1</v>
      </c>
      <c r="E1282" s="291"/>
    </row>
    <row r="1283" spans="1:5">
      <c r="A1283" s="289" t="s">
        <v>95</v>
      </c>
      <c r="B1283" s="311">
        <f>C$1270</f>
        <v>0</v>
      </c>
      <c r="C1283" s="311">
        <f>D$1270</f>
        <v>0</v>
      </c>
      <c r="D1283" s="311">
        <f>E$1270</f>
        <v>1</v>
      </c>
      <c r="E1283" s="291"/>
    </row>
    <row r="1284" spans="1:5">
      <c r="A1284" s="289" t="s">
        <v>96</v>
      </c>
      <c r="B1284" s="311">
        <f>C$1271</f>
        <v>0</v>
      </c>
      <c r="C1284" s="311">
        <f>D$1271</f>
        <v>0</v>
      </c>
      <c r="D1284" s="311">
        <f>E$1271</f>
        <v>1</v>
      </c>
      <c r="E1284" s="291"/>
    </row>
    <row r="1285" spans="1:5">
      <c r="A1285" s="289" t="s">
        <v>97</v>
      </c>
      <c r="B1285" s="311">
        <f>C$1272</f>
        <v>0</v>
      </c>
      <c r="C1285" s="311">
        <f>D$1272</f>
        <v>0</v>
      </c>
      <c r="D1285" s="311">
        <f>E$1272</f>
        <v>1</v>
      </c>
      <c r="E1285" s="291"/>
    </row>
    <row r="1286" spans="1:5">
      <c r="A1286" s="289" t="s">
        <v>110</v>
      </c>
      <c r="B1286" s="311">
        <f>C$1273</f>
        <v>0</v>
      </c>
      <c r="C1286" s="311">
        <f>D$1273</f>
        <v>0</v>
      </c>
      <c r="D1286" s="311">
        <f>E$1273</f>
        <v>1</v>
      </c>
      <c r="E1286" s="291"/>
    </row>
    <row r="1287" spans="1:5">
      <c r="A1287" s="289" t="s">
        <v>1536</v>
      </c>
      <c r="B1287" s="310">
        <v>0</v>
      </c>
      <c r="C1287" s="310">
        <v>1</v>
      </c>
      <c r="D1287" s="310">
        <v>0</v>
      </c>
      <c r="E1287" s="291"/>
    </row>
    <row r="1288" spans="1:5">
      <c r="A1288" s="289" t="s">
        <v>1535</v>
      </c>
      <c r="B1288" s="310">
        <v>0</v>
      </c>
      <c r="C1288" s="310">
        <v>1</v>
      </c>
      <c r="D1288" s="310">
        <v>0</v>
      </c>
      <c r="E1288" s="291"/>
    </row>
    <row r="1289" spans="1:5">
      <c r="A1289" s="289" t="s">
        <v>98</v>
      </c>
      <c r="B1289" s="310">
        <v>0</v>
      </c>
      <c r="C1289" s="310">
        <v>1</v>
      </c>
      <c r="D1289" s="310">
        <v>0</v>
      </c>
      <c r="E1289" s="291"/>
    </row>
    <row r="1290" spans="1:5">
      <c r="A1290" s="289" t="s">
        <v>99</v>
      </c>
      <c r="B1290" s="310">
        <v>0</v>
      </c>
      <c r="C1290" s="310">
        <v>1</v>
      </c>
      <c r="D1290" s="310">
        <v>0</v>
      </c>
      <c r="E1290" s="291"/>
    </row>
    <row r="1291" spans="1:5">
      <c r="A1291" s="289" t="s">
        <v>111</v>
      </c>
      <c r="B1291" s="310">
        <v>0</v>
      </c>
      <c r="C1291" s="310">
        <v>1</v>
      </c>
      <c r="D1291" s="310">
        <v>0</v>
      </c>
      <c r="E1291" s="291"/>
    </row>
    <row r="1292" spans="1:5">
      <c r="A1292" s="289" t="s">
        <v>102</v>
      </c>
      <c r="B1292" s="310">
        <v>0</v>
      </c>
      <c r="C1292" s="310">
        <v>1</v>
      </c>
      <c r="D1292" s="310">
        <v>0</v>
      </c>
      <c r="E1292" s="291"/>
    </row>
    <row r="1293" spans="1:5">
      <c r="A1293" s="289" t="s">
        <v>104</v>
      </c>
      <c r="B1293" s="310">
        <v>0</v>
      </c>
      <c r="C1293" s="310">
        <v>1</v>
      </c>
      <c r="D1293" s="310">
        <v>0</v>
      </c>
      <c r="E1293" s="291"/>
    </row>
    <row r="1294" spans="1:5">
      <c r="A1294" s="289" t="s">
        <v>113</v>
      </c>
      <c r="B1294" s="310">
        <v>0</v>
      </c>
      <c r="C1294" s="310">
        <v>1</v>
      </c>
      <c r="D1294" s="310">
        <v>0</v>
      </c>
      <c r="E1294" s="291"/>
    </row>
    <row r="1296" spans="1:5" ht="21" customHeight="1">
      <c r="A1296" s="1" t="s">
        <v>462</v>
      </c>
    </row>
    <row r="1298" spans="1:5">
      <c r="B1298" s="288" t="s">
        <v>233</v>
      </c>
      <c r="C1298" s="288" t="s">
        <v>234</v>
      </c>
      <c r="D1298" s="288" t="s">
        <v>235</v>
      </c>
    </row>
    <row r="1299" spans="1:5">
      <c r="A1299" s="289" t="s">
        <v>1536</v>
      </c>
      <c r="B1299" s="310">
        <v>0</v>
      </c>
      <c r="C1299" s="310">
        <v>0</v>
      </c>
      <c r="D1299" s="310">
        <v>1</v>
      </c>
      <c r="E1299" s="291"/>
    </row>
    <row r="1300" spans="1:5">
      <c r="A1300" s="289" t="s">
        <v>1535</v>
      </c>
      <c r="B1300" s="310">
        <v>0</v>
      </c>
      <c r="C1300" s="310">
        <v>0</v>
      </c>
      <c r="D1300" s="310">
        <v>1</v>
      </c>
      <c r="E1300" s="291"/>
    </row>
    <row r="1301" spans="1:5">
      <c r="A1301" s="289" t="s">
        <v>98</v>
      </c>
      <c r="B1301" s="310">
        <v>0</v>
      </c>
      <c r="C1301" s="310">
        <v>0</v>
      </c>
      <c r="D1301" s="310">
        <v>1</v>
      </c>
      <c r="E1301" s="291"/>
    </row>
    <row r="1302" spans="1:5">
      <c r="A1302" s="289" t="s">
        <v>99</v>
      </c>
      <c r="B1302" s="310">
        <v>0</v>
      </c>
      <c r="C1302" s="310">
        <v>0</v>
      </c>
      <c r="D1302" s="310">
        <v>1</v>
      </c>
      <c r="E1302" s="291"/>
    </row>
    <row r="1303" spans="1:5">
      <c r="A1303" s="289" t="s">
        <v>111</v>
      </c>
      <c r="B1303" s="310">
        <v>0</v>
      </c>
      <c r="C1303" s="310">
        <v>0</v>
      </c>
      <c r="D1303" s="310">
        <v>1</v>
      </c>
      <c r="E1303" s="291"/>
    </row>
    <row r="1304" spans="1:5">
      <c r="A1304" s="289" t="s">
        <v>102</v>
      </c>
      <c r="B1304" s="310">
        <v>0</v>
      </c>
      <c r="C1304" s="310">
        <v>0</v>
      </c>
      <c r="D1304" s="310">
        <v>1</v>
      </c>
      <c r="E1304" s="291"/>
    </row>
    <row r="1305" spans="1:5">
      <c r="A1305" s="289" t="s">
        <v>104</v>
      </c>
      <c r="B1305" s="310">
        <v>0</v>
      </c>
      <c r="C1305" s="310">
        <v>0</v>
      </c>
      <c r="D1305" s="310">
        <v>1</v>
      </c>
      <c r="E1305" s="291"/>
    </row>
    <row r="1306" spans="1:5">
      <c r="A1306" s="289" t="s">
        <v>113</v>
      </c>
      <c r="B1306" s="310">
        <v>0</v>
      </c>
      <c r="C1306" s="310">
        <v>0</v>
      </c>
      <c r="D1306" s="310">
        <v>1</v>
      </c>
      <c r="E1306" s="291"/>
    </row>
    <row r="1308" spans="1:5" ht="21" customHeight="1">
      <c r="A1308" s="1" t="s">
        <v>463</v>
      </c>
    </row>
    <row r="1309" spans="1:5">
      <c r="A1309" s="287" t="s">
        <v>255</v>
      </c>
    </row>
    <row r="1310" spans="1:5">
      <c r="A1310" s="301" t="s">
        <v>464</v>
      </c>
    </row>
    <row r="1311" spans="1:5">
      <c r="A1311" s="301" t="s">
        <v>465</v>
      </c>
    </row>
    <row r="1312" spans="1:5">
      <c r="A1312" s="301" t="s">
        <v>466</v>
      </c>
    </row>
    <row r="1313" spans="1:3">
      <c r="A1313" s="287" t="s">
        <v>467</v>
      </c>
    </row>
    <row r="1315" spans="1:3">
      <c r="B1315" s="288" t="s">
        <v>468</v>
      </c>
    </row>
    <row r="1316" spans="1:3">
      <c r="A1316" s="289" t="s">
        <v>92</v>
      </c>
      <c r="B1316" s="312">
        <f t="shared" ref="B1316:B1342" si="122">B1170+C1170+D1170</f>
        <v>7070432.3403182207</v>
      </c>
      <c r="C1316" s="291"/>
    </row>
    <row r="1317" spans="1:3">
      <c r="A1317" s="289" t="s">
        <v>93</v>
      </c>
      <c r="B1317" s="312">
        <f t="shared" si="122"/>
        <v>1658667.6739411326</v>
      </c>
      <c r="C1317" s="291"/>
    </row>
    <row r="1318" spans="1:3">
      <c r="A1318" s="289" t="s">
        <v>129</v>
      </c>
      <c r="B1318" s="312">
        <f t="shared" si="122"/>
        <v>36106.46318967735</v>
      </c>
      <c r="C1318" s="291"/>
    </row>
    <row r="1319" spans="1:3">
      <c r="A1319" s="289" t="s">
        <v>94</v>
      </c>
      <c r="B1319" s="312">
        <f t="shared" si="122"/>
        <v>1628983.0183957107</v>
      </c>
      <c r="C1319" s="291"/>
    </row>
    <row r="1320" spans="1:3">
      <c r="A1320" s="289" t="s">
        <v>95</v>
      </c>
      <c r="B1320" s="312">
        <f t="shared" si="122"/>
        <v>716799.54001882905</v>
      </c>
      <c r="C1320" s="291"/>
    </row>
    <row r="1321" spans="1:3">
      <c r="A1321" s="289" t="s">
        <v>130</v>
      </c>
      <c r="B1321" s="312">
        <f t="shared" si="122"/>
        <v>6654.8554381718086</v>
      </c>
      <c r="C1321" s="291"/>
    </row>
    <row r="1322" spans="1:3">
      <c r="A1322" s="289" t="s">
        <v>96</v>
      </c>
      <c r="B1322" s="312">
        <f t="shared" si="122"/>
        <v>0</v>
      </c>
      <c r="C1322" s="291"/>
    </row>
    <row r="1323" spans="1:3">
      <c r="A1323" s="289" t="s">
        <v>97</v>
      </c>
      <c r="B1323" s="312">
        <f t="shared" si="122"/>
        <v>0</v>
      </c>
      <c r="C1323" s="291"/>
    </row>
    <row r="1324" spans="1:3">
      <c r="A1324" s="289" t="s">
        <v>110</v>
      </c>
      <c r="B1324" s="312">
        <f t="shared" si="122"/>
        <v>0</v>
      </c>
      <c r="C1324" s="291"/>
    </row>
    <row r="1325" spans="1:3">
      <c r="A1325" s="289" t="s">
        <v>1536</v>
      </c>
      <c r="B1325" s="312">
        <f t="shared" si="122"/>
        <v>0</v>
      </c>
      <c r="C1325" s="291"/>
    </row>
    <row r="1326" spans="1:3">
      <c r="A1326" s="289" t="s">
        <v>1535</v>
      </c>
      <c r="B1326" s="312">
        <f t="shared" si="122"/>
        <v>621009.24272040371</v>
      </c>
      <c r="C1326" s="291"/>
    </row>
    <row r="1327" spans="1:3">
      <c r="A1327" s="289" t="s">
        <v>98</v>
      </c>
      <c r="B1327" s="312">
        <f t="shared" si="122"/>
        <v>2796545.809313979</v>
      </c>
      <c r="C1327" s="291"/>
    </row>
    <row r="1328" spans="1:3">
      <c r="A1328" s="289" t="s">
        <v>99</v>
      </c>
      <c r="B1328" s="312">
        <f t="shared" si="122"/>
        <v>69742.686699159647</v>
      </c>
      <c r="C1328" s="291"/>
    </row>
    <row r="1329" spans="1:3">
      <c r="A1329" s="289" t="s">
        <v>111</v>
      </c>
      <c r="B1329" s="312">
        <f t="shared" si="122"/>
        <v>7702806.7384471325</v>
      </c>
      <c r="C1329" s="291"/>
    </row>
    <row r="1330" spans="1:3">
      <c r="A1330" s="289" t="s">
        <v>131</v>
      </c>
      <c r="B1330" s="312">
        <f t="shared" si="122"/>
        <v>53785.593323103451</v>
      </c>
      <c r="C1330" s="291"/>
    </row>
    <row r="1331" spans="1:3">
      <c r="A1331" s="289" t="s">
        <v>132</v>
      </c>
      <c r="B1331" s="312">
        <f t="shared" si="122"/>
        <v>16544.661261610447</v>
      </c>
      <c r="C1331" s="291"/>
    </row>
    <row r="1332" spans="1:3">
      <c r="A1332" s="289" t="s">
        <v>133</v>
      </c>
      <c r="B1332" s="312">
        <f t="shared" si="122"/>
        <v>784.36096726958499</v>
      </c>
      <c r="C1332" s="291"/>
    </row>
    <row r="1333" spans="1:3">
      <c r="A1333" s="289" t="s">
        <v>134</v>
      </c>
      <c r="B1333" s="312">
        <f t="shared" si="122"/>
        <v>4817.2532716792102</v>
      </c>
      <c r="C1333" s="291"/>
    </row>
    <row r="1334" spans="1:3">
      <c r="A1334" s="289" t="s">
        <v>135</v>
      </c>
      <c r="B1334" s="312">
        <f t="shared" si="122"/>
        <v>248832.47561034112</v>
      </c>
      <c r="C1334" s="291"/>
    </row>
    <row r="1335" spans="1:3">
      <c r="A1335" s="289" t="s">
        <v>1534</v>
      </c>
      <c r="B1335" s="312">
        <f t="shared" si="122"/>
        <v>1660.7170232592748</v>
      </c>
      <c r="C1335" s="291"/>
    </row>
    <row r="1336" spans="1:3">
      <c r="A1336" s="289" t="s">
        <v>100</v>
      </c>
      <c r="B1336" s="312">
        <f t="shared" si="122"/>
        <v>0</v>
      </c>
      <c r="C1336" s="291"/>
    </row>
    <row r="1337" spans="1:3">
      <c r="A1337" s="289" t="s">
        <v>101</v>
      </c>
      <c r="B1337" s="312">
        <f t="shared" si="122"/>
        <v>25064.307921396128</v>
      </c>
      <c r="C1337" s="291"/>
    </row>
    <row r="1338" spans="1:3">
      <c r="A1338" s="289" t="s">
        <v>102</v>
      </c>
      <c r="B1338" s="312">
        <f t="shared" si="122"/>
        <v>9567.3244147336736</v>
      </c>
      <c r="C1338" s="291"/>
    </row>
    <row r="1339" spans="1:3">
      <c r="A1339" s="289" t="s">
        <v>103</v>
      </c>
      <c r="B1339" s="312">
        <f t="shared" si="122"/>
        <v>1213.6794216291853</v>
      </c>
      <c r="C1339" s="291"/>
    </row>
    <row r="1340" spans="1:3">
      <c r="A1340" s="289" t="s">
        <v>104</v>
      </c>
      <c r="B1340" s="312">
        <f t="shared" si="122"/>
        <v>10706.608193625343</v>
      </c>
      <c r="C1340" s="291"/>
    </row>
    <row r="1341" spans="1:3">
      <c r="A1341" s="289" t="s">
        <v>112</v>
      </c>
      <c r="B1341" s="312">
        <f t="shared" si="122"/>
        <v>95543.871083999999</v>
      </c>
      <c r="C1341" s="291"/>
    </row>
    <row r="1342" spans="1:3">
      <c r="A1342" s="289" t="s">
        <v>113</v>
      </c>
      <c r="B1342" s="312">
        <f t="shared" si="122"/>
        <v>656871.70564849954</v>
      </c>
      <c r="C1342" s="291"/>
    </row>
    <row r="1344" spans="1:3" ht="21" customHeight="1">
      <c r="A1344" s="1" t="s">
        <v>1610</v>
      </c>
    </row>
    <row r="1345" spans="1:6">
      <c r="A1345" s="287" t="s">
        <v>255</v>
      </c>
    </row>
    <row r="1346" spans="1:6">
      <c r="A1346" s="301" t="s">
        <v>469</v>
      </c>
    </row>
    <row r="1347" spans="1:6">
      <c r="A1347" s="301" t="s">
        <v>470</v>
      </c>
    </row>
    <row r="1348" spans="1:6">
      <c r="A1348" s="301" t="s">
        <v>471</v>
      </c>
    </row>
    <row r="1349" spans="1:6">
      <c r="A1349" s="301" t="s">
        <v>526</v>
      </c>
    </row>
    <row r="1350" spans="1:6">
      <c r="A1350" s="301" t="s">
        <v>1609</v>
      </c>
    </row>
    <row r="1351" spans="1:6">
      <c r="A1351" s="301" t="s">
        <v>513</v>
      </c>
    </row>
    <row r="1352" spans="1:6">
      <c r="A1352" s="302" t="s">
        <v>258</v>
      </c>
      <c r="B1352" s="302" t="s">
        <v>380</v>
      </c>
      <c r="C1352" s="302"/>
      <c r="D1352" s="302"/>
      <c r="E1352" s="302" t="s">
        <v>380</v>
      </c>
    </row>
    <row r="1353" spans="1:6">
      <c r="A1353" s="302" t="s">
        <v>261</v>
      </c>
      <c r="B1353" s="302" t="s">
        <v>514</v>
      </c>
      <c r="C1353" s="302"/>
      <c r="D1353" s="302"/>
      <c r="E1353" s="302" t="s">
        <v>515</v>
      </c>
    </row>
    <row r="1355" spans="1:6">
      <c r="B1355" s="300" t="s">
        <v>1608</v>
      </c>
      <c r="C1355" s="300"/>
      <c r="D1355" s="300"/>
    </row>
    <row r="1356" spans="1:6" ht="30">
      <c r="B1356" s="288" t="s">
        <v>233</v>
      </c>
      <c r="C1356" s="288" t="s">
        <v>234</v>
      </c>
      <c r="D1356" s="288" t="s">
        <v>235</v>
      </c>
      <c r="E1356" s="288" t="s">
        <v>1607</v>
      </c>
    </row>
    <row r="1357" spans="1:6">
      <c r="A1357" s="289" t="s">
        <v>92</v>
      </c>
      <c r="B1357" s="308">
        <f>IF($B$1316&gt;0,($B$1170*B$1240)/$B$1316,0)</f>
        <v>0.15163735853906232</v>
      </c>
      <c r="C1357" s="308">
        <f>IF($B$1316&gt;0,($B$1170*C$1240)/$B$1316,0)</f>
        <v>0.41909005511697384</v>
      </c>
      <c r="D1357" s="308">
        <f>IF($B$1316&gt;0,($B$1170*D$1240)/$B$1316,0)</f>
        <v>0.42927258634396387</v>
      </c>
      <c r="E1357" s="306">
        <f>IF($C$1210&gt;0,$B1357*$F$14*24/$C$1210,0)</f>
        <v>1.6964792602837624</v>
      </c>
      <c r="F1357" s="291"/>
    </row>
    <row r="1358" spans="1:6">
      <c r="A1358" s="289" t="s">
        <v>94</v>
      </c>
      <c r="B1358" s="308">
        <f>IF($B$1319&gt;0,($B$1173*B$1243)/$B$1319,0)</f>
        <v>0.13166491281892173</v>
      </c>
      <c r="C1358" s="308">
        <f>IF($B$1319&gt;0,($B$1173*C$1243)/$B$1319,0)</f>
        <v>0.58418150754710119</v>
      </c>
      <c r="D1358" s="308">
        <f>IF($B$1319&gt;0,($B$1173*D$1243)/$B$1319,0)</f>
        <v>0.28415357963397708</v>
      </c>
      <c r="E1358" s="306">
        <f>IF($C$1210&gt;0,$B1358*$F$14*24/$C$1210,0)</f>
        <v>1.4730327411159059</v>
      </c>
      <c r="F1358" s="291"/>
    </row>
    <row r="1360" spans="1:6" ht="21" customHeight="1">
      <c r="A1360" s="1" t="s">
        <v>1606</v>
      </c>
    </row>
    <row r="1361" spans="1:6">
      <c r="A1361" s="287" t="s">
        <v>255</v>
      </c>
    </row>
    <row r="1362" spans="1:6">
      <c r="A1362" s="301" t="s">
        <v>469</v>
      </c>
    </row>
    <row r="1363" spans="1:6">
      <c r="A1363" s="301" t="s">
        <v>470</v>
      </c>
    </row>
    <row r="1364" spans="1:6">
      <c r="A1364" s="301" t="s">
        <v>471</v>
      </c>
    </row>
    <row r="1365" spans="1:6">
      <c r="A1365" s="301" t="s">
        <v>472</v>
      </c>
    </row>
    <row r="1366" spans="1:6">
      <c r="A1366" s="301" t="s">
        <v>473</v>
      </c>
    </row>
    <row r="1367" spans="1:6">
      <c r="A1367" s="301" t="s">
        <v>474</v>
      </c>
    </row>
    <row r="1368" spans="1:6">
      <c r="A1368" s="301" t="s">
        <v>475</v>
      </c>
    </row>
    <row r="1369" spans="1:6">
      <c r="A1369" s="301" t="s">
        <v>476</v>
      </c>
    </row>
    <row r="1370" spans="1:6">
      <c r="A1370" s="302" t="s">
        <v>258</v>
      </c>
      <c r="B1370" s="302" t="s">
        <v>380</v>
      </c>
      <c r="C1370" s="302"/>
      <c r="D1370" s="302"/>
      <c r="E1370" s="302" t="s">
        <v>380</v>
      </c>
    </row>
    <row r="1371" spans="1:6">
      <c r="A1371" s="302" t="s">
        <v>261</v>
      </c>
      <c r="B1371" s="302" t="s">
        <v>477</v>
      </c>
      <c r="C1371" s="302"/>
      <c r="D1371" s="302"/>
      <c r="E1371" s="302" t="s">
        <v>478</v>
      </c>
    </row>
    <row r="1373" spans="1:6">
      <c r="B1373" s="300" t="s">
        <v>479</v>
      </c>
      <c r="C1373" s="300"/>
      <c r="D1373" s="300"/>
    </row>
    <row r="1374" spans="1:6" ht="30">
      <c r="B1374" s="288" t="s">
        <v>233</v>
      </c>
      <c r="C1374" s="288" t="s">
        <v>234</v>
      </c>
      <c r="D1374" s="288" t="s">
        <v>235</v>
      </c>
      <c r="E1374" s="288" t="s">
        <v>1518</v>
      </c>
    </row>
    <row r="1375" spans="1:6">
      <c r="A1375" s="289" t="s">
        <v>93</v>
      </c>
      <c r="B1375" s="308">
        <f>IF($B$1317&gt;0,($B$1171*B$1241+$C$1171*B$1282)/$B$1317,0)</f>
        <v>8.3547691969681384E-2</v>
      </c>
      <c r="C1375" s="308">
        <f>IF($B$1317&gt;0,($B$1171*C$1241+$C$1171*C$1282)/$B$1317,0)</f>
        <v>0.23487870201321112</v>
      </c>
      <c r="D1375" s="308">
        <f>IF($B$1317&gt;0,($B$1171*D$1241+$C$1171*D$1282)/$B$1317,0)</f>
        <v>0.68157360601710748</v>
      </c>
      <c r="E1375" s="306">
        <f>IF($C$1210&gt;0,$B1375*$F$14*24/$C$1210,0)</f>
        <v>0.93470981054202917</v>
      </c>
      <c r="F1375" s="291"/>
    </row>
    <row r="1376" spans="1:6">
      <c r="A1376" s="289" t="s">
        <v>95</v>
      </c>
      <c r="B1376" s="308">
        <f>IF($B$1320&gt;0,($B$1174*B$1244+$C$1174*B$1283)/$B$1320,0)</f>
        <v>9.2759894845001148E-2</v>
      </c>
      <c r="C1376" s="308">
        <f>IF($B$1320&gt;0,($B$1174*C$1244+$C$1174*C$1283)/$B$1320,0)</f>
        <v>0.37979281783398938</v>
      </c>
      <c r="D1376" s="308">
        <f>IF($B$1320&gt;0,($B$1174*D$1244+$C$1174*D$1283)/$B$1320,0)</f>
        <v>0.52744728732100954</v>
      </c>
      <c r="E1376" s="306">
        <f>IF($C$1210&gt;0,$B1376*$F$14*24/$C$1210,0)</f>
        <v>1.0377735361969478</v>
      </c>
      <c r="F1376" s="291"/>
    </row>
    <row r="1377" spans="1:6">
      <c r="A1377" s="289" t="s">
        <v>96</v>
      </c>
      <c r="B1377" s="308">
        <f>IF($B$1322&gt;0,($B$1176*B$1246+$C$1176*B$1284)/$B$1322,0)</f>
        <v>0</v>
      </c>
      <c r="C1377" s="308">
        <f>IF($B$1322&gt;0,($B$1176*C$1246+$C$1176*C$1284)/$B$1322,0)</f>
        <v>0</v>
      </c>
      <c r="D1377" s="308">
        <f>IF($B$1322&gt;0,($B$1176*D$1246+$C$1176*D$1284)/$B$1322,0)</f>
        <v>0</v>
      </c>
      <c r="E1377" s="306">
        <f>IF($C$1210&gt;0,$B1377*$F$14*24/$C$1210,0)</f>
        <v>0</v>
      </c>
      <c r="F1377" s="291"/>
    </row>
    <row r="1378" spans="1:6">
      <c r="A1378" s="289" t="s">
        <v>97</v>
      </c>
      <c r="B1378" s="308">
        <f>IF($B$1323&gt;0,($B$1177*B$1247+$C$1177*B$1285)/$B$1323,0)</f>
        <v>0</v>
      </c>
      <c r="C1378" s="308">
        <f>IF($B$1323&gt;0,($B$1177*C$1247+$C$1177*C$1285)/$B$1323,0)</f>
        <v>0</v>
      </c>
      <c r="D1378" s="308">
        <f>IF($B$1323&gt;0,($B$1177*D$1247+$C$1177*D$1285)/$B$1323,0)</f>
        <v>0</v>
      </c>
      <c r="E1378" s="306">
        <f>IF($C$1210&gt;0,$B1378*$F$14*24/$C$1210,0)</f>
        <v>0</v>
      </c>
      <c r="F1378" s="291"/>
    </row>
    <row r="1379" spans="1:6">
      <c r="A1379" s="289" t="s">
        <v>110</v>
      </c>
      <c r="B1379" s="308">
        <f>IF($B$1324&gt;0,($B$1178*B$1248+$C$1178*B$1286)/$B$1324,0)</f>
        <v>0</v>
      </c>
      <c r="C1379" s="308">
        <f>IF($B$1324&gt;0,($B$1178*C$1248+$C$1178*C$1286)/$B$1324,0)</f>
        <v>0</v>
      </c>
      <c r="D1379" s="308">
        <f>IF($B$1324&gt;0,($B$1178*D$1248+$C$1178*D$1286)/$B$1324,0)</f>
        <v>0</v>
      </c>
      <c r="E1379" s="306">
        <f>IF($C$1210&gt;0,$B1379*$F$14*24/$C$1210,0)</f>
        <v>0</v>
      </c>
      <c r="F1379" s="291"/>
    </row>
    <row r="1381" spans="1:6" ht="21" customHeight="1">
      <c r="A1381" s="1" t="s">
        <v>1605</v>
      </c>
    </row>
    <row r="1382" spans="1:6">
      <c r="A1382" s="287" t="s">
        <v>255</v>
      </c>
    </row>
    <row r="1383" spans="1:6">
      <c r="A1383" s="301" t="s">
        <v>469</v>
      </c>
    </row>
    <row r="1384" spans="1:6">
      <c r="A1384" s="301" t="s">
        <v>470</v>
      </c>
    </row>
    <row r="1385" spans="1:6">
      <c r="A1385" s="301" t="s">
        <v>471</v>
      </c>
    </row>
    <row r="1386" spans="1:6">
      <c r="A1386" s="301" t="s">
        <v>472</v>
      </c>
    </row>
    <row r="1387" spans="1:6">
      <c r="A1387" s="301" t="s">
        <v>473</v>
      </c>
    </row>
    <row r="1388" spans="1:6">
      <c r="A1388" s="301" t="s">
        <v>480</v>
      </c>
    </row>
    <row r="1389" spans="1:6">
      <c r="A1389" s="301" t="s">
        <v>481</v>
      </c>
    </row>
    <row r="1390" spans="1:6">
      <c r="A1390" s="301" t="s">
        <v>482</v>
      </c>
    </row>
    <row r="1391" spans="1:6">
      <c r="A1391" s="301" t="s">
        <v>483</v>
      </c>
    </row>
    <row r="1392" spans="1:6">
      <c r="A1392" s="301" t="s">
        <v>484</v>
      </c>
    </row>
    <row r="1393" spans="1:6">
      <c r="A1393" s="302" t="s">
        <v>258</v>
      </c>
      <c r="B1393" s="302" t="s">
        <v>380</v>
      </c>
      <c r="C1393" s="302"/>
      <c r="D1393" s="302"/>
      <c r="E1393" s="302" t="s">
        <v>380</v>
      </c>
    </row>
    <row r="1394" spans="1:6">
      <c r="A1394" s="302" t="s">
        <v>261</v>
      </c>
      <c r="B1394" s="302" t="s">
        <v>485</v>
      </c>
      <c r="C1394" s="302"/>
      <c r="D1394" s="302"/>
      <c r="E1394" s="302" t="s">
        <v>486</v>
      </c>
    </row>
    <row r="1396" spans="1:6">
      <c r="B1396" s="300" t="s">
        <v>487</v>
      </c>
      <c r="C1396" s="300"/>
      <c r="D1396" s="300"/>
    </row>
    <row r="1397" spans="1:6" ht="30">
      <c r="B1397" s="288" t="s">
        <v>233</v>
      </c>
      <c r="C1397" s="288" t="s">
        <v>234</v>
      </c>
      <c r="D1397" s="288" t="s">
        <v>235</v>
      </c>
      <c r="E1397" s="288" t="s">
        <v>1517</v>
      </c>
    </row>
    <row r="1398" spans="1:6">
      <c r="A1398" s="289" t="s">
        <v>1536</v>
      </c>
      <c r="B1398" s="308">
        <f>IF($B$1325&gt;0,($B$1179*B$1249+$C$1179*B$1287+$D$1179*B$1299)/$B$1325,0)</f>
        <v>0</v>
      </c>
      <c r="C1398" s="308">
        <f>IF($B$1325&gt;0,($B$1179*C$1249+$C$1179*C$1287+$D$1179*C$1299)/$B$1325,0)</f>
        <v>0</v>
      </c>
      <c r="D1398" s="308">
        <f>IF($B$1325&gt;0,($B$1179*D$1249+$C$1179*D$1287+$D$1179*D$1299)/$B$1325,0)</f>
        <v>0</v>
      </c>
      <c r="E1398" s="306">
        <f>IF($C$1210&gt;0,$B1398*$F$14*24/$C$1210,0)</f>
        <v>0</v>
      </c>
      <c r="F1398" s="291"/>
    </row>
    <row r="1399" spans="1:6">
      <c r="A1399" s="289" t="s">
        <v>1535</v>
      </c>
      <c r="B1399" s="308">
        <f>IF($B$1326&gt;0,($B$1180*B$1250+$C$1180*B$1288+$D$1180*B$1300)/$B$1326,0)</f>
        <v>0.11058887503077117</v>
      </c>
      <c r="C1399" s="308">
        <f>IF($B$1326&gt;0,($B$1180*C$1250+$C$1180*C$1288+$D$1180*C$1300)/$B$1326,0)</f>
        <v>0.42151991497235969</v>
      </c>
      <c r="D1399" s="308">
        <f>IF($B$1326&gt;0,($B$1180*D$1250+$C$1180*D$1288+$D$1180*D$1300)/$B$1326,0)</f>
        <v>0.46789120999686906</v>
      </c>
      <c r="E1399" s="306">
        <f>IF($C$1210&gt;0,$B1399*$F$14*24/$C$1210,0)</f>
        <v>1.2372395214170568</v>
      </c>
      <c r="F1399" s="291"/>
    </row>
    <row r="1400" spans="1:6">
      <c r="A1400" s="289" t="s">
        <v>98</v>
      </c>
      <c r="B1400" s="308">
        <f>IF($B$1327&gt;0,($B$1181*B$1251+$C$1181*B$1289+$D$1181*B$1301)/$B$1327,0)</f>
        <v>0.10931434776405675</v>
      </c>
      <c r="C1400" s="308">
        <f>IF($B$1327&gt;0,($B$1181*C$1251+$C$1181*C$1289+$D$1181*C$1301)/$B$1327,0)</f>
        <v>0.42917223030334062</v>
      </c>
      <c r="D1400" s="308">
        <f>IF($B$1327&gt;0,($B$1181*D$1251+$C$1181*D$1289+$D$1181*D$1301)/$B$1327,0)</f>
        <v>0.46151342193260259</v>
      </c>
      <c r="E1400" s="306">
        <f>IF($C$1210&gt;0,$B1400*$F$14*24/$C$1210,0)</f>
        <v>1.2229804424177997</v>
      </c>
      <c r="F1400" s="291"/>
    </row>
    <row r="1401" spans="1:6">
      <c r="A1401" s="289" t="s">
        <v>99</v>
      </c>
      <c r="B1401" s="308">
        <f>IF($B$1328&gt;0,($B$1182*B$1252+$C$1182*B$1290+$D$1182*B$1302)/$B$1328,0)</f>
        <v>0.1058264389794744</v>
      </c>
      <c r="C1401" s="308">
        <f>IF($B$1328&gt;0,($B$1182*C$1252+$C$1182*C$1290+$D$1182*C$1302)/$B$1328,0)</f>
        <v>0.41812647572893186</v>
      </c>
      <c r="D1401" s="308">
        <f>IF($B$1328&gt;0,($B$1182*D$1252+$C$1182*D$1290+$D$1182*D$1302)/$B$1328,0)</f>
        <v>0.47604708529159373</v>
      </c>
      <c r="E1401" s="306">
        <f>IF($C$1210&gt;0,$B1401*$F$14*24/$C$1210,0)</f>
        <v>1.1839586276630854</v>
      </c>
      <c r="F1401" s="291"/>
    </row>
    <row r="1402" spans="1:6">
      <c r="A1402" s="289" t="s">
        <v>111</v>
      </c>
      <c r="B1402" s="308">
        <f>IF($B$1329&gt;0,($B$1183*B$1253+$C$1183*B$1291+$D$1183*B$1303)/$B$1329,0)</f>
        <v>9.7937751277167862E-2</v>
      </c>
      <c r="C1402" s="308">
        <f>IF($B$1329&gt;0,($B$1183*C$1253+$C$1183*C$1291+$D$1183*C$1303)/$B$1329,0)</f>
        <v>0.39284292121757847</v>
      </c>
      <c r="D1402" s="308">
        <f>IF($B$1329&gt;0,($B$1183*D$1253+$C$1183*D$1291+$D$1183*D$1303)/$B$1329,0)</f>
        <v>0.50921932750525367</v>
      </c>
      <c r="E1402" s="306">
        <f>IF($C$1210&gt;0,$B1402*$F$14*24/$C$1210,0)</f>
        <v>1.0957020449399621</v>
      </c>
      <c r="F1402" s="291"/>
    </row>
    <row r="1404" spans="1:6" ht="21" customHeight="1">
      <c r="A1404" s="1" t="s">
        <v>1604</v>
      </c>
    </row>
    <row r="1405" spans="1:6">
      <c r="A1405" s="287" t="s">
        <v>255</v>
      </c>
    </row>
    <row r="1406" spans="1:6">
      <c r="A1406" s="301" t="s">
        <v>1603</v>
      </c>
    </row>
    <row r="1407" spans="1:6">
      <c r="A1407" s="301" t="s">
        <v>1602</v>
      </c>
    </row>
    <row r="1408" spans="1:6">
      <c r="A1408" s="301" t="s">
        <v>1601</v>
      </c>
    </row>
    <row r="1409" spans="1:4">
      <c r="A1409" s="301" t="s">
        <v>1600</v>
      </c>
    </row>
    <row r="1410" spans="1:4">
      <c r="A1410" s="301" t="s">
        <v>1599</v>
      </c>
    </row>
    <row r="1411" spans="1:4">
      <c r="A1411" s="302" t="s">
        <v>258</v>
      </c>
      <c r="B1411" s="302" t="s">
        <v>414</v>
      </c>
      <c r="C1411" s="302" t="s">
        <v>380</v>
      </c>
    </row>
    <row r="1412" spans="1:4">
      <c r="A1412" s="302" t="s">
        <v>261</v>
      </c>
      <c r="B1412" s="302" t="s">
        <v>1598</v>
      </c>
      <c r="C1412" s="302" t="s">
        <v>1597</v>
      </c>
    </row>
    <row r="1414" spans="1:4" ht="45">
      <c r="B1414" s="288" t="s">
        <v>1516</v>
      </c>
      <c r="C1414" s="288" t="s">
        <v>489</v>
      </c>
    </row>
    <row r="1415" spans="1:4">
      <c r="A1415" s="289" t="s">
        <v>92</v>
      </c>
      <c r="B1415" s="307">
        <f>E$1357</f>
        <v>1.6964792602837624</v>
      </c>
      <c r="C1415" s="306">
        <f>IF($B1415&lt;&gt;0,B$914/$B1415,IF(B$914&lt;0,-1,1))</f>
        <v>1.2185160088188067</v>
      </c>
      <c r="D1415" s="291"/>
    </row>
    <row r="1416" spans="1:4">
      <c r="A1416" s="289" t="s">
        <v>93</v>
      </c>
      <c r="B1416" s="307">
        <f>E$1375</f>
        <v>0.93470981054202917</v>
      </c>
      <c r="C1416" s="306">
        <f>IF($B1416&lt;&gt;0,B$915/$B1416,IF(B$915&lt;0,-1,1))</f>
        <v>1.4799967424915987</v>
      </c>
      <c r="D1416" s="291"/>
    </row>
    <row r="1417" spans="1:4">
      <c r="A1417" s="289" t="s">
        <v>129</v>
      </c>
      <c r="B1417" s="309"/>
      <c r="C1417" s="306">
        <f>IF($B1417&lt;&gt;0,B$916/$B1417,IF(B$916&lt;0,-1,1))</f>
        <v>1</v>
      </c>
      <c r="D1417" s="291"/>
    </row>
    <row r="1418" spans="1:4">
      <c r="A1418" s="289" t="s">
        <v>94</v>
      </c>
      <c r="B1418" s="307">
        <f>E$1358</f>
        <v>1.4730327411159059</v>
      </c>
      <c r="C1418" s="306">
        <f>IF($B1418&lt;&gt;0,B$917/$B1418,IF(B$917&lt;0,-1,1))</f>
        <v>1.1854071197508007</v>
      </c>
      <c r="D1418" s="291"/>
    </row>
    <row r="1419" spans="1:4">
      <c r="A1419" s="289" t="s">
        <v>95</v>
      </c>
      <c r="B1419" s="307">
        <f>E$1376</f>
        <v>1.0377735361969478</v>
      </c>
      <c r="C1419" s="306">
        <f>IF($B1419&lt;&gt;0,B$918/$B1419,IF(B$918&lt;0,-1,1))</f>
        <v>1.3863104659664436</v>
      </c>
      <c r="D1419" s="291"/>
    </row>
    <row r="1420" spans="1:4">
      <c r="A1420" s="289" t="s">
        <v>130</v>
      </c>
      <c r="B1420" s="309"/>
      <c r="C1420" s="306">
        <f>IF($B1420&lt;&gt;0,B$919/$B1420,IF(B$919&lt;0,-1,1))</f>
        <v>1</v>
      </c>
      <c r="D1420" s="291"/>
    </row>
    <row r="1421" spans="1:4">
      <c r="A1421" s="289" t="s">
        <v>96</v>
      </c>
      <c r="B1421" s="307">
        <f>E$1377</f>
        <v>0</v>
      </c>
      <c r="C1421" s="306">
        <f>IF($B1421&lt;&gt;0,B$920/$B1421,IF(B$920&lt;0,-1,1))</f>
        <v>1</v>
      </c>
      <c r="D1421" s="291"/>
    </row>
    <row r="1422" spans="1:4">
      <c r="A1422" s="289" t="s">
        <v>97</v>
      </c>
      <c r="B1422" s="307">
        <f>E$1378</f>
        <v>0</v>
      </c>
      <c r="C1422" s="306">
        <f>IF($B1422&lt;&gt;0,B$921/$B1422,IF(B$921&lt;0,-1,1))</f>
        <v>1</v>
      </c>
      <c r="D1422" s="291"/>
    </row>
    <row r="1423" spans="1:4">
      <c r="A1423" s="289" t="s">
        <v>110</v>
      </c>
      <c r="B1423" s="307">
        <f>E$1379</f>
        <v>0</v>
      </c>
      <c r="C1423" s="306">
        <f>IF($B1423&lt;&gt;0,B$922/$B1423,IF(B$922&lt;0,-1,1))</f>
        <v>1</v>
      </c>
      <c r="D1423" s="291"/>
    </row>
    <row r="1424" spans="1:4">
      <c r="A1424" s="289" t="s">
        <v>1536</v>
      </c>
      <c r="B1424" s="307">
        <f>E$1398</f>
        <v>0</v>
      </c>
      <c r="C1424" s="306">
        <f>IF($B1424&lt;&gt;0,B$923/$B1424,IF(B$923&lt;0,-1,1))</f>
        <v>1</v>
      </c>
      <c r="D1424" s="291"/>
    </row>
    <row r="1425" spans="1:5">
      <c r="A1425" s="289" t="s">
        <v>1535</v>
      </c>
      <c r="B1425" s="307">
        <f>E$1399</f>
        <v>1.2372395214170568</v>
      </c>
      <c r="C1425" s="306">
        <f>IF($B1425&lt;&gt;0,B$924/$B1425,IF(B$924&lt;0,-1,1))</f>
        <v>1.3547217353980296</v>
      </c>
      <c r="D1425" s="291"/>
    </row>
    <row r="1426" spans="1:5">
      <c r="A1426" s="289" t="s">
        <v>98</v>
      </c>
      <c r="B1426" s="307">
        <f>E$1400</f>
        <v>1.2229804424177997</v>
      </c>
      <c r="C1426" s="306">
        <f>IF($B1426&lt;&gt;0,B$925/$B1426,IF(B$925&lt;0,-1,1))</f>
        <v>1.2079630438380615</v>
      </c>
      <c r="D1426" s="291"/>
    </row>
    <row r="1427" spans="1:5">
      <c r="A1427" s="289" t="s">
        <v>99</v>
      </c>
      <c r="B1427" s="307">
        <f>E$1401</f>
        <v>1.1839586276630854</v>
      </c>
      <c r="C1427" s="306">
        <f>IF($B1427&lt;&gt;0,B$926/$B1427,IF(B$926&lt;0,-1,1))</f>
        <v>1.2948246648175719</v>
      </c>
      <c r="D1427" s="291"/>
    </row>
    <row r="1428" spans="1:5">
      <c r="A1428" s="289" t="s">
        <v>111</v>
      </c>
      <c r="B1428" s="307">
        <f>E$1402</f>
        <v>1.0957020449399621</v>
      </c>
      <c r="C1428" s="306">
        <f>IF($B1428&lt;&gt;0,B$927/$B1428,IF(B$927&lt;0,-1,1))</f>
        <v>1.0883320478331777</v>
      </c>
      <c r="D1428" s="291"/>
    </row>
    <row r="1429" spans="1:5">
      <c r="A1429" s="289" t="s">
        <v>102</v>
      </c>
      <c r="B1429" s="309"/>
      <c r="C1429" s="306">
        <f>IF($B1429&lt;&gt;0,B$936/$B1429,IF(B$936&lt;0,-1,1))</f>
        <v>-1</v>
      </c>
      <c r="D1429" s="291"/>
    </row>
    <row r="1430" spans="1:5">
      <c r="A1430" s="289" t="s">
        <v>104</v>
      </c>
      <c r="B1430" s="309"/>
      <c r="C1430" s="306">
        <f>IF($B1430&lt;&gt;0,B$938/$B1430,IF(B$938&lt;0,-1,1))</f>
        <v>-1</v>
      </c>
      <c r="D1430" s="291"/>
    </row>
    <row r="1431" spans="1:5">
      <c r="A1431" s="289" t="s">
        <v>113</v>
      </c>
      <c r="B1431" s="309"/>
      <c r="C1431" s="306">
        <f>IF($B1431&lt;&gt;0,B$940/$B1431,IF(B$940&lt;0,-1,1))</f>
        <v>-1</v>
      </c>
      <c r="D1431" s="291"/>
    </row>
    <row r="1433" spans="1:5" ht="21" customHeight="1">
      <c r="A1433" s="1" t="s">
        <v>1596</v>
      </c>
    </row>
    <row r="1434" spans="1:5">
      <c r="A1434" s="287" t="s">
        <v>255</v>
      </c>
    </row>
    <row r="1435" spans="1:5">
      <c r="A1435" s="301" t="s">
        <v>490</v>
      </c>
    </row>
    <row r="1436" spans="1:5">
      <c r="A1436" s="301" t="s">
        <v>491</v>
      </c>
    </row>
    <row r="1437" spans="1:5">
      <c r="A1437" s="301" t="s">
        <v>492</v>
      </c>
    </row>
    <row r="1438" spans="1:5">
      <c r="A1438" s="301" t="s">
        <v>493</v>
      </c>
    </row>
    <row r="1439" spans="1:5">
      <c r="A1439" s="302" t="s">
        <v>258</v>
      </c>
      <c r="B1439" s="302" t="s">
        <v>381</v>
      </c>
      <c r="C1439" s="302" t="s">
        <v>380</v>
      </c>
      <c r="D1439" s="302"/>
      <c r="E1439" s="302"/>
    </row>
    <row r="1440" spans="1:5">
      <c r="A1440" s="302" t="s">
        <v>261</v>
      </c>
      <c r="B1440" s="302" t="s">
        <v>431</v>
      </c>
      <c r="C1440" s="302" t="s">
        <v>494</v>
      </c>
      <c r="D1440" s="302"/>
      <c r="E1440" s="302"/>
    </row>
    <row r="1442" spans="1:6">
      <c r="C1442" s="300" t="s">
        <v>496</v>
      </c>
      <c r="D1442" s="300"/>
      <c r="E1442" s="300"/>
    </row>
    <row r="1443" spans="1:6" ht="30">
      <c r="B1443" s="288" t="s">
        <v>495</v>
      </c>
      <c r="C1443" s="288" t="s">
        <v>233</v>
      </c>
      <c r="D1443" s="288" t="s">
        <v>234</v>
      </c>
      <c r="E1443" s="288" t="s">
        <v>235</v>
      </c>
    </row>
    <row r="1444" spans="1:6">
      <c r="A1444" s="289" t="s">
        <v>60</v>
      </c>
      <c r="B1444" s="308">
        <f t="shared" ref="B1444:B1452" si="123">SUM($B311:$D311)</f>
        <v>0.99999999999999989</v>
      </c>
      <c r="C1444" s="308">
        <f t="shared" ref="C1444:E1452" si="124">IF($B1444,B311/$B1444,B$304/$B$1210)</f>
        <v>0.85470794540392059</v>
      </c>
      <c r="D1444" s="308">
        <f t="shared" si="124"/>
        <v>0.14529205459607947</v>
      </c>
      <c r="E1444" s="308">
        <f t="shared" si="124"/>
        <v>0</v>
      </c>
      <c r="F1444" s="291"/>
    </row>
    <row r="1445" spans="1:6">
      <c r="A1445" s="289" t="s">
        <v>61</v>
      </c>
      <c r="B1445" s="308">
        <f t="shared" si="123"/>
        <v>0.99999999999999989</v>
      </c>
      <c r="C1445" s="308">
        <f t="shared" si="124"/>
        <v>0.73347807576361324</v>
      </c>
      <c r="D1445" s="308">
        <f t="shared" si="124"/>
        <v>0.23785008473510375</v>
      </c>
      <c r="E1445" s="308">
        <f t="shared" si="124"/>
        <v>2.8671839501283096E-2</v>
      </c>
      <c r="F1445" s="291"/>
    </row>
    <row r="1446" spans="1:6">
      <c r="A1446" s="289" t="s">
        <v>62</v>
      </c>
      <c r="B1446" s="308">
        <f t="shared" si="123"/>
        <v>0.99999999999999989</v>
      </c>
      <c r="C1446" s="308">
        <f t="shared" si="124"/>
        <v>0.73347807576361324</v>
      </c>
      <c r="D1446" s="308">
        <f t="shared" si="124"/>
        <v>0.23785008473510375</v>
      </c>
      <c r="E1446" s="308">
        <f t="shared" si="124"/>
        <v>2.8671839501283096E-2</v>
      </c>
      <c r="F1446" s="291"/>
    </row>
    <row r="1447" spans="1:6">
      <c r="A1447" s="289" t="s">
        <v>63</v>
      </c>
      <c r="B1447" s="308">
        <f t="shared" si="123"/>
        <v>1</v>
      </c>
      <c r="C1447" s="308">
        <f t="shared" si="124"/>
        <v>0.74849318073591797</v>
      </c>
      <c r="D1447" s="308">
        <f t="shared" si="124"/>
        <v>0.18814792948012682</v>
      </c>
      <c r="E1447" s="308">
        <f t="shared" si="124"/>
        <v>6.3358889783955152E-2</v>
      </c>
      <c r="F1447" s="291"/>
    </row>
    <row r="1448" spans="1:6">
      <c r="A1448" s="289" t="s">
        <v>64</v>
      </c>
      <c r="B1448" s="308">
        <f t="shared" si="123"/>
        <v>1</v>
      </c>
      <c r="C1448" s="308">
        <f t="shared" si="124"/>
        <v>0.74849318073591797</v>
      </c>
      <c r="D1448" s="308">
        <f t="shared" si="124"/>
        <v>0.18814792948012682</v>
      </c>
      <c r="E1448" s="308">
        <f t="shared" si="124"/>
        <v>6.3358889783955152E-2</v>
      </c>
      <c r="F1448" s="291"/>
    </row>
    <row r="1449" spans="1:6">
      <c r="A1449" s="289" t="s">
        <v>69</v>
      </c>
      <c r="B1449" s="308">
        <f t="shared" si="123"/>
        <v>0.99999999999999989</v>
      </c>
      <c r="C1449" s="308">
        <f t="shared" si="124"/>
        <v>0.73347807576361324</v>
      </c>
      <c r="D1449" s="308">
        <f t="shared" si="124"/>
        <v>0.23785008473510375</v>
      </c>
      <c r="E1449" s="308">
        <f t="shared" si="124"/>
        <v>2.8671839501283096E-2</v>
      </c>
      <c r="F1449" s="291"/>
    </row>
    <row r="1450" spans="1:6">
      <c r="A1450" s="289" t="s">
        <v>65</v>
      </c>
      <c r="B1450" s="308">
        <f t="shared" si="123"/>
        <v>1</v>
      </c>
      <c r="C1450" s="308">
        <f t="shared" si="124"/>
        <v>0.74849318073591797</v>
      </c>
      <c r="D1450" s="308">
        <f t="shared" si="124"/>
        <v>0.18814792948012682</v>
      </c>
      <c r="E1450" s="308">
        <f t="shared" si="124"/>
        <v>6.3358889783955152E-2</v>
      </c>
      <c r="F1450" s="291"/>
    </row>
    <row r="1451" spans="1:6">
      <c r="A1451" s="289" t="s">
        <v>66</v>
      </c>
      <c r="B1451" s="308">
        <f t="shared" si="123"/>
        <v>1</v>
      </c>
      <c r="C1451" s="308">
        <f t="shared" si="124"/>
        <v>0.74849318073591797</v>
      </c>
      <c r="D1451" s="308">
        <f t="shared" si="124"/>
        <v>0.18814792948012682</v>
      </c>
      <c r="E1451" s="308">
        <f t="shared" si="124"/>
        <v>6.3358889783955152E-2</v>
      </c>
      <c r="F1451" s="291"/>
    </row>
    <row r="1452" spans="1:6">
      <c r="A1452" s="289" t="s">
        <v>67</v>
      </c>
      <c r="B1452" s="308">
        <f t="shared" si="123"/>
        <v>1</v>
      </c>
      <c r="C1452" s="308">
        <f t="shared" si="124"/>
        <v>0.74849318073591797</v>
      </c>
      <c r="D1452" s="308">
        <f t="shared" si="124"/>
        <v>0.18814792948012682</v>
      </c>
      <c r="E1452" s="308">
        <f t="shared" si="124"/>
        <v>6.3358889783955152E-2</v>
      </c>
      <c r="F1452" s="291"/>
    </row>
    <row r="1454" spans="1:6" ht="21" customHeight="1">
      <c r="A1454" s="1" t="s">
        <v>1595</v>
      </c>
    </row>
    <row r="1455" spans="1:6">
      <c r="A1455" s="287" t="s">
        <v>255</v>
      </c>
    </row>
    <row r="1456" spans="1:6">
      <c r="A1456" s="301" t="s">
        <v>1571</v>
      </c>
    </row>
    <row r="1457" spans="1:38">
      <c r="A1457" s="287" t="s">
        <v>497</v>
      </c>
    </row>
    <row r="1459" spans="1:38">
      <c r="B1459" s="297" t="s">
        <v>60</v>
      </c>
      <c r="C1459" s="288" t="s">
        <v>233</v>
      </c>
      <c r="D1459" s="288" t="s">
        <v>234</v>
      </c>
      <c r="E1459" s="288" t="s">
        <v>235</v>
      </c>
      <c r="F1459" s="297" t="s">
        <v>61</v>
      </c>
      <c r="G1459" s="288" t="s">
        <v>233</v>
      </c>
      <c r="H1459" s="288" t="s">
        <v>234</v>
      </c>
      <c r="I1459" s="288" t="s">
        <v>235</v>
      </c>
      <c r="J1459" s="297" t="s">
        <v>62</v>
      </c>
      <c r="K1459" s="288" t="s">
        <v>233</v>
      </c>
      <c r="L1459" s="288" t="s">
        <v>234</v>
      </c>
      <c r="M1459" s="288" t="s">
        <v>235</v>
      </c>
      <c r="N1459" s="297" t="s">
        <v>63</v>
      </c>
      <c r="O1459" s="288" t="s">
        <v>233</v>
      </c>
      <c r="P1459" s="288" t="s">
        <v>234</v>
      </c>
      <c r="Q1459" s="288" t="s">
        <v>235</v>
      </c>
      <c r="R1459" s="297" t="s">
        <v>64</v>
      </c>
      <c r="S1459" s="288" t="s">
        <v>233</v>
      </c>
      <c r="T1459" s="288" t="s">
        <v>234</v>
      </c>
      <c r="U1459" s="288" t="s">
        <v>235</v>
      </c>
      <c r="V1459" s="297" t="s">
        <v>69</v>
      </c>
      <c r="W1459" s="288" t="s">
        <v>233</v>
      </c>
      <c r="X1459" s="288" t="s">
        <v>234</v>
      </c>
      <c r="Y1459" s="288" t="s">
        <v>235</v>
      </c>
      <c r="Z1459" s="297" t="s">
        <v>65</v>
      </c>
      <c r="AA1459" s="288" t="s">
        <v>233</v>
      </c>
      <c r="AB1459" s="288" t="s">
        <v>234</v>
      </c>
      <c r="AC1459" s="288" t="s">
        <v>235</v>
      </c>
      <c r="AD1459" s="297" t="s">
        <v>66</v>
      </c>
      <c r="AE1459" s="288" t="s">
        <v>233</v>
      </c>
      <c r="AF1459" s="288" t="s">
        <v>234</v>
      </c>
      <c r="AG1459" s="288" t="s">
        <v>235</v>
      </c>
      <c r="AH1459" s="297" t="s">
        <v>67</v>
      </c>
      <c r="AI1459" s="288" t="s">
        <v>233</v>
      </c>
      <c r="AJ1459" s="288" t="s">
        <v>234</v>
      </c>
      <c r="AK1459" s="288" t="s">
        <v>235</v>
      </c>
    </row>
    <row r="1460" spans="1:38">
      <c r="A1460" s="289" t="s">
        <v>498</v>
      </c>
      <c r="C1460" s="311">
        <f>C$1444</f>
        <v>0.85470794540392059</v>
      </c>
      <c r="D1460" s="311">
        <f>D$1444</f>
        <v>0.14529205459607947</v>
      </c>
      <c r="E1460" s="311">
        <f>E$1444</f>
        <v>0</v>
      </c>
      <c r="G1460" s="311">
        <f>C$1445</f>
        <v>0.73347807576361324</v>
      </c>
      <c r="H1460" s="311">
        <f>D$1445</f>
        <v>0.23785008473510375</v>
      </c>
      <c r="I1460" s="311">
        <f>E$1445</f>
        <v>2.8671839501283096E-2</v>
      </c>
      <c r="K1460" s="311">
        <f>C$1446</f>
        <v>0.73347807576361324</v>
      </c>
      <c r="L1460" s="311">
        <f>D$1446</f>
        <v>0.23785008473510375</v>
      </c>
      <c r="M1460" s="311">
        <f>E$1446</f>
        <v>2.8671839501283096E-2</v>
      </c>
      <c r="O1460" s="311">
        <f>C$1447</f>
        <v>0.74849318073591797</v>
      </c>
      <c r="P1460" s="311">
        <f>D$1447</f>
        <v>0.18814792948012682</v>
      </c>
      <c r="Q1460" s="311">
        <f>E$1447</f>
        <v>6.3358889783955152E-2</v>
      </c>
      <c r="S1460" s="311">
        <f>C$1448</f>
        <v>0.74849318073591797</v>
      </c>
      <c r="T1460" s="311">
        <f>D$1448</f>
        <v>0.18814792948012682</v>
      </c>
      <c r="U1460" s="311">
        <f>E$1448</f>
        <v>6.3358889783955152E-2</v>
      </c>
      <c r="W1460" s="311">
        <f>C$1449</f>
        <v>0.73347807576361324</v>
      </c>
      <c r="X1460" s="311">
        <f>D$1449</f>
        <v>0.23785008473510375</v>
      </c>
      <c r="Y1460" s="311">
        <f>E$1449</f>
        <v>2.8671839501283096E-2</v>
      </c>
      <c r="AA1460" s="311">
        <f>C$1450</f>
        <v>0.74849318073591797</v>
      </c>
      <c r="AB1460" s="311">
        <f>D$1450</f>
        <v>0.18814792948012682</v>
      </c>
      <c r="AC1460" s="311">
        <f>E$1450</f>
        <v>6.3358889783955152E-2</v>
      </c>
      <c r="AE1460" s="311">
        <f>C$1451</f>
        <v>0.74849318073591797</v>
      </c>
      <c r="AF1460" s="311">
        <f>D$1451</f>
        <v>0.18814792948012682</v>
      </c>
      <c r="AG1460" s="311">
        <f>E$1451</f>
        <v>6.3358889783955152E-2</v>
      </c>
      <c r="AI1460" s="311">
        <f>C$1452</f>
        <v>0.74849318073591797</v>
      </c>
      <c r="AJ1460" s="311">
        <f>D$1452</f>
        <v>0.18814792948012682</v>
      </c>
      <c r="AK1460" s="311">
        <f>E$1452</f>
        <v>6.3358889783955152E-2</v>
      </c>
      <c r="AL1460" s="291"/>
    </row>
    <row r="1462" spans="1:38" ht="21" customHeight="1">
      <c r="A1462" s="1" t="s">
        <v>1594</v>
      </c>
    </row>
    <row r="1463" spans="1:38">
      <c r="A1463" s="287" t="s">
        <v>255</v>
      </c>
    </row>
    <row r="1464" spans="1:38">
      <c r="A1464" s="301" t="s">
        <v>499</v>
      </c>
    </row>
    <row r="1465" spans="1:38">
      <c r="A1465" s="301" t="s">
        <v>1593</v>
      </c>
    </row>
    <row r="1466" spans="1:38">
      <c r="A1466" s="301" t="s">
        <v>1592</v>
      </c>
    </row>
    <row r="1467" spans="1:38">
      <c r="A1467" s="301" t="s">
        <v>448</v>
      </c>
    </row>
    <row r="1468" spans="1:38">
      <c r="A1468" s="287" t="s">
        <v>500</v>
      </c>
    </row>
    <row r="1470" spans="1:38">
      <c r="B1470" s="297" t="s">
        <v>60</v>
      </c>
      <c r="C1470" s="288" t="s">
        <v>233</v>
      </c>
      <c r="D1470" s="288" t="s">
        <v>234</v>
      </c>
      <c r="E1470" s="288" t="s">
        <v>235</v>
      </c>
      <c r="F1470" s="297" t="s">
        <v>61</v>
      </c>
      <c r="G1470" s="288" t="s">
        <v>233</v>
      </c>
      <c r="H1470" s="288" t="s">
        <v>234</v>
      </c>
      <c r="I1470" s="288" t="s">
        <v>235</v>
      </c>
      <c r="J1470" s="297" t="s">
        <v>62</v>
      </c>
      <c r="K1470" s="288" t="s">
        <v>233</v>
      </c>
      <c r="L1470" s="288" t="s">
        <v>234</v>
      </c>
      <c r="M1470" s="288" t="s">
        <v>235</v>
      </c>
      <c r="N1470" s="297" t="s">
        <v>63</v>
      </c>
      <c r="O1470" s="288" t="s">
        <v>233</v>
      </c>
      <c r="P1470" s="288" t="s">
        <v>234</v>
      </c>
      <c r="Q1470" s="288" t="s">
        <v>235</v>
      </c>
      <c r="R1470" s="297" t="s">
        <v>64</v>
      </c>
      <c r="S1470" s="288" t="s">
        <v>233</v>
      </c>
      <c r="T1470" s="288" t="s">
        <v>234</v>
      </c>
      <c r="U1470" s="288" t="s">
        <v>235</v>
      </c>
      <c r="V1470" s="297" t="s">
        <v>69</v>
      </c>
      <c r="W1470" s="288" t="s">
        <v>233</v>
      </c>
      <c r="X1470" s="288" t="s">
        <v>234</v>
      </c>
      <c r="Y1470" s="288" t="s">
        <v>235</v>
      </c>
      <c r="Z1470" s="297" t="s">
        <v>65</v>
      </c>
      <c r="AA1470" s="288" t="s">
        <v>233</v>
      </c>
      <c r="AB1470" s="288" t="s">
        <v>234</v>
      </c>
      <c r="AC1470" s="288" t="s">
        <v>235</v>
      </c>
      <c r="AD1470" s="297" t="s">
        <v>66</v>
      </c>
      <c r="AE1470" s="288" t="s">
        <v>233</v>
      </c>
      <c r="AF1470" s="288" t="s">
        <v>234</v>
      </c>
      <c r="AG1470" s="288" t="s">
        <v>235</v>
      </c>
      <c r="AH1470" s="297" t="s">
        <v>67</v>
      </c>
      <c r="AI1470" s="288" t="s">
        <v>233</v>
      </c>
      <c r="AJ1470" s="288" t="s">
        <v>234</v>
      </c>
      <c r="AK1470" s="288" t="s">
        <v>235</v>
      </c>
    </row>
    <row r="1471" spans="1:38">
      <c r="A1471" s="289" t="s">
        <v>92</v>
      </c>
      <c r="C1471" s="306">
        <f t="shared" ref="C1471:E1487" si="125">IF(C$1210&gt;0,$C1415*C$1460*24*$F$14/C$1210,0)</f>
        <v>11.651754474600686</v>
      </c>
      <c r="D1471" s="306">
        <f t="shared" si="125"/>
        <v>0.56591004694048919</v>
      </c>
      <c r="E1471" s="306">
        <f t="shared" si="125"/>
        <v>0</v>
      </c>
      <c r="G1471" s="306">
        <f t="shared" ref="G1471:G1487" si="126">IF(C$1210&gt;0,$C1415*G$1460*24*$F$14/C$1210,0)</f>
        <v>9.9990955942984012</v>
      </c>
      <c r="H1471" s="306">
        <f t="shared" ref="H1471:H1487" si="127">IF(D$1210&gt;0,$C1415*H$1460*24*$F$14/D$1210,0)</f>
        <v>0.92642197807335536</v>
      </c>
      <c r="I1471" s="306">
        <f t="shared" ref="I1471:I1487" si="128">IF(E$1210&gt;0,$C1415*I$1460*24*$F$14/E$1210,0)</f>
        <v>5.8445327223731247E-2</v>
      </c>
      <c r="K1471" s="306">
        <f t="shared" ref="K1471:K1487" si="129">IF(C$1210&gt;0,$C1415*K$1460*24*$F$14/C$1210,0)</f>
        <v>9.9990955942984012</v>
      </c>
      <c r="L1471" s="306">
        <f t="shared" ref="L1471:L1487" si="130">IF(D$1210&gt;0,$C1415*L$1460*24*$F$14/D$1210,0)</f>
        <v>0.92642197807335536</v>
      </c>
      <c r="M1471" s="306">
        <f t="shared" ref="M1471:M1487" si="131">IF(E$1210&gt;0,$C1415*M$1460*24*$F$14/E$1210,0)</f>
        <v>5.8445327223731247E-2</v>
      </c>
      <c r="O1471" s="306">
        <f t="shared" ref="O1471:O1487" si="132">IF(C$1210&gt;0,$C1415*O$1460*24*$F$14/C$1210,0)</f>
        <v>10.203788106504978</v>
      </c>
      <c r="P1471" s="306">
        <f t="shared" ref="P1471:P1487" si="133">IF(D$1210&gt;0,$C1415*P$1460*24*$F$14/D$1210,0)</f>
        <v>0.73283294052011771</v>
      </c>
      <c r="Q1471" s="306">
        <f t="shared" ref="Q1471:Q1487" si="134">IF(E$1210&gt;0,$C1415*Q$1460*24*$F$14/E$1210,0)</f>
        <v>0.12915219638383743</v>
      </c>
      <c r="S1471" s="306">
        <f t="shared" ref="S1471:S1487" si="135">IF(C$1210&gt;0,$C1415*S$1460*24*$F$14/C$1210,0)</f>
        <v>10.203788106504978</v>
      </c>
      <c r="T1471" s="306">
        <f t="shared" ref="T1471:T1487" si="136">IF(D$1210&gt;0,$C1415*T$1460*24*$F$14/D$1210,0)</f>
        <v>0.73283294052011771</v>
      </c>
      <c r="U1471" s="306">
        <f t="shared" ref="U1471:U1487" si="137">IF(E$1210&gt;0,$C1415*U$1460*24*$F$14/E$1210,0)</f>
        <v>0.12915219638383743</v>
      </c>
      <c r="W1471" s="306">
        <f t="shared" ref="W1471:W1487" si="138">IF(C$1210&gt;0,$C1415*W$1460*24*$F$14/C$1210,0)</f>
        <v>9.9990955942984012</v>
      </c>
      <c r="X1471" s="306">
        <f t="shared" ref="X1471:X1487" si="139">IF(D$1210&gt;0,$C1415*X$1460*24*$F$14/D$1210,0)</f>
        <v>0.92642197807335536</v>
      </c>
      <c r="Y1471" s="306">
        <f t="shared" ref="Y1471:Y1487" si="140">IF(E$1210&gt;0,$C1415*Y$1460*24*$F$14/E$1210,0)</f>
        <v>5.8445327223731247E-2</v>
      </c>
      <c r="AA1471" s="306">
        <f t="shared" ref="AA1471:AA1487" si="141">IF(C$1210&gt;0,$C1415*AA$1460*24*$F$14/C$1210,0)</f>
        <v>10.203788106504978</v>
      </c>
      <c r="AB1471" s="306">
        <f t="shared" ref="AB1471:AB1487" si="142">IF(D$1210&gt;0,$C1415*AB$1460*24*$F$14/D$1210,0)</f>
        <v>0.73283294052011771</v>
      </c>
      <c r="AC1471" s="306">
        <f t="shared" ref="AC1471:AC1487" si="143">IF(E$1210&gt;0,$C1415*AC$1460*24*$F$14/E$1210,0)</f>
        <v>0.12915219638383743</v>
      </c>
      <c r="AE1471" s="306">
        <f t="shared" ref="AE1471:AE1487" si="144">IF(C$1210&gt;0,$C1415*AE$1460*24*$F$14/C$1210,0)</f>
        <v>10.203788106504978</v>
      </c>
      <c r="AF1471" s="306">
        <f t="shared" ref="AF1471:AF1487" si="145">IF(D$1210&gt;0,$C1415*AF$1460*24*$F$14/D$1210,0)</f>
        <v>0.73283294052011771</v>
      </c>
      <c r="AG1471" s="306">
        <f t="shared" ref="AG1471:AG1487" si="146">IF(E$1210&gt;0,$C1415*AG$1460*24*$F$14/E$1210,0)</f>
        <v>0.12915219638383743</v>
      </c>
      <c r="AI1471" s="306">
        <f t="shared" ref="AI1471:AI1487" si="147">IF(C$1210&gt;0,$C1415*AI$1460*24*$F$14/C$1210,0)</f>
        <v>10.203788106504978</v>
      </c>
      <c r="AJ1471" s="306">
        <f t="shared" ref="AJ1471:AJ1487" si="148">IF(D$1210&gt;0,$C1415*AJ$1460*24*$F$14/D$1210,0)</f>
        <v>0.73283294052011771</v>
      </c>
      <c r="AK1471" s="306">
        <f t="shared" ref="AK1471:AK1487" si="149">IF(E$1210&gt;0,$C1415*AK$1460*24*$F$14/E$1210,0)</f>
        <v>0.12915219638383743</v>
      </c>
      <c r="AL1471" s="291"/>
    </row>
    <row r="1472" spans="1:38">
      <c r="A1472" s="289" t="s">
        <v>93</v>
      </c>
      <c r="C1472" s="306">
        <f t="shared" si="125"/>
        <v>14.152098570651761</v>
      </c>
      <c r="D1472" s="306">
        <f t="shared" si="125"/>
        <v>0.68734839752091792</v>
      </c>
      <c r="E1472" s="306">
        <f t="shared" si="125"/>
        <v>0</v>
      </c>
      <c r="G1472" s="306">
        <f t="shared" si="126"/>
        <v>12.144796457593598</v>
      </c>
      <c r="H1472" s="306">
        <f t="shared" si="127"/>
        <v>1.1252224015097629</v>
      </c>
      <c r="I1472" s="306">
        <f t="shared" si="128"/>
        <v>7.09870804149937E-2</v>
      </c>
      <c r="K1472" s="306">
        <f t="shared" si="129"/>
        <v>12.144796457593598</v>
      </c>
      <c r="L1472" s="306">
        <f t="shared" si="130"/>
        <v>1.1252224015097629</v>
      </c>
      <c r="M1472" s="306">
        <f t="shared" si="131"/>
        <v>7.09870804149937E-2</v>
      </c>
      <c r="O1472" s="306">
        <f t="shared" si="132"/>
        <v>12.39341383240496</v>
      </c>
      <c r="P1472" s="306">
        <f t="shared" si="133"/>
        <v>0.89009119035841289</v>
      </c>
      <c r="Q1472" s="306">
        <f t="shared" si="134"/>
        <v>0.15686690084523774</v>
      </c>
      <c r="S1472" s="306">
        <f t="shared" si="135"/>
        <v>12.39341383240496</v>
      </c>
      <c r="T1472" s="306">
        <f t="shared" si="136"/>
        <v>0.89009119035841289</v>
      </c>
      <c r="U1472" s="306">
        <f t="shared" si="137"/>
        <v>0.15686690084523774</v>
      </c>
      <c r="W1472" s="306">
        <f t="shared" si="138"/>
        <v>12.144796457593598</v>
      </c>
      <c r="X1472" s="306">
        <f t="shared" si="139"/>
        <v>1.1252224015097629</v>
      </c>
      <c r="Y1472" s="306">
        <f t="shared" si="140"/>
        <v>7.09870804149937E-2</v>
      </c>
      <c r="AA1472" s="306">
        <f t="shared" si="141"/>
        <v>12.39341383240496</v>
      </c>
      <c r="AB1472" s="306">
        <f t="shared" si="142"/>
        <v>0.89009119035841289</v>
      </c>
      <c r="AC1472" s="306">
        <f t="shared" si="143"/>
        <v>0.15686690084523774</v>
      </c>
      <c r="AE1472" s="306">
        <f t="shared" si="144"/>
        <v>12.39341383240496</v>
      </c>
      <c r="AF1472" s="306">
        <f t="shared" si="145"/>
        <v>0.89009119035841289</v>
      </c>
      <c r="AG1472" s="306">
        <f t="shared" si="146"/>
        <v>0.15686690084523774</v>
      </c>
      <c r="AI1472" s="306">
        <f t="shared" si="147"/>
        <v>12.39341383240496</v>
      </c>
      <c r="AJ1472" s="306">
        <f t="shared" si="148"/>
        <v>0.89009119035841289</v>
      </c>
      <c r="AK1472" s="306">
        <f t="shared" si="149"/>
        <v>0.15686690084523774</v>
      </c>
      <c r="AL1472" s="291"/>
    </row>
    <row r="1473" spans="1:38">
      <c r="A1473" s="289" t="s">
        <v>129</v>
      </c>
      <c r="C1473" s="306">
        <f t="shared" si="125"/>
        <v>9.5622498106492255</v>
      </c>
      <c r="D1473" s="306">
        <f t="shared" si="125"/>
        <v>0.46442561512923047</v>
      </c>
      <c r="E1473" s="306">
        <f t="shared" si="125"/>
        <v>0</v>
      </c>
      <c r="G1473" s="306">
        <f t="shared" si="126"/>
        <v>8.2059616139070908</v>
      </c>
      <c r="H1473" s="306">
        <f t="shared" si="127"/>
        <v>0.7602870798319683</v>
      </c>
      <c r="I1473" s="306">
        <f t="shared" si="128"/>
        <v>4.7964349094097178E-2</v>
      </c>
      <c r="K1473" s="306">
        <f t="shared" si="129"/>
        <v>8.2059616139070908</v>
      </c>
      <c r="L1473" s="306">
        <f t="shared" si="130"/>
        <v>0.7602870798319683</v>
      </c>
      <c r="M1473" s="306">
        <f t="shared" si="131"/>
        <v>4.7964349094097178E-2</v>
      </c>
      <c r="O1473" s="306">
        <f t="shared" si="132"/>
        <v>8.3739466963558638</v>
      </c>
      <c r="P1473" s="306">
        <f t="shared" si="133"/>
        <v>0.60141429018278081</v>
      </c>
      <c r="Q1473" s="306">
        <f t="shared" si="134"/>
        <v>0.10599138250882213</v>
      </c>
      <c r="S1473" s="306">
        <f t="shared" si="135"/>
        <v>8.3739466963558638</v>
      </c>
      <c r="T1473" s="306">
        <f t="shared" si="136"/>
        <v>0.60141429018278081</v>
      </c>
      <c r="U1473" s="306">
        <f t="shared" si="137"/>
        <v>0.10599138250882213</v>
      </c>
      <c r="W1473" s="306">
        <f t="shared" si="138"/>
        <v>8.2059616139070908</v>
      </c>
      <c r="X1473" s="306">
        <f t="shared" si="139"/>
        <v>0.7602870798319683</v>
      </c>
      <c r="Y1473" s="306">
        <f t="shared" si="140"/>
        <v>4.7964349094097178E-2</v>
      </c>
      <c r="AA1473" s="306">
        <f t="shared" si="141"/>
        <v>8.3739466963558638</v>
      </c>
      <c r="AB1473" s="306">
        <f t="shared" si="142"/>
        <v>0.60141429018278081</v>
      </c>
      <c r="AC1473" s="306">
        <f t="shared" si="143"/>
        <v>0.10599138250882213</v>
      </c>
      <c r="AE1473" s="306">
        <f t="shared" si="144"/>
        <v>8.3739466963558638</v>
      </c>
      <c r="AF1473" s="306">
        <f t="shared" si="145"/>
        <v>0.60141429018278081</v>
      </c>
      <c r="AG1473" s="306">
        <f t="shared" si="146"/>
        <v>0.10599138250882213</v>
      </c>
      <c r="AI1473" s="306">
        <f t="shared" si="147"/>
        <v>8.3739466963558638</v>
      </c>
      <c r="AJ1473" s="306">
        <f t="shared" si="148"/>
        <v>0.60141429018278081</v>
      </c>
      <c r="AK1473" s="306">
        <f t="shared" si="149"/>
        <v>0.10599138250882213</v>
      </c>
      <c r="AL1473" s="291"/>
    </row>
    <row r="1474" spans="1:38">
      <c r="A1474" s="289" t="s">
        <v>94</v>
      </c>
      <c r="C1474" s="306">
        <f t="shared" si="125"/>
        <v>11.335159006379339</v>
      </c>
      <c r="D1474" s="306">
        <f t="shared" si="125"/>
        <v>0.55053343076883499</v>
      </c>
      <c r="E1474" s="306">
        <f t="shared" si="125"/>
        <v>0</v>
      </c>
      <c r="G1474" s="306">
        <f t="shared" si="126"/>
        <v>9.7274053215272378</v>
      </c>
      <c r="H1474" s="306">
        <f t="shared" si="127"/>
        <v>0.90124971748736049</v>
      </c>
      <c r="I1474" s="306">
        <f t="shared" si="128"/>
        <v>5.6857280910355669E-2</v>
      </c>
      <c r="K1474" s="306">
        <f t="shared" si="129"/>
        <v>9.7274053215272378</v>
      </c>
      <c r="L1474" s="306">
        <f t="shared" si="130"/>
        <v>0.90124971748736049</v>
      </c>
      <c r="M1474" s="306">
        <f t="shared" si="131"/>
        <v>5.6857280910355669E-2</v>
      </c>
      <c r="O1474" s="306">
        <f t="shared" si="132"/>
        <v>9.926536034273937</v>
      </c>
      <c r="P1474" s="306">
        <f t="shared" si="133"/>
        <v>0.71292078150254246</v>
      </c>
      <c r="Q1474" s="306">
        <f t="shared" si="134"/>
        <v>0.12564293945818825</v>
      </c>
      <c r="S1474" s="306">
        <f t="shared" si="135"/>
        <v>9.926536034273937</v>
      </c>
      <c r="T1474" s="306">
        <f t="shared" si="136"/>
        <v>0.71292078150254246</v>
      </c>
      <c r="U1474" s="306">
        <f t="shared" si="137"/>
        <v>0.12564293945818825</v>
      </c>
      <c r="W1474" s="306">
        <f t="shared" si="138"/>
        <v>9.7274053215272378</v>
      </c>
      <c r="X1474" s="306">
        <f t="shared" si="139"/>
        <v>0.90124971748736049</v>
      </c>
      <c r="Y1474" s="306">
        <f t="shared" si="140"/>
        <v>5.6857280910355669E-2</v>
      </c>
      <c r="AA1474" s="306">
        <f t="shared" si="141"/>
        <v>9.926536034273937</v>
      </c>
      <c r="AB1474" s="306">
        <f t="shared" si="142"/>
        <v>0.71292078150254246</v>
      </c>
      <c r="AC1474" s="306">
        <f t="shared" si="143"/>
        <v>0.12564293945818825</v>
      </c>
      <c r="AE1474" s="306">
        <f t="shared" si="144"/>
        <v>9.926536034273937</v>
      </c>
      <c r="AF1474" s="306">
        <f t="shared" si="145"/>
        <v>0.71292078150254246</v>
      </c>
      <c r="AG1474" s="306">
        <f t="shared" si="146"/>
        <v>0.12564293945818825</v>
      </c>
      <c r="AI1474" s="306">
        <f t="shared" si="147"/>
        <v>9.926536034273937</v>
      </c>
      <c r="AJ1474" s="306">
        <f t="shared" si="148"/>
        <v>0.71292078150254246</v>
      </c>
      <c r="AK1474" s="306">
        <f t="shared" si="149"/>
        <v>0.12564293945818825</v>
      </c>
      <c r="AL1474" s="291"/>
    </row>
    <row r="1475" spans="1:38">
      <c r="A1475" s="289" t="s">
        <v>95</v>
      </c>
      <c r="C1475" s="306">
        <f t="shared" si="125"/>
        <v>13.256246990688666</v>
      </c>
      <c r="D1475" s="306">
        <f t="shared" si="125"/>
        <v>0.64383809091655564</v>
      </c>
      <c r="E1475" s="306">
        <f t="shared" si="125"/>
        <v>0</v>
      </c>
      <c r="G1475" s="306">
        <f t="shared" si="126"/>
        <v>11.376010468678286</v>
      </c>
      <c r="H1475" s="306">
        <f t="shared" si="127"/>
        <v>1.0539939359101225</v>
      </c>
      <c r="I1475" s="306">
        <f t="shared" si="128"/>
        <v>6.6493479142415032E-2</v>
      </c>
      <c r="K1475" s="306">
        <f t="shared" si="129"/>
        <v>11.376010468678286</v>
      </c>
      <c r="L1475" s="306">
        <f t="shared" si="130"/>
        <v>1.0539939359101225</v>
      </c>
      <c r="M1475" s="306">
        <f t="shared" si="131"/>
        <v>6.6493479142415032E-2</v>
      </c>
      <c r="O1475" s="306">
        <f t="shared" si="132"/>
        <v>11.608889946603259</v>
      </c>
      <c r="P1475" s="306">
        <f t="shared" si="133"/>
        <v>0.83374692486216873</v>
      </c>
      <c r="Q1475" s="306">
        <f t="shared" si="134"/>
        <v>0.14693696287423277</v>
      </c>
      <c r="S1475" s="306">
        <f t="shared" si="135"/>
        <v>11.608889946603259</v>
      </c>
      <c r="T1475" s="306">
        <f t="shared" si="136"/>
        <v>0.83374692486216873</v>
      </c>
      <c r="U1475" s="306">
        <f t="shared" si="137"/>
        <v>0.14693696287423277</v>
      </c>
      <c r="W1475" s="306">
        <f t="shared" si="138"/>
        <v>11.376010468678286</v>
      </c>
      <c r="X1475" s="306">
        <f t="shared" si="139"/>
        <v>1.0539939359101225</v>
      </c>
      <c r="Y1475" s="306">
        <f t="shared" si="140"/>
        <v>6.6493479142415032E-2</v>
      </c>
      <c r="AA1475" s="306">
        <f t="shared" si="141"/>
        <v>11.608889946603259</v>
      </c>
      <c r="AB1475" s="306">
        <f t="shared" si="142"/>
        <v>0.83374692486216873</v>
      </c>
      <c r="AC1475" s="306">
        <f t="shared" si="143"/>
        <v>0.14693696287423277</v>
      </c>
      <c r="AE1475" s="306">
        <f t="shared" si="144"/>
        <v>11.608889946603259</v>
      </c>
      <c r="AF1475" s="306">
        <f t="shared" si="145"/>
        <v>0.83374692486216873</v>
      </c>
      <c r="AG1475" s="306">
        <f t="shared" si="146"/>
        <v>0.14693696287423277</v>
      </c>
      <c r="AI1475" s="306">
        <f t="shared" si="147"/>
        <v>11.608889946603259</v>
      </c>
      <c r="AJ1475" s="306">
        <f t="shared" si="148"/>
        <v>0.83374692486216873</v>
      </c>
      <c r="AK1475" s="306">
        <f t="shared" si="149"/>
        <v>0.14693696287423277</v>
      </c>
      <c r="AL1475" s="291"/>
    </row>
    <row r="1476" spans="1:38">
      <c r="A1476" s="289" t="s">
        <v>130</v>
      </c>
      <c r="C1476" s="306">
        <f t="shared" si="125"/>
        <v>9.5622498106492255</v>
      </c>
      <c r="D1476" s="306">
        <f t="shared" si="125"/>
        <v>0.46442561512923047</v>
      </c>
      <c r="E1476" s="306">
        <f t="shared" si="125"/>
        <v>0</v>
      </c>
      <c r="G1476" s="306">
        <f t="shared" si="126"/>
        <v>8.2059616139070908</v>
      </c>
      <c r="H1476" s="306">
        <f t="shared" si="127"/>
        <v>0.7602870798319683</v>
      </c>
      <c r="I1476" s="306">
        <f t="shared" si="128"/>
        <v>4.7964349094097178E-2</v>
      </c>
      <c r="K1476" s="306">
        <f t="shared" si="129"/>
        <v>8.2059616139070908</v>
      </c>
      <c r="L1476" s="306">
        <f t="shared" si="130"/>
        <v>0.7602870798319683</v>
      </c>
      <c r="M1476" s="306">
        <f t="shared" si="131"/>
        <v>4.7964349094097178E-2</v>
      </c>
      <c r="O1476" s="306">
        <f t="shared" si="132"/>
        <v>8.3739466963558638</v>
      </c>
      <c r="P1476" s="306">
        <f t="shared" si="133"/>
        <v>0.60141429018278081</v>
      </c>
      <c r="Q1476" s="306">
        <f t="shared" si="134"/>
        <v>0.10599138250882213</v>
      </c>
      <c r="S1476" s="306">
        <f t="shared" si="135"/>
        <v>8.3739466963558638</v>
      </c>
      <c r="T1476" s="306">
        <f t="shared" si="136"/>
        <v>0.60141429018278081</v>
      </c>
      <c r="U1476" s="306">
        <f t="shared" si="137"/>
        <v>0.10599138250882213</v>
      </c>
      <c r="W1476" s="306">
        <f t="shared" si="138"/>
        <v>8.2059616139070908</v>
      </c>
      <c r="X1476" s="306">
        <f t="shared" si="139"/>
        <v>0.7602870798319683</v>
      </c>
      <c r="Y1476" s="306">
        <f t="shared" si="140"/>
        <v>4.7964349094097178E-2</v>
      </c>
      <c r="AA1476" s="306">
        <f t="shared" si="141"/>
        <v>8.3739466963558638</v>
      </c>
      <c r="AB1476" s="306">
        <f t="shared" si="142"/>
        <v>0.60141429018278081</v>
      </c>
      <c r="AC1476" s="306">
        <f t="shared" si="143"/>
        <v>0.10599138250882213</v>
      </c>
      <c r="AE1476" s="306">
        <f t="shared" si="144"/>
        <v>8.3739466963558638</v>
      </c>
      <c r="AF1476" s="306">
        <f t="shared" si="145"/>
        <v>0.60141429018278081</v>
      </c>
      <c r="AG1476" s="306">
        <f t="shared" si="146"/>
        <v>0.10599138250882213</v>
      </c>
      <c r="AI1476" s="306">
        <f t="shared" si="147"/>
        <v>8.3739466963558638</v>
      </c>
      <c r="AJ1476" s="306">
        <f t="shared" si="148"/>
        <v>0.60141429018278081</v>
      </c>
      <c r="AK1476" s="306">
        <f t="shared" si="149"/>
        <v>0.10599138250882213</v>
      </c>
      <c r="AL1476" s="291"/>
    </row>
    <row r="1477" spans="1:38">
      <c r="A1477" s="289" t="s">
        <v>96</v>
      </c>
      <c r="C1477" s="306">
        <f t="shared" si="125"/>
        <v>9.5622498106492255</v>
      </c>
      <c r="D1477" s="306">
        <f t="shared" si="125"/>
        <v>0.46442561512923047</v>
      </c>
      <c r="E1477" s="306">
        <f t="shared" si="125"/>
        <v>0</v>
      </c>
      <c r="G1477" s="306">
        <f t="shared" si="126"/>
        <v>8.2059616139070908</v>
      </c>
      <c r="H1477" s="306">
        <f t="shared" si="127"/>
        <v>0.7602870798319683</v>
      </c>
      <c r="I1477" s="306">
        <f t="shared" si="128"/>
        <v>4.7964349094097178E-2</v>
      </c>
      <c r="K1477" s="306">
        <f t="shared" si="129"/>
        <v>8.2059616139070908</v>
      </c>
      <c r="L1477" s="306">
        <f t="shared" si="130"/>
        <v>0.7602870798319683</v>
      </c>
      <c r="M1477" s="306">
        <f t="shared" si="131"/>
        <v>4.7964349094097178E-2</v>
      </c>
      <c r="O1477" s="306">
        <f t="shared" si="132"/>
        <v>8.3739466963558638</v>
      </c>
      <c r="P1477" s="306">
        <f t="shared" si="133"/>
        <v>0.60141429018278081</v>
      </c>
      <c r="Q1477" s="306">
        <f t="shared" si="134"/>
        <v>0.10599138250882213</v>
      </c>
      <c r="S1477" s="306">
        <f t="shared" si="135"/>
        <v>8.3739466963558638</v>
      </c>
      <c r="T1477" s="306">
        <f t="shared" si="136"/>
        <v>0.60141429018278081</v>
      </c>
      <c r="U1477" s="306">
        <f t="shared" si="137"/>
        <v>0.10599138250882213</v>
      </c>
      <c r="W1477" s="306">
        <f t="shared" si="138"/>
        <v>8.2059616139070908</v>
      </c>
      <c r="X1477" s="306">
        <f t="shared" si="139"/>
        <v>0.7602870798319683</v>
      </c>
      <c r="Y1477" s="306">
        <f t="shared" si="140"/>
        <v>4.7964349094097178E-2</v>
      </c>
      <c r="AA1477" s="306">
        <f t="shared" si="141"/>
        <v>8.3739466963558638</v>
      </c>
      <c r="AB1477" s="306">
        <f t="shared" si="142"/>
        <v>0.60141429018278081</v>
      </c>
      <c r="AC1477" s="306">
        <f t="shared" si="143"/>
        <v>0.10599138250882213</v>
      </c>
      <c r="AE1477" s="306">
        <f t="shared" si="144"/>
        <v>8.3739466963558638</v>
      </c>
      <c r="AF1477" s="306">
        <f t="shared" si="145"/>
        <v>0.60141429018278081</v>
      </c>
      <c r="AG1477" s="306">
        <f t="shared" si="146"/>
        <v>0.10599138250882213</v>
      </c>
      <c r="AI1477" s="306">
        <f t="shared" si="147"/>
        <v>8.3739466963558638</v>
      </c>
      <c r="AJ1477" s="306">
        <f t="shared" si="148"/>
        <v>0.60141429018278081</v>
      </c>
      <c r="AK1477" s="306">
        <f t="shared" si="149"/>
        <v>0.10599138250882213</v>
      </c>
      <c r="AL1477" s="291"/>
    </row>
    <row r="1478" spans="1:38">
      <c r="A1478" s="289" t="s">
        <v>97</v>
      </c>
      <c r="C1478" s="306">
        <f t="shared" si="125"/>
        <v>9.5622498106492255</v>
      </c>
      <c r="D1478" s="306">
        <f t="shared" si="125"/>
        <v>0.46442561512923047</v>
      </c>
      <c r="E1478" s="306">
        <f t="shared" si="125"/>
        <v>0</v>
      </c>
      <c r="G1478" s="306">
        <f t="shared" si="126"/>
        <v>8.2059616139070908</v>
      </c>
      <c r="H1478" s="306">
        <f t="shared" si="127"/>
        <v>0.7602870798319683</v>
      </c>
      <c r="I1478" s="306">
        <f t="shared" si="128"/>
        <v>4.7964349094097178E-2</v>
      </c>
      <c r="K1478" s="306">
        <f t="shared" si="129"/>
        <v>8.2059616139070908</v>
      </c>
      <c r="L1478" s="306">
        <f t="shared" si="130"/>
        <v>0.7602870798319683</v>
      </c>
      <c r="M1478" s="306">
        <f t="shared" si="131"/>
        <v>4.7964349094097178E-2</v>
      </c>
      <c r="O1478" s="306">
        <f t="shared" si="132"/>
        <v>8.3739466963558638</v>
      </c>
      <c r="P1478" s="306">
        <f t="shared" si="133"/>
        <v>0.60141429018278081</v>
      </c>
      <c r="Q1478" s="306">
        <f t="shared" si="134"/>
        <v>0.10599138250882213</v>
      </c>
      <c r="S1478" s="306">
        <f t="shared" si="135"/>
        <v>8.3739466963558638</v>
      </c>
      <c r="T1478" s="306">
        <f t="shared" si="136"/>
        <v>0.60141429018278081</v>
      </c>
      <c r="U1478" s="306">
        <f t="shared" si="137"/>
        <v>0.10599138250882213</v>
      </c>
      <c r="W1478" s="306">
        <f t="shared" si="138"/>
        <v>8.2059616139070908</v>
      </c>
      <c r="X1478" s="306">
        <f t="shared" si="139"/>
        <v>0.7602870798319683</v>
      </c>
      <c r="Y1478" s="306">
        <f t="shared" si="140"/>
        <v>4.7964349094097178E-2</v>
      </c>
      <c r="AA1478" s="306">
        <f t="shared" si="141"/>
        <v>8.3739466963558638</v>
      </c>
      <c r="AB1478" s="306">
        <f t="shared" si="142"/>
        <v>0.60141429018278081</v>
      </c>
      <c r="AC1478" s="306">
        <f t="shared" si="143"/>
        <v>0.10599138250882213</v>
      </c>
      <c r="AE1478" s="306">
        <f t="shared" si="144"/>
        <v>8.3739466963558638</v>
      </c>
      <c r="AF1478" s="306">
        <f t="shared" si="145"/>
        <v>0.60141429018278081</v>
      </c>
      <c r="AG1478" s="306">
        <f t="shared" si="146"/>
        <v>0.10599138250882213</v>
      </c>
      <c r="AI1478" s="306">
        <f t="shared" si="147"/>
        <v>8.3739466963558638</v>
      </c>
      <c r="AJ1478" s="306">
        <f t="shared" si="148"/>
        <v>0.60141429018278081</v>
      </c>
      <c r="AK1478" s="306">
        <f t="shared" si="149"/>
        <v>0.10599138250882213</v>
      </c>
      <c r="AL1478" s="291"/>
    </row>
    <row r="1479" spans="1:38">
      <c r="A1479" s="289" t="s">
        <v>110</v>
      </c>
      <c r="C1479" s="306">
        <f t="shared" si="125"/>
        <v>9.5622498106492255</v>
      </c>
      <c r="D1479" s="306">
        <f t="shared" si="125"/>
        <v>0.46442561512923047</v>
      </c>
      <c r="E1479" s="306">
        <f t="shared" si="125"/>
        <v>0</v>
      </c>
      <c r="G1479" s="306">
        <f t="shared" si="126"/>
        <v>8.2059616139070908</v>
      </c>
      <c r="H1479" s="306">
        <f t="shared" si="127"/>
        <v>0.7602870798319683</v>
      </c>
      <c r="I1479" s="306">
        <f t="shared" si="128"/>
        <v>4.7964349094097178E-2</v>
      </c>
      <c r="K1479" s="306">
        <f t="shared" si="129"/>
        <v>8.2059616139070908</v>
      </c>
      <c r="L1479" s="306">
        <f t="shared" si="130"/>
        <v>0.7602870798319683</v>
      </c>
      <c r="M1479" s="306">
        <f t="shared" si="131"/>
        <v>4.7964349094097178E-2</v>
      </c>
      <c r="O1479" s="306">
        <f t="shared" si="132"/>
        <v>8.3739466963558638</v>
      </c>
      <c r="P1479" s="306">
        <f t="shared" si="133"/>
        <v>0.60141429018278081</v>
      </c>
      <c r="Q1479" s="306">
        <f t="shared" si="134"/>
        <v>0.10599138250882213</v>
      </c>
      <c r="S1479" s="306">
        <f t="shared" si="135"/>
        <v>8.3739466963558638</v>
      </c>
      <c r="T1479" s="306">
        <f t="shared" si="136"/>
        <v>0.60141429018278081</v>
      </c>
      <c r="U1479" s="306">
        <f t="shared" si="137"/>
        <v>0.10599138250882213</v>
      </c>
      <c r="W1479" s="306">
        <f t="shared" si="138"/>
        <v>8.2059616139070908</v>
      </c>
      <c r="X1479" s="306">
        <f t="shared" si="139"/>
        <v>0.7602870798319683</v>
      </c>
      <c r="Y1479" s="306">
        <f t="shared" si="140"/>
        <v>4.7964349094097178E-2</v>
      </c>
      <c r="AA1479" s="306">
        <f t="shared" si="141"/>
        <v>8.3739466963558638</v>
      </c>
      <c r="AB1479" s="306">
        <f t="shared" si="142"/>
        <v>0.60141429018278081</v>
      </c>
      <c r="AC1479" s="306">
        <f t="shared" si="143"/>
        <v>0.10599138250882213</v>
      </c>
      <c r="AE1479" s="306">
        <f t="shared" si="144"/>
        <v>8.3739466963558638</v>
      </c>
      <c r="AF1479" s="306">
        <f t="shared" si="145"/>
        <v>0.60141429018278081</v>
      </c>
      <c r="AG1479" s="306">
        <f t="shared" si="146"/>
        <v>0.10599138250882213</v>
      </c>
      <c r="AI1479" s="306">
        <f t="shared" si="147"/>
        <v>8.3739466963558638</v>
      </c>
      <c r="AJ1479" s="306">
        <f t="shared" si="148"/>
        <v>0.60141429018278081</v>
      </c>
      <c r="AK1479" s="306">
        <f t="shared" si="149"/>
        <v>0.10599138250882213</v>
      </c>
      <c r="AL1479" s="291"/>
    </row>
    <row r="1480" spans="1:38">
      <c r="A1480" s="289" t="s">
        <v>1536</v>
      </c>
      <c r="C1480" s="306">
        <f t="shared" si="125"/>
        <v>9.5622498106492255</v>
      </c>
      <c r="D1480" s="306">
        <f t="shared" si="125"/>
        <v>0.46442561512923047</v>
      </c>
      <c r="E1480" s="306">
        <f t="shared" si="125"/>
        <v>0</v>
      </c>
      <c r="G1480" s="306">
        <f t="shared" si="126"/>
        <v>8.2059616139070908</v>
      </c>
      <c r="H1480" s="306">
        <f t="shared" si="127"/>
        <v>0.7602870798319683</v>
      </c>
      <c r="I1480" s="306">
        <f t="shared" si="128"/>
        <v>4.7964349094097178E-2</v>
      </c>
      <c r="K1480" s="306">
        <f t="shared" si="129"/>
        <v>8.2059616139070908</v>
      </c>
      <c r="L1480" s="306">
        <f t="shared" si="130"/>
        <v>0.7602870798319683</v>
      </c>
      <c r="M1480" s="306">
        <f t="shared" si="131"/>
        <v>4.7964349094097178E-2</v>
      </c>
      <c r="O1480" s="306">
        <f t="shared" si="132"/>
        <v>8.3739466963558638</v>
      </c>
      <c r="P1480" s="306">
        <f t="shared" si="133"/>
        <v>0.60141429018278081</v>
      </c>
      <c r="Q1480" s="306">
        <f t="shared" si="134"/>
        <v>0.10599138250882213</v>
      </c>
      <c r="S1480" s="306">
        <f t="shared" si="135"/>
        <v>8.3739466963558638</v>
      </c>
      <c r="T1480" s="306">
        <f t="shared" si="136"/>
        <v>0.60141429018278081</v>
      </c>
      <c r="U1480" s="306">
        <f t="shared" si="137"/>
        <v>0.10599138250882213</v>
      </c>
      <c r="W1480" s="306">
        <f t="shared" si="138"/>
        <v>8.2059616139070908</v>
      </c>
      <c r="X1480" s="306">
        <f t="shared" si="139"/>
        <v>0.7602870798319683</v>
      </c>
      <c r="Y1480" s="306">
        <f t="shared" si="140"/>
        <v>4.7964349094097178E-2</v>
      </c>
      <c r="AA1480" s="306">
        <f t="shared" si="141"/>
        <v>8.3739466963558638</v>
      </c>
      <c r="AB1480" s="306">
        <f t="shared" si="142"/>
        <v>0.60141429018278081</v>
      </c>
      <c r="AC1480" s="306">
        <f t="shared" si="143"/>
        <v>0.10599138250882213</v>
      </c>
      <c r="AE1480" s="306">
        <f t="shared" si="144"/>
        <v>8.3739466963558638</v>
      </c>
      <c r="AF1480" s="306">
        <f t="shared" si="145"/>
        <v>0.60141429018278081</v>
      </c>
      <c r="AG1480" s="306">
        <f t="shared" si="146"/>
        <v>0.10599138250882213</v>
      </c>
      <c r="AI1480" s="306">
        <f t="shared" si="147"/>
        <v>8.3739466963558638</v>
      </c>
      <c r="AJ1480" s="306">
        <f t="shared" si="148"/>
        <v>0.60141429018278081</v>
      </c>
      <c r="AK1480" s="306">
        <f t="shared" si="149"/>
        <v>0.10599138250882213</v>
      </c>
      <c r="AL1480" s="291"/>
    </row>
    <row r="1481" spans="1:38">
      <c r="A1481" s="289" t="s">
        <v>1535</v>
      </c>
      <c r="C1481" s="306">
        <f t="shared" si="125"/>
        <v>12.954187657792202</v>
      </c>
      <c r="D1481" s="306">
        <f t="shared" si="125"/>
        <v>0.62916747529116845</v>
      </c>
      <c r="E1481" s="306">
        <f t="shared" si="125"/>
        <v>0</v>
      </c>
      <c r="G1481" s="306">
        <f t="shared" si="126"/>
        <v>11.11679455820183</v>
      </c>
      <c r="H1481" s="306">
        <f t="shared" si="127"/>
        <v>1.0299774321906643</v>
      </c>
      <c r="I1481" s="306">
        <f t="shared" si="128"/>
        <v>6.4978346241992238E-2</v>
      </c>
      <c r="K1481" s="306">
        <f t="shared" si="129"/>
        <v>11.11679455820183</v>
      </c>
      <c r="L1481" s="306">
        <f t="shared" si="130"/>
        <v>1.0299774321906643</v>
      </c>
      <c r="M1481" s="306">
        <f t="shared" si="131"/>
        <v>6.4978346241992238E-2</v>
      </c>
      <c r="O1481" s="306">
        <f t="shared" si="132"/>
        <v>11.344367600617812</v>
      </c>
      <c r="P1481" s="306">
        <f t="shared" si="133"/>
        <v>0.81474901088959106</v>
      </c>
      <c r="Q1481" s="306">
        <f t="shared" si="134"/>
        <v>0.14358882964958788</v>
      </c>
      <c r="S1481" s="306">
        <f t="shared" si="135"/>
        <v>11.344367600617812</v>
      </c>
      <c r="T1481" s="306">
        <f t="shared" si="136"/>
        <v>0.81474901088959106</v>
      </c>
      <c r="U1481" s="306">
        <f t="shared" si="137"/>
        <v>0.14358882964958788</v>
      </c>
      <c r="W1481" s="306">
        <f t="shared" si="138"/>
        <v>11.11679455820183</v>
      </c>
      <c r="X1481" s="306">
        <f t="shared" si="139"/>
        <v>1.0299774321906643</v>
      </c>
      <c r="Y1481" s="306">
        <f t="shared" si="140"/>
        <v>6.4978346241992238E-2</v>
      </c>
      <c r="AA1481" s="306">
        <f t="shared" si="141"/>
        <v>11.344367600617812</v>
      </c>
      <c r="AB1481" s="306">
        <f t="shared" si="142"/>
        <v>0.81474901088959106</v>
      </c>
      <c r="AC1481" s="306">
        <f t="shared" si="143"/>
        <v>0.14358882964958788</v>
      </c>
      <c r="AE1481" s="306">
        <f t="shared" si="144"/>
        <v>11.344367600617812</v>
      </c>
      <c r="AF1481" s="306">
        <f t="shared" si="145"/>
        <v>0.81474901088959106</v>
      </c>
      <c r="AG1481" s="306">
        <f t="shared" si="146"/>
        <v>0.14358882964958788</v>
      </c>
      <c r="AI1481" s="306">
        <f t="shared" si="147"/>
        <v>11.344367600617812</v>
      </c>
      <c r="AJ1481" s="306">
        <f t="shared" si="148"/>
        <v>0.81474901088959106</v>
      </c>
      <c r="AK1481" s="306">
        <f t="shared" si="149"/>
        <v>0.14358882964958788</v>
      </c>
      <c r="AL1481" s="291"/>
    </row>
    <row r="1482" spans="1:38">
      <c r="A1482" s="289" t="s">
        <v>98</v>
      </c>
      <c r="C1482" s="306">
        <f t="shared" si="125"/>
        <v>11.550844387211768</v>
      </c>
      <c r="D1482" s="306">
        <f t="shared" si="125"/>
        <v>0.56100897968786934</v>
      </c>
      <c r="E1482" s="306">
        <f t="shared" si="125"/>
        <v>0</v>
      </c>
      <c r="G1482" s="306">
        <f t="shared" si="126"/>
        <v>9.9124983687535</v>
      </c>
      <c r="H1482" s="306">
        <f t="shared" si="127"/>
        <v>0.91839869514457539</v>
      </c>
      <c r="I1482" s="306">
        <f t="shared" si="128"/>
        <v>5.7939161127416997E-2</v>
      </c>
      <c r="K1482" s="306">
        <f t="shared" si="129"/>
        <v>9.9124983687535</v>
      </c>
      <c r="L1482" s="306">
        <f t="shared" si="130"/>
        <v>0.91839869514457539</v>
      </c>
      <c r="M1482" s="306">
        <f t="shared" si="131"/>
        <v>5.7939161127416997E-2</v>
      </c>
      <c r="O1482" s="306">
        <f t="shared" si="132"/>
        <v>10.11541814026771</v>
      </c>
      <c r="P1482" s="306">
        <f t="shared" si="133"/>
        <v>0.72648623657689904</v>
      </c>
      <c r="Q1482" s="306">
        <f t="shared" si="134"/>
        <v>0.12803367303596108</v>
      </c>
      <c r="S1482" s="306">
        <f t="shared" si="135"/>
        <v>10.11541814026771</v>
      </c>
      <c r="T1482" s="306">
        <f t="shared" si="136"/>
        <v>0.72648623657689904</v>
      </c>
      <c r="U1482" s="306">
        <f t="shared" si="137"/>
        <v>0.12803367303596108</v>
      </c>
      <c r="W1482" s="306">
        <f t="shared" si="138"/>
        <v>9.9124983687535</v>
      </c>
      <c r="X1482" s="306">
        <f t="shared" si="139"/>
        <v>0.91839869514457539</v>
      </c>
      <c r="Y1482" s="306">
        <f t="shared" si="140"/>
        <v>5.7939161127416997E-2</v>
      </c>
      <c r="AA1482" s="306">
        <f t="shared" si="141"/>
        <v>10.11541814026771</v>
      </c>
      <c r="AB1482" s="306">
        <f t="shared" si="142"/>
        <v>0.72648623657689904</v>
      </c>
      <c r="AC1482" s="306">
        <f t="shared" si="143"/>
        <v>0.12803367303596108</v>
      </c>
      <c r="AE1482" s="306">
        <f t="shared" si="144"/>
        <v>10.11541814026771</v>
      </c>
      <c r="AF1482" s="306">
        <f t="shared" si="145"/>
        <v>0.72648623657689904</v>
      </c>
      <c r="AG1482" s="306">
        <f t="shared" si="146"/>
        <v>0.12803367303596108</v>
      </c>
      <c r="AI1482" s="306">
        <f t="shared" si="147"/>
        <v>10.11541814026771</v>
      </c>
      <c r="AJ1482" s="306">
        <f t="shared" si="148"/>
        <v>0.72648623657689904</v>
      </c>
      <c r="AK1482" s="306">
        <f t="shared" si="149"/>
        <v>0.12803367303596108</v>
      </c>
      <c r="AL1482" s="291"/>
    </row>
    <row r="1483" spans="1:38">
      <c r="A1483" s="289" t="s">
        <v>99</v>
      </c>
      <c r="C1483" s="306">
        <f t="shared" si="125"/>
        <v>12.381436905975773</v>
      </c>
      <c r="D1483" s="306">
        <f t="shared" si="125"/>
        <v>0.60134974144240061</v>
      </c>
      <c r="E1483" s="306">
        <f t="shared" si="125"/>
        <v>0</v>
      </c>
      <c r="G1483" s="306">
        <f t="shared" si="126"/>
        <v>10.625281496233109</v>
      </c>
      <c r="H1483" s="306">
        <f t="shared" si="127"/>
        <v>0.98443846330855878</v>
      </c>
      <c r="I1483" s="306">
        <f t="shared" si="128"/>
        <v>6.2105422238957396E-2</v>
      </c>
      <c r="K1483" s="306">
        <f t="shared" si="129"/>
        <v>10.625281496233109</v>
      </c>
      <c r="L1483" s="306">
        <f t="shared" si="130"/>
        <v>0.98443846330855878</v>
      </c>
      <c r="M1483" s="306">
        <f t="shared" si="131"/>
        <v>6.2105422238957396E-2</v>
      </c>
      <c r="O1483" s="306">
        <f t="shared" si="132"/>
        <v>10.842792724309193</v>
      </c>
      <c r="P1483" s="306">
        <f t="shared" si="133"/>
        <v>0.77872605670241712</v>
      </c>
      <c r="Q1483" s="306">
        <f t="shared" si="134"/>
        <v>0.13724025633053669</v>
      </c>
      <c r="S1483" s="306">
        <f t="shared" si="135"/>
        <v>10.842792724309193</v>
      </c>
      <c r="T1483" s="306">
        <f t="shared" si="136"/>
        <v>0.77872605670241712</v>
      </c>
      <c r="U1483" s="306">
        <f t="shared" si="137"/>
        <v>0.13724025633053669</v>
      </c>
      <c r="W1483" s="306">
        <f t="shared" si="138"/>
        <v>10.625281496233109</v>
      </c>
      <c r="X1483" s="306">
        <f t="shared" si="139"/>
        <v>0.98443846330855878</v>
      </c>
      <c r="Y1483" s="306">
        <f t="shared" si="140"/>
        <v>6.2105422238957396E-2</v>
      </c>
      <c r="AA1483" s="306">
        <f t="shared" si="141"/>
        <v>10.842792724309193</v>
      </c>
      <c r="AB1483" s="306">
        <f t="shared" si="142"/>
        <v>0.77872605670241712</v>
      </c>
      <c r="AC1483" s="306">
        <f t="shared" si="143"/>
        <v>0.13724025633053669</v>
      </c>
      <c r="AE1483" s="306">
        <f t="shared" si="144"/>
        <v>10.842792724309193</v>
      </c>
      <c r="AF1483" s="306">
        <f t="shared" si="145"/>
        <v>0.77872605670241712</v>
      </c>
      <c r="AG1483" s="306">
        <f t="shared" si="146"/>
        <v>0.13724025633053669</v>
      </c>
      <c r="AI1483" s="306">
        <f t="shared" si="147"/>
        <v>10.842792724309193</v>
      </c>
      <c r="AJ1483" s="306">
        <f t="shared" si="148"/>
        <v>0.77872605670241712</v>
      </c>
      <c r="AK1483" s="306">
        <f t="shared" si="149"/>
        <v>0.13724025633053669</v>
      </c>
      <c r="AL1483" s="291"/>
    </row>
    <row r="1484" spans="1:38">
      <c r="A1484" s="289" t="s">
        <v>111</v>
      </c>
      <c r="C1484" s="306">
        <f t="shared" si="125"/>
        <v>10.406902918316289</v>
      </c>
      <c r="D1484" s="306">
        <f t="shared" si="125"/>
        <v>0.50544928077977869</v>
      </c>
      <c r="E1484" s="306">
        <f t="shared" si="125"/>
        <v>0</v>
      </c>
      <c r="G1484" s="306">
        <f t="shared" si="126"/>
        <v>8.9308110077039515</v>
      </c>
      <c r="H1484" s="306">
        <f t="shared" si="127"/>
        <v>0.82744479453463238</v>
      </c>
      <c r="I1484" s="306">
        <f t="shared" si="128"/>
        <v>5.2201138272564208E-2</v>
      </c>
      <c r="K1484" s="306">
        <f t="shared" si="129"/>
        <v>8.9308110077039515</v>
      </c>
      <c r="L1484" s="306">
        <f t="shared" si="130"/>
        <v>0.82744479453463238</v>
      </c>
      <c r="M1484" s="306">
        <f t="shared" si="131"/>
        <v>5.2201138272564208E-2</v>
      </c>
      <c r="O1484" s="306">
        <f t="shared" si="132"/>
        <v>9.1136345564908492</v>
      </c>
      <c r="P1484" s="306">
        <f t="shared" si="133"/>
        <v>0.65453844603076283</v>
      </c>
      <c r="Q1484" s="306">
        <f t="shared" si="134"/>
        <v>0.11535381837849602</v>
      </c>
      <c r="S1484" s="306">
        <f t="shared" si="135"/>
        <v>9.1136345564908492</v>
      </c>
      <c r="T1484" s="306">
        <f t="shared" si="136"/>
        <v>0.65453844603076283</v>
      </c>
      <c r="U1484" s="306">
        <f t="shared" si="137"/>
        <v>0.11535381837849602</v>
      </c>
      <c r="W1484" s="306">
        <f t="shared" si="138"/>
        <v>8.9308110077039515</v>
      </c>
      <c r="X1484" s="306">
        <f t="shared" si="139"/>
        <v>0.82744479453463238</v>
      </c>
      <c r="Y1484" s="306">
        <f t="shared" si="140"/>
        <v>5.2201138272564208E-2</v>
      </c>
      <c r="AA1484" s="306">
        <f t="shared" si="141"/>
        <v>9.1136345564908492</v>
      </c>
      <c r="AB1484" s="306">
        <f t="shared" si="142"/>
        <v>0.65453844603076283</v>
      </c>
      <c r="AC1484" s="306">
        <f t="shared" si="143"/>
        <v>0.11535381837849602</v>
      </c>
      <c r="AE1484" s="306">
        <f t="shared" si="144"/>
        <v>9.1136345564908492</v>
      </c>
      <c r="AF1484" s="306">
        <f t="shared" si="145"/>
        <v>0.65453844603076283</v>
      </c>
      <c r="AG1484" s="306">
        <f t="shared" si="146"/>
        <v>0.11535381837849602</v>
      </c>
      <c r="AI1484" s="306">
        <f t="shared" si="147"/>
        <v>9.1136345564908492</v>
      </c>
      <c r="AJ1484" s="306">
        <f t="shared" si="148"/>
        <v>0.65453844603076283</v>
      </c>
      <c r="AK1484" s="306">
        <f t="shared" si="149"/>
        <v>0.11535381837849602</v>
      </c>
      <c r="AL1484" s="291"/>
    </row>
    <row r="1485" spans="1:38">
      <c r="A1485" s="289" t="s">
        <v>102</v>
      </c>
      <c r="C1485" s="306">
        <f t="shared" si="125"/>
        <v>-9.5622498106492255</v>
      </c>
      <c r="D1485" s="306">
        <f t="shared" si="125"/>
        <v>-0.46442561512923047</v>
      </c>
      <c r="E1485" s="306">
        <f t="shared" si="125"/>
        <v>0</v>
      </c>
      <c r="G1485" s="306">
        <f t="shared" si="126"/>
        <v>-8.2059616139070908</v>
      </c>
      <c r="H1485" s="306">
        <f t="shared" si="127"/>
        <v>-0.7602870798319683</v>
      </c>
      <c r="I1485" s="306">
        <f t="shared" si="128"/>
        <v>-4.7964349094097178E-2</v>
      </c>
      <c r="K1485" s="306">
        <f t="shared" si="129"/>
        <v>-8.2059616139070908</v>
      </c>
      <c r="L1485" s="306">
        <f t="shared" si="130"/>
        <v>-0.7602870798319683</v>
      </c>
      <c r="M1485" s="306">
        <f t="shared" si="131"/>
        <v>-4.7964349094097178E-2</v>
      </c>
      <c r="O1485" s="306">
        <f t="shared" si="132"/>
        <v>-8.3739466963558638</v>
      </c>
      <c r="P1485" s="306">
        <f t="shared" si="133"/>
        <v>-0.60141429018278081</v>
      </c>
      <c r="Q1485" s="306">
        <f t="shared" si="134"/>
        <v>-0.10599138250882213</v>
      </c>
      <c r="S1485" s="306">
        <f t="shared" si="135"/>
        <v>-8.3739466963558638</v>
      </c>
      <c r="T1485" s="306">
        <f t="shared" si="136"/>
        <v>-0.60141429018278081</v>
      </c>
      <c r="U1485" s="306">
        <f t="shared" si="137"/>
        <v>-0.10599138250882213</v>
      </c>
      <c r="W1485" s="306">
        <f t="shared" si="138"/>
        <v>-8.2059616139070908</v>
      </c>
      <c r="X1485" s="306">
        <f t="shared" si="139"/>
        <v>-0.7602870798319683</v>
      </c>
      <c r="Y1485" s="306">
        <f t="shared" si="140"/>
        <v>-4.7964349094097178E-2</v>
      </c>
      <c r="AA1485" s="306">
        <f t="shared" si="141"/>
        <v>-8.3739466963558638</v>
      </c>
      <c r="AB1485" s="306">
        <f t="shared" si="142"/>
        <v>-0.60141429018278081</v>
      </c>
      <c r="AC1485" s="306">
        <f t="shared" si="143"/>
        <v>-0.10599138250882213</v>
      </c>
      <c r="AE1485" s="306">
        <f t="shared" si="144"/>
        <v>-8.3739466963558638</v>
      </c>
      <c r="AF1485" s="306">
        <f t="shared" si="145"/>
        <v>-0.60141429018278081</v>
      </c>
      <c r="AG1485" s="306">
        <f t="shared" si="146"/>
        <v>-0.10599138250882213</v>
      </c>
      <c r="AI1485" s="306">
        <f t="shared" si="147"/>
        <v>-8.3739466963558638</v>
      </c>
      <c r="AJ1485" s="306">
        <f t="shared" si="148"/>
        <v>-0.60141429018278081</v>
      </c>
      <c r="AK1485" s="306">
        <f t="shared" si="149"/>
        <v>-0.10599138250882213</v>
      </c>
      <c r="AL1485" s="291"/>
    </row>
    <row r="1486" spans="1:38">
      <c r="A1486" s="289" t="s">
        <v>104</v>
      </c>
      <c r="C1486" s="306">
        <f t="shared" si="125"/>
        <v>-9.5622498106492255</v>
      </c>
      <c r="D1486" s="306">
        <f t="shared" si="125"/>
        <v>-0.46442561512923047</v>
      </c>
      <c r="E1486" s="306">
        <f t="shared" si="125"/>
        <v>0</v>
      </c>
      <c r="G1486" s="306">
        <f t="shared" si="126"/>
        <v>-8.2059616139070908</v>
      </c>
      <c r="H1486" s="306">
        <f t="shared" si="127"/>
        <v>-0.7602870798319683</v>
      </c>
      <c r="I1486" s="306">
        <f t="shared" si="128"/>
        <v>-4.7964349094097178E-2</v>
      </c>
      <c r="K1486" s="306">
        <f t="shared" si="129"/>
        <v>-8.2059616139070908</v>
      </c>
      <c r="L1486" s="306">
        <f t="shared" si="130"/>
        <v>-0.7602870798319683</v>
      </c>
      <c r="M1486" s="306">
        <f t="shared" si="131"/>
        <v>-4.7964349094097178E-2</v>
      </c>
      <c r="O1486" s="306">
        <f t="shared" si="132"/>
        <v>-8.3739466963558638</v>
      </c>
      <c r="P1486" s="306">
        <f t="shared" si="133"/>
        <v>-0.60141429018278081</v>
      </c>
      <c r="Q1486" s="306">
        <f t="shared" si="134"/>
        <v>-0.10599138250882213</v>
      </c>
      <c r="S1486" s="306">
        <f t="shared" si="135"/>
        <v>-8.3739466963558638</v>
      </c>
      <c r="T1486" s="306">
        <f t="shared" si="136"/>
        <v>-0.60141429018278081</v>
      </c>
      <c r="U1486" s="306">
        <f t="shared" si="137"/>
        <v>-0.10599138250882213</v>
      </c>
      <c r="W1486" s="306">
        <f t="shared" si="138"/>
        <v>-8.2059616139070908</v>
      </c>
      <c r="X1486" s="306">
        <f t="shared" si="139"/>
        <v>-0.7602870798319683</v>
      </c>
      <c r="Y1486" s="306">
        <f t="shared" si="140"/>
        <v>-4.7964349094097178E-2</v>
      </c>
      <c r="AA1486" s="306">
        <f t="shared" si="141"/>
        <v>-8.3739466963558638</v>
      </c>
      <c r="AB1486" s="306">
        <f t="shared" si="142"/>
        <v>-0.60141429018278081</v>
      </c>
      <c r="AC1486" s="306">
        <f t="shared" si="143"/>
        <v>-0.10599138250882213</v>
      </c>
      <c r="AE1486" s="306">
        <f t="shared" si="144"/>
        <v>-8.3739466963558638</v>
      </c>
      <c r="AF1486" s="306">
        <f t="shared" si="145"/>
        <v>-0.60141429018278081</v>
      </c>
      <c r="AG1486" s="306">
        <f t="shared" si="146"/>
        <v>-0.10599138250882213</v>
      </c>
      <c r="AI1486" s="306">
        <f t="shared" si="147"/>
        <v>-8.3739466963558638</v>
      </c>
      <c r="AJ1486" s="306">
        <f t="shared" si="148"/>
        <v>-0.60141429018278081</v>
      </c>
      <c r="AK1486" s="306">
        <f t="shared" si="149"/>
        <v>-0.10599138250882213</v>
      </c>
      <c r="AL1486" s="291"/>
    </row>
    <row r="1487" spans="1:38">
      <c r="A1487" s="289" t="s">
        <v>113</v>
      </c>
      <c r="C1487" s="306">
        <f t="shared" si="125"/>
        <v>-9.5622498106492255</v>
      </c>
      <c r="D1487" s="306">
        <f t="shared" si="125"/>
        <v>-0.46442561512923047</v>
      </c>
      <c r="E1487" s="306">
        <f t="shared" si="125"/>
        <v>0</v>
      </c>
      <c r="G1487" s="306">
        <f t="shared" si="126"/>
        <v>-8.2059616139070908</v>
      </c>
      <c r="H1487" s="306">
        <f t="shared" si="127"/>
        <v>-0.7602870798319683</v>
      </c>
      <c r="I1487" s="306">
        <f t="shared" si="128"/>
        <v>-4.7964349094097178E-2</v>
      </c>
      <c r="K1487" s="306">
        <f t="shared" si="129"/>
        <v>-8.2059616139070908</v>
      </c>
      <c r="L1487" s="306">
        <f t="shared" si="130"/>
        <v>-0.7602870798319683</v>
      </c>
      <c r="M1487" s="306">
        <f t="shared" si="131"/>
        <v>-4.7964349094097178E-2</v>
      </c>
      <c r="O1487" s="306">
        <f t="shared" si="132"/>
        <v>-8.3739466963558638</v>
      </c>
      <c r="P1487" s="306">
        <f t="shared" si="133"/>
        <v>-0.60141429018278081</v>
      </c>
      <c r="Q1487" s="306">
        <f t="shared" si="134"/>
        <v>-0.10599138250882213</v>
      </c>
      <c r="S1487" s="306">
        <f t="shared" si="135"/>
        <v>-8.3739466963558638</v>
      </c>
      <c r="T1487" s="306">
        <f t="shared" si="136"/>
        <v>-0.60141429018278081</v>
      </c>
      <c r="U1487" s="306">
        <f t="shared" si="137"/>
        <v>-0.10599138250882213</v>
      </c>
      <c r="W1487" s="306">
        <f t="shared" si="138"/>
        <v>-8.2059616139070908</v>
      </c>
      <c r="X1487" s="306">
        <f t="shared" si="139"/>
        <v>-0.7602870798319683</v>
      </c>
      <c r="Y1487" s="306">
        <f t="shared" si="140"/>
        <v>-4.7964349094097178E-2</v>
      </c>
      <c r="AA1487" s="306">
        <f t="shared" si="141"/>
        <v>-8.3739466963558638</v>
      </c>
      <c r="AB1487" s="306">
        <f t="shared" si="142"/>
        <v>-0.60141429018278081</v>
      </c>
      <c r="AC1487" s="306">
        <f t="shared" si="143"/>
        <v>-0.10599138250882213</v>
      </c>
      <c r="AE1487" s="306">
        <f t="shared" si="144"/>
        <v>-8.3739466963558638</v>
      </c>
      <c r="AF1487" s="306">
        <f t="shared" si="145"/>
        <v>-0.60141429018278081</v>
      </c>
      <c r="AG1487" s="306">
        <f t="shared" si="146"/>
        <v>-0.10599138250882213</v>
      </c>
      <c r="AI1487" s="306">
        <f t="shared" si="147"/>
        <v>-8.3739466963558638</v>
      </c>
      <c r="AJ1487" s="306">
        <f t="shared" si="148"/>
        <v>-0.60141429018278081</v>
      </c>
      <c r="AK1487" s="306">
        <f t="shared" si="149"/>
        <v>-0.10599138250882213</v>
      </c>
      <c r="AL1487" s="291"/>
    </row>
    <row r="1489" spans="1:38" ht="21" customHeight="1">
      <c r="A1489" s="1" t="s">
        <v>1622</v>
      </c>
    </row>
    <row r="1490" spans="1:38">
      <c r="A1490" s="287" t="s">
        <v>255</v>
      </c>
    </row>
    <row r="1491" spans="1:38">
      <c r="A1491" s="301" t="s">
        <v>1583</v>
      </c>
    </row>
    <row r="1492" spans="1:38">
      <c r="A1492" s="287" t="s">
        <v>635</v>
      </c>
    </row>
    <row r="1494" spans="1:38">
      <c r="B1494" s="297" t="s">
        <v>60</v>
      </c>
      <c r="C1494" s="288" t="s">
        <v>233</v>
      </c>
      <c r="D1494" s="288" t="s">
        <v>234</v>
      </c>
      <c r="E1494" s="288" t="s">
        <v>235</v>
      </c>
      <c r="F1494" s="297" t="s">
        <v>61</v>
      </c>
      <c r="G1494" s="288" t="s">
        <v>233</v>
      </c>
      <c r="H1494" s="288" t="s">
        <v>234</v>
      </c>
      <c r="I1494" s="288" t="s">
        <v>235</v>
      </c>
      <c r="J1494" s="297" t="s">
        <v>62</v>
      </c>
      <c r="K1494" s="288" t="s">
        <v>233</v>
      </c>
      <c r="L1494" s="288" t="s">
        <v>234</v>
      </c>
      <c r="M1494" s="288" t="s">
        <v>235</v>
      </c>
      <c r="N1494" s="297" t="s">
        <v>63</v>
      </c>
      <c r="O1494" s="288" t="s">
        <v>233</v>
      </c>
      <c r="P1494" s="288" t="s">
        <v>234</v>
      </c>
      <c r="Q1494" s="288" t="s">
        <v>235</v>
      </c>
      <c r="R1494" s="297" t="s">
        <v>64</v>
      </c>
      <c r="S1494" s="288" t="s">
        <v>233</v>
      </c>
      <c r="T1494" s="288" t="s">
        <v>234</v>
      </c>
      <c r="U1494" s="288" t="s">
        <v>235</v>
      </c>
      <c r="V1494" s="297" t="s">
        <v>69</v>
      </c>
      <c r="W1494" s="288" t="s">
        <v>233</v>
      </c>
      <c r="X1494" s="288" t="s">
        <v>234</v>
      </c>
      <c r="Y1494" s="288" t="s">
        <v>235</v>
      </c>
      <c r="Z1494" s="297" t="s">
        <v>65</v>
      </c>
      <c r="AA1494" s="288" t="s">
        <v>233</v>
      </c>
      <c r="AB1494" s="288" t="s">
        <v>234</v>
      </c>
      <c r="AC1494" s="288" t="s">
        <v>235</v>
      </c>
      <c r="AD1494" s="297" t="s">
        <v>66</v>
      </c>
      <c r="AE1494" s="288" t="s">
        <v>233</v>
      </c>
      <c r="AF1494" s="288" t="s">
        <v>234</v>
      </c>
      <c r="AG1494" s="288" t="s">
        <v>235</v>
      </c>
      <c r="AH1494" s="297" t="s">
        <v>67</v>
      </c>
      <c r="AI1494" s="288" t="s">
        <v>233</v>
      </c>
      <c r="AJ1494" s="288" t="s">
        <v>234</v>
      </c>
      <c r="AK1494" s="288" t="s">
        <v>235</v>
      </c>
    </row>
    <row r="1495" spans="1:38">
      <c r="A1495" s="289" t="s">
        <v>92</v>
      </c>
      <c r="C1495" s="307">
        <f>C$1471</f>
        <v>11.651754474600686</v>
      </c>
      <c r="D1495" s="307">
        <f>D$1471</f>
        <v>0.56591004694048919</v>
      </c>
      <c r="E1495" s="307">
        <f>E$1471</f>
        <v>0</v>
      </c>
      <c r="G1495" s="307">
        <f>G$1471</f>
        <v>9.9990955942984012</v>
      </c>
      <c r="H1495" s="307">
        <f>H$1471</f>
        <v>0.92642197807335536</v>
      </c>
      <c r="I1495" s="307">
        <f>I$1471</f>
        <v>5.8445327223731247E-2</v>
      </c>
      <c r="K1495" s="307">
        <f>K$1471</f>
        <v>9.9990955942984012</v>
      </c>
      <c r="L1495" s="307">
        <f>L$1471</f>
        <v>0.92642197807335536</v>
      </c>
      <c r="M1495" s="307">
        <f>M$1471</f>
        <v>5.8445327223731247E-2</v>
      </c>
      <c r="O1495" s="307">
        <f>O$1471</f>
        <v>10.203788106504978</v>
      </c>
      <c r="P1495" s="307">
        <f>P$1471</f>
        <v>0.73283294052011771</v>
      </c>
      <c r="Q1495" s="307">
        <f>Q$1471</f>
        <v>0.12915219638383743</v>
      </c>
      <c r="S1495" s="307">
        <f>S$1471</f>
        <v>10.203788106504978</v>
      </c>
      <c r="T1495" s="307">
        <f>T$1471</f>
        <v>0.73283294052011771</v>
      </c>
      <c r="U1495" s="307">
        <f>U$1471</f>
        <v>0.12915219638383743</v>
      </c>
      <c r="W1495" s="307">
        <f>W$1471</f>
        <v>9.9990955942984012</v>
      </c>
      <c r="X1495" s="307">
        <f>X$1471</f>
        <v>0.92642197807335536</v>
      </c>
      <c r="Y1495" s="307">
        <f>Y$1471</f>
        <v>5.8445327223731247E-2</v>
      </c>
      <c r="AA1495" s="307">
        <f>AA$1471</f>
        <v>10.203788106504978</v>
      </c>
      <c r="AB1495" s="307">
        <f>AB$1471</f>
        <v>0.73283294052011771</v>
      </c>
      <c r="AC1495" s="307">
        <f>AC$1471</f>
        <v>0.12915219638383743</v>
      </c>
      <c r="AE1495" s="307">
        <f>AE$1471</f>
        <v>10.203788106504978</v>
      </c>
      <c r="AF1495" s="307">
        <f>AF$1471</f>
        <v>0.73283294052011771</v>
      </c>
      <c r="AG1495" s="307">
        <f>AG$1471</f>
        <v>0.12915219638383743</v>
      </c>
      <c r="AI1495" s="307">
        <f>AI$1471</f>
        <v>10.203788106504978</v>
      </c>
      <c r="AJ1495" s="307">
        <f>AJ$1471</f>
        <v>0.73283294052011771</v>
      </c>
      <c r="AK1495" s="307">
        <f>AK$1471</f>
        <v>0.12915219638383743</v>
      </c>
      <c r="AL1495" s="291"/>
    </row>
    <row r="1496" spans="1:38">
      <c r="A1496" s="289" t="s">
        <v>94</v>
      </c>
      <c r="C1496" s="307">
        <f>C$1474</f>
        <v>11.335159006379339</v>
      </c>
      <c r="D1496" s="307">
        <f>D$1474</f>
        <v>0.55053343076883499</v>
      </c>
      <c r="E1496" s="307">
        <f>E$1474</f>
        <v>0</v>
      </c>
      <c r="G1496" s="307">
        <f>G$1474</f>
        <v>9.7274053215272378</v>
      </c>
      <c r="H1496" s="307">
        <f>H$1474</f>
        <v>0.90124971748736049</v>
      </c>
      <c r="I1496" s="307">
        <f>I$1474</f>
        <v>5.6857280910355669E-2</v>
      </c>
      <c r="K1496" s="307">
        <f>K$1474</f>
        <v>9.7274053215272378</v>
      </c>
      <c r="L1496" s="307">
        <f>L$1474</f>
        <v>0.90124971748736049</v>
      </c>
      <c r="M1496" s="307">
        <f>M$1474</f>
        <v>5.6857280910355669E-2</v>
      </c>
      <c r="O1496" s="307">
        <f>O$1474</f>
        <v>9.926536034273937</v>
      </c>
      <c r="P1496" s="307">
        <f>P$1474</f>
        <v>0.71292078150254246</v>
      </c>
      <c r="Q1496" s="307">
        <f>Q$1474</f>
        <v>0.12564293945818825</v>
      </c>
      <c r="S1496" s="307">
        <f>S$1474</f>
        <v>9.926536034273937</v>
      </c>
      <c r="T1496" s="307">
        <f>T$1474</f>
        <v>0.71292078150254246</v>
      </c>
      <c r="U1496" s="307">
        <f>U$1474</f>
        <v>0.12564293945818825</v>
      </c>
      <c r="W1496" s="307">
        <f>W$1474</f>
        <v>9.7274053215272378</v>
      </c>
      <c r="X1496" s="307">
        <f>X$1474</f>
        <v>0.90124971748736049</v>
      </c>
      <c r="Y1496" s="307">
        <f>Y$1474</f>
        <v>5.6857280910355669E-2</v>
      </c>
      <c r="AA1496" s="307">
        <f>AA$1474</f>
        <v>9.926536034273937</v>
      </c>
      <c r="AB1496" s="307">
        <f>AB$1474</f>
        <v>0.71292078150254246</v>
      </c>
      <c r="AC1496" s="307">
        <f>AC$1474</f>
        <v>0.12564293945818825</v>
      </c>
      <c r="AE1496" s="307">
        <f>AE$1474</f>
        <v>9.926536034273937</v>
      </c>
      <c r="AF1496" s="307">
        <f>AF$1474</f>
        <v>0.71292078150254246</v>
      </c>
      <c r="AG1496" s="307">
        <f>AG$1474</f>
        <v>0.12564293945818825</v>
      </c>
      <c r="AI1496" s="307">
        <f>AI$1474</f>
        <v>9.926536034273937</v>
      </c>
      <c r="AJ1496" s="307">
        <f>AJ$1474</f>
        <v>0.71292078150254246</v>
      </c>
      <c r="AK1496" s="307">
        <f>AK$1474</f>
        <v>0.12564293945818825</v>
      </c>
      <c r="AL1496" s="291"/>
    </row>
    <row r="1498" spans="1:38" ht="21" customHeight="1">
      <c r="A1498" s="1" t="s">
        <v>1623</v>
      </c>
    </row>
    <row r="1499" spans="1:38">
      <c r="A1499" s="287" t="s">
        <v>255</v>
      </c>
    </row>
    <row r="1500" spans="1:38">
      <c r="A1500" s="301" t="s">
        <v>469</v>
      </c>
    </row>
    <row r="1501" spans="1:38">
      <c r="A1501" s="287" t="s">
        <v>635</v>
      </c>
    </row>
    <row r="1503" spans="1:38" ht="30">
      <c r="B1503" s="288" t="s">
        <v>1588</v>
      </c>
    </row>
    <row r="1504" spans="1:38">
      <c r="A1504" s="289" t="s">
        <v>92</v>
      </c>
      <c r="B1504" s="312">
        <f>B$1316</f>
        <v>7070432.3403182207</v>
      </c>
      <c r="C1504" s="291"/>
    </row>
    <row r="1505" spans="1:5">
      <c r="A1505" s="289" t="s">
        <v>94</v>
      </c>
      <c r="B1505" s="312">
        <f>B$1319</f>
        <v>1628983.0183957107</v>
      </c>
      <c r="C1505" s="291"/>
    </row>
    <row r="1507" spans="1:5" ht="21" customHeight="1">
      <c r="A1507" s="1" t="s">
        <v>1624</v>
      </c>
    </row>
    <row r="1508" spans="1:5">
      <c r="A1508" s="287" t="s">
        <v>255</v>
      </c>
    </row>
    <row r="1509" spans="1:5">
      <c r="A1509" s="301" t="s">
        <v>1589</v>
      </c>
    </row>
    <row r="1510" spans="1:5">
      <c r="A1510" s="287" t="s">
        <v>635</v>
      </c>
    </row>
    <row r="1512" spans="1:5">
      <c r="B1512" s="288" t="s">
        <v>233</v>
      </c>
      <c r="C1512" s="288" t="s">
        <v>234</v>
      </c>
      <c r="D1512" s="288" t="s">
        <v>235</v>
      </c>
    </row>
    <row r="1513" spans="1:5">
      <c r="A1513" s="289" t="s">
        <v>92</v>
      </c>
      <c r="B1513" s="308">
        <f>B$1240</f>
        <v>0.15163735853906232</v>
      </c>
      <c r="C1513" s="308">
        <f>C$1240</f>
        <v>0.41909005511697384</v>
      </c>
      <c r="D1513" s="308">
        <f>D$1240</f>
        <v>0.42927258634396387</v>
      </c>
      <c r="E1513" s="291"/>
    </row>
    <row r="1514" spans="1:5">
      <c r="A1514" s="289" t="s">
        <v>94</v>
      </c>
      <c r="B1514" s="308">
        <f>B$1243</f>
        <v>0.13166491281892173</v>
      </c>
      <c r="C1514" s="308">
        <f>C$1243</f>
        <v>0.58418150754710119</v>
      </c>
      <c r="D1514" s="308">
        <f>D$1243</f>
        <v>0.28415357963397708</v>
      </c>
      <c r="E1514" s="291"/>
    </row>
    <row r="1516" spans="1:5" ht="21" customHeight="1">
      <c r="A1516" s="1" t="s">
        <v>1625</v>
      </c>
    </row>
    <row r="1517" spans="1:5">
      <c r="A1517" s="287" t="s">
        <v>255</v>
      </c>
    </row>
    <row r="1518" spans="1:5">
      <c r="A1518" s="301" t="s">
        <v>1626</v>
      </c>
    </row>
    <row r="1519" spans="1:5">
      <c r="A1519" s="301" t="s">
        <v>1627</v>
      </c>
    </row>
    <row r="1520" spans="1:5">
      <c r="A1520" s="287" t="s">
        <v>268</v>
      </c>
    </row>
    <row r="1522" spans="1:11">
      <c r="B1522" s="288" t="s">
        <v>60</v>
      </c>
      <c r="C1522" s="288" t="s">
        <v>61</v>
      </c>
      <c r="D1522" s="288" t="s">
        <v>62</v>
      </c>
      <c r="E1522" s="288" t="s">
        <v>63</v>
      </c>
      <c r="F1522" s="288" t="s">
        <v>64</v>
      </c>
      <c r="G1522" s="288" t="s">
        <v>69</v>
      </c>
      <c r="H1522" s="288" t="s">
        <v>65</v>
      </c>
      <c r="I1522" s="288" t="s">
        <v>66</v>
      </c>
      <c r="J1522" s="288" t="s">
        <v>67</v>
      </c>
    </row>
    <row r="1523" spans="1:11">
      <c r="A1523" s="289" t="s">
        <v>92</v>
      </c>
      <c r="B1523" s="306">
        <f>SUMPRODUCT($C1495:$E1495,$B1513:$D1513)</f>
        <v>2.0040085436376867</v>
      </c>
      <c r="C1523" s="306">
        <f>SUMPRODUCT($G1495:$I1495,$B1513:$D1513)</f>
        <v>1.9295796583283737</v>
      </c>
      <c r="D1523" s="306">
        <f>SUMPRODUCT($K1495:$M1495,$B1513:$D1513)</f>
        <v>1.9295796583283737</v>
      </c>
      <c r="E1523" s="306">
        <f>SUMPRODUCT($O1495:$Q1495,$B1513:$D1513)</f>
        <v>1.9098399703705187</v>
      </c>
      <c r="F1523" s="306">
        <f>SUMPRODUCT($S1495:$U1495,$B1513:$D1513)</f>
        <v>1.9098399703705187</v>
      </c>
      <c r="G1523" s="306">
        <f>SUMPRODUCT($W1495:$Y1495,$B1513:$D1513)</f>
        <v>1.9295796583283737</v>
      </c>
      <c r="H1523" s="306">
        <f>SUMPRODUCT($AA1495:$AC1495,$B1513:$D1513)</f>
        <v>1.9098399703705187</v>
      </c>
      <c r="I1523" s="306">
        <f>SUMPRODUCT($AE1495:$AG1495,$B1513:$D1513)</f>
        <v>1.9098399703705187</v>
      </c>
      <c r="J1523" s="306">
        <f>SUMPRODUCT($AI1495:$AK1495,$B1513:$D1513)</f>
        <v>1.9098399703705187</v>
      </c>
      <c r="K1523" s="291"/>
    </row>
    <row r="1524" spans="1:11">
      <c r="A1524" s="289" t="s">
        <v>94</v>
      </c>
      <c r="B1524" s="306">
        <f>SUMPRODUCT($C1496:$E1496,$B1514:$D1514)</f>
        <v>1.8140541719051666</v>
      </c>
      <c r="C1524" s="306">
        <f>SUMPRODUCT($G1496:$I1496,$B1514:$D1514)</f>
        <v>1.8234075921502966</v>
      </c>
      <c r="D1524" s="306">
        <f>SUMPRODUCT($K1496:$M1496,$B1514:$D1514)</f>
        <v>1.8234075921502966</v>
      </c>
      <c r="E1524" s="306">
        <f>SUMPRODUCT($O1496:$Q1496,$B1514:$D1514)</f>
        <v>1.7591535294491552</v>
      </c>
      <c r="F1524" s="306">
        <f>SUMPRODUCT($S1496:$U1496,$B1514:$D1514)</f>
        <v>1.7591535294491552</v>
      </c>
      <c r="G1524" s="306">
        <f>SUMPRODUCT($W1496:$Y1496,$B1514:$D1514)</f>
        <v>1.8234075921502966</v>
      </c>
      <c r="H1524" s="306">
        <f>SUMPRODUCT($AA1496:$AC1496,$B1514:$D1514)</f>
        <v>1.7591535294491552</v>
      </c>
      <c r="I1524" s="306">
        <f>SUMPRODUCT($AE1496:$AG1496,$B1514:$D1514)</f>
        <v>1.7591535294491552</v>
      </c>
      <c r="J1524" s="306">
        <f>SUMPRODUCT($AI1496:$AK1496,$B1514:$D1514)</f>
        <v>1.7591535294491552</v>
      </c>
      <c r="K1524" s="291"/>
    </row>
    <row r="1526" spans="1:11" ht="21" customHeight="1">
      <c r="A1526" s="1" t="s">
        <v>1628</v>
      </c>
    </row>
    <row r="1527" spans="1:11">
      <c r="A1527" s="287" t="s">
        <v>255</v>
      </c>
    </row>
    <row r="1528" spans="1:11">
      <c r="A1528" s="301" t="s">
        <v>469</v>
      </c>
    </row>
    <row r="1529" spans="1:11">
      <c r="A1529" s="287" t="s">
        <v>635</v>
      </c>
    </row>
    <row r="1531" spans="1:11" ht="30">
      <c r="B1531" s="288" t="s">
        <v>1590</v>
      </c>
    </row>
    <row r="1532" spans="1:11">
      <c r="A1532" s="289" t="s">
        <v>93</v>
      </c>
      <c r="B1532" s="312">
        <f>B$1317</f>
        <v>1658667.6739411326</v>
      </c>
      <c r="C1532" s="291"/>
    </row>
    <row r="1533" spans="1:11">
      <c r="A1533" s="289" t="s">
        <v>95</v>
      </c>
      <c r="B1533" s="312">
        <f>B$1320</f>
        <v>716799.54001882905</v>
      </c>
      <c r="C1533" s="291"/>
    </row>
    <row r="1535" spans="1:11" ht="21" customHeight="1">
      <c r="A1535" s="1" t="s">
        <v>1629</v>
      </c>
    </row>
    <row r="1536" spans="1:11">
      <c r="A1536" s="287" t="s">
        <v>255</v>
      </c>
    </row>
    <row r="1537" spans="1:38">
      <c r="A1537" s="301" t="s">
        <v>1583</v>
      </c>
    </row>
    <row r="1538" spans="1:38">
      <c r="A1538" s="287" t="s">
        <v>635</v>
      </c>
    </row>
    <row r="1540" spans="1:38">
      <c r="B1540" s="297" t="s">
        <v>60</v>
      </c>
      <c r="C1540" s="288" t="s">
        <v>233</v>
      </c>
      <c r="D1540" s="288" t="s">
        <v>234</v>
      </c>
      <c r="E1540" s="288" t="s">
        <v>235</v>
      </c>
      <c r="F1540" s="297" t="s">
        <v>61</v>
      </c>
      <c r="G1540" s="288" t="s">
        <v>233</v>
      </c>
      <c r="H1540" s="288" t="s">
        <v>234</v>
      </c>
      <c r="I1540" s="288" t="s">
        <v>235</v>
      </c>
      <c r="J1540" s="297" t="s">
        <v>62</v>
      </c>
      <c r="K1540" s="288" t="s">
        <v>233</v>
      </c>
      <c r="L1540" s="288" t="s">
        <v>234</v>
      </c>
      <c r="M1540" s="288" t="s">
        <v>235</v>
      </c>
      <c r="N1540" s="297" t="s">
        <v>63</v>
      </c>
      <c r="O1540" s="288" t="s">
        <v>233</v>
      </c>
      <c r="P1540" s="288" t="s">
        <v>234</v>
      </c>
      <c r="Q1540" s="288" t="s">
        <v>235</v>
      </c>
      <c r="R1540" s="297" t="s">
        <v>64</v>
      </c>
      <c r="S1540" s="288" t="s">
        <v>233</v>
      </c>
      <c r="T1540" s="288" t="s">
        <v>234</v>
      </c>
      <c r="U1540" s="288" t="s">
        <v>235</v>
      </c>
      <c r="V1540" s="297" t="s">
        <v>69</v>
      </c>
      <c r="W1540" s="288" t="s">
        <v>233</v>
      </c>
      <c r="X1540" s="288" t="s">
        <v>234</v>
      </c>
      <c r="Y1540" s="288" t="s">
        <v>235</v>
      </c>
      <c r="Z1540" s="297" t="s">
        <v>65</v>
      </c>
      <c r="AA1540" s="288" t="s">
        <v>233</v>
      </c>
      <c r="AB1540" s="288" t="s">
        <v>234</v>
      </c>
      <c r="AC1540" s="288" t="s">
        <v>235</v>
      </c>
      <c r="AD1540" s="297" t="s">
        <v>66</v>
      </c>
      <c r="AE1540" s="288" t="s">
        <v>233</v>
      </c>
      <c r="AF1540" s="288" t="s">
        <v>234</v>
      </c>
      <c r="AG1540" s="288" t="s">
        <v>235</v>
      </c>
      <c r="AH1540" s="297" t="s">
        <v>67</v>
      </c>
      <c r="AI1540" s="288" t="s">
        <v>233</v>
      </c>
      <c r="AJ1540" s="288" t="s">
        <v>234</v>
      </c>
      <c r="AK1540" s="288" t="s">
        <v>235</v>
      </c>
    </row>
    <row r="1541" spans="1:38">
      <c r="A1541" s="289" t="s">
        <v>93</v>
      </c>
      <c r="C1541" s="307">
        <f>C$1472</f>
        <v>14.152098570651761</v>
      </c>
      <c r="D1541" s="307">
        <f>D$1472</f>
        <v>0.68734839752091792</v>
      </c>
      <c r="E1541" s="307">
        <f>E$1472</f>
        <v>0</v>
      </c>
      <c r="G1541" s="307">
        <f>G$1472</f>
        <v>12.144796457593598</v>
      </c>
      <c r="H1541" s="307">
        <f>H$1472</f>
        <v>1.1252224015097629</v>
      </c>
      <c r="I1541" s="307">
        <f>I$1472</f>
        <v>7.09870804149937E-2</v>
      </c>
      <c r="K1541" s="307">
        <f>K$1472</f>
        <v>12.144796457593598</v>
      </c>
      <c r="L1541" s="307">
        <f>L$1472</f>
        <v>1.1252224015097629</v>
      </c>
      <c r="M1541" s="307">
        <f>M$1472</f>
        <v>7.09870804149937E-2</v>
      </c>
      <c r="O1541" s="307">
        <f>O$1472</f>
        <v>12.39341383240496</v>
      </c>
      <c r="P1541" s="307">
        <f>P$1472</f>
        <v>0.89009119035841289</v>
      </c>
      <c r="Q1541" s="307">
        <f>Q$1472</f>
        <v>0.15686690084523774</v>
      </c>
      <c r="S1541" s="307">
        <f>S$1472</f>
        <v>12.39341383240496</v>
      </c>
      <c r="T1541" s="307">
        <f>T$1472</f>
        <v>0.89009119035841289</v>
      </c>
      <c r="U1541" s="307">
        <f>U$1472</f>
        <v>0.15686690084523774</v>
      </c>
      <c r="W1541" s="307">
        <f>W$1472</f>
        <v>12.144796457593598</v>
      </c>
      <c r="X1541" s="307">
        <f>X$1472</f>
        <v>1.1252224015097629</v>
      </c>
      <c r="Y1541" s="307">
        <f>Y$1472</f>
        <v>7.09870804149937E-2</v>
      </c>
      <c r="AA1541" s="307">
        <f>AA$1472</f>
        <v>12.39341383240496</v>
      </c>
      <c r="AB1541" s="307">
        <f>AB$1472</f>
        <v>0.89009119035841289</v>
      </c>
      <c r="AC1541" s="307">
        <f>AC$1472</f>
        <v>0.15686690084523774</v>
      </c>
      <c r="AE1541" s="307">
        <f>AE$1472</f>
        <v>12.39341383240496</v>
      </c>
      <c r="AF1541" s="307">
        <f>AF$1472</f>
        <v>0.89009119035841289</v>
      </c>
      <c r="AG1541" s="307">
        <f>AG$1472</f>
        <v>0.15686690084523774</v>
      </c>
      <c r="AI1541" s="307">
        <f>AI$1472</f>
        <v>12.39341383240496</v>
      </c>
      <c r="AJ1541" s="307">
        <f>AJ$1472</f>
        <v>0.89009119035841289</v>
      </c>
      <c r="AK1541" s="307">
        <f>AK$1472</f>
        <v>0.15686690084523774</v>
      </c>
      <c r="AL1541" s="291"/>
    </row>
    <row r="1542" spans="1:38">
      <c r="A1542" s="289" t="s">
        <v>95</v>
      </c>
      <c r="C1542" s="307">
        <f>C$1475</f>
        <v>13.256246990688666</v>
      </c>
      <c r="D1542" s="307">
        <f>D$1475</f>
        <v>0.64383809091655564</v>
      </c>
      <c r="E1542" s="307">
        <f>E$1475</f>
        <v>0</v>
      </c>
      <c r="G1542" s="307">
        <f>G$1475</f>
        <v>11.376010468678286</v>
      </c>
      <c r="H1542" s="307">
        <f>H$1475</f>
        <v>1.0539939359101225</v>
      </c>
      <c r="I1542" s="307">
        <f>I$1475</f>
        <v>6.6493479142415032E-2</v>
      </c>
      <c r="K1542" s="307">
        <f>K$1475</f>
        <v>11.376010468678286</v>
      </c>
      <c r="L1542" s="307">
        <f>L$1475</f>
        <v>1.0539939359101225</v>
      </c>
      <c r="M1542" s="307">
        <f>M$1475</f>
        <v>6.6493479142415032E-2</v>
      </c>
      <c r="O1542" s="307">
        <f>O$1475</f>
        <v>11.608889946603259</v>
      </c>
      <c r="P1542" s="307">
        <f>P$1475</f>
        <v>0.83374692486216873</v>
      </c>
      <c r="Q1542" s="307">
        <f>Q$1475</f>
        <v>0.14693696287423277</v>
      </c>
      <c r="S1542" s="307">
        <f>S$1475</f>
        <v>11.608889946603259</v>
      </c>
      <c r="T1542" s="307">
        <f>T$1475</f>
        <v>0.83374692486216873</v>
      </c>
      <c r="U1542" s="307">
        <f>U$1475</f>
        <v>0.14693696287423277</v>
      </c>
      <c r="W1542" s="307">
        <f>W$1475</f>
        <v>11.376010468678286</v>
      </c>
      <c r="X1542" s="307">
        <f>X$1475</f>
        <v>1.0539939359101225</v>
      </c>
      <c r="Y1542" s="307">
        <f>Y$1475</f>
        <v>6.6493479142415032E-2</v>
      </c>
      <c r="AA1542" s="307">
        <f>AA$1475</f>
        <v>11.608889946603259</v>
      </c>
      <c r="AB1542" s="307">
        <f>AB$1475</f>
        <v>0.83374692486216873</v>
      </c>
      <c r="AC1542" s="307">
        <f>AC$1475</f>
        <v>0.14693696287423277</v>
      </c>
      <c r="AE1542" s="307">
        <f>AE$1475</f>
        <v>11.608889946603259</v>
      </c>
      <c r="AF1542" s="307">
        <f>AF$1475</f>
        <v>0.83374692486216873</v>
      </c>
      <c r="AG1542" s="307">
        <f>AG$1475</f>
        <v>0.14693696287423277</v>
      </c>
      <c r="AI1542" s="307">
        <f>AI$1475</f>
        <v>11.608889946603259</v>
      </c>
      <c r="AJ1542" s="307">
        <f>AJ$1475</f>
        <v>0.83374692486216873</v>
      </c>
      <c r="AK1542" s="307">
        <f>AK$1475</f>
        <v>0.14693696287423277</v>
      </c>
      <c r="AL1542" s="291"/>
    </row>
    <row r="1544" spans="1:38" ht="21" customHeight="1">
      <c r="A1544" s="1" t="s">
        <v>1587</v>
      </c>
    </row>
    <row r="1545" spans="1:38">
      <c r="A1545" s="287" t="s">
        <v>255</v>
      </c>
    </row>
    <row r="1546" spans="1:38">
      <c r="A1546" s="301" t="s">
        <v>1586</v>
      </c>
    </row>
    <row r="1547" spans="1:38">
      <c r="A1547" s="287" t="s">
        <v>635</v>
      </c>
    </row>
    <row r="1549" spans="1:38">
      <c r="B1549" s="288" t="s">
        <v>233</v>
      </c>
      <c r="C1549" s="288" t="s">
        <v>234</v>
      </c>
      <c r="D1549" s="288" t="s">
        <v>235</v>
      </c>
    </row>
    <row r="1550" spans="1:38">
      <c r="A1550" s="289" t="s">
        <v>93</v>
      </c>
      <c r="B1550" s="308">
        <f>B$1375</f>
        <v>8.3547691969681384E-2</v>
      </c>
      <c r="C1550" s="308">
        <f>C$1375</f>
        <v>0.23487870201321112</v>
      </c>
      <c r="D1550" s="308">
        <f>D$1375</f>
        <v>0.68157360601710748</v>
      </c>
      <c r="E1550" s="291"/>
    </row>
    <row r="1551" spans="1:38">
      <c r="A1551" s="289" t="s">
        <v>95</v>
      </c>
      <c r="B1551" s="308">
        <f>B$1376</f>
        <v>9.2759894845001148E-2</v>
      </c>
      <c r="C1551" s="308">
        <f>C$1376</f>
        <v>0.37979281783398938</v>
      </c>
      <c r="D1551" s="308">
        <f>D$1376</f>
        <v>0.52744728732100954</v>
      </c>
      <c r="E1551" s="291"/>
    </row>
    <row r="1553" spans="1:11" ht="21" customHeight="1">
      <c r="A1553" s="1" t="s">
        <v>1630</v>
      </c>
    </row>
    <row r="1554" spans="1:11">
      <c r="A1554" s="287" t="s">
        <v>255</v>
      </c>
    </row>
    <row r="1555" spans="1:11">
      <c r="A1555" s="301" t="s">
        <v>1631</v>
      </c>
    </row>
    <row r="1556" spans="1:11">
      <c r="A1556" s="301" t="s">
        <v>1582</v>
      </c>
    </row>
    <row r="1557" spans="1:11">
      <c r="A1557" s="287" t="s">
        <v>268</v>
      </c>
    </row>
    <row r="1559" spans="1:11">
      <c r="B1559" s="288" t="s">
        <v>60</v>
      </c>
      <c r="C1559" s="288" t="s">
        <v>61</v>
      </c>
      <c r="D1559" s="288" t="s">
        <v>62</v>
      </c>
      <c r="E1559" s="288" t="s">
        <v>63</v>
      </c>
      <c r="F1559" s="288" t="s">
        <v>64</v>
      </c>
      <c r="G1559" s="288" t="s">
        <v>69</v>
      </c>
      <c r="H1559" s="288" t="s">
        <v>65</v>
      </c>
      <c r="I1559" s="288" t="s">
        <v>66</v>
      </c>
      <c r="J1559" s="288" t="s">
        <v>67</v>
      </c>
    </row>
    <row r="1560" spans="1:11">
      <c r="A1560" s="289" t="s">
        <v>93</v>
      </c>
      <c r="B1560" s="306">
        <f>SUMPRODUCT($C1541:$E1541,$B1550:$D1550)</f>
        <v>1.3438186715459552</v>
      </c>
      <c r="C1560" s="306">
        <f>SUMPRODUCT($G1541:$I1541,$B1550:$D1550)</f>
        <v>1.3273434109953826</v>
      </c>
      <c r="D1560" s="306">
        <f>SUMPRODUCT($K1541:$M1541,$B1550:$D1550)</f>
        <v>1.3273434109953826</v>
      </c>
      <c r="E1560" s="306">
        <f>SUMPRODUCT($O1541:$Q1541,$B1550:$D1550)</f>
        <v>1.351420924061153</v>
      </c>
      <c r="F1560" s="306">
        <f>SUMPRODUCT($S1541:$U1541,$B1550:$D1550)</f>
        <v>1.351420924061153</v>
      </c>
      <c r="G1560" s="306">
        <f>SUMPRODUCT($W1541:$Y1541,$B1550:$D1550)</f>
        <v>1.3273434109953826</v>
      </c>
      <c r="H1560" s="306">
        <f>SUMPRODUCT($AA1541:$AC1541,$B1550:$D1550)</f>
        <v>1.351420924061153</v>
      </c>
      <c r="I1560" s="306">
        <f>SUMPRODUCT($AE1541:$AG1541,$B1550:$D1550)</f>
        <v>1.351420924061153</v>
      </c>
      <c r="J1560" s="306">
        <f>SUMPRODUCT($AI1541:$AK1541,$B1550:$D1550)</f>
        <v>1.351420924061153</v>
      </c>
      <c r="K1560" s="291"/>
    </row>
    <row r="1561" spans="1:11">
      <c r="A1561" s="289" t="s">
        <v>95</v>
      </c>
      <c r="B1561" s="306">
        <f>SUMPRODUCT($C1542:$E1542,$B1551:$D1551)</f>
        <v>1.4741731596736984</v>
      </c>
      <c r="C1561" s="306">
        <f>SUMPRODUCT($G1542:$I1542,$B1551:$D1551)</f>
        <v>1.4906086669276755</v>
      </c>
      <c r="D1561" s="306">
        <f>SUMPRODUCT($K1542:$M1542,$B1551:$D1551)</f>
        <v>1.4906086669276755</v>
      </c>
      <c r="E1561" s="306">
        <f>SUMPRODUCT($O1542:$Q1542,$B1551:$D1551)</f>
        <v>1.4709920071431377</v>
      </c>
      <c r="F1561" s="306">
        <f>SUMPRODUCT($S1542:$U1542,$B1551:$D1551)</f>
        <v>1.4709920071431377</v>
      </c>
      <c r="G1561" s="306">
        <f>SUMPRODUCT($W1542:$Y1542,$B1551:$D1551)</f>
        <v>1.4906086669276755</v>
      </c>
      <c r="H1561" s="306">
        <f>SUMPRODUCT($AA1542:$AC1542,$B1551:$D1551)</f>
        <v>1.4709920071431377</v>
      </c>
      <c r="I1561" s="306">
        <f>SUMPRODUCT($AE1542:$AG1542,$B1551:$D1551)</f>
        <v>1.4709920071431377</v>
      </c>
      <c r="J1561" s="306">
        <f>SUMPRODUCT($AI1542:$AK1542,$B1551:$D1551)</f>
        <v>1.4709920071431377</v>
      </c>
      <c r="K1561" s="291"/>
    </row>
    <row r="1563" spans="1:11" ht="21" customHeight="1">
      <c r="A1563" s="1" t="s">
        <v>1632</v>
      </c>
    </row>
    <row r="1564" spans="1:11">
      <c r="A1564" s="287" t="s">
        <v>255</v>
      </c>
    </row>
    <row r="1565" spans="1:11">
      <c r="A1565" s="301" t="s">
        <v>469</v>
      </c>
    </row>
    <row r="1566" spans="1:11">
      <c r="A1566" s="287" t="s">
        <v>635</v>
      </c>
    </row>
    <row r="1568" spans="1:11" ht="30">
      <c r="B1568" s="288" t="s">
        <v>1591</v>
      </c>
    </row>
    <row r="1569" spans="1:38">
      <c r="A1569" s="289" t="s">
        <v>129</v>
      </c>
      <c r="B1569" s="312">
        <f>B$1318</f>
        <v>36106.46318967735</v>
      </c>
      <c r="C1569" s="291"/>
    </row>
    <row r="1570" spans="1:38">
      <c r="A1570" s="289" t="s">
        <v>130</v>
      </c>
      <c r="B1570" s="312">
        <f>B$1321</f>
        <v>6654.8554381718086</v>
      </c>
      <c r="C1570" s="291"/>
    </row>
    <row r="1572" spans="1:38" ht="21" customHeight="1">
      <c r="A1572" s="1" t="s">
        <v>1584</v>
      </c>
    </row>
    <row r="1573" spans="1:38">
      <c r="A1573" s="287" t="s">
        <v>255</v>
      </c>
    </row>
    <row r="1574" spans="1:38">
      <c r="A1574" s="301" t="s">
        <v>1583</v>
      </c>
    </row>
    <row r="1575" spans="1:38">
      <c r="A1575" s="287" t="s">
        <v>635</v>
      </c>
    </row>
    <row r="1577" spans="1:38">
      <c r="B1577" s="297" t="s">
        <v>60</v>
      </c>
      <c r="C1577" s="288" t="s">
        <v>233</v>
      </c>
      <c r="D1577" s="288" t="s">
        <v>234</v>
      </c>
      <c r="E1577" s="288" t="s">
        <v>235</v>
      </c>
      <c r="F1577" s="297" t="s">
        <v>61</v>
      </c>
      <c r="G1577" s="288" t="s">
        <v>233</v>
      </c>
      <c r="H1577" s="288" t="s">
        <v>234</v>
      </c>
      <c r="I1577" s="288" t="s">
        <v>235</v>
      </c>
      <c r="J1577" s="297" t="s">
        <v>62</v>
      </c>
      <c r="K1577" s="288" t="s">
        <v>233</v>
      </c>
      <c r="L1577" s="288" t="s">
        <v>234</v>
      </c>
      <c r="M1577" s="288" t="s">
        <v>235</v>
      </c>
      <c r="N1577" s="297" t="s">
        <v>63</v>
      </c>
      <c r="O1577" s="288" t="s">
        <v>233</v>
      </c>
      <c r="P1577" s="288" t="s">
        <v>234</v>
      </c>
      <c r="Q1577" s="288" t="s">
        <v>235</v>
      </c>
      <c r="R1577" s="297" t="s">
        <v>64</v>
      </c>
      <c r="S1577" s="288" t="s">
        <v>233</v>
      </c>
      <c r="T1577" s="288" t="s">
        <v>234</v>
      </c>
      <c r="U1577" s="288" t="s">
        <v>235</v>
      </c>
      <c r="V1577" s="297" t="s">
        <v>69</v>
      </c>
      <c r="W1577" s="288" t="s">
        <v>233</v>
      </c>
      <c r="X1577" s="288" t="s">
        <v>234</v>
      </c>
      <c r="Y1577" s="288" t="s">
        <v>235</v>
      </c>
      <c r="Z1577" s="297" t="s">
        <v>65</v>
      </c>
      <c r="AA1577" s="288" t="s">
        <v>233</v>
      </c>
      <c r="AB1577" s="288" t="s">
        <v>234</v>
      </c>
      <c r="AC1577" s="288" t="s">
        <v>235</v>
      </c>
      <c r="AD1577" s="297" t="s">
        <v>66</v>
      </c>
      <c r="AE1577" s="288" t="s">
        <v>233</v>
      </c>
      <c r="AF1577" s="288" t="s">
        <v>234</v>
      </c>
      <c r="AG1577" s="288" t="s">
        <v>235</v>
      </c>
      <c r="AH1577" s="297" t="s">
        <v>67</v>
      </c>
      <c r="AI1577" s="288" t="s">
        <v>233</v>
      </c>
      <c r="AJ1577" s="288" t="s">
        <v>234</v>
      </c>
      <c r="AK1577" s="288" t="s">
        <v>235</v>
      </c>
    </row>
    <row r="1578" spans="1:38">
      <c r="A1578" s="289" t="s">
        <v>129</v>
      </c>
      <c r="C1578" s="307">
        <f>C$1473</f>
        <v>9.5622498106492255</v>
      </c>
      <c r="D1578" s="307">
        <f>D$1473</f>
        <v>0.46442561512923047</v>
      </c>
      <c r="E1578" s="307">
        <f>E$1473</f>
        <v>0</v>
      </c>
      <c r="G1578" s="307">
        <f>G$1473</f>
        <v>8.2059616139070908</v>
      </c>
      <c r="H1578" s="307">
        <f>H$1473</f>
        <v>0.7602870798319683</v>
      </c>
      <c r="I1578" s="307">
        <f>I$1473</f>
        <v>4.7964349094097178E-2</v>
      </c>
      <c r="K1578" s="307">
        <f>K$1473</f>
        <v>8.2059616139070908</v>
      </c>
      <c r="L1578" s="307">
        <f>L$1473</f>
        <v>0.7602870798319683</v>
      </c>
      <c r="M1578" s="307">
        <f>M$1473</f>
        <v>4.7964349094097178E-2</v>
      </c>
      <c r="O1578" s="307">
        <f>O$1473</f>
        <v>8.3739466963558638</v>
      </c>
      <c r="P1578" s="307">
        <f>P$1473</f>
        <v>0.60141429018278081</v>
      </c>
      <c r="Q1578" s="307">
        <f>Q$1473</f>
        <v>0.10599138250882213</v>
      </c>
      <c r="S1578" s="307">
        <f>S$1473</f>
        <v>8.3739466963558638</v>
      </c>
      <c r="T1578" s="307">
        <f>T$1473</f>
        <v>0.60141429018278081</v>
      </c>
      <c r="U1578" s="307">
        <f>U$1473</f>
        <v>0.10599138250882213</v>
      </c>
      <c r="W1578" s="307">
        <f>W$1473</f>
        <v>8.2059616139070908</v>
      </c>
      <c r="X1578" s="307">
        <f>X$1473</f>
        <v>0.7602870798319683</v>
      </c>
      <c r="Y1578" s="307">
        <f>Y$1473</f>
        <v>4.7964349094097178E-2</v>
      </c>
      <c r="AA1578" s="307">
        <f>AA$1473</f>
        <v>8.3739466963558638</v>
      </c>
      <c r="AB1578" s="307">
        <f>AB$1473</f>
        <v>0.60141429018278081</v>
      </c>
      <c r="AC1578" s="307">
        <f>AC$1473</f>
        <v>0.10599138250882213</v>
      </c>
      <c r="AE1578" s="307">
        <f>AE$1473</f>
        <v>8.3739466963558638</v>
      </c>
      <c r="AF1578" s="307">
        <f>AF$1473</f>
        <v>0.60141429018278081</v>
      </c>
      <c r="AG1578" s="307">
        <f>AG$1473</f>
        <v>0.10599138250882213</v>
      </c>
      <c r="AI1578" s="307">
        <f>AI$1473</f>
        <v>8.3739466963558638</v>
      </c>
      <c r="AJ1578" s="307">
        <f>AJ$1473</f>
        <v>0.60141429018278081</v>
      </c>
      <c r="AK1578" s="307">
        <f>AK$1473</f>
        <v>0.10599138250882213</v>
      </c>
      <c r="AL1578" s="291"/>
    </row>
    <row r="1579" spans="1:38">
      <c r="A1579" s="289" t="s">
        <v>130</v>
      </c>
      <c r="C1579" s="307">
        <f>C$1476</f>
        <v>9.5622498106492255</v>
      </c>
      <c r="D1579" s="307">
        <f>D$1476</f>
        <v>0.46442561512923047</v>
      </c>
      <c r="E1579" s="307">
        <f>E$1476</f>
        <v>0</v>
      </c>
      <c r="G1579" s="307">
        <f>G$1476</f>
        <v>8.2059616139070908</v>
      </c>
      <c r="H1579" s="307">
        <f>H$1476</f>
        <v>0.7602870798319683</v>
      </c>
      <c r="I1579" s="307">
        <f>I$1476</f>
        <v>4.7964349094097178E-2</v>
      </c>
      <c r="K1579" s="307">
        <f>K$1476</f>
        <v>8.2059616139070908</v>
      </c>
      <c r="L1579" s="307">
        <f>L$1476</f>
        <v>0.7602870798319683</v>
      </c>
      <c r="M1579" s="307">
        <f>M$1476</f>
        <v>4.7964349094097178E-2</v>
      </c>
      <c r="O1579" s="307">
        <f>O$1476</f>
        <v>8.3739466963558638</v>
      </c>
      <c r="P1579" s="307">
        <f>P$1476</f>
        <v>0.60141429018278081</v>
      </c>
      <c r="Q1579" s="307">
        <f>Q$1476</f>
        <v>0.10599138250882213</v>
      </c>
      <c r="S1579" s="307">
        <f>S$1476</f>
        <v>8.3739466963558638</v>
      </c>
      <c r="T1579" s="307">
        <f>T$1476</f>
        <v>0.60141429018278081</v>
      </c>
      <c r="U1579" s="307">
        <f>U$1476</f>
        <v>0.10599138250882213</v>
      </c>
      <c r="W1579" s="307">
        <f>W$1476</f>
        <v>8.2059616139070908</v>
      </c>
      <c r="X1579" s="307">
        <f>X$1476</f>
        <v>0.7602870798319683</v>
      </c>
      <c r="Y1579" s="307">
        <f>Y$1476</f>
        <v>4.7964349094097178E-2</v>
      </c>
      <c r="AA1579" s="307">
        <f>AA$1476</f>
        <v>8.3739466963558638</v>
      </c>
      <c r="AB1579" s="307">
        <f>AB$1476</f>
        <v>0.60141429018278081</v>
      </c>
      <c r="AC1579" s="307">
        <f>AC$1476</f>
        <v>0.10599138250882213</v>
      </c>
      <c r="AE1579" s="307">
        <f>AE$1476</f>
        <v>8.3739466963558638</v>
      </c>
      <c r="AF1579" s="307">
        <f>AF$1476</f>
        <v>0.60141429018278081</v>
      </c>
      <c r="AG1579" s="307">
        <f>AG$1476</f>
        <v>0.10599138250882213</v>
      </c>
      <c r="AI1579" s="307">
        <f>AI$1476</f>
        <v>8.3739466963558638</v>
      </c>
      <c r="AJ1579" s="307">
        <f>AJ$1476</f>
        <v>0.60141429018278081</v>
      </c>
      <c r="AK1579" s="307">
        <f>AK$1476</f>
        <v>0.10599138250882213</v>
      </c>
      <c r="AL1579" s="291"/>
    </row>
    <row r="1581" spans="1:38" ht="21" customHeight="1">
      <c r="A1581" s="1" t="s">
        <v>1633</v>
      </c>
    </row>
    <row r="1582" spans="1:38">
      <c r="A1582" s="287" t="s">
        <v>255</v>
      </c>
    </row>
    <row r="1583" spans="1:38">
      <c r="A1583" s="301" t="s">
        <v>1589</v>
      </c>
    </row>
    <row r="1584" spans="1:38">
      <c r="A1584" s="287" t="s">
        <v>635</v>
      </c>
    </row>
    <row r="1586" spans="1:11">
      <c r="B1586" s="288" t="s">
        <v>233</v>
      </c>
      <c r="C1586" s="288" t="s">
        <v>234</v>
      </c>
      <c r="D1586" s="288" t="s">
        <v>235</v>
      </c>
    </row>
    <row r="1587" spans="1:11">
      <c r="A1587" s="289" t="s">
        <v>129</v>
      </c>
      <c r="B1587" s="308">
        <f>B$1242</f>
        <v>2.8213273611215495E-3</v>
      </c>
      <c r="C1587" s="308">
        <f>C$1242</f>
        <v>0.20906851428116469</v>
      </c>
      <c r="D1587" s="308">
        <f>D$1242</f>
        <v>0.78811015835771381</v>
      </c>
      <c r="E1587" s="291"/>
    </row>
    <row r="1588" spans="1:11">
      <c r="A1588" s="289" t="s">
        <v>130</v>
      </c>
      <c r="B1588" s="308">
        <f>B$1245</f>
        <v>2.1180943708626887E-2</v>
      </c>
      <c r="C1588" s="308">
        <f>C$1245</f>
        <v>0.17461755756654385</v>
      </c>
      <c r="D1588" s="308">
        <f>D$1245</f>
        <v>0.80420149872482938</v>
      </c>
      <c r="E1588" s="291"/>
    </row>
    <row r="1590" spans="1:11" ht="21" customHeight="1">
      <c r="A1590" s="1" t="s">
        <v>1634</v>
      </c>
    </row>
    <row r="1591" spans="1:11">
      <c r="A1591" s="287" t="s">
        <v>255</v>
      </c>
    </row>
    <row r="1592" spans="1:11">
      <c r="A1592" s="301" t="s">
        <v>1575</v>
      </c>
    </row>
    <row r="1593" spans="1:11">
      <c r="A1593" s="301" t="s">
        <v>1635</v>
      </c>
    </row>
    <row r="1594" spans="1:11">
      <c r="A1594" s="287" t="s">
        <v>268</v>
      </c>
    </row>
    <row r="1596" spans="1:11">
      <c r="B1596" s="288" t="s">
        <v>60</v>
      </c>
      <c r="C1596" s="288" t="s">
        <v>61</v>
      </c>
      <c r="D1596" s="288" t="s">
        <v>62</v>
      </c>
      <c r="E1596" s="288" t="s">
        <v>63</v>
      </c>
      <c r="F1596" s="288" t="s">
        <v>64</v>
      </c>
      <c r="G1596" s="288" t="s">
        <v>69</v>
      </c>
      <c r="H1596" s="288" t="s">
        <v>65</v>
      </c>
      <c r="I1596" s="288" t="s">
        <v>66</v>
      </c>
      <c r="J1596" s="288" t="s">
        <v>67</v>
      </c>
    </row>
    <row r="1597" spans="1:11">
      <c r="A1597" s="289" t="s">
        <v>129</v>
      </c>
      <c r="B1597" s="306">
        <f>SUMPRODUCT($C1578:$E1578,$B1587:$D1587)</f>
        <v>0.12407501037384824</v>
      </c>
      <c r="C1597" s="306">
        <f>SUMPRODUCT($G1578:$I1578,$B1587:$D1587)</f>
        <v>0.21990498499333769</v>
      </c>
      <c r="D1597" s="306">
        <f>SUMPRODUCT($K1578:$M1578,$B1587:$D1587)</f>
        <v>0.21990498499333769</v>
      </c>
      <c r="E1597" s="306">
        <f>SUMPRODUCT($O1578:$Q1578,$B1587:$D1587)</f>
        <v>0.23289532230455828</v>
      </c>
      <c r="F1597" s="306">
        <f>SUMPRODUCT($S1578:$U1578,$B1587:$D1587)</f>
        <v>0.23289532230455828</v>
      </c>
      <c r="G1597" s="306">
        <f>SUMPRODUCT($W1578:$Y1578,$B1587:$D1587)</f>
        <v>0.21990498499333769</v>
      </c>
      <c r="H1597" s="306">
        <f>SUMPRODUCT($AA1578:$AC1578,$B1587:$D1587)</f>
        <v>0.23289532230455828</v>
      </c>
      <c r="I1597" s="306">
        <f>SUMPRODUCT($AE1578:$AG1578,$B1587:$D1587)</f>
        <v>0.23289532230455828</v>
      </c>
      <c r="J1597" s="306">
        <f>SUMPRODUCT($AI1578:$AK1578,$B1587:$D1587)</f>
        <v>0.23289532230455828</v>
      </c>
      <c r="K1597" s="291"/>
    </row>
    <row r="1598" spans="1:11">
      <c r="A1598" s="289" t="s">
        <v>130</v>
      </c>
      <c r="B1598" s="306">
        <f>SUMPRODUCT($C1579:$E1579,$B1588:$D1588)</f>
        <v>0.28363434155239531</v>
      </c>
      <c r="C1598" s="306">
        <f>SUMPRODUCT($G1579:$I1579,$B1588:$D1588)</f>
        <v>0.34514248537581121</v>
      </c>
      <c r="D1598" s="306">
        <f>SUMPRODUCT($K1579:$M1579,$B1588:$D1588)</f>
        <v>0.34514248537581121</v>
      </c>
      <c r="E1598" s="306">
        <f>SUMPRODUCT($O1579:$Q1579,$B1588:$D1588)</f>
        <v>0.36762401669740086</v>
      </c>
      <c r="F1598" s="306">
        <f>SUMPRODUCT($S1579:$U1579,$B1588:$D1588)</f>
        <v>0.36762401669740086</v>
      </c>
      <c r="G1598" s="306">
        <f>SUMPRODUCT($W1579:$Y1579,$B1588:$D1588)</f>
        <v>0.34514248537581121</v>
      </c>
      <c r="H1598" s="306">
        <f>SUMPRODUCT($AA1579:$AC1579,$B1588:$D1588)</f>
        <v>0.36762401669740086</v>
      </c>
      <c r="I1598" s="306">
        <f>SUMPRODUCT($AE1579:$AG1579,$B1588:$D1588)</f>
        <v>0.36762401669740086</v>
      </c>
      <c r="J1598" s="306">
        <f>SUMPRODUCT($AI1579:$AK1579,$B1588:$D1588)</f>
        <v>0.36762401669740086</v>
      </c>
      <c r="K1598" s="291"/>
    </row>
    <row r="1600" spans="1:11" ht="21" customHeight="1">
      <c r="A1600" s="1" t="s">
        <v>1636</v>
      </c>
    </row>
    <row r="1601" spans="1:38">
      <c r="A1601" s="287" t="s">
        <v>255</v>
      </c>
    </row>
    <row r="1602" spans="1:38">
      <c r="A1602" s="301" t="s">
        <v>469</v>
      </c>
    </row>
    <row r="1603" spans="1:38">
      <c r="A1603" s="287" t="s">
        <v>635</v>
      </c>
    </row>
    <row r="1605" spans="1:38" ht="30">
      <c r="B1605" s="288" t="s">
        <v>1580</v>
      </c>
    </row>
    <row r="1606" spans="1:38">
      <c r="A1606" s="289" t="s">
        <v>1536</v>
      </c>
      <c r="B1606" s="312">
        <f>B$1325</f>
        <v>0</v>
      </c>
      <c r="C1606" s="291"/>
    </row>
    <row r="1607" spans="1:38">
      <c r="A1607" s="289" t="s">
        <v>1535</v>
      </c>
      <c r="B1607" s="312">
        <f>B$1326</f>
        <v>621009.24272040371</v>
      </c>
      <c r="C1607" s="291"/>
    </row>
    <row r="1609" spans="1:38" ht="21" customHeight="1">
      <c r="A1609" s="1" t="s">
        <v>1637</v>
      </c>
    </row>
    <row r="1610" spans="1:38">
      <c r="A1610" s="287" t="s">
        <v>255</v>
      </c>
    </row>
    <row r="1611" spans="1:38">
      <c r="A1611" s="301" t="s">
        <v>1583</v>
      </c>
    </row>
    <row r="1612" spans="1:38">
      <c r="A1612" s="287" t="s">
        <v>635</v>
      </c>
    </row>
    <row r="1614" spans="1:38">
      <c r="B1614" s="297" t="s">
        <v>60</v>
      </c>
      <c r="C1614" s="288" t="s">
        <v>233</v>
      </c>
      <c r="D1614" s="288" t="s">
        <v>234</v>
      </c>
      <c r="E1614" s="288" t="s">
        <v>235</v>
      </c>
      <c r="F1614" s="297" t="s">
        <v>61</v>
      </c>
      <c r="G1614" s="288" t="s">
        <v>233</v>
      </c>
      <c r="H1614" s="288" t="s">
        <v>234</v>
      </c>
      <c r="I1614" s="288" t="s">
        <v>235</v>
      </c>
      <c r="J1614" s="297" t="s">
        <v>62</v>
      </c>
      <c r="K1614" s="288" t="s">
        <v>233</v>
      </c>
      <c r="L1614" s="288" t="s">
        <v>234</v>
      </c>
      <c r="M1614" s="288" t="s">
        <v>235</v>
      </c>
      <c r="N1614" s="297" t="s">
        <v>63</v>
      </c>
      <c r="O1614" s="288" t="s">
        <v>233</v>
      </c>
      <c r="P1614" s="288" t="s">
        <v>234</v>
      </c>
      <c r="Q1614" s="288" t="s">
        <v>235</v>
      </c>
      <c r="R1614" s="297" t="s">
        <v>64</v>
      </c>
      <c r="S1614" s="288" t="s">
        <v>233</v>
      </c>
      <c r="T1614" s="288" t="s">
        <v>234</v>
      </c>
      <c r="U1614" s="288" t="s">
        <v>235</v>
      </c>
      <c r="V1614" s="297" t="s">
        <v>69</v>
      </c>
      <c r="W1614" s="288" t="s">
        <v>233</v>
      </c>
      <c r="X1614" s="288" t="s">
        <v>234</v>
      </c>
      <c r="Y1614" s="288" t="s">
        <v>235</v>
      </c>
      <c r="Z1614" s="297" t="s">
        <v>65</v>
      </c>
      <c r="AA1614" s="288" t="s">
        <v>233</v>
      </c>
      <c r="AB1614" s="288" t="s">
        <v>234</v>
      </c>
      <c r="AC1614" s="288" t="s">
        <v>235</v>
      </c>
      <c r="AD1614" s="297" t="s">
        <v>66</v>
      </c>
      <c r="AE1614" s="288" t="s">
        <v>233</v>
      </c>
      <c r="AF1614" s="288" t="s">
        <v>234</v>
      </c>
      <c r="AG1614" s="288" t="s">
        <v>235</v>
      </c>
      <c r="AH1614" s="297" t="s">
        <v>67</v>
      </c>
      <c r="AI1614" s="288" t="s">
        <v>233</v>
      </c>
      <c r="AJ1614" s="288" t="s">
        <v>234</v>
      </c>
      <c r="AK1614" s="288" t="s">
        <v>235</v>
      </c>
    </row>
    <row r="1615" spans="1:38">
      <c r="A1615" s="289" t="s">
        <v>1536</v>
      </c>
      <c r="C1615" s="307">
        <f>C$1480</f>
        <v>9.5622498106492255</v>
      </c>
      <c r="D1615" s="307">
        <f>D$1480</f>
        <v>0.46442561512923047</v>
      </c>
      <c r="E1615" s="307">
        <f>E$1480</f>
        <v>0</v>
      </c>
      <c r="G1615" s="307">
        <f>G$1480</f>
        <v>8.2059616139070908</v>
      </c>
      <c r="H1615" s="307">
        <f>H$1480</f>
        <v>0.7602870798319683</v>
      </c>
      <c r="I1615" s="307">
        <f>I$1480</f>
        <v>4.7964349094097178E-2</v>
      </c>
      <c r="K1615" s="307">
        <f>K$1480</f>
        <v>8.2059616139070908</v>
      </c>
      <c r="L1615" s="307">
        <f>L$1480</f>
        <v>0.7602870798319683</v>
      </c>
      <c r="M1615" s="307">
        <f>M$1480</f>
        <v>4.7964349094097178E-2</v>
      </c>
      <c r="O1615" s="307">
        <f>O$1480</f>
        <v>8.3739466963558638</v>
      </c>
      <c r="P1615" s="307">
        <f>P$1480</f>
        <v>0.60141429018278081</v>
      </c>
      <c r="Q1615" s="307">
        <f>Q$1480</f>
        <v>0.10599138250882213</v>
      </c>
      <c r="S1615" s="307">
        <f>S$1480</f>
        <v>8.3739466963558638</v>
      </c>
      <c r="T1615" s="307">
        <f>T$1480</f>
        <v>0.60141429018278081</v>
      </c>
      <c r="U1615" s="307">
        <f>U$1480</f>
        <v>0.10599138250882213</v>
      </c>
      <c r="W1615" s="307">
        <f>W$1480</f>
        <v>8.2059616139070908</v>
      </c>
      <c r="X1615" s="307">
        <f>X$1480</f>
        <v>0.7602870798319683</v>
      </c>
      <c r="Y1615" s="307">
        <f>Y$1480</f>
        <v>4.7964349094097178E-2</v>
      </c>
      <c r="AA1615" s="307">
        <f>AA$1480</f>
        <v>8.3739466963558638</v>
      </c>
      <c r="AB1615" s="307">
        <f>AB$1480</f>
        <v>0.60141429018278081</v>
      </c>
      <c r="AC1615" s="307">
        <f>AC$1480</f>
        <v>0.10599138250882213</v>
      </c>
      <c r="AE1615" s="307">
        <f>AE$1480</f>
        <v>8.3739466963558638</v>
      </c>
      <c r="AF1615" s="307">
        <f>AF$1480</f>
        <v>0.60141429018278081</v>
      </c>
      <c r="AG1615" s="307">
        <f>AG$1480</f>
        <v>0.10599138250882213</v>
      </c>
      <c r="AI1615" s="307">
        <f>AI$1480</f>
        <v>8.3739466963558638</v>
      </c>
      <c r="AJ1615" s="307">
        <f>AJ$1480</f>
        <v>0.60141429018278081</v>
      </c>
      <c r="AK1615" s="307">
        <f>AK$1480</f>
        <v>0.10599138250882213</v>
      </c>
      <c r="AL1615" s="291"/>
    </row>
    <row r="1616" spans="1:38">
      <c r="A1616" s="289" t="s">
        <v>1535</v>
      </c>
      <c r="C1616" s="307">
        <f>C$1481</f>
        <v>12.954187657792202</v>
      </c>
      <c r="D1616" s="307">
        <f>D$1481</f>
        <v>0.62916747529116845</v>
      </c>
      <c r="E1616" s="307">
        <f>E$1481</f>
        <v>0</v>
      </c>
      <c r="G1616" s="307">
        <f>G$1481</f>
        <v>11.11679455820183</v>
      </c>
      <c r="H1616" s="307">
        <f>H$1481</f>
        <v>1.0299774321906643</v>
      </c>
      <c r="I1616" s="307">
        <f>I$1481</f>
        <v>6.4978346241992238E-2</v>
      </c>
      <c r="K1616" s="307">
        <f>K$1481</f>
        <v>11.11679455820183</v>
      </c>
      <c r="L1616" s="307">
        <f>L$1481</f>
        <v>1.0299774321906643</v>
      </c>
      <c r="M1616" s="307">
        <f>M$1481</f>
        <v>6.4978346241992238E-2</v>
      </c>
      <c r="O1616" s="307">
        <f>O$1481</f>
        <v>11.344367600617812</v>
      </c>
      <c r="P1616" s="307">
        <f>P$1481</f>
        <v>0.81474901088959106</v>
      </c>
      <c r="Q1616" s="307">
        <f>Q$1481</f>
        <v>0.14358882964958788</v>
      </c>
      <c r="S1616" s="307">
        <f>S$1481</f>
        <v>11.344367600617812</v>
      </c>
      <c r="T1616" s="307">
        <f>T$1481</f>
        <v>0.81474901088959106</v>
      </c>
      <c r="U1616" s="307">
        <f>U$1481</f>
        <v>0.14358882964958788</v>
      </c>
      <c r="W1616" s="307">
        <f>W$1481</f>
        <v>11.11679455820183</v>
      </c>
      <c r="X1616" s="307">
        <f>X$1481</f>
        <v>1.0299774321906643</v>
      </c>
      <c r="Y1616" s="307">
        <f>Y$1481</f>
        <v>6.4978346241992238E-2</v>
      </c>
      <c r="AA1616" s="307">
        <f>AA$1481</f>
        <v>11.344367600617812</v>
      </c>
      <c r="AB1616" s="307">
        <f>AB$1481</f>
        <v>0.81474901088959106</v>
      </c>
      <c r="AC1616" s="307">
        <f>AC$1481</f>
        <v>0.14358882964958788</v>
      </c>
      <c r="AE1616" s="307">
        <f>AE$1481</f>
        <v>11.344367600617812</v>
      </c>
      <c r="AF1616" s="307">
        <f>AF$1481</f>
        <v>0.81474901088959106</v>
      </c>
      <c r="AG1616" s="307">
        <f>AG$1481</f>
        <v>0.14358882964958788</v>
      </c>
      <c r="AI1616" s="307">
        <f>AI$1481</f>
        <v>11.344367600617812</v>
      </c>
      <c r="AJ1616" s="307">
        <f>AJ$1481</f>
        <v>0.81474901088959106</v>
      </c>
      <c r="AK1616" s="307">
        <f>AK$1481</f>
        <v>0.14358882964958788</v>
      </c>
      <c r="AL1616" s="291"/>
    </row>
    <row r="1618" spans="1:5" ht="21" customHeight="1">
      <c r="A1618" s="1" t="s">
        <v>1638</v>
      </c>
    </row>
    <row r="1619" spans="1:5">
      <c r="A1619" s="287" t="s">
        <v>255</v>
      </c>
    </row>
    <row r="1620" spans="1:5">
      <c r="A1620" s="301" t="s">
        <v>1579</v>
      </c>
    </row>
    <row r="1621" spans="1:5">
      <c r="A1621" s="287" t="s">
        <v>635</v>
      </c>
    </row>
    <row r="1623" spans="1:5">
      <c r="B1623" s="288" t="s">
        <v>233</v>
      </c>
      <c r="C1623" s="288" t="s">
        <v>234</v>
      </c>
      <c r="D1623" s="288" t="s">
        <v>235</v>
      </c>
    </row>
    <row r="1624" spans="1:5">
      <c r="A1624" s="289" t="s">
        <v>1536</v>
      </c>
      <c r="B1624" s="308">
        <f>B$1398</f>
        <v>0</v>
      </c>
      <c r="C1624" s="308">
        <f>C$1398</f>
        <v>0</v>
      </c>
      <c r="D1624" s="308">
        <f>D$1398</f>
        <v>0</v>
      </c>
      <c r="E1624" s="291"/>
    </row>
    <row r="1625" spans="1:5">
      <c r="A1625" s="289" t="s">
        <v>1535</v>
      </c>
      <c r="B1625" s="308">
        <f>B$1399</f>
        <v>0.11058887503077117</v>
      </c>
      <c r="C1625" s="308">
        <f>C$1399</f>
        <v>0.42151991497235969</v>
      </c>
      <c r="D1625" s="308">
        <f>D$1399</f>
        <v>0.46789120999686906</v>
      </c>
      <c r="E1625" s="291"/>
    </row>
    <row r="1627" spans="1:5" ht="21" customHeight="1">
      <c r="A1627" s="1" t="s">
        <v>1639</v>
      </c>
    </row>
    <row r="1628" spans="1:5">
      <c r="A1628" s="287" t="s">
        <v>255</v>
      </c>
    </row>
    <row r="1629" spans="1:5">
      <c r="A1629" s="301" t="s">
        <v>1640</v>
      </c>
    </row>
    <row r="1630" spans="1:5">
      <c r="A1630" s="301" t="s">
        <v>1641</v>
      </c>
    </row>
    <row r="1631" spans="1:5">
      <c r="A1631" s="287" t="s">
        <v>268</v>
      </c>
    </row>
    <row r="1633" spans="1:11">
      <c r="B1633" s="288" t="s">
        <v>60</v>
      </c>
      <c r="C1633" s="288" t="s">
        <v>61</v>
      </c>
      <c r="D1633" s="288" t="s">
        <v>62</v>
      </c>
      <c r="E1633" s="288" t="s">
        <v>63</v>
      </c>
      <c r="F1633" s="288" t="s">
        <v>64</v>
      </c>
      <c r="G1633" s="288" t="s">
        <v>69</v>
      </c>
      <c r="H1633" s="288" t="s">
        <v>65</v>
      </c>
      <c r="I1633" s="288" t="s">
        <v>66</v>
      </c>
      <c r="J1633" s="288" t="s">
        <v>67</v>
      </c>
    </row>
    <row r="1634" spans="1:11">
      <c r="A1634" s="289" t="s">
        <v>1536</v>
      </c>
      <c r="B1634" s="306">
        <f>SUMPRODUCT($C1615:$E1615,$B1624:$D1624)</f>
        <v>0</v>
      </c>
      <c r="C1634" s="306">
        <f>SUMPRODUCT($G1615:$I1615,$B1624:$D1624)</f>
        <v>0</v>
      </c>
      <c r="D1634" s="306">
        <f>SUMPRODUCT($K1615:$M1615,$B1624:$D1624)</f>
        <v>0</v>
      </c>
      <c r="E1634" s="306">
        <f>SUMPRODUCT($O1615:$Q1615,$B1624:$D1624)</f>
        <v>0</v>
      </c>
      <c r="F1634" s="306">
        <f>SUMPRODUCT($S1615:$U1615,$B1624:$D1624)</f>
        <v>0</v>
      </c>
      <c r="G1634" s="306">
        <f>SUMPRODUCT($W1615:$Y1615,$B1624:$D1624)</f>
        <v>0</v>
      </c>
      <c r="H1634" s="306">
        <f>SUMPRODUCT($AA1615:$AC1615,$B1624:$D1624)</f>
        <v>0</v>
      </c>
      <c r="I1634" s="306">
        <f>SUMPRODUCT($AE1615:$AG1615,$B1624:$D1624)</f>
        <v>0</v>
      </c>
      <c r="J1634" s="306">
        <f>SUMPRODUCT($AI1615:$AK1615,$B1624:$D1624)</f>
        <v>0</v>
      </c>
      <c r="K1634" s="291"/>
    </row>
    <row r="1635" spans="1:11">
      <c r="A1635" s="289" t="s">
        <v>1535</v>
      </c>
      <c r="B1635" s="306">
        <f>SUMPRODUCT($C1616:$E1616,$B1625:$D1625)</f>
        <v>1.6977956607008475</v>
      </c>
      <c r="C1635" s="306">
        <f>SUMPRODUCT($G1616:$I1616,$B1625:$D1625)</f>
        <v>1.6939526008269588</v>
      </c>
      <c r="D1635" s="306">
        <f>SUMPRODUCT($K1616:$M1616,$B1625:$D1625)</f>
        <v>1.6939526008269588</v>
      </c>
      <c r="E1635" s="306">
        <f>SUMPRODUCT($O1616:$Q1616,$B1625:$D1625)</f>
        <v>1.6651777359286271</v>
      </c>
      <c r="F1635" s="306">
        <f>SUMPRODUCT($S1616:$U1616,$B1625:$D1625)</f>
        <v>1.6651777359286271</v>
      </c>
      <c r="G1635" s="306">
        <f>SUMPRODUCT($W1616:$Y1616,$B1625:$D1625)</f>
        <v>1.6939526008269588</v>
      </c>
      <c r="H1635" s="306">
        <f>SUMPRODUCT($AA1616:$AC1616,$B1625:$D1625)</f>
        <v>1.6651777359286271</v>
      </c>
      <c r="I1635" s="306">
        <f>SUMPRODUCT($AE1616:$AG1616,$B1625:$D1625)</f>
        <v>1.6651777359286271</v>
      </c>
      <c r="J1635" s="306">
        <f>SUMPRODUCT($AI1616:$AK1616,$B1625:$D1625)</f>
        <v>1.6651777359286271</v>
      </c>
      <c r="K1635" s="291"/>
    </row>
    <row r="1637" spans="1:11" ht="21" customHeight="1">
      <c r="A1637" s="1" t="s">
        <v>1642</v>
      </c>
    </row>
    <row r="1638" spans="1:11">
      <c r="A1638" s="287" t="s">
        <v>255</v>
      </c>
    </row>
    <row r="1639" spans="1:11">
      <c r="A1639" s="301" t="s">
        <v>1643</v>
      </c>
    </row>
    <row r="1640" spans="1:11">
      <c r="A1640" s="301" t="s">
        <v>1644</v>
      </c>
    </row>
    <row r="1641" spans="1:11">
      <c r="A1641" s="301" t="s">
        <v>1645</v>
      </c>
    </row>
    <row r="1642" spans="1:11">
      <c r="A1642" s="301" t="s">
        <v>1646</v>
      </c>
    </row>
    <row r="1643" spans="1:11">
      <c r="A1643" s="301" t="s">
        <v>1647</v>
      </c>
    </row>
    <row r="1644" spans="1:11">
      <c r="A1644" s="301" t="s">
        <v>1648</v>
      </c>
    </row>
    <row r="1645" spans="1:11">
      <c r="A1645" s="287" t="s">
        <v>1581</v>
      </c>
    </row>
    <row r="1647" spans="1:11">
      <c r="B1647" s="288" t="s">
        <v>60</v>
      </c>
      <c r="C1647" s="288" t="s">
        <v>61</v>
      </c>
      <c r="D1647" s="288" t="s">
        <v>62</v>
      </c>
      <c r="E1647" s="288" t="s">
        <v>63</v>
      </c>
      <c r="F1647" s="288" t="s">
        <v>64</v>
      </c>
      <c r="G1647" s="288" t="s">
        <v>69</v>
      </c>
      <c r="H1647" s="288" t="s">
        <v>65</v>
      </c>
      <c r="I1647" s="288" t="s">
        <v>66</v>
      </c>
      <c r="J1647" s="288" t="s">
        <v>67</v>
      </c>
    </row>
    <row r="1648" spans="1:11">
      <c r="A1648" s="289" t="s">
        <v>1577</v>
      </c>
      <c r="B1648" s="306">
        <f t="shared" ref="B1648:J1648" si="150">($B1504*B1523+$B1532*B1560+$B1569*B1597)/($B1504+$B1532+$B1569)</f>
        <v>1.8713347323120046</v>
      </c>
      <c r="C1648" s="306">
        <f t="shared" si="150"/>
        <v>1.8085739405606585</v>
      </c>
      <c r="D1648" s="306">
        <f t="shared" si="150"/>
        <v>1.8085739405606585</v>
      </c>
      <c r="E1648" s="306">
        <f t="shared" si="150"/>
        <v>1.7972607443851782</v>
      </c>
      <c r="F1648" s="306">
        <f t="shared" si="150"/>
        <v>1.7972607443851782</v>
      </c>
      <c r="G1648" s="306">
        <f t="shared" si="150"/>
        <v>1.8085739405606585</v>
      </c>
      <c r="H1648" s="306">
        <f t="shared" si="150"/>
        <v>1.7972607443851782</v>
      </c>
      <c r="I1648" s="306">
        <f t="shared" si="150"/>
        <v>1.7972607443851782</v>
      </c>
      <c r="J1648" s="306">
        <f t="shared" si="150"/>
        <v>1.7972607443851782</v>
      </c>
      <c r="K1648" s="291"/>
    </row>
    <row r="1649" spans="1:11">
      <c r="A1649" s="289" t="s">
        <v>1576</v>
      </c>
      <c r="B1649" s="306">
        <f t="shared" ref="B1649:J1649" si="151">($B1505*B1524+$B1533*B1561+$B1570*B1598)/($B1505+$B1533+$B1570)</f>
        <v>1.7061612798499943</v>
      </c>
      <c r="C1649" s="306">
        <f t="shared" si="151"/>
        <v>1.7178201892121603</v>
      </c>
      <c r="D1649" s="306">
        <f t="shared" si="151"/>
        <v>1.7178201892121603</v>
      </c>
      <c r="E1649" s="306">
        <f t="shared" si="151"/>
        <v>1.6674127362129429</v>
      </c>
      <c r="F1649" s="306">
        <f t="shared" si="151"/>
        <v>1.6674127362129429</v>
      </c>
      <c r="G1649" s="306">
        <f t="shared" si="151"/>
        <v>1.7178201892121603</v>
      </c>
      <c r="H1649" s="306">
        <f t="shared" si="151"/>
        <v>1.6674127362129429</v>
      </c>
      <c r="I1649" s="306">
        <f t="shared" si="151"/>
        <v>1.6674127362129429</v>
      </c>
      <c r="J1649" s="306">
        <f t="shared" si="151"/>
        <v>1.6674127362129429</v>
      </c>
      <c r="K1649" s="291"/>
    </row>
    <row r="1651" spans="1:11" ht="21" customHeight="1">
      <c r="A1651" s="1" t="s">
        <v>1649</v>
      </c>
    </row>
    <row r="1652" spans="1:11">
      <c r="A1652" s="287" t="s">
        <v>255</v>
      </c>
    </row>
    <row r="1653" spans="1:11">
      <c r="A1653" s="301" t="s">
        <v>1643</v>
      </c>
    </row>
    <row r="1654" spans="1:11">
      <c r="A1654" s="301" t="s">
        <v>1627</v>
      </c>
    </row>
    <row r="1655" spans="1:11">
      <c r="A1655" s="301" t="s">
        <v>1645</v>
      </c>
    </row>
    <row r="1656" spans="1:11">
      <c r="A1656" s="301" t="s">
        <v>1585</v>
      </c>
    </row>
    <row r="1657" spans="1:11">
      <c r="A1657" s="301" t="s">
        <v>1647</v>
      </c>
    </row>
    <row r="1658" spans="1:11">
      <c r="A1658" s="301" t="s">
        <v>1650</v>
      </c>
    </row>
    <row r="1659" spans="1:11">
      <c r="A1659" s="287" t="s">
        <v>1581</v>
      </c>
    </row>
    <row r="1661" spans="1:11">
      <c r="B1661" s="288" t="s">
        <v>233</v>
      </c>
      <c r="C1661" s="288" t="s">
        <v>234</v>
      </c>
      <c r="D1661" s="288" t="s">
        <v>235</v>
      </c>
    </row>
    <row r="1662" spans="1:11">
      <c r="A1662" s="289" t="s">
        <v>1536</v>
      </c>
      <c r="B1662" s="308">
        <f t="shared" ref="B1662:D1663" si="152">($B1504*B1513+$B1532*B1550+$B1569*B1587)/($B1504+$B1532+$B1569)</f>
        <v>0.13813951913000652</v>
      </c>
      <c r="C1662" s="308">
        <f t="shared" si="152"/>
        <v>0.38336601913390761</v>
      </c>
      <c r="D1662" s="308">
        <f t="shared" si="152"/>
        <v>0.47849446173608584</v>
      </c>
      <c r="E1662" s="291"/>
    </row>
    <row r="1663" spans="1:11">
      <c r="A1663" s="289" t="s">
        <v>1535</v>
      </c>
      <c r="B1663" s="308">
        <f t="shared" si="152"/>
        <v>0.11949780747437669</v>
      </c>
      <c r="C1663" s="308">
        <f t="shared" si="152"/>
        <v>0.52074462001400723</v>
      </c>
      <c r="D1663" s="308">
        <f t="shared" si="152"/>
        <v>0.35975757251161611</v>
      </c>
      <c r="E1663" s="291"/>
    </row>
    <row r="1665" spans="1:11" ht="21" customHeight="1">
      <c r="A1665" s="1" t="s">
        <v>1651</v>
      </c>
    </row>
    <row r="1666" spans="1:11">
      <c r="A1666" s="287" t="s">
        <v>255</v>
      </c>
    </row>
    <row r="1667" spans="1:11">
      <c r="A1667" s="301" t="s">
        <v>1640</v>
      </c>
    </row>
    <row r="1668" spans="1:11">
      <c r="A1668" s="301" t="s">
        <v>1652</v>
      </c>
    </row>
    <row r="1669" spans="1:11">
      <c r="A1669" s="287" t="s">
        <v>268</v>
      </c>
    </row>
    <row r="1671" spans="1:11">
      <c r="B1671" s="288" t="s">
        <v>60</v>
      </c>
      <c r="C1671" s="288" t="s">
        <v>61</v>
      </c>
      <c r="D1671" s="288" t="s">
        <v>62</v>
      </c>
      <c r="E1671" s="288" t="s">
        <v>63</v>
      </c>
      <c r="F1671" s="288" t="s">
        <v>64</v>
      </c>
      <c r="G1671" s="288" t="s">
        <v>69</v>
      </c>
      <c r="H1671" s="288" t="s">
        <v>65</v>
      </c>
      <c r="I1671" s="288" t="s">
        <v>66</v>
      </c>
      <c r="J1671" s="288" t="s">
        <v>67</v>
      </c>
    </row>
    <row r="1672" spans="1:11">
      <c r="A1672" s="289" t="s">
        <v>1536</v>
      </c>
      <c r="B1672" s="306">
        <f>SUMPRODUCT($C1615:$E1615,$B1662:$D1662)</f>
        <v>1.4989695898999893</v>
      </c>
      <c r="C1672" s="306">
        <f>SUMPRODUCT($G1615:$I1615,$B1662:$D1662)</f>
        <v>1.4479864979408446</v>
      </c>
      <c r="D1672" s="306">
        <f>SUMPRODUCT($K1615:$M1615,$B1662:$D1662)</f>
        <v>1.4479864979408446</v>
      </c>
      <c r="E1672" s="306">
        <f>SUMPRODUCT($O1615:$Q1615,$B1662:$D1662)</f>
        <v>1.4380510616547457</v>
      </c>
      <c r="F1672" s="306">
        <f>SUMPRODUCT($S1615:$U1615,$B1662:$D1662)</f>
        <v>1.4380510616547457</v>
      </c>
      <c r="G1672" s="306">
        <f>SUMPRODUCT($W1615:$Y1615,$B1662:$D1662)</f>
        <v>1.4479864979408446</v>
      </c>
      <c r="H1672" s="306">
        <f>SUMPRODUCT($AA1615:$AC1615,$B1662:$D1662)</f>
        <v>1.4380510616547457</v>
      </c>
      <c r="I1672" s="306">
        <f>SUMPRODUCT($AE1615:$AG1615,$B1662:$D1662)</f>
        <v>1.4380510616547457</v>
      </c>
      <c r="J1672" s="306">
        <f>SUMPRODUCT($AI1615:$AK1615,$B1662:$D1662)</f>
        <v>1.4380510616547457</v>
      </c>
      <c r="K1672" s="291"/>
    </row>
    <row r="1673" spans="1:11">
      <c r="A1673" s="289" t="s">
        <v>1535</v>
      </c>
      <c r="B1673" s="306">
        <f>SUMPRODUCT($C1616:$E1616,$B1663:$D1663)</f>
        <v>1.8756326005634711</v>
      </c>
      <c r="C1673" s="306">
        <f>SUMPRODUCT($G1616:$I1616,$B1663:$D1663)</f>
        <v>1.8881642345071696</v>
      </c>
      <c r="D1673" s="306">
        <f>SUMPRODUCT($K1616:$M1616,$B1663:$D1663)</f>
        <v>1.8881642345071696</v>
      </c>
      <c r="E1673" s="306">
        <f>SUMPRODUCT($O1616:$Q1616,$B1663:$D1663)</f>
        <v>1.831560388334192</v>
      </c>
      <c r="F1673" s="306">
        <f>SUMPRODUCT($S1616:$U1616,$B1663:$D1663)</f>
        <v>1.831560388334192</v>
      </c>
      <c r="G1673" s="306">
        <f>SUMPRODUCT($W1616:$Y1616,$B1663:$D1663)</f>
        <v>1.8881642345071696</v>
      </c>
      <c r="H1673" s="306">
        <f>SUMPRODUCT($AA1616:$AC1616,$B1663:$D1663)</f>
        <v>1.831560388334192</v>
      </c>
      <c r="I1673" s="306">
        <f>SUMPRODUCT($AE1616:$AG1616,$B1663:$D1663)</f>
        <v>1.831560388334192</v>
      </c>
      <c r="J1673" s="306">
        <f>SUMPRODUCT($AI1616:$AK1616,$B1663:$D1663)</f>
        <v>1.831560388334192</v>
      </c>
      <c r="K1673" s="291"/>
    </row>
    <row r="1675" spans="1:11" ht="21" customHeight="1">
      <c r="A1675" s="1" t="s">
        <v>1653</v>
      </c>
    </row>
    <row r="1676" spans="1:11">
      <c r="A1676" s="287" t="s">
        <v>255</v>
      </c>
    </row>
    <row r="1677" spans="1:11">
      <c r="A1677" s="301" t="s">
        <v>1654</v>
      </c>
    </row>
    <row r="1678" spans="1:11">
      <c r="A1678" s="301" t="s">
        <v>1655</v>
      </c>
    </row>
    <row r="1679" spans="1:11">
      <c r="A1679" s="287" t="s">
        <v>332</v>
      </c>
    </row>
    <row r="1681" spans="1:11">
      <c r="B1681" s="288" t="s">
        <v>60</v>
      </c>
      <c r="C1681" s="288" t="s">
        <v>61</v>
      </c>
      <c r="D1681" s="288" t="s">
        <v>62</v>
      </c>
      <c r="E1681" s="288" t="s">
        <v>63</v>
      </c>
      <c r="F1681" s="288" t="s">
        <v>64</v>
      </c>
      <c r="G1681" s="288" t="s">
        <v>69</v>
      </c>
      <c r="H1681" s="288" t="s">
        <v>65</v>
      </c>
      <c r="I1681" s="288" t="s">
        <v>66</v>
      </c>
      <c r="J1681" s="288" t="s">
        <v>67</v>
      </c>
    </row>
    <row r="1682" spans="1:11">
      <c r="A1682" s="289" t="s">
        <v>1577</v>
      </c>
      <c r="B1682" s="306">
        <f t="shared" ref="B1682:J1682" si="153">B1648/B1672</f>
        <v>1.2484140738551337</v>
      </c>
      <c r="C1682" s="306">
        <f t="shared" si="153"/>
        <v>1.2490267990292718</v>
      </c>
      <c r="D1682" s="306">
        <f t="shared" si="153"/>
        <v>1.2490267990292718</v>
      </c>
      <c r="E1682" s="306">
        <f t="shared" si="153"/>
        <v>1.2497892406665274</v>
      </c>
      <c r="F1682" s="306">
        <f t="shared" si="153"/>
        <v>1.2497892406665274</v>
      </c>
      <c r="G1682" s="306">
        <f t="shared" si="153"/>
        <v>1.2490267990292718</v>
      </c>
      <c r="H1682" s="306">
        <f t="shared" si="153"/>
        <v>1.2497892406665274</v>
      </c>
      <c r="I1682" s="306">
        <f t="shared" si="153"/>
        <v>1.2497892406665274</v>
      </c>
      <c r="J1682" s="306">
        <f t="shared" si="153"/>
        <v>1.2497892406665274</v>
      </c>
      <c r="K1682" s="291"/>
    </row>
    <row r="1683" spans="1:11">
      <c r="A1683" s="289" t="s">
        <v>1576</v>
      </c>
      <c r="B1683" s="306">
        <f t="shared" ref="B1683:J1683" si="154">B1649/B1673</f>
        <v>0.90964577995575213</v>
      </c>
      <c r="C1683" s="306">
        <f t="shared" si="154"/>
        <v>0.90978324756825457</v>
      </c>
      <c r="D1683" s="306">
        <f t="shared" si="154"/>
        <v>0.90978324756825457</v>
      </c>
      <c r="E1683" s="306">
        <f t="shared" si="154"/>
        <v>0.91037824733120498</v>
      </c>
      <c r="F1683" s="306">
        <f t="shared" si="154"/>
        <v>0.91037824733120498</v>
      </c>
      <c r="G1683" s="306">
        <f t="shared" si="154"/>
        <v>0.90978324756825457</v>
      </c>
      <c r="H1683" s="306">
        <f t="shared" si="154"/>
        <v>0.91037824733120498</v>
      </c>
      <c r="I1683" s="306">
        <f t="shared" si="154"/>
        <v>0.91037824733120498</v>
      </c>
      <c r="J1683" s="306">
        <f t="shared" si="154"/>
        <v>0.91037824733120498</v>
      </c>
      <c r="K1683" s="291"/>
    </row>
    <row r="1685" spans="1:11" ht="21" customHeight="1">
      <c r="A1685" s="1" t="s">
        <v>1656</v>
      </c>
    </row>
    <row r="1686" spans="1:11">
      <c r="A1686" s="287" t="s">
        <v>255</v>
      </c>
    </row>
    <row r="1687" spans="1:11">
      <c r="A1687" s="301" t="s">
        <v>1643</v>
      </c>
    </row>
    <row r="1688" spans="1:11">
      <c r="A1688" s="301" t="s">
        <v>1644</v>
      </c>
    </row>
    <row r="1689" spans="1:11">
      <c r="A1689" s="301" t="s">
        <v>1645</v>
      </c>
    </row>
    <row r="1690" spans="1:11">
      <c r="A1690" s="301" t="s">
        <v>1646</v>
      </c>
    </row>
    <row r="1691" spans="1:11">
      <c r="A1691" s="301" t="s">
        <v>1647</v>
      </c>
    </row>
    <row r="1692" spans="1:11">
      <c r="A1692" s="301" t="s">
        <v>1648</v>
      </c>
    </row>
    <row r="1693" spans="1:11">
      <c r="A1693" s="301" t="s">
        <v>1657</v>
      </c>
    </row>
    <row r="1694" spans="1:11">
      <c r="A1694" s="301" t="s">
        <v>1658</v>
      </c>
    </row>
    <row r="1695" spans="1:11">
      <c r="A1695" s="301" t="s">
        <v>1659</v>
      </c>
    </row>
    <row r="1696" spans="1:11">
      <c r="A1696" s="287" t="s">
        <v>1578</v>
      </c>
    </row>
    <row r="1698" spans="1:38">
      <c r="B1698" s="288" t="s">
        <v>60</v>
      </c>
      <c r="C1698" s="288" t="s">
        <v>61</v>
      </c>
      <c r="D1698" s="288" t="s">
        <v>62</v>
      </c>
      <c r="E1698" s="288" t="s">
        <v>63</v>
      </c>
      <c r="F1698" s="288" t="s">
        <v>64</v>
      </c>
      <c r="G1698" s="288" t="s">
        <v>69</v>
      </c>
      <c r="H1698" s="288" t="s">
        <v>65</v>
      </c>
      <c r="I1698" s="288" t="s">
        <v>66</v>
      </c>
      <c r="J1698" s="288" t="s">
        <v>67</v>
      </c>
    </row>
    <row r="1699" spans="1:38">
      <c r="A1699" s="289" t="s">
        <v>1577</v>
      </c>
      <c r="B1699" s="306">
        <f t="shared" ref="B1699:J1699" si="155">($B1504*B1523+$B1532*B1560+$B1569*B1597+$B1606*B1634)/($B1504*B1523+$B1532*B1560+$B1569*B1597+$B1606*B1634*B1682)</f>
        <v>1</v>
      </c>
      <c r="C1699" s="306">
        <f t="shared" si="155"/>
        <v>1</v>
      </c>
      <c r="D1699" s="306">
        <f t="shared" si="155"/>
        <v>1</v>
      </c>
      <c r="E1699" s="306">
        <f t="shared" si="155"/>
        <v>1</v>
      </c>
      <c r="F1699" s="306">
        <f t="shared" si="155"/>
        <v>1</v>
      </c>
      <c r="G1699" s="306">
        <f t="shared" si="155"/>
        <v>1</v>
      </c>
      <c r="H1699" s="306">
        <f t="shared" si="155"/>
        <v>1</v>
      </c>
      <c r="I1699" s="306">
        <f t="shared" si="155"/>
        <v>1</v>
      </c>
      <c r="J1699" s="306">
        <f t="shared" si="155"/>
        <v>1</v>
      </c>
      <c r="K1699" s="291"/>
    </row>
    <row r="1700" spans="1:38">
      <c r="A1700" s="289" t="s">
        <v>1576</v>
      </c>
      <c r="B1700" s="306">
        <f t="shared" ref="B1700:J1700" si="156">($B1505*B1524+$B1533*B1561+$B1570*B1598+$B1607*B1635)/($B1505*B1524+$B1533*B1561+$B1570*B1598+$B1607*B1635*B1683)</f>
        <v>1.0191574605963867</v>
      </c>
      <c r="C1700" s="306">
        <f t="shared" si="156"/>
        <v>1.0189880254514418</v>
      </c>
      <c r="D1700" s="306">
        <f t="shared" si="156"/>
        <v>1.0189880254514418</v>
      </c>
      <c r="E1700" s="306">
        <f t="shared" si="156"/>
        <v>1.019054065227009</v>
      </c>
      <c r="F1700" s="306">
        <f t="shared" si="156"/>
        <v>1.019054065227009</v>
      </c>
      <c r="G1700" s="306">
        <f t="shared" si="156"/>
        <v>1.0189880254514418</v>
      </c>
      <c r="H1700" s="306">
        <f t="shared" si="156"/>
        <v>1.019054065227009</v>
      </c>
      <c r="I1700" s="306">
        <f t="shared" si="156"/>
        <v>1.019054065227009</v>
      </c>
      <c r="J1700" s="306">
        <f t="shared" si="156"/>
        <v>1.019054065227009</v>
      </c>
      <c r="K1700" s="291"/>
    </row>
    <row r="1702" spans="1:38" ht="21" customHeight="1">
      <c r="A1702" s="1" t="s">
        <v>1660</v>
      </c>
    </row>
    <row r="1703" spans="1:38">
      <c r="A1703" s="287" t="s">
        <v>255</v>
      </c>
    </row>
    <row r="1704" spans="1:38">
      <c r="A1704" s="301" t="s">
        <v>1626</v>
      </c>
    </row>
    <row r="1705" spans="1:38">
      <c r="A1705" s="301" t="s">
        <v>1661</v>
      </c>
    </row>
    <row r="1706" spans="1:38">
      <c r="A1706" s="287" t="s">
        <v>591</v>
      </c>
    </row>
    <row r="1708" spans="1:38">
      <c r="B1708" s="297" t="s">
        <v>60</v>
      </c>
      <c r="C1708" s="288" t="s">
        <v>233</v>
      </c>
      <c r="D1708" s="288" t="s">
        <v>234</v>
      </c>
      <c r="E1708" s="288" t="s">
        <v>235</v>
      </c>
      <c r="F1708" s="297" t="s">
        <v>61</v>
      </c>
      <c r="G1708" s="288" t="s">
        <v>233</v>
      </c>
      <c r="H1708" s="288" t="s">
        <v>234</v>
      </c>
      <c r="I1708" s="288" t="s">
        <v>235</v>
      </c>
      <c r="J1708" s="297" t="s">
        <v>62</v>
      </c>
      <c r="K1708" s="288" t="s">
        <v>233</v>
      </c>
      <c r="L1708" s="288" t="s">
        <v>234</v>
      </c>
      <c r="M1708" s="288" t="s">
        <v>235</v>
      </c>
      <c r="N1708" s="297" t="s">
        <v>63</v>
      </c>
      <c r="O1708" s="288" t="s">
        <v>233</v>
      </c>
      <c r="P1708" s="288" t="s">
        <v>234</v>
      </c>
      <c r="Q1708" s="288" t="s">
        <v>235</v>
      </c>
      <c r="R1708" s="297" t="s">
        <v>64</v>
      </c>
      <c r="S1708" s="288" t="s">
        <v>233</v>
      </c>
      <c r="T1708" s="288" t="s">
        <v>234</v>
      </c>
      <c r="U1708" s="288" t="s">
        <v>235</v>
      </c>
      <c r="V1708" s="297" t="s">
        <v>69</v>
      </c>
      <c r="W1708" s="288" t="s">
        <v>233</v>
      </c>
      <c r="X1708" s="288" t="s">
        <v>234</v>
      </c>
      <c r="Y1708" s="288" t="s">
        <v>235</v>
      </c>
      <c r="Z1708" s="297" t="s">
        <v>65</v>
      </c>
      <c r="AA1708" s="288" t="s">
        <v>233</v>
      </c>
      <c r="AB1708" s="288" t="s">
        <v>234</v>
      </c>
      <c r="AC1708" s="288" t="s">
        <v>235</v>
      </c>
      <c r="AD1708" s="297" t="s">
        <v>66</v>
      </c>
      <c r="AE1708" s="288" t="s">
        <v>233</v>
      </c>
      <c r="AF1708" s="288" t="s">
        <v>234</v>
      </c>
      <c r="AG1708" s="288" t="s">
        <v>235</v>
      </c>
      <c r="AH1708" s="297" t="s">
        <v>67</v>
      </c>
      <c r="AI1708" s="288" t="s">
        <v>233</v>
      </c>
      <c r="AJ1708" s="288" t="s">
        <v>234</v>
      </c>
      <c r="AK1708" s="288" t="s">
        <v>235</v>
      </c>
    </row>
    <row r="1709" spans="1:38">
      <c r="A1709" s="289" t="s">
        <v>92</v>
      </c>
      <c r="C1709" s="306">
        <f t="shared" ref="C1709:E1710" si="157">C1495*$B1699</f>
        <v>11.651754474600686</v>
      </c>
      <c r="D1709" s="306">
        <f t="shared" si="157"/>
        <v>0.56591004694048919</v>
      </c>
      <c r="E1709" s="306">
        <f t="shared" si="157"/>
        <v>0</v>
      </c>
      <c r="G1709" s="306">
        <f t="shared" ref="G1709:I1710" si="158">G1495*$C1699</f>
        <v>9.9990955942984012</v>
      </c>
      <c r="H1709" s="306">
        <f t="shared" si="158"/>
        <v>0.92642197807335536</v>
      </c>
      <c r="I1709" s="306">
        <f t="shared" si="158"/>
        <v>5.8445327223731247E-2</v>
      </c>
      <c r="K1709" s="306">
        <f t="shared" ref="K1709:M1710" si="159">K1495*$D1699</f>
        <v>9.9990955942984012</v>
      </c>
      <c r="L1709" s="306">
        <f t="shared" si="159"/>
        <v>0.92642197807335536</v>
      </c>
      <c r="M1709" s="306">
        <f t="shared" si="159"/>
        <v>5.8445327223731247E-2</v>
      </c>
      <c r="O1709" s="306">
        <f t="shared" ref="O1709:Q1710" si="160">O1495*$E1699</f>
        <v>10.203788106504978</v>
      </c>
      <c r="P1709" s="306">
        <f t="shared" si="160"/>
        <v>0.73283294052011771</v>
      </c>
      <c r="Q1709" s="306">
        <f t="shared" si="160"/>
        <v>0.12915219638383743</v>
      </c>
      <c r="S1709" s="306">
        <f t="shared" ref="S1709:U1710" si="161">S1495*$F1699</f>
        <v>10.203788106504978</v>
      </c>
      <c r="T1709" s="306">
        <f t="shared" si="161"/>
        <v>0.73283294052011771</v>
      </c>
      <c r="U1709" s="306">
        <f t="shared" si="161"/>
        <v>0.12915219638383743</v>
      </c>
      <c r="W1709" s="306">
        <f t="shared" ref="W1709:Y1710" si="162">W1495*$G1699</f>
        <v>9.9990955942984012</v>
      </c>
      <c r="X1709" s="306">
        <f t="shared" si="162"/>
        <v>0.92642197807335536</v>
      </c>
      <c r="Y1709" s="306">
        <f t="shared" si="162"/>
        <v>5.8445327223731247E-2</v>
      </c>
      <c r="AA1709" s="306">
        <f t="shared" ref="AA1709:AC1710" si="163">AA1495*$H1699</f>
        <v>10.203788106504978</v>
      </c>
      <c r="AB1709" s="306">
        <f t="shared" si="163"/>
        <v>0.73283294052011771</v>
      </c>
      <c r="AC1709" s="306">
        <f t="shared" si="163"/>
        <v>0.12915219638383743</v>
      </c>
      <c r="AE1709" s="306">
        <f t="shared" ref="AE1709:AG1710" si="164">AE1495*$I1699</f>
        <v>10.203788106504978</v>
      </c>
      <c r="AF1709" s="306">
        <f t="shared" si="164"/>
        <v>0.73283294052011771</v>
      </c>
      <c r="AG1709" s="306">
        <f t="shared" si="164"/>
        <v>0.12915219638383743</v>
      </c>
      <c r="AI1709" s="306">
        <f t="shared" ref="AI1709:AK1710" si="165">AI1495*$J1699</f>
        <v>10.203788106504978</v>
      </c>
      <c r="AJ1709" s="306">
        <f t="shared" si="165"/>
        <v>0.73283294052011771</v>
      </c>
      <c r="AK1709" s="306">
        <f t="shared" si="165"/>
        <v>0.12915219638383743</v>
      </c>
      <c r="AL1709" s="291"/>
    </row>
    <row r="1710" spans="1:38">
      <c r="A1710" s="289" t="s">
        <v>94</v>
      </c>
      <c r="C1710" s="306">
        <f t="shared" si="157"/>
        <v>11.552311868397828</v>
      </c>
      <c r="D1710" s="306">
        <f t="shared" si="157"/>
        <v>0.56108025327578248</v>
      </c>
      <c r="E1710" s="306">
        <f t="shared" si="157"/>
        <v>0</v>
      </c>
      <c r="G1710" s="306">
        <f t="shared" si="158"/>
        <v>9.9121095413488884</v>
      </c>
      <c r="H1710" s="306">
        <f t="shared" si="158"/>
        <v>0.91836267006111527</v>
      </c>
      <c r="I1710" s="306">
        <f t="shared" si="158"/>
        <v>5.793688840738128E-2</v>
      </c>
      <c r="K1710" s="306">
        <f t="shared" si="159"/>
        <v>9.9121095413488884</v>
      </c>
      <c r="L1710" s="306">
        <f t="shared" si="159"/>
        <v>0.91836267006111527</v>
      </c>
      <c r="M1710" s="306">
        <f t="shared" si="159"/>
        <v>5.793688840738128E-2</v>
      </c>
      <c r="O1710" s="306">
        <f t="shared" si="160"/>
        <v>10.115676899349248</v>
      </c>
      <c r="P1710" s="306">
        <f t="shared" si="160"/>
        <v>0.72650482057498211</v>
      </c>
      <c r="Q1710" s="306">
        <f t="shared" si="160"/>
        <v>0.1280369482219377</v>
      </c>
      <c r="S1710" s="306">
        <f t="shared" si="161"/>
        <v>10.115676899349248</v>
      </c>
      <c r="T1710" s="306">
        <f t="shared" si="161"/>
        <v>0.72650482057498211</v>
      </c>
      <c r="U1710" s="306">
        <f t="shared" si="161"/>
        <v>0.1280369482219377</v>
      </c>
      <c r="W1710" s="306">
        <f t="shared" si="162"/>
        <v>9.9121095413488884</v>
      </c>
      <c r="X1710" s="306">
        <f t="shared" si="162"/>
        <v>0.91836267006111527</v>
      </c>
      <c r="Y1710" s="306">
        <f t="shared" si="162"/>
        <v>5.793688840738128E-2</v>
      </c>
      <c r="AA1710" s="306">
        <f t="shared" si="163"/>
        <v>10.115676899349248</v>
      </c>
      <c r="AB1710" s="306">
        <f t="shared" si="163"/>
        <v>0.72650482057498211</v>
      </c>
      <c r="AC1710" s="306">
        <f t="shared" si="163"/>
        <v>0.1280369482219377</v>
      </c>
      <c r="AE1710" s="306">
        <f t="shared" si="164"/>
        <v>10.115676899349248</v>
      </c>
      <c r="AF1710" s="306">
        <f t="shared" si="164"/>
        <v>0.72650482057498211</v>
      </c>
      <c r="AG1710" s="306">
        <f t="shared" si="164"/>
        <v>0.1280369482219377</v>
      </c>
      <c r="AI1710" s="306">
        <f t="shared" si="165"/>
        <v>10.115676899349248</v>
      </c>
      <c r="AJ1710" s="306">
        <f t="shared" si="165"/>
        <v>0.72650482057498211</v>
      </c>
      <c r="AK1710" s="306">
        <f t="shared" si="165"/>
        <v>0.1280369482219377</v>
      </c>
      <c r="AL1710" s="291"/>
    </row>
    <row r="1712" spans="1:38" ht="21" customHeight="1">
      <c r="A1712" s="1" t="s">
        <v>1662</v>
      </c>
    </row>
    <row r="1713" spans="1:38">
      <c r="A1713" s="287" t="s">
        <v>255</v>
      </c>
    </row>
    <row r="1714" spans="1:38">
      <c r="A1714" s="301" t="s">
        <v>1631</v>
      </c>
    </row>
    <row r="1715" spans="1:38">
      <c r="A1715" s="301" t="s">
        <v>1661</v>
      </c>
    </row>
    <row r="1716" spans="1:38">
      <c r="A1716" s="287" t="s">
        <v>591</v>
      </c>
    </row>
    <row r="1718" spans="1:38">
      <c r="B1718" s="297" t="s">
        <v>60</v>
      </c>
      <c r="C1718" s="288" t="s">
        <v>233</v>
      </c>
      <c r="D1718" s="288" t="s">
        <v>234</v>
      </c>
      <c r="E1718" s="288" t="s">
        <v>235</v>
      </c>
      <c r="F1718" s="297" t="s">
        <v>61</v>
      </c>
      <c r="G1718" s="288" t="s">
        <v>233</v>
      </c>
      <c r="H1718" s="288" t="s">
        <v>234</v>
      </c>
      <c r="I1718" s="288" t="s">
        <v>235</v>
      </c>
      <c r="J1718" s="297" t="s">
        <v>62</v>
      </c>
      <c r="K1718" s="288" t="s">
        <v>233</v>
      </c>
      <c r="L1718" s="288" t="s">
        <v>234</v>
      </c>
      <c r="M1718" s="288" t="s">
        <v>235</v>
      </c>
      <c r="N1718" s="297" t="s">
        <v>63</v>
      </c>
      <c r="O1718" s="288" t="s">
        <v>233</v>
      </c>
      <c r="P1718" s="288" t="s">
        <v>234</v>
      </c>
      <c r="Q1718" s="288" t="s">
        <v>235</v>
      </c>
      <c r="R1718" s="297" t="s">
        <v>64</v>
      </c>
      <c r="S1718" s="288" t="s">
        <v>233</v>
      </c>
      <c r="T1718" s="288" t="s">
        <v>234</v>
      </c>
      <c r="U1718" s="288" t="s">
        <v>235</v>
      </c>
      <c r="V1718" s="297" t="s">
        <v>69</v>
      </c>
      <c r="W1718" s="288" t="s">
        <v>233</v>
      </c>
      <c r="X1718" s="288" t="s">
        <v>234</v>
      </c>
      <c r="Y1718" s="288" t="s">
        <v>235</v>
      </c>
      <c r="Z1718" s="297" t="s">
        <v>65</v>
      </c>
      <c r="AA1718" s="288" t="s">
        <v>233</v>
      </c>
      <c r="AB1718" s="288" t="s">
        <v>234</v>
      </c>
      <c r="AC1718" s="288" t="s">
        <v>235</v>
      </c>
      <c r="AD1718" s="297" t="s">
        <v>66</v>
      </c>
      <c r="AE1718" s="288" t="s">
        <v>233</v>
      </c>
      <c r="AF1718" s="288" t="s">
        <v>234</v>
      </c>
      <c r="AG1718" s="288" t="s">
        <v>235</v>
      </c>
      <c r="AH1718" s="297" t="s">
        <v>67</v>
      </c>
      <c r="AI1718" s="288" t="s">
        <v>233</v>
      </c>
      <c r="AJ1718" s="288" t="s">
        <v>234</v>
      </c>
      <c r="AK1718" s="288" t="s">
        <v>235</v>
      </c>
    </row>
    <row r="1719" spans="1:38">
      <c r="A1719" s="289" t="s">
        <v>93</v>
      </c>
      <c r="C1719" s="306">
        <f t="shared" ref="C1719:E1720" si="166">C1541*$B1699</f>
        <v>14.152098570651761</v>
      </c>
      <c r="D1719" s="306">
        <f t="shared" si="166"/>
        <v>0.68734839752091792</v>
      </c>
      <c r="E1719" s="306">
        <f t="shared" si="166"/>
        <v>0</v>
      </c>
      <c r="G1719" s="306">
        <f t="shared" ref="G1719:I1720" si="167">G1541*$C1699</f>
        <v>12.144796457593598</v>
      </c>
      <c r="H1719" s="306">
        <f t="shared" si="167"/>
        <v>1.1252224015097629</v>
      </c>
      <c r="I1719" s="306">
        <f t="shared" si="167"/>
        <v>7.09870804149937E-2</v>
      </c>
      <c r="K1719" s="306">
        <f t="shared" ref="K1719:M1720" si="168">K1541*$D1699</f>
        <v>12.144796457593598</v>
      </c>
      <c r="L1719" s="306">
        <f t="shared" si="168"/>
        <v>1.1252224015097629</v>
      </c>
      <c r="M1719" s="306">
        <f t="shared" si="168"/>
        <v>7.09870804149937E-2</v>
      </c>
      <c r="O1719" s="306">
        <f t="shared" ref="O1719:Q1720" si="169">O1541*$E1699</f>
        <v>12.39341383240496</v>
      </c>
      <c r="P1719" s="306">
        <f t="shared" si="169"/>
        <v>0.89009119035841289</v>
      </c>
      <c r="Q1719" s="306">
        <f t="shared" si="169"/>
        <v>0.15686690084523774</v>
      </c>
      <c r="S1719" s="306">
        <f t="shared" ref="S1719:U1720" si="170">S1541*$F1699</f>
        <v>12.39341383240496</v>
      </c>
      <c r="T1719" s="306">
        <f t="shared" si="170"/>
        <v>0.89009119035841289</v>
      </c>
      <c r="U1719" s="306">
        <f t="shared" si="170"/>
        <v>0.15686690084523774</v>
      </c>
      <c r="W1719" s="306">
        <f t="shared" ref="W1719:Y1720" si="171">W1541*$G1699</f>
        <v>12.144796457593598</v>
      </c>
      <c r="X1719" s="306">
        <f t="shared" si="171"/>
        <v>1.1252224015097629</v>
      </c>
      <c r="Y1719" s="306">
        <f t="shared" si="171"/>
        <v>7.09870804149937E-2</v>
      </c>
      <c r="AA1719" s="306">
        <f t="shared" ref="AA1719:AC1720" si="172">AA1541*$H1699</f>
        <v>12.39341383240496</v>
      </c>
      <c r="AB1719" s="306">
        <f t="shared" si="172"/>
        <v>0.89009119035841289</v>
      </c>
      <c r="AC1719" s="306">
        <f t="shared" si="172"/>
        <v>0.15686690084523774</v>
      </c>
      <c r="AE1719" s="306">
        <f t="shared" ref="AE1719:AG1720" si="173">AE1541*$I1699</f>
        <v>12.39341383240496</v>
      </c>
      <c r="AF1719" s="306">
        <f t="shared" si="173"/>
        <v>0.89009119035841289</v>
      </c>
      <c r="AG1719" s="306">
        <f t="shared" si="173"/>
        <v>0.15686690084523774</v>
      </c>
      <c r="AI1719" s="306">
        <f t="shared" ref="AI1719:AK1720" si="174">AI1541*$J1699</f>
        <v>12.39341383240496</v>
      </c>
      <c r="AJ1719" s="306">
        <f t="shared" si="174"/>
        <v>0.89009119035841289</v>
      </c>
      <c r="AK1719" s="306">
        <f t="shared" si="174"/>
        <v>0.15686690084523774</v>
      </c>
      <c r="AL1719" s="291"/>
    </row>
    <row r="1720" spans="1:38">
      <c r="A1720" s="289" t="s">
        <v>95</v>
      </c>
      <c r="C1720" s="306">
        <f t="shared" si="166"/>
        <v>13.510203020068754</v>
      </c>
      <c r="D1720" s="306">
        <f t="shared" si="166"/>
        <v>0.65617239377374237</v>
      </c>
      <c r="E1720" s="306">
        <f t="shared" si="166"/>
        <v>0</v>
      </c>
      <c r="G1720" s="306">
        <f t="shared" si="167"/>
        <v>11.592018444993419</v>
      </c>
      <c r="H1720" s="306">
        <f t="shared" si="167"/>
        <v>1.0740071995908493</v>
      </c>
      <c r="I1720" s="306">
        <f t="shared" si="167"/>
        <v>6.7756059016726128E-2</v>
      </c>
      <c r="K1720" s="306">
        <f t="shared" si="168"/>
        <v>11.592018444993419</v>
      </c>
      <c r="L1720" s="306">
        <f t="shared" si="168"/>
        <v>1.0740071995908493</v>
      </c>
      <c r="M1720" s="306">
        <f t="shared" si="168"/>
        <v>6.7756059016726128E-2</v>
      </c>
      <c r="O1720" s="306">
        <f t="shared" si="169"/>
        <v>11.830086492859007</v>
      </c>
      <c r="P1720" s="306">
        <f t="shared" si="169"/>
        <v>0.84963319315131069</v>
      </c>
      <c r="Q1720" s="306">
        <f t="shared" si="169"/>
        <v>0.149736709349097</v>
      </c>
      <c r="S1720" s="306">
        <f t="shared" si="170"/>
        <v>11.830086492859007</v>
      </c>
      <c r="T1720" s="306">
        <f t="shared" si="170"/>
        <v>0.84963319315131069</v>
      </c>
      <c r="U1720" s="306">
        <f t="shared" si="170"/>
        <v>0.149736709349097</v>
      </c>
      <c r="W1720" s="306">
        <f t="shared" si="171"/>
        <v>11.592018444993419</v>
      </c>
      <c r="X1720" s="306">
        <f t="shared" si="171"/>
        <v>1.0740071995908493</v>
      </c>
      <c r="Y1720" s="306">
        <f t="shared" si="171"/>
        <v>6.7756059016726128E-2</v>
      </c>
      <c r="AA1720" s="306">
        <f t="shared" si="172"/>
        <v>11.830086492859007</v>
      </c>
      <c r="AB1720" s="306">
        <f t="shared" si="172"/>
        <v>0.84963319315131069</v>
      </c>
      <c r="AC1720" s="306">
        <f t="shared" si="172"/>
        <v>0.149736709349097</v>
      </c>
      <c r="AE1720" s="306">
        <f t="shared" si="173"/>
        <v>11.830086492859007</v>
      </c>
      <c r="AF1720" s="306">
        <f t="shared" si="173"/>
        <v>0.84963319315131069</v>
      </c>
      <c r="AG1720" s="306">
        <f t="shared" si="173"/>
        <v>0.149736709349097</v>
      </c>
      <c r="AI1720" s="306">
        <f t="shared" si="174"/>
        <v>11.830086492859007</v>
      </c>
      <c r="AJ1720" s="306">
        <f t="shared" si="174"/>
        <v>0.84963319315131069</v>
      </c>
      <c r="AK1720" s="306">
        <f t="shared" si="174"/>
        <v>0.149736709349097</v>
      </c>
      <c r="AL1720" s="291"/>
    </row>
    <row r="1722" spans="1:38" ht="21" customHeight="1">
      <c r="A1722" s="1" t="s">
        <v>1663</v>
      </c>
    </row>
    <row r="1723" spans="1:38">
      <c r="A1723" s="287" t="s">
        <v>255</v>
      </c>
    </row>
    <row r="1724" spans="1:38">
      <c r="A1724" s="301" t="s">
        <v>1575</v>
      </c>
    </row>
    <row r="1725" spans="1:38">
      <c r="A1725" s="301" t="s">
        <v>1661</v>
      </c>
    </row>
    <row r="1726" spans="1:38">
      <c r="A1726" s="287" t="s">
        <v>591</v>
      </c>
    </row>
    <row r="1728" spans="1:38">
      <c r="B1728" s="297" t="s">
        <v>60</v>
      </c>
      <c r="C1728" s="288" t="s">
        <v>233</v>
      </c>
      <c r="D1728" s="288" t="s">
        <v>234</v>
      </c>
      <c r="E1728" s="288" t="s">
        <v>235</v>
      </c>
      <c r="F1728" s="297" t="s">
        <v>61</v>
      </c>
      <c r="G1728" s="288" t="s">
        <v>233</v>
      </c>
      <c r="H1728" s="288" t="s">
        <v>234</v>
      </c>
      <c r="I1728" s="288" t="s">
        <v>235</v>
      </c>
      <c r="J1728" s="297" t="s">
        <v>62</v>
      </c>
      <c r="K1728" s="288" t="s">
        <v>233</v>
      </c>
      <c r="L1728" s="288" t="s">
        <v>234</v>
      </c>
      <c r="M1728" s="288" t="s">
        <v>235</v>
      </c>
      <c r="N1728" s="297" t="s">
        <v>63</v>
      </c>
      <c r="O1728" s="288" t="s">
        <v>233</v>
      </c>
      <c r="P1728" s="288" t="s">
        <v>234</v>
      </c>
      <c r="Q1728" s="288" t="s">
        <v>235</v>
      </c>
      <c r="R1728" s="297" t="s">
        <v>64</v>
      </c>
      <c r="S1728" s="288" t="s">
        <v>233</v>
      </c>
      <c r="T1728" s="288" t="s">
        <v>234</v>
      </c>
      <c r="U1728" s="288" t="s">
        <v>235</v>
      </c>
      <c r="V1728" s="297" t="s">
        <v>69</v>
      </c>
      <c r="W1728" s="288" t="s">
        <v>233</v>
      </c>
      <c r="X1728" s="288" t="s">
        <v>234</v>
      </c>
      <c r="Y1728" s="288" t="s">
        <v>235</v>
      </c>
      <c r="Z1728" s="297" t="s">
        <v>65</v>
      </c>
      <c r="AA1728" s="288" t="s">
        <v>233</v>
      </c>
      <c r="AB1728" s="288" t="s">
        <v>234</v>
      </c>
      <c r="AC1728" s="288" t="s">
        <v>235</v>
      </c>
      <c r="AD1728" s="297" t="s">
        <v>66</v>
      </c>
      <c r="AE1728" s="288" t="s">
        <v>233</v>
      </c>
      <c r="AF1728" s="288" t="s">
        <v>234</v>
      </c>
      <c r="AG1728" s="288" t="s">
        <v>235</v>
      </c>
      <c r="AH1728" s="297" t="s">
        <v>67</v>
      </c>
      <c r="AI1728" s="288" t="s">
        <v>233</v>
      </c>
      <c r="AJ1728" s="288" t="s">
        <v>234</v>
      </c>
      <c r="AK1728" s="288" t="s">
        <v>235</v>
      </c>
    </row>
    <row r="1729" spans="1:38">
      <c r="A1729" s="289" t="s">
        <v>129</v>
      </c>
      <c r="C1729" s="306">
        <f t="shared" ref="C1729:E1730" si="175">C1578*$B1699</f>
        <v>9.5622498106492255</v>
      </c>
      <c r="D1729" s="306">
        <f t="shared" si="175"/>
        <v>0.46442561512923047</v>
      </c>
      <c r="E1729" s="306">
        <f t="shared" si="175"/>
        <v>0</v>
      </c>
      <c r="G1729" s="306">
        <f t="shared" ref="G1729:I1730" si="176">G1578*$C1699</f>
        <v>8.2059616139070908</v>
      </c>
      <c r="H1729" s="306">
        <f t="shared" si="176"/>
        <v>0.7602870798319683</v>
      </c>
      <c r="I1729" s="306">
        <f t="shared" si="176"/>
        <v>4.7964349094097178E-2</v>
      </c>
      <c r="K1729" s="306">
        <f t="shared" ref="K1729:M1730" si="177">K1578*$D1699</f>
        <v>8.2059616139070908</v>
      </c>
      <c r="L1729" s="306">
        <f t="shared" si="177"/>
        <v>0.7602870798319683</v>
      </c>
      <c r="M1729" s="306">
        <f t="shared" si="177"/>
        <v>4.7964349094097178E-2</v>
      </c>
      <c r="O1729" s="306">
        <f t="shared" ref="O1729:Q1730" si="178">O1578*$E1699</f>
        <v>8.3739466963558638</v>
      </c>
      <c r="P1729" s="306">
        <f t="shared" si="178"/>
        <v>0.60141429018278081</v>
      </c>
      <c r="Q1729" s="306">
        <f t="shared" si="178"/>
        <v>0.10599138250882213</v>
      </c>
      <c r="S1729" s="306">
        <f t="shared" ref="S1729:U1730" si="179">S1578*$F1699</f>
        <v>8.3739466963558638</v>
      </c>
      <c r="T1729" s="306">
        <f t="shared" si="179"/>
        <v>0.60141429018278081</v>
      </c>
      <c r="U1729" s="306">
        <f t="shared" si="179"/>
        <v>0.10599138250882213</v>
      </c>
      <c r="W1729" s="306">
        <f t="shared" ref="W1729:Y1730" si="180">W1578*$G1699</f>
        <v>8.2059616139070908</v>
      </c>
      <c r="X1729" s="306">
        <f t="shared" si="180"/>
        <v>0.7602870798319683</v>
      </c>
      <c r="Y1729" s="306">
        <f t="shared" si="180"/>
        <v>4.7964349094097178E-2</v>
      </c>
      <c r="AA1729" s="306">
        <f t="shared" ref="AA1729:AC1730" si="181">AA1578*$H1699</f>
        <v>8.3739466963558638</v>
      </c>
      <c r="AB1729" s="306">
        <f t="shared" si="181"/>
        <v>0.60141429018278081</v>
      </c>
      <c r="AC1729" s="306">
        <f t="shared" si="181"/>
        <v>0.10599138250882213</v>
      </c>
      <c r="AE1729" s="306">
        <f t="shared" ref="AE1729:AG1730" si="182">AE1578*$I1699</f>
        <v>8.3739466963558638</v>
      </c>
      <c r="AF1729" s="306">
        <f t="shared" si="182"/>
        <v>0.60141429018278081</v>
      </c>
      <c r="AG1729" s="306">
        <f t="shared" si="182"/>
        <v>0.10599138250882213</v>
      </c>
      <c r="AI1729" s="306">
        <f t="shared" ref="AI1729:AK1730" si="183">AI1578*$J1699</f>
        <v>8.3739466963558638</v>
      </c>
      <c r="AJ1729" s="306">
        <f t="shared" si="183"/>
        <v>0.60141429018278081</v>
      </c>
      <c r="AK1729" s="306">
        <f t="shared" si="183"/>
        <v>0.10599138250882213</v>
      </c>
      <c r="AL1729" s="291"/>
    </row>
    <row r="1730" spans="1:38">
      <c r="A1730" s="289" t="s">
        <v>130</v>
      </c>
      <c r="C1730" s="306">
        <f t="shared" si="175"/>
        <v>9.7454382346095443</v>
      </c>
      <c r="D1730" s="306">
        <f t="shared" si="175"/>
        <v>0.47332283055102137</v>
      </c>
      <c r="E1730" s="306">
        <f t="shared" si="175"/>
        <v>0</v>
      </c>
      <c r="G1730" s="306">
        <f t="shared" si="176"/>
        <v>8.3617766218855127</v>
      </c>
      <c r="H1730" s="306">
        <f t="shared" si="176"/>
        <v>0.77472343025422008</v>
      </c>
      <c r="I1730" s="306">
        <f t="shared" si="176"/>
        <v>4.8875097375457734E-2</v>
      </c>
      <c r="K1730" s="306">
        <f t="shared" si="177"/>
        <v>8.3617766218855127</v>
      </c>
      <c r="L1730" s="306">
        <f t="shared" si="177"/>
        <v>0.77472343025422008</v>
      </c>
      <c r="M1730" s="306">
        <f t="shared" si="177"/>
        <v>4.8875097375457734E-2</v>
      </c>
      <c r="O1730" s="306">
        <f t="shared" si="178"/>
        <v>8.5335044229157244</v>
      </c>
      <c r="P1730" s="306">
        <f t="shared" si="178"/>
        <v>0.61287367729637887</v>
      </c>
      <c r="Q1730" s="306">
        <f t="shared" si="178"/>
        <v>0.10801094922464609</v>
      </c>
      <c r="S1730" s="306">
        <f t="shared" si="179"/>
        <v>8.5335044229157244</v>
      </c>
      <c r="T1730" s="306">
        <f t="shared" si="179"/>
        <v>0.61287367729637887</v>
      </c>
      <c r="U1730" s="306">
        <f t="shared" si="179"/>
        <v>0.10801094922464609</v>
      </c>
      <c r="W1730" s="306">
        <f t="shared" si="180"/>
        <v>8.3617766218855127</v>
      </c>
      <c r="X1730" s="306">
        <f t="shared" si="180"/>
        <v>0.77472343025422008</v>
      </c>
      <c r="Y1730" s="306">
        <f t="shared" si="180"/>
        <v>4.8875097375457734E-2</v>
      </c>
      <c r="AA1730" s="306">
        <f t="shared" si="181"/>
        <v>8.5335044229157244</v>
      </c>
      <c r="AB1730" s="306">
        <f t="shared" si="181"/>
        <v>0.61287367729637887</v>
      </c>
      <c r="AC1730" s="306">
        <f t="shared" si="181"/>
        <v>0.10801094922464609</v>
      </c>
      <c r="AE1730" s="306">
        <f t="shared" si="182"/>
        <v>8.5335044229157244</v>
      </c>
      <c r="AF1730" s="306">
        <f t="shared" si="182"/>
        <v>0.61287367729637887</v>
      </c>
      <c r="AG1730" s="306">
        <f t="shared" si="182"/>
        <v>0.10801094922464609</v>
      </c>
      <c r="AI1730" s="306">
        <f t="shared" si="183"/>
        <v>8.5335044229157244</v>
      </c>
      <c r="AJ1730" s="306">
        <f t="shared" si="183"/>
        <v>0.61287367729637887</v>
      </c>
      <c r="AK1730" s="306">
        <f t="shared" si="183"/>
        <v>0.10801094922464609</v>
      </c>
      <c r="AL1730" s="291"/>
    </row>
    <row r="1732" spans="1:38" ht="21" customHeight="1">
      <c r="A1732" s="1" t="s">
        <v>1664</v>
      </c>
    </row>
    <row r="1733" spans="1:38">
      <c r="A1733" s="287" t="s">
        <v>255</v>
      </c>
    </row>
    <row r="1734" spans="1:38">
      <c r="A1734" s="301" t="s">
        <v>1640</v>
      </c>
    </row>
    <row r="1735" spans="1:38">
      <c r="A1735" s="301" t="s">
        <v>1661</v>
      </c>
    </row>
    <row r="1736" spans="1:38">
      <c r="A1736" s="301" t="s">
        <v>1665</v>
      </c>
    </row>
    <row r="1737" spans="1:38">
      <c r="A1737" s="287" t="s">
        <v>737</v>
      </c>
    </row>
    <row r="1739" spans="1:38">
      <c r="B1739" s="297" t="s">
        <v>60</v>
      </c>
      <c r="C1739" s="288" t="s">
        <v>233</v>
      </c>
      <c r="D1739" s="288" t="s">
        <v>234</v>
      </c>
      <c r="E1739" s="288" t="s">
        <v>235</v>
      </c>
      <c r="F1739" s="297" t="s">
        <v>61</v>
      </c>
      <c r="G1739" s="288" t="s">
        <v>233</v>
      </c>
      <c r="H1739" s="288" t="s">
        <v>234</v>
      </c>
      <c r="I1739" s="288" t="s">
        <v>235</v>
      </c>
      <c r="J1739" s="297" t="s">
        <v>62</v>
      </c>
      <c r="K1739" s="288" t="s">
        <v>233</v>
      </c>
      <c r="L1739" s="288" t="s">
        <v>234</v>
      </c>
      <c r="M1739" s="288" t="s">
        <v>235</v>
      </c>
      <c r="N1739" s="297" t="s">
        <v>63</v>
      </c>
      <c r="O1739" s="288" t="s">
        <v>233</v>
      </c>
      <c r="P1739" s="288" t="s">
        <v>234</v>
      </c>
      <c r="Q1739" s="288" t="s">
        <v>235</v>
      </c>
      <c r="R1739" s="297" t="s">
        <v>64</v>
      </c>
      <c r="S1739" s="288" t="s">
        <v>233</v>
      </c>
      <c r="T1739" s="288" t="s">
        <v>234</v>
      </c>
      <c r="U1739" s="288" t="s">
        <v>235</v>
      </c>
      <c r="V1739" s="297" t="s">
        <v>69</v>
      </c>
      <c r="W1739" s="288" t="s">
        <v>233</v>
      </c>
      <c r="X1739" s="288" t="s">
        <v>234</v>
      </c>
      <c r="Y1739" s="288" t="s">
        <v>235</v>
      </c>
      <c r="Z1739" s="297" t="s">
        <v>65</v>
      </c>
      <c r="AA1739" s="288" t="s">
        <v>233</v>
      </c>
      <c r="AB1739" s="288" t="s">
        <v>234</v>
      </c>
      <c r="AC1739" s="288" t="s">
        <v>235</v>
      </c>
      <c r="AD1739" s="297" t="s">
        <v>66</v>
      </c>
      <c r="AE1739" s="288" t="s">
        <v>233</v>
      </c>
      <c r="AF1739" s="288" t="s">
        <v>234</v>
      </c>
      <c r="AG1739" s="288" t="s">
        <v>235</v>
      </c>
      <c r="AH1739" s="297" t="s">
        <v>67</v>
      </c>
      <c r="AI1739" s="288" t="s">
        <v>233</v>
      </c>
      <c r="AJ1739" s="288" t="s">
        <v>234</v>
      </c>
      <c r="AK1739" s="288" t="s">
        <v>235</v>
      </c>
    </row>
    <row r="1740" spans="1:38">
      <c r="A1740" s="289" t="s">
        <v>1536</v>
      </c>
      <c r="C1740" s="306">
        <f t="shared" ref="C1740:E1741" si="184">C1615*$B1699*$B1682</f>
        <v>11.93764724133308</v>
      </c>
      <c r="D1740" s="306">
        <f t="shared" si="184"/>
        <v>0.57979547418615907</v>
      </c>
      <c r="E1740" s="306">
        <f t="shared" si="184"/>
        <v>0</v>
      </c>
      <c r="G1740" s="306">
        <f t="shared" ref="G1740:I1741" si="185">G1615*$C1699*$C1682</f>
        <v>10.249465967575452</v>
      </c>
      <c r="H1740" s="306">
        <f t="shared" si="185"/>
        <v>0.94961893766583583</v>
      </c>
      <c r="I1740" s="306">
        <f t="shared" si="185"/>
        <v>5.9908757416522754E-2</v>
      </c>
      <c r="K1740" s="306">
        <f t="shared" ref="K1740:M1741" si="186">K1615*$D1699*$D1682</f>
        <v>10.249465967575452</v>
      </c>
      <c r="L1740" s="306">
        <f t="shared" si="186"/>
        <v>0.94961893766583583</v>
      </c>
      <c r="M1740" s="306">
        <f t="shared" si="186"/>
        <v>5.9908757416522754E-2</v>
      </c>
      <c r="O1740" s="306">
        <f t="shared" ref="O1740:Q1741" si="187">O1615*$E1699*$E1682</f>
        <v>10.46566848302057</v>
      </c>
      <c r="P1740" s="306">
        <f t="shared" si="187"/>
        <v>0.7516411090535362</v>
      </c>
      <c r="Q1740" s="306">
        <f t="shared" si="187"/>
        <v>0.13246688946289628</v>
      </c>
      <c r="S1740" s="306">
        <f t="shared" ref="S1740:U1741" si="188">S1615*$F1699*$F1682</f>
        <v>10.46566848302057</v>
      </c>
      <c r="T1740" s="306">
        <f t="shared" si="188"/>
        <v>0.7516411090535362</v>
      </c>
      <c r="U1740" s="306">
        <f t="shared" si="188"/>
        <v>0.13246688946289628</v>
      </c>
      <c r="W1740" s="306">
        <f t="shared" ref="W1740:Y1741" si="189">W1615*$G1699*$G1682</f>
        <v>10.249465967575452</v>
      </c>
      <c r="X1740" s="306">
        <f t="shared" si="189"/>
        <v>0.94961893766583583</v>
      </c>
      <c r="Y1740" s="306">
        <f t="shared" si="189"/>
        <v>5.9908757416522754E-2</v>
      </c>
      <c r="AA1740" s="306">
        <f t="shared" ref="AA1740:AC1741" si="190">AA1615*$H1699*$H1682</f>
        <v>10.46566848302057</v>
      </c>
      <c r="AB1740" s="306">
        <f t="shared" si="190"/>
        <v>0.7516411090535362</v>
      </c>
      <c r="AC1740" s="306">
        <f t="shared" si="190"/>
        <v>0.13246688946289628</v>
      </c>
      <c r="AE1740" s="306">
        <f t="shared" ref="AE1740:AG1741" si="191">AE1615*$I1699*$I1682</f>
        <v>10.46566848302057</v>
      </c>
      <c r="AF1740" s="306">
        <f t="shared" si="191"/>
        <v>0.7516411090535362</v>
      </c>
      <c r="AG1740" s="306">
        <f t="shared" si="191"/>
        <v>0.13246688946289628</v>
      </c>
      <c r="AI1740" s="306">
        <f t="shared" ref="AI1740:AK1741" si="192">AI1615*$J1699*$J1682</f>
        <v>10.46566848302057</v>
      </c>
      <c r="AJ1740" s="306">
        <f t="shared" si="192"/>
        <v>0.7516411090535362</v>
      </c>
      <c r="AK1740" s="306">
        <f t="shared" si="192"/>
        <v>0.13246688946289628</v>
      </c>
      <c r="AL1740" s="291"/>
    </row>
    <row r="1741" spans="1:38">
      <c r="A1741" s="289" t="s">
        <v>1535</v>
      </c>
      <c r="C1741" s="306">
        <f t="shared" si="184"/>
        <v>12.009468328158349</v>
      </c>
      <c r="D1741" s="306">
        <f t="shared" si="184"/>
        <v>0.58328372779682347</v>
      </c>
      <c r="E1741" s="306">
        <f t="shared" si="184"/>
        <v>0</v>
      </c>
      <c r="G1741" s="306">
        <f t="shared" si="185"/>
        <v>10.305915942299643</v>
      </c>
      <c r="H1741" s="306">
        <f t="shared" si="185"/>
        <v>0.95484906040573614</v>
      </c>
      <c r="I1741" s="306">
        <f t="shared" si="185"/>
        <v>6.0238710982164032E-2</v>
      </c>
      <c r="K1741" s="306">
        <f t="shared" si="186"/>
        <v>10.305915942299643</v>
      </c>
      <c r="L1741" s="306">
        <f t="shared" si="186"/>
        <v>0.95484906040573614</v>
      </c>
      <c r="M1741" s="306">
        <f t="shared" si="186"/>
        <v>6.0238710982164032E-2</v>
      </c>
      <c r="O1741" s="306">
        <f t="shared" si="187"/>
        <v>10.524449505284016</v>
      </c>
      <c r="P1741" s="306">
        <f t="shared" si="187"/>
        <v>0.75586274409166865</v>
      </c>
      <c r="Q1741" s="306">
        <f t="shared" si="187"/>
        <v>0.13321089728153881</v>
      </c>
      <c r="S1741" s="306">
        <f t="shared" si="188"/>
        <v>10.524449505284016</v>
      </c>
      <c r="T1741" s="306">
        <f t="shared" si="188"/>
        <v>0.75586274409166865</v>
      </c>
      <c r="U1741" s="306">
        <f t="shared" si="188"/>
        <v>0.13321089728153881</v>
      </c>
      <c r="W1741" s="306">
        <f t="shared" si="189"/>
        <v>10.305915942299643</v>
      </c>
      <c r="X1741" s="306">
        <f t="shared" si="189"/>
        <v>0.95484906040573614</v>
      </c>
      <c r="Y1741" s="306">
        <f t="shared" si="189"/>
        <v>6.0238710982164032E-2</v>
      </c>
      <c r="AA1741" s="306">
        <f t="shared" si="190"/>
        <v>10.524449505284016</v>
      </c>
      <c r="AB1741" s="306">
        <f t="shared" si="190"/>
        <v>0.75586274409166865</v>
      </c>
      <c r="AC1741" s="306">
        <f t="shared" si="190"/>
        <v>0.13321089728153881</v>
      </c>
      <c r="AE1741" s="306">
        <f t="shared" si="191"/>
        <v>10.524449505284016</v>
      </c>
      <c r="AF1741" s="306">
        <f t="shared" si="191"/>
        <v>0.75586274409166865</v>
      </c>
      <c r="AG1741" s="306">
        <f t="shared" si="191"/>
        <v>0.13321089728153881</v>
      </c>
      <c r="AI1741" s="306">
        <f t="shared" si="192"/>
        <v>10.524449505284016</v>
      </c>
      <c r="AJ1741" s="306">
        <f t="shared" si="192"/>
        <v>0.75586274409166865</v>
      </c>
      <c r="AK1741" s="306">
        <f t="shared" si="192"/>
        <v>0.13321089728153881</v>
      </c>
      <c r="AL1741" s="291"/>
    </row>
    <row r="1743" spans="1:38" ht="21" customHeight="1">
      <c r="A1743" s="1" t="s">
        <v>1666</v>
      </c>
    </row>
    <row r="1744" spans="1:38">
      <c r="A1744" s="287" t="s">
        <v>255</v>
      </c>
    </row>
    <row r="1745" spans="1:38">
      <c r="A1745" s="301" t="s">
        <v>1667</v>
      </c>
    </row>
    <row r="1746" spans="1:38">
      <c r="A1746" s="301" t="s">
        <v>1668</v>
      </c>
    </row>
    <row r="1747" spans="1:38">
      <c r="A1747" s="301" t="s">
        <v>1669</v>
      </c>
    </row>
    <row r="1748" spans="1:38">
      <c r="A1748" s="301" t="s">
        <v>1670</v>
      </c>
    </row>
    <row r="1749" spans="1:38">
      <c r="A1749" s="301" t="s">
        <v>1574</v>
      </c>
    </row>
    <row r="1750" spans="1:38">
      <c r="A1750" s="287" t="s">
        <v>341</v>
      </c>
    </row>
    <row r="1752" spans="1:38">
      <c r="B1752" s="297" t="s">
        <v>60</v>
      </c>
      <c r="C1752" s="288" t="s">
        <v>233</v>
      </c>
      <c r="D1752" s="288" t="s">
        <v>234</v>
      </c>
      <c r="E1752" s="288" t="s">
        <v>235</v>
      </c>
      <c r="F1752" s="297" t="s">
        <v>61</v>
      </c>
      <c r="G1752" s="288" t="s">
        <v>233</v>
      </c>
      <c r="H1752" s="288" t="s">
        <v>234</v>
      </c>
      <c r="I1752" s="288" t="s">
        <v>235</v>
      </c>
      <c r="J1752" s="297" t="s">
        <v>62</v>
      </c>
      <c r="K1752" s="288" t="s">
        <v>233</v>
      </c>
      <c r="L1752" s="288" t="s">
        <v>234</v>
      </c>
      <c r="M1752" s="288" t="s">
        <v>235</v>
      </c>
      <c r="N1752" s="297" t="s">
        <v>63</v>
      </c>
      <c r="O1752" s="288" t="s">
        <v>233</v>
      </c>
      <c r="P1752" s="288" t="s">
        <v>234</v>
      </c>
      <c r="Q1752" s="288" t="s">
        <v>235</v>
      </c>
      <c r="R1752" s="297" t="s">
        <v>64</v>
      </c>
      <c r="S1752" s="288" t="s">
        <v>233</v>
      </c>
      <c r="T1752" s="288" t="s">
        <v>234</v>
      </c>
      <c r="U1752" s="288" t="s">
        <v>235</v>
      </c>
      <c r="V1752" s="297" t="s">
        <v>69</v>
      </c>
      <c r="W1752" s="288" t="s">
        <v>233</v>
      </c>
      <c r="X1752" s="288" t="s">
        <v>234</v>
      </c>
      <c r="Y1752" s="288" t="s">
        <v>235</v>
      </c>
      <c r="Z1752" s="297" t="s">
        <v>65</v>
      </c>
      <c r="AA1752" s="288" t="s">
        <v>233</v>
      </c>
      <c r="AB1752" s="288" t="s">
        <v>234</v>
      </c>
      <c r="AC1752" s="288" t="s">
        <v>235</v>
      </c>
      <c r="AD1752" s="297" t="s">
        <v>66</v>
      </c>
      <c r="AE1752" s="288" t="s">
        <v>233</v>
      </c>
      <c r="AF1752" s="288" t="s">
        <v>234</v>
      </c>
      <c r="AG1752" s="288" t="s">
        <v>235</v>
      </c>
      <c r="AH1752" s="297" t="s">
        <v>67</v>
      </c>
      <c r="AI1752" s="288" t="s">
        <v>233</v>
      </c>
      <c r="AJ1752" s="288" t="s">
        <v>234</v>
      </c>
      <c r="AK1752" s="288" t="s">
        <v>235</v>
      </c>
    </row>
    <row r="1753" spans="1:38">
      <c r="A1753" s="289" t="s">
        <v>92</v>
      </c>
      <c r="C1753" s="307">
        <f>C$1709</f>
        <v>11.651754474600686</v>
      </c>
      <c r="D1753" s="307">
        <f>D$1709</f>
        <v>0.56591004694048919</v>
      </c>
      <c r="E1753" s="307">
        <f>E$1709</f>
        <v>0</v>
      </c>
      <c r="G1753" s="307">
        <f>G$1709</f>
        <v>9.9990955942984012</v>
      </c>
      <c r="H1753" s="307">
        <f>H$1709</f>
        <v>0.92642197807335536</v>
      </c>
      <c r="I1753" s="307">
        <f>I$1709</f>
        <v>5.8445327223731247E-2</v>
      </c>
      <c r="K1753" s="307">
        <f>K$1709</f>
        <v>9.9990955942984012</v>
      </c>
      <c r="L1753" s="307">
        <f>L$1709</f>
        <v>0.92642197807335536</v>
      </c>
      <c r="M1753" s="307">
        <f>M$1709</f>
        <v>5.8445327223731247E-2</v>
      </c>
      <c r="O1753" s="307">
        <f>O$1709</f>
        <v>10.203788106504978</v>
      </c>
      <c r="P1753" s="307">
        <f>P$1709</f>
        <v>0.73283294052011771</v>
      </c>
      <c r="Q1753" s="307">
        <f>Q$1709</f>
        <v>0.12915219638383743</v>
      </c>
      <c r="S1753" s="307">
        <f>S$1709</f>
        <v>10.203788106504978</v>
      </c>
      <c r="T1753" s="307">
        <f>T$1709</f>
        <v>0.73283294052011771</v>
      </c>
      <c r="U1753" s="307">
        <f>U$1709</f>
        <v>0.12915219638383743</v>
      </c>
      <c r="W1753" s="307">
        <f>W$1709</f>
        <v>9.9990955942984012</v>
      </c>
      <c r="X1753" s="307">
        <f>X$1709</f>
        <v>0.92642197807335536</v>
      </c>
      <c r="Y1753" s="307">
        <f>Y$1709</f>
        <v>5.8445327223731247E-2</v>
      </c>
      <c r="AA1753" s="307">
        <f>AA$1709</f>
        <v>10.203788106504978</v>
      </c>
      <c r="AB1753" s="307">
        <f>AB$1709</f>
        <v>0.73283294052011771</v>
      </c>
      <c r="AC1753" s="307">
        <f>AC$1709</f>
        <v>0.12915219638383743</v>
      </c>
      <c r="AE1753" s="307">
        <f>AE$1709</f>
        <v>10.203788106504978</v>
      </c>
      <c r="AF1753" s="307">
        <f>AF$1709</f>
        <v>0.73283294052011771</v>
      </c>
      <c r="AG1753" s="307">
        <f>AG$1709</f>
        <v>0.12915219638383743</v>
      </c>
      <c r="AI1753" s="307">
        <f>AI$1709</f>
        <v>10.203788106504978</v>
      </c>
      <c r="AJ1753" s="307">
        <f>AJ$1709</f>
        <v>0.73283294052011771</v>
      </c>
      <c r="AK1753" s="307">
        <f>AK$1709</f>
        <v>0.12915219638383743</v>
      </c>
      <c r="AL1753" s="291"/>
    </row>
    <row r="1754" spans="1:38">
      <c r="A1754" s="289" t="s">
        <v>93</v>
      </c>
      <c r="C1754" s="307">
        <f>C$1719</f>
        <v>14.152098570651761</v>
      </c>
      <c r="D1754" s="307">
        <f>D$1719</f>
        <v>0.68734839752091792</v>
      </c>
      <c r="E1754" s="307">
        <f>E$1719</f>
        <v>0</v>
      </c>
      <c r="G1754" s="307">
        <f>G$1719</f>
        <v>12.144796457593598</v>
      </c>
      <c r="H1754" s="307">
        <f>H$1719</f>
        <v>1.1252224015097629</v>
      </c>
      <c r="I1754" s="307">
        <f>I$1719</f>
        <v>7.09870804149937E-2</v>
      </c>
      <c r="K1754" s="307">
        <f>K$1719</f>
        <v>12.144796457593598</v>
      </c>
      <c r="L1754" s="307">
        <f>L$1719</f>
        <v>1.1252224015097629</v>
      </c>
      <c r="M1754" s="307">
        <f>M$1719</f>
        <v>7.09870804149937E-2</v>
      </c>
      <c r="O1754" s="307">
        <f>O$1719</f>
        <v>12.39341383240496</v>
      </c>
      <c r="P1754" s="307">
        <f>P$1719</f>
        <v>0.89009119035841289</v>
      </c>
      <c r="Q1754" s="307">
        <f>Q$1719</f>
        <v>0.15686690084523774</v>
      </c>
      <c r="S1754" s="307">
        <f>S$1719</f>
        <v>12.39341383240496</v>
      </c>
      <c r="T1754" s="307">
        <f>T$1719</f>
        <v>0.89009119035841289</v>
      </c>
      <c r="U1754" s="307">
        <f>U$1719</f>
        <v>0.15686690084523774</v>
      </c>
      <c r="W1754" s="307">
        <f>W$1719</f>
        <v>12.144796457593598</v>
      </c>
      <c r="X1754" s="307">
        <f>X$1719</f>
        <v>1.1252224015097629</v>
      </c>
      <c r="Y1754" s="307">
        <f>Y$1719</f>
        <v>7.09870804149937E-2</v>
      </c>
      <c r="AA1754" s="307">
        <f>AA$1719</f>
        <v>12.39341383240496</v>
      </c>
      <c r="AB1754" s="307">
        <f>AB$1719</f>
        <v>0.89009119035841289</v>
      </c>
      <c r="AC1754" s="307">
        <f>AC$1719</f>
        <v>0.15686690084523774</v>
      </c>
      <c r="AE1754" s="307">
        <f>AE$1719</f>
        <v>12.39341383240496</v>
      </c>
      <c r="AF1754" s="307">
        <f>AF$1719</f>
        <v>0.89009119035841289</v>
      </c>
      <c r="AG1754" s="307">
        <f>AG$1719</f>
        <v>0.15686690084523774</v>
      </c>
      <c r="AI1754" s="307">
        <f>AI$1719</f>
        <v>12.39341383240496</v>
      </c>
      <c r="AJ1754" s="307">
        <f>AJ$1719</f>
        <v>0.89009119035841289</v>
      </c>
      <c r="AK1754" s="307">
        <f>AK$1719</f>
        <v>0.15686690084523774</v>
      </c>
      <c r="AL1754" s="291"/>
    </row>
    <row r="1755" spans="1:38">
      <c r="A1755" s="289" t="s">
        <v>129</v>
      </c>
      <c r="C1755" s="307">
        <f>C$1729</f>
        <v>9.5622498106492255</v>
      </c>
      <c r="D1755" s="307">
        <f>D$1729</f>
        <v>0.46442561512923047</v>
      </c>
      <c r="E1755" s="307">
        <f>E$1729</f>
        <v>0</v>
      </c>
      <c r="G1755" s="307">
        <f>G$1729</f>
        <v>8.2059616139070908</v>
      </c>
      <c r="H1755" s="307">
        <f>H$1729</f>
        <v>0.7602870798319683</v>
      </c>
      <c r="I1755" s="307">
        <f>I$1729</f>
        <v>4.7964349094097178E-2</v>
      </c>
      <c r="K1755" s="307">
        <f>K$1729</f>
        <v>8.2059616139070908</v>
      </c>
      <c r="L1755" s="307">
        <f>L$1729</f>
        <v>0.7602870798319683</v>
      </c>
      <c r="M1755" s="307">
        <f>M$1729</f>
        <v>4.7964349094097178E-2</v>
      </c>
      <c r="O1755" s="307">
        <f>O$1729</f>
        <v>8.3739466963558638</v>
      </c>
      <c r="P1755" s="307">
        <f>P$1729</f>
        <v>0.60141429018278081</v>
      </c>
      <c r="Q1755" s="307">
        <f>Q$1729</f>
        <v>0.10599138250882213</v>
      </c>
      <c r="S1755" s="307">
        <f>S$1729</f>
        <v>8.3739466963558638</v>
      </c>
      <c r="T1755" s="307">
        <f>T$1729</f>
        <v>0.60141429018278081</v>
      </c>
      <c r="U1755" s="307">
        <f>U$1729</f>
        <v>0.10599138250882213</v>
      </c>
      <c r="W1755" s="307">
        <f>W$1729</f>
        <v>8.2059616139070908</v>
      </c>
      <c r="X1755" s="307">
        <f>X$1729</f>
        <v>0.7602870798319683</v>
      </c>
      <c r="Y1755" s="307">
        <f>Y$1729</f>
        <v>4.7964349094097178E-2</v>
      </c>
      <c r="AA1755" s="307">
        <f>AA$1729</f>
        <v>8.3739466963558638</v>
      </c>
      <c r="AB1755" s="307">
        <f>AB$1729</f>
        <v>0.60141429018278081</v>
      </c>
      <c r="AC1755" s="307">
        <f>AC$1729</f>
        <v>0.10599138250882213</v>
      </c>
      <c r="AE1755" s="307">
        <f>AE$1729</f>
        <v>8.3739466963558638</v>
      </c>
      <c r="AF1755" s="307">
        <f>AF$1729</f>
        <v>0.60141429018278081</v>
      </c>
      <c r="AG1755" s="307">
        <f>AG$1729</f>
        <v>0.10599138250882213</v>
      </c>
      <c r="AI1755" s="307">
        <f>AI$1729</f>
        <v>8.3739466963558638</v>
      </c>
      <c r="AJ1755" s="307">
        <f>AJ$1729</f>
        <v>0.60141429018278081</v>
      </c>
      <c r="AK1755" s="307">
        <f>AK$1729</f>
        <v>0.10599138250882213</v>
      </c>
      <c r="AL1755" s="291"/>
    </row>
    <row r="1756" spans="1:38">
      <c r="A1756" s="289" t="s">
        <v>94</v>
      </c>
      <c r="C1756" s="307">
        <f>C$1710</f>
        <v>11.552311868397828</v>
      </c>
      <c r="D1756" s="307">
        <f>D$1710</f>
        <v>0.56108025327578248</v>
      </c>
      <c r="E1756" s="307">
        <f>E$1710</f>
        <v>0</v>
      </c>
      <c r="G1756" s="307">
        <f>G$1710</f>
        <v>9.9121095413488884</v>
      </c>
      <c r="H1756" s="307">
        <f>H$1710</f>
        <v>0.91836267006111527</v>
      </c>
      <c r="I1756" s="307">
        <f>I$1710</f>
        <v>5.793688840738128E-2</v>
      </c>
      <c r="K1756" s="307">
        <f>K$1710</f>
        <v>9.9121095413488884</v>
      </c>
      <c r="L1756" s="307">
        <f>L$1710</f>
        <v>0.91836267006111527</v>
      </c>
      <c r="M1756" s="307">
        <f>M$1710</f>
        <v>5.793688840738128E-2</v>
      </c>
      <c r="O1756" s="307">
        <f>O$1710</f>
        <v>10.115676899349248</v>
      </c>
      <c r="P1756" s="307">
        <f>P$1710</f>
        <v>0.72650482057498211</v>
      </c>
      <c r="Q1756" s="307">
        <f>Q$1710</f>
        <v>0.1280369482219377</v>
      </c>
      <c r="S1756" s="307">
        <f>S$1710</f>
        <v>10.115676899349248</v>
      </c>
      <c r="T1756" s="307">
        <f>T$1710</f>
        <v>0.72650482057498211</v>
      </c>
      <c r="U1756" s="307">
        <f>U$1710</f>
        <v>0.1280369482219377</v>
      </c>
      <c r="W1756" s="307">
        <f>W$1710</f>
        <v>9.9121095413488884</v>
      </c>
      <c r="X1756" s="307">
        <f>X$1710</f>
        <v>0.91836267006111527</v>
      </c>
      <c r="Y1756" s="307">
        <f>Y$1710</f>
        <v>5.793688840738128E-2</v>
      </c>
      <c r="AA1756" s="307">
        <f>AA$1710</f>
        <v>10.115676899349248</v>
      </c>
      <c r="AB1756" s="307">
        <f>AB$1710</f>
        <v>0.72650482057498211</v>
      </c>
      <c r="AC1756" s="307">
        <f>AC$1710</f>
        <v>0.1280369482219377</v>
      </c>
      <c r="AE1756" s="307">
        <f>AE$1710</f>
        <v>10.115676899349248</v>
      </c>
      <c r="AF1756" s="307">
        <f>AF$1710</f>
        <v>0.72650482057498211</v>
      </c>
      <c r="AG1756" s="307">
        <f>AG$1710</f>
        <v>0.1280369482219377</v>
      </c>
      <c r="AI1756" s="307">
        <f>AI$1710</f>
        <v>10.115676899349248</v>
      </c>
      <c r="AJ1756" s="307">
        <f>AJ$1710</f>
        <v>0.72650482057498211</v>
      </c>
      <c r="AK1756" s="307">
        <f>AK$1710</f>
        <v>0.1280369482219377</v>
      </c>
      <c r="AL1756" s="291"/>
    </row>
    <row r="1757" spans="1:38">
      <c r="A1757" s="289" t="s">
        <v>95</v>
      </c>
      <c r="C1757" s="307">
        <f>C$1720</f>
        <v>13.510203020068754</v>
      </c>
      <c r="D1757" s="307">
        <f>D$1720</f>
        <v>0.65617239377374237</v>
      </c>
      <c r="E1757" s="307">
        <f>E$1720</f>
        <v>0</v>
      </c>
      <c r="G1757" s="307">
        <f>G$1720</f>
        <v>11.592018444993419</v>
      </c>
      <c r="H1757" s="307">
        <f>H$1720</f>
        <v>1.0740071995908493</v>
      </c>
      <c r="I1757" s="307">
        <f>I$1720</f>
        <v>6.7756059016726128E-2</v>
      </c>
      <c r="K1757" s="307">
        <f>K$1720</f>
        <v>11.592018444993419</v>
      </c>
      <c r="L1757" s="307">
        <f>L$1720</f>
        <v>1.0740071995908493</v>
      </c>
      <c r="M1757" s="307">
        <f>M$1720</f>
        <v>6.7756059016726128E-2</v>
      </c>
      <c r="O1757" s="307">
        <f>O$1720</f>
        <v>11.830086492859007</v>
      </c>
      <c r="P1757" s="307">
        <f>P$1720</f>
        <v>0.84963319315131069</v>
      </c>
      <c r="Q1757" s="307">
        <f>Q$1720</f>
        <v>0.149736709349097</v>
      </c>
      <c r="S1757" s="307">
        <f>S$1720</f>
        <v>11.830086492859007</v>
      </c>
      <c r="T1757" s="307">
        <f>T$1720</f>
        <v>0.84963319315131069</v>
      </c>
      <c r="U1757" s="307">
        <f>U$1720</f>
        <v>0.149736709349097</v>
      </c>
      <c r="W1757" s="307">
        <f>W$1720</f>
        <v>11.592018444993419</v>
      </c>
      <c r="X1757" s="307">
        <f>X$1720</f>
        <v>1.0740071995908493</v>
      </c>
      <c r="Y1757" s="307">
        <f>Y$1720</f>
        <v>6.7756059016726128E-2</v>
      </c>
      <c r="AA1757" s="307">
        <f>AA$1720</f>
        <v>11.830086492859007</v>
      </c>
      <c r="AB1757" s="307">
        <f>AB$1720</f>
        <v>0.84963319315131069</v>
      </c>
      <c r="AC1757" s="307">
        <f>AC$1720</f>
        <v>0.149736709349097</v>
      </c>
      <c r="AE1757" s="307">
        <f>AE$1720</f>
        <v>11.830086492859007</v>
      </c>
      <c r="AF1757" s="307">
        <f>AF$1720</f>
        <v>0.84963319315131069</v>
      </c>
      <c r="AG1757" s="307">
        <f>AG$1720</f>
        <v>0.149736709349097</v>
      </c>
      <c r="AI1757" s="307">
        <f>AI$1720</f>
        <v>11.830086492859007</v>
      </c>
      <c r="AJ1757" s="307">
        <f>AJ$1720</f>
        <v>0.84963319315131069</v>
      </c>
      <c r="AK1757" s="307">
        <f>AK$1720</f>
        <v>0.149736709349097</v>
      </c>
      <c r="AL1757" s="291"/>
    </row>
    <row r="1758" spans="1:38">
      <c r="A1758" s="289" t="s">
        <v>130</v>
      </c>
      <c r="C1758" s="307">
        <f>C$1730</f>
        <v>9.7454382346095443</v>
      </c>
      <c r="D1758" s="307">
        <f>D$1730</f>
        <v>0.47332283055102137</v>
      </c>
      <c r="E1758" s="307">
        <f>E$1730</f>
        <v>0</v>
      </c>
      <c r="G1758" s="307">
        <f>G$1730</f>
        <v>8.3617766218855127</v>
      </c>
      <c r="H1758" s="307">
        <f>H$1730</f>
        <v>0.77472343025422008</v>
      </c>
      <c r="I1758" s="307">
        <f>I$1730</f>
        <v>4.8875097375457734E-2</v>
      </c>
      <c r="K1758" s="307">
        <f>K$1730</f>
        <v>8.3617766218855127</v>
      </c>
      <c r="L1758" s="307">
        <f>L$1730</f>
        <v>0.77472343025422008</v>
      </c>
      <c r="M1758" s="307">
        <f>M$1730</f>
        <v>4.8875097375457734E-2</v>
      </c>
      <c r="O1758" s="307">
        <f>O$1730</f>
        <v>8.5335044229157244</v>
      </c>
      <c r="P1758" s="307">
        <f>P$1730</f>
        <v>0.61287367729637887</v>
      </c>
      <c r="Q1758" s="307">
        <f>Q$1730</f>
        <v>0.10801094922464609</v>
      </c>
      <c r="S1758" s="307">
        <f>S$1730</f>
        <v>8.5335044229157244</v>
      </c>
      <c r="T1758" s="307">
        <f>T$1730</f>
        <v>0.61287367729637887</v>
      </c>
      <c r="U1758" s="307">
        <f>U$1730</f>
        <v>0.10801094922464609</v>
      </c>
      <c r="W1758" s="307">
        <f>W$1730</f>
        <v>8.3617766218855127</v>
      </c>
      <c r="X1758" s="307">
        <f>X$1730</f>
        <v>0.77472343025422008</v>
      </c>
      <c r="Y1758" s="307">
        <f>Y$1730</f>
        <v>4.8875097375457734E-2</v>
      </c>
      <c r="AA1758" s="307">
        <f>AA$1730</f>
        <v>8.5335044229157244</v>
      </c>
      <c r="AB1758" s="307">
        <f>AB$1730</f>
        <v>0.61287367729637887</v>
      </c>
      <c r="AC1758" s="307">
        <f>AC$1730</f>
        <v>0.10801094922464609</v>
      </c>
      <c r="AE1758" s="307">
        <f>AE$1730</f>
        <v>8.5335044229157244</v>
      </c>
      <c r="AF1758" s="307">
        <f>AF$1730</f>
        <v>0.61287367729637887</v>
      </c>
      <c r="AG1758" s="307">
        <f>AG$1730</f>
        <v>0.10801094922464609</v>
      </c>
      <c r="AI1758" s="307">
        <f>AI$1730</f>
        <v>8.5335044229157244</v>
      </c>
      <c r="AJ1758" s="307">
        <f>AJ$1730</f>
        <v>0.61287367729637887</v>
      </c>
      <c r="AK1758" s="307">
        <f>AK$1730</f>
        <v>0.10801094922464609</v>
      </c>
      <c r="AL1758" s="291"/>
    </row>
    <row r="1759" spans="1:38">
      <c r="A1759" s="289" t="s">
        <v>96</v>
      </c>
      <c r="C1759" s="307">
        <f t="shared" ref="C1759:E1761" si="193">C1477</f>
        <v>9.5622498106492255</v>
      </c>
      <c r="D1759" s="307">
        <f t="shared" si="193"/>
        <v>0.46442561512923047</v>
      </c>
      <c r="E1759" s="307">
        <f t="shared" si="193"/>
        <v>0</v>
      </c>
      <c r="G1759" s="307">
        <f t="shared" ref="G1759:I1761" si="194">G1477</f>
        <v>8.2059616139070908</v>
      </c>
      <c r="H1759" s="307">
        <f t="shared" si="194"/>
        <v>0.7602870798319683</v>
      </c>
      <c r="I1759" s="307">
        <f t="shared" si="194"/>
        <v>4.7964349094097178E-2</v>
      </c>
      <c r="K1759" s="307">
        <f t="shared" ref="K1759:M1761" si="195">K1477</f>
        <v>8.2059616139070908</v>
      </c>
      <c r="L1759" s="307">
        <f t="shared" si="195"/>
        <v>0.7602870798319683</v>
      </c>
      <c r="M1759" s="307">
        <f t="shared" si="195"/>
        <v>4.7964349094097178E-2</v>
      </c>
      <c r="O1759" s="307">
        <f t="shared" ref="O1759:Q1761" si="196">O1477</f>
        <v>8.3739466963558638</v>
      </c>
      <c r="P1759" s="307">
        <f t="shared" si="196"/>
        <v>0.60141429018278081</v>
      </c>
      <c r="Q1759" s="307">
        <f t="shared" si="196"/>
        <v>0.10599138250882213</v>
      </c>
      <c r="S1759" s="307">
        <f t="shared" ref="S1759:U1761" si="197">S1477</f>
        <v>8.3739466963558638</v>
      </c>
      <c r="T1759" s="307">
        <f t="shared" si="197"/>
        <v>0.60141429018278081</v>
      </c>
      <c r="U1759" s="307">
        <f t="shared" si="197"/>
        <v>0.10599138250882213</v>
      </c>
      <c r="W1759" s="307">
        <f t="shared" ref="W1759:Y1761" si="198">W1477</f>
        <v>8.2059616139070908</v>
      </c>
      <c r="X1759" s="307">
        <f t="shared" si="198"/>
        <v>0.7602870798319683</v>
      </c>
      <c r="Y1759" s="307">
        <f t="shared" si="198"/>
        <v>4.7964349094097178E-2</v>
      </c>
      <c r="AA1759" s="307">
        <f t="shared" ref="AA1759:AC1761" si="199">AA1477</f>
        <v>8.3739466963558638</v>
      </c>
      <c r="AB1759" s="307">
        <f t="shared" si="199"/>
        <v>0.60141429018278081</v>
      </c>
      <c r="AC1759" s="307">
        <f t="shared" si="199"/>
        <v>0.10599138250882213</v>
      </c>
      <c r="AE1759" s="307">
        <f t="shared" ref="AE1759:AG1761" si="200">AE1477</f>
        <v>8.3739466963558638</v>
      </c>
      <c r="AF1759" s="307">
        <f t="shared" si="200"/>
        <v>0.60141429018278081</v>
      </c>
      <c r="AG1759" s="307">
        <f t="shared" si="200"/>
        <v>0.10599138250882213</v>
      </c>
      <c r="AI1759" s="307">
        <f t="shared" ref="AI1759:AK1761" si="201">AI1477</f>
        <v>8.3739466963558638</v>
      </c>
      <c r="AJ1759" s="307">
        <f t="shared" si="201"/>
        <v>0.60141429018278081</v>
      </c>
      <c r="AK1759" s="307">
        <f t="shared" si="201"/>
        <v>0.10599138250882213</v>
      </c>
      <c r="AL1759" s="291"/>
    </row>
    <row r="1760" spans="1:38">
      <c r="A1760" s="289" t="s">
        <v>97</v>
      </c>
      <c r="C1760" s="307">
        <f t="shared" si="193"/>
        <v>9.5622498106492255</v>
      </c>
      <c r="D1760" s="307">
        <f t="shared" si="193"/>
        <v>0.46442561512923047</v>
      </c>
      <c r="E1760" s="307">
        <f t="shared" si="193"/>
        <v>0</v>
      </c>
      <c r="G1760" s="307">
        <f t="shared" si="194"/>
        <v>8.2059616139070908</v>
      </c>
      <c r="H1760" s="307">
        <f t="shared" si="194"/>
        <v>0.7602870798319683</v>
      </c>
      <c r="I1760" s="307">
        <f t="shared" si="194"/>
        <v>4.7964349094097178E-2</v>
      </c>
      <c r="K1760" s="307">
        <f t="shared" si="195"/>
        <v>8.2059616139070908</v>
      </c>
      <c r="L1760" s="307">
        <f t="shared" si="195"/>
        <v>0.7602870798319683</v>
      </c>
      <c r="M1760" s="307">
        <f t="shared" si="195"/>
        <v>4.7964349094097178E-2</v>
      </c>
      <c r="O1760" s="307">
        <f t="shared" si="196"/>
        <v>8.3739466963558638</v>
      </c>
      <c r="P1760" s="307">
        <f t="shared" si="196"/>
        <v>0.60141429018278081</v>
      </c>
      <c r="Q1760" s="307">
        <f t="shared" si="196"/>
        <v>0.10599138250882213</v>
      </c>
      <c r="S1760" s="307">
        <f t="shared" si="197"/>
        <v>8.3739466963558638</v>
      </c>
      <c r="T1760" s="307">
        <f t="shared" si="197"/>
        <v>0.60141429018278081</v>
      </c>
      <c r="U1760" s="307">
        <f t="shared" si="197"/>
        <v>0.10599138250882213</v>
      </c>
      <c r="W1760" s="307">
        <f t="shared" si="198"/>
        <v>8.2059616139070908</v>
      </c>
      <c r="X1760" s="307">
        <f t="shared" si="198"/>
        <v>0.7602870798319683</v>
      </c>
      <c r="Y1760" s="307">
        <f t="shared" si="198"/>
        <v>4.7964349094097178E-2</v>
      </c>
      <c r="AA1760" s="307">
        <f t="shared" si="199"/>
        <v>8.3739466963558638</v>
      </c>
      <c r="AB1760" s="307">
        <f t="shared" si="199"/>
        <v>0.60141429018278081</v>
      </c>
      <c r="AC1760" s="307">
        <f t="shared" si="199"/>
        <v>0.10599138250882213</v>
      </c>
      <c r="AE1760" s="307">
        <f t="shared" si="200"/>
        <v>8.3739466963558638</v>
      </c>
      <c r="AF1760" s="307">
        <f t="shared" si="200"/>
        <v>0.60141429018278081</v>
      </c>
      <c r="AG1760" s="307">
        <f t="shared" si="200"/>
        <v>0.10599138250882213</v>
      </c>
      <c r="AI1760" s="307">
        <f t="shared" si="201"/>
        <v>8.3739466963558638</v>
      </c>
      <c r="AJ1760" s="307">
        <f t="shared" si="201"/>
        <v>0.60141429018278081</v>
      </c>
      <c r="AK1760" s="307">
        <f t="shared" si="201"/>
        <v>0.10599138250882213</v>
      </c>
      <c r="AL1760" s="291"/>
    </row>
    <row r="1761" spans="1:38">
      <c r="A1761" s="289" t="s">
        <v>110</v>
      </c>
      <c r="C1761" s="307">
        <f t="shared" si="193"/>
        <v>9.5622498106492255</v>
      </c>
      <c r="D1761" s="307">
        <f t="shared" si="193"/>
        <v>0.46442561512923047</v>
      </c>
      <c r="E1761" s="307">
        <f t="shared" si="193"/>
        <v>0</v>
      </c>
      <c r="G1761" s="307">
        <f t="shared" si="194"/>
        <v>8.2059616139070908</v>
      </c>
      <c r="H1761" s="307">
        <f t="shared" si="194"/>
        <v>0.7602870798319683</v>
      </c>
      <c r="I1761" s="307">
        <f t="shared" si="194"/>
        <v>4.7964349094097178E-2</v>
      </c>
      <c r="K1761" s="307">
        <f t="shared" si="195"/>
        <v>8.2059616139070908</v>
      </c>
      <c r="L1761" s="307">
        <f t="shared" si="195"/>
        <v>0.7602870798319683</v>
      </c>
      <c r="M1761" s="307">
        <f t="shared" si="195"/>
        <v>4.7964349094097178E-2</v>
      </c>
      <c r="O1761" s="307">
        <f t="shared" si="196"/>
        <v>8.3739466963558638</v>
      </c>
      <c r="P1761" s="307">
        <f t="shared" si="196"/>
        <v>0.60141429018278081</v>
      </c>
      <c r="Q1761" s="307">
        <f t="shared" si="196"/>
        <v>0.10599138250882213</v>
      </c>
      <c r="S1761" s="307">
        <f t="shared" si="197"/>
        <v>8.3739466963558638</v>
      </c>
      <c r="T1761" s="307">
        <f t="shared" si="197"/>
        <v>0.60141429018278081</v>
      </c>
      <c r="U1761" s="307">
        <f t="shared" si="197"/>
        <v>0.10599138250882213</v>
      </c>
      <c r="W1761" s="307">
        <f t="shared" si="198"/>
        <v>8.2059616139070908</v>
      </c>
      <c r="X1761" s="307">
        <f t="shared" si="198"/>
        <v>0.7602870798319683</v>
      </c>
      <c r="Y1761" s="307">
        <f t="shared" si="198"/>
        <v>4.7964349094097178E-2</v>
      </c>
      <c r="AA1761" s="307">
        <f t="shared" si="199"/>
        <v>8.3739466963558638</v>
      </c>
      <c r="AB1761" s="307">
        <f t="shared" si="199"/>
        <v>0.60141429018278081</v>
      </c>
      <c r="AC1761" s="307">
        <f t="shared" si="199"/>
        <v>0.10599138250882213</v>
      </c>
      <c r="AE1761" s="307">
        <f t="shared" si="200"/>
        <v>8.3739466963558638</v>
      </c>
      <c r="AF1761" s="307">
        <f t="shared" si="200"/>
        <v>0.60141429018278081</v>
      </c>
      <c r="AG1761" s="307">
        <f t="shared" si="200"/>
        <v>0.10599138250882213</v>
      </c>
      <c r="AI1761" s="307">
        <f t="shared" si="201"/>
        <v>8.3739466963558638</v>
      </c>
      <c r="AJ1761" s="307">
        <f t="shared" si="201"/>
        <v>0.60141429018278081</v>
      </c>
      <c r="AK1761" s="307">
        <f t="shared" si="201"/>
        <v>0.10599138250882213</v>
      </c>
      <c r="AL1761" s="291"/>
    </row>
    <row r="1762" spans="1:38">
      <c r="A1762" s="289" t="s">
        <v>1536</v>
      </c>
      <c r="C1762" s="307">
        <f>C$1740</f>
        <v>11.93764724133308</v>
      </c>
      <c r="D1762" s="307">
        <f>D$1740</f>
        <v>0.57979547418615907</v>
      </c>
      <c r="E1762" s="307">
        <f>E$1740</f>
        <v>0</v>
      </c>
      <c r="G1762" s="307">
        <f>G$1740</f>
        <v>10.249465967575452</v>
      </c>
      <c r="H1762" s="307">
        <f>H$1740</f>
        <v>0.94961893766583583</v>
      </c>
      <c r="I1762" s="307">
        <f>I$1740</f>
        <v>5.9908757416522754E-2</v>
      </c>
      <c r="K1762" s="307">
        <f>K$1740</f>
        <v>10.249465967575452</v>
      </c>
      <c r="L1762" s="307">
        <f>L$1740</f>
        <v>0.94961893766583583</v>
      </c>
      <c r="M1762" s="307">
        <f>M$1740</f>
        <v>5.9908757416522754E-2</v>
      </c>
      <c r="O1762" s="307">
        <f>O$1740</f>
        <v>10.46566848302057</v>
      </c>
      <c r="P1762" s="307">
        <f>P$1740</f>
        <v>0.7516411090535362</v>
      </c>
      <c r="Q1762" s="307">
        <f>Q$1740</f>
        <v>0.13246688946289628</v>
      </c>
      <c r="S1762" s="307">
        <f>S$1740</f>
        <v>10.46566848302057</v>
      </c>
      <c r="T1762" s="307">
        <f>T$1740</f>
        <v>0.7516411090535362</v>
      </c>
      <c r="U1762" s="307">
        <f>U$1740</f>
        <v>0.13246688946289628</v>
      </c>
      <c r="W1762" s="307">
        <f>W$1740</f>
        <v>10.249465967575452</v>
      </c>
      <c r="X1762" s="307">
        <f>X$1740</f>
        <v>0.94961893766583583</v>
      </c>
      <c r="Y1762" s="307">
        <f>Y$1740</f>
        <v>5.9908757416522754E-2</v>
      </c>
      <c r="AA1762" s="307">
        <f>AA$1740</f>
        <v>10.46566848302057</v>
      </c>
      <c r="AB1762" s="307">
        <f>AB$1740</f>
        <v>0.7516411090535362</v>
      </c>
      <c r="AC1762" s="307">
        <f>AC$1740</f>
        <v>0.13246688946289628</v>
      </c>
      <c r="AE1762" s="307">
        <f>AE$1740</f>
        <v>10.46566848302057</v>
      </c>
      <c r="AF1762" s="307">
        <f>AF$1740</f>
        <v>0.7516411090535362</v>
      </c>
      <c r="AG1762" s="307">
        <f>AG$1740</f>
        <v>0.13246688946289628</v>
      </c>
      <c r="AI1762" s="307">
        <f>AI$1740</f>
        <v>10.46566848302057</v>
      </c>
      <c r="AJ1762" s="307">
        <f>AJ$1740</f>
        <v>0.7516411090535362</v>
      </c>
      <c r="AK1762" s="307">
        <f>AK$1740</f>
        <v>0.13246688946289628</v>
      </c>
      <c r="AL1762" s="291"/>
    </row>
    <row r="1763" spans="1:38">
      <c r="A1763" s="289" t="s">
        <v>1535</v>
      </c>
      <c r="C1763" s="307">
        <f>C$1741</f>
        <v>12.009468328158349</v>
      </c>
      <c r="D1763" s="307">
        <f>D$1741</f>
        <v>0.58328372779682347</v>
      </c>
      <c r="E1763" s="307">
        <f>E$1741</f>
        <v>0</v>
      </c>
      <c r="G1763" s="307">
        <f>G$1741</f>
        <v>10.305915942299643</v>
      </c>
      <c r="H1763" s="307">
        <f>H$1741</f>
        <v>0.95484906040573614</v>
      </c>
      <c r="I1763" s="307">
        <f>I$1741</f>
        <v>6.0238710982164032E-2</v>
      </c>
      <c r="K1763" s="307">
        <f>K$1741</f>
        <v>10.305915942299643</v>
      </c>
      <c r="L1763" s="307">
        <f>L$1741</f>
        <v>0.95484906040573614</v>
      </c>
      <c r="M1763" s="307">
        <f>M$1741</f>
        <v>6.0238710982164032E-2</v>
      </c>
      <c r="O1763" s="307">
        <f>O$1741</f>
        <v>10.524449505284016</v>
      </c>
      <c r="P1763" s="307">
        <f>P$1741</f>
        <v>0.75586274409166865</v>
      </c>
      <c r="Q1763" s="307">
        <f>Q$1741</f>
        <v>0.13321089728153881</v>
      </c>
      <c r="S1763" s="307">
        <f>S$1741</f>
        <v>10.524449505284016</v>
      </c>
      <c r="T1763" s="307">
        <f>T$1741</f>
        <v>0.75586274409166865</v>
      </c>
      <c r="U1763" s="307">
        <f>U$1741</f>
        <v>0.13321089728153881</v>
      </c>
      <c r="W1763" s="307">
        <f>W$1741</f>
        <v>10.305915942299643</v>
      </c>
      <c r="X1763" s="307">
        <f>X$1741</f>
        <v>0.95484906040573614</v>
      </c>
      <c r="Y1763" s="307">
        <f>Y$1741</f>
        <v>6.0238710982164032E-2</v>
      </c>
      <c r="AA1763" s="307">
        <f>AA$1741</f>
        <v>10.524449505284016</v>
      </c>
      <c r="AB1763" s="307">
        <f>AB$1741</f>
        <v>0.75586274409166865</v>
      </c>
      <c r="AC1763" s="307">
        <f>AC$1741</f>
        <v>0.13321089728153881</v>
      </c>
      <c r="AE1763" s="307">
        <f>AE$1741</f>
        <v>10.524449505284016</v>
      </c>
      <c r="AF1763" s="307">
        <f>AF$1741</f>
        <v>0.75586274409166865</v>
      </c>
      <c r="AG1763" s="307">
        <f>AG$1741</f>
        <v>0.13321089728153881</v>
      </c>
      <c r="AI1763" s="307">
        <f>AI$1741</f>
        <v>10.524449505284016</v>
      </c>
      <c r="AJ1763" s="307">
        <f>AJ$1741</f>
        <v>0.75586274409166865</v>
      </c>
      <c r="AK1763" s="307">
        <f>AK$1741</f>
        <v>0.13321089728153881</v>
      </c>
      <c r="AL1763" s="291"/>
    </row>
    <row r="1764" spans="1:38">
      <c r="A1764" s="289" t="s">
        <v>98</v>
      </c>
      <c r="C1764" s="307">
        <f t="shared" ref="C1764:E1769" si="202">C1482</f>
        <v>11.550844387211768</v>
      </c>
      <c r="D1764" s="307">
        <f t="shared" si="202"/>
        <v>0.56100897968786934</v>
      </c>
      <c r="E1764" s="307">
        <f t="shared" si="202"/>
        <v>0</v>
      </c>
      <c r="G1764" s="307">
        <f t="shared" ref="G1764:I1769" si="203">G1482</f>
        <v>9.9124983687535</v>
      </c>
      <c r="H1764" s="307">
        <f t="shared" si="203"/>
        <v>0.91839869514457539</v>
      </c>
      <c r="I1764" s="307">
        <f t="shared" si="203"/>
        <v>5.7939161127416997E-2</v>
      </c>
      <c r="K1764" s="307">
        <f t="shared" ref="K1764:M1769" si="204">K1482</f>
        <v>9.9124983687535</v>
      </c>
      <c r="L1764" s="307">
        <f t="shared" si="204"/>
        <v>0.91839869514457539</v>
      </c>
      <c r="M1764" s="307">
        <f t="shared" si="204"/>
        <v>5.7939161127416997E-2</v>
      </c>
      <c r="O1764" s="307">
        <f t="shared" ref="O1764:Q1769" si="205">O1482</f>
        <v>10.11541814026771</v>
      </c>
      <c r="P1764" s="307">
        <f t="shared" si="205"/>
        <v>0.72648623657689904</v>
      </c>
      <c r="Q1764" s="307">
        <f t="shared" si="205"/>
        <v>0.12803367303596108</v>
      </c>
      <c r="S1764" s="307">
        <f t="shared" ref="S1764:U1769" si="206">S1482</f>
        <v>10.11541814026771</v>
      </c>
      <c r="T1764" s="307">
        <f t="shared" si="206"/>
        <v>0.72648623657689904</v>
      </c>
      <c r="U1764" s="307">
        <f t="shared" si="206"/>
        <v>0.12803367303596108</v>
      </c>
      <c r="W1764" s="307">
        <f t="shared" ref="W1764:Y1769" si="207">W1482</f>
        <v>9.9124983687535</v>
      </c>
      <c r="X1764" s="307">
        <f t="shared" si="207"/>
        <v>0.91839869514457539</v>
      </c>
      <c r="Y1764" s="307">
        <f t="shared" si="207"/>
        <v>5.7939161127416997E-2</v>
      </c>
      <c r="AA1764" s="307">
        <f t="shared" ref="AA1764:AC1769" si="208">AA1482</f>
        <v>10.11541814026771</v>
      </c>
      <c r="AB1764" s="307">
        <f t="shared" si="208"/>
        <v>0.72648623657689904</v>
      </c>
      <c r="AC1764" s="307">
        <f t="shared" si="208"/>
        <v>0.12803367303596108</v>
      </c>
      <c r="AE1764" s="307">
        <f t="shared" ref="AE1764:AG1769" si="209">AE1482</f>
        <v>10.11541814026771</v>
      </c>
      <c r="AF1764" s="307">
        <f t="shared" si="209"/>
        <v>0.72648623657689904</v>
      </c>
      <c r="AG1764" s="307">
        <f t="shared" si="209"/>
        <v>0.12803367303596108</v>
      </c>
      <c r="AI1764" s="307">
        <f t="shared" ref="AI1764:AK1769" si="210">AI1482</f>
        <v>10.11541814026771</v>
      </c>
      <c r="AJ1764" s="307">
        <f t="shared" si="210"/>
        <v>0.72648623657689904</v>
      </c>
      <c r="AK1764" s="307">
        <f t="shared" si="210"/>
        <v>0.12803367303596108</v>
      </c>
      <c r="AL1764" s="291"/>
    </row>
    <row r="1765" spans="1:38">
      <c r="A1765" s="289" t="s">
        <v>99</v>
      </c>
      <c r="C1765" s="307">
        <f t="shared" si="202"/>
        <v>12.381436905975773</v>
      </c>
      <c r="D1765" s="307">
        <f t="shared" si="202"/>
        <v>0.60134974144240061</v>
      </c>
      <c r="E1765" s="307">
        <f t="shared" si="202"/>
        <v>0</v>
      </c>
      <c r="G1765" s="307">
        <f t="shared" si="203"/>
        <v>10.625281496233109</v>
      </c>
      <c r="H1765" s="307">
        <f t="shared" si="203"/>
        <v>0.98443846330855878</v>
      </c>
      <c r="I1765" s="307">
        <f t="shared" si="203"/>
        <v>6.2105422238957396E-2</v>
      </c>
      <c r="K1765" s="307">
        <f t="shared" si="204"/>
        <v>10.625281496233109</v>
      </c>
      <c r="L1765" s="307">
        <f t="shared" si="204"/>
        <v>0.98443846330855878</v>
      </c>
      <c r="M1765" s="307">
        <f t="shared" si="204"/>
        <v>6.2105422238957396E-2</v>
      </c>
      <c r="O1765" s="307">
        <f t="shared" si="205"/>
        <v>10.842792724309193</v>
      </c>
      <c r="P1765" s="307">
        <f t="shared" si="205"/>
        <v>0.77872605670241712</v>
      </c>
      <c r="Q1765" s="307">
        <f t="shared" si="205"/>
        <v>0.13724025633053669</v>
      </c>
      <c r="S1765" s="307">
        <f t="shared" si="206"/>
        <v>10.842792724309193</v>
      </c>
      <c r="T1765" s="307">
        <f t="shared" si="206"/>
        <v>0.77872605670241712</v>
      </c>
      <c r="U1765" s="307">
        <f t="shared" si="206"/>
        <v>0.13724025633053669</v>
      </c>
      <c r="W1765" s="307">
        <f t="shared" si="207"/>
        <v>10.625281496233109</v>
      </c>
      <c r="X1765" s="307">
        <f t="shared" si="207"/>
        <v>0.98443846330855878</v>
      </c>
      <c r="Y1765" s="307">
        <f t="shared" si="207"/>
        <v>6.2105422238957396E-2</v>
      </c>
      <c r="AA1765" s="307">
        <f t="shared" si="208"/>
        <v>10.842792724309193</v>
      </c>
      <c r="AB1765" s="307">
        <f t="shared" si="208"/>
        <v>0.77872605670241712</v>
      </c>
      <c r="AC1765" s="307">
        <f t="shared" si="208"/>
        <v>0.13724025633053669</v>
      </c>
      <c r="AE1765" s="307">
        <f t="shared" si="209"/>
        <v>10.842792724309193</v>
      </c>
      <c r="AF1765" s="307">
        <f t="shared" si="209"/>
        <v>0.77872605670241712</v>
      </c>
      <c r="AG1765" s="307">
        <f t="shared" si="209"/>
        <v>0.13724025633053669</v>
      </c>
      <c r="AI1765" s="307">
        <f t="shared" si="210"/>
        <v>10.842792724309193</v>
      </c>
      <c r="AJ1765" s="307">
        <f t="shared" si="210"/>
        <v>0.77872605670241712</v>
      </c>
      <c r="AK1765" s="307">
        <f t="shared" si="210"/>
        <v>0.13724025633053669</v>
      </c>
      <c r="AL1765" s="291"/>
    </row>
    <row r="1766" spans="1:38">
      <c r="A1766" s="289" t="s">
        <v>111</v>
      </c>
      <c r="C1766" s="307">
        <f t="shared" si="202"/>
        <v>10.406902918316289</v>
      </c>
      <c r="D1766" s="307">
        <f t="shared" si="202"/>
        <v>0.50544928077977869</v>
      </c>
      <c r="E1766" s="307">
        <f t="shared" si="202"/>
        <v>0</v>
      </c>
      <c r="G1766" s="307">
        <f t="shared" si="203"/>
        <v>8.9308110077039515</v>
      </c>
      <c r="H1766" s="307">
        <f t="shared" si="203"/>
        <v>0.82744479453463238</v>
      </c>
      <c r="I1766" s="307">
        <f t="shared" si="203"/>
        <v>5.2201138272564208E-2</v>
      </c>
      <c r="K1766" s="307">
        <f t="shared" si="204"/>
        <v>8.9308110077039515</v>
      </c>
      <c r="L1766" s="307">
        <f t="shared" si="204"/>
        <v>0.82744479453463238</v>
      </c>
      <c r="M1766" s="307">
        <f t="shared" si="204"/>
        <v>5.2201138272564208E-2</v>
      </c>
      <c r="O1766" s="307">
        <f t="shared" si="205"/>
        <v>9.1136345564908492</v>
      </c>
      <c r="P1766" s="307">
        <f t="shared" si="205"/>
        <v>0.65453844603076283</v>
      </c>
      <c r="Q1766" s="307">
        <f t="shared" si="205"/>
        <v>0.11535381837849602</v>
      </c>
      <c r="S1766" s="307">
        <f t="shared" si="206"/>
        <v>9.1136345564908492</v>
      </c>
      <c r="T1766" s="307">
        <f t="shared" si="206"/>
        <v>0.65453844603076283</v>
      </c>
      <c r="U1766" s="307">
        <f t="shared" si="206"/>
        <v>0.11535381837849602</v>
      </c>
      <c r="W1766" s="307">
        <f t="shared" si="207"/>
        <v>8.9308110077039515</v>
      </c>
      <c r="X1766" s="307">
        <f t="shared" si="207"/>
        <v>0.82744479453463238</v>
      </c>
      <c r="Y1766" s="307">
        <f t="shared" si="207"/>
        <v>5.2201138272564208E-2</v>
      </c>
      <c r="AA1766" s="307">
        <f t="shared" si="208"/>
        <v>9.1136345564908492</v>
      </c>
      <c r="AB1766" s="307">
        <f t="shared" si="208"/>
        <v>0.65453844603076283</v>
      </c>
      <c r="AC1766" s="307">
        <f t="shared" si="208"/>
        <v>0.11535381837849602</v>
      </c>
      <c r="AE1766" s="307">
        <f t="shared" si="209"/>
        <v>9.1136345564908492</v>
      </c>
      <c r="AF1766" s="307">
        <f t="shared" si="209"/>
        <v>0.65453844603076283</v>
      </c>
      <c r="AG1766" s="307">
        <f t="shared" si="209"/>
        <v>0.11535381837849602</v>
      </c>
      <c r="AI1766" s="307">
        <f t="shared" si="210"/>
        <v>9.1136345564908492</v>
      </c>
      <c r="AJ1766" s="307">
        <f t="shared" si="210"/>
        <v>0.65453844603076283</v>
      </c>
      <c r="AK1766" s="307">
        <f t="shared" si="210"/>
        <v>0.11535381837849602</v>
      </c>
      <c r="AL1766" s="291"/>
    </row>
    <row r="1767" spans="1:38">
      <c r="A1767" s="289" t="s">
        <v>102</v>
      </c>
      <c r="C1767" s="307">
        <f t="shared" si="202"/>
        <v>-9.5622498106492255</v>
      </c>
      <c r="D1767" s="307">
        <f t="shared" si="202"/>
        <v>-0.46442561512923047</v>
      </c>
      <c r="E1767" s="307">
        <f t="shared" si="202"/>
        <v>0</v>
      </c>
      <c r="G1767" s="307">
        <f t="shared" si="203"/>
        <v>-8.2059616139070908</v>
      </c>
      <c r="H1767" s="307">
        <f t="shared" si="203"/>
        <v>-0.7602870798319683</v>
      </c>
      <c r="I1767" s="307">
        <f t="shared" si="203"/>
        <v>-4.7964349094097178E-2</v>
      </c>
      <c r="K1767" s="307">
        <f t="shared" si="204"/>
        <v>-8.2059616139070908</v>
      </c>
      <c r="L1767" s="307">
        <f t="shared" si="204"/>
        <v>-0.7602870798319683</v>
      </c>
      <c r="M1767" s="307">
        <f t="shared" si="204"/>
        <v>-4.7964349094097178E-2</v>
      </c>
      <c r="O1767" s="307">
        <f t="shared" si="205"/>
        <v>-8.3739466963558638</v>
      </c>
      <c r="P1767" s="307">
        <f t="shared" si="205"/>
        <v>-0.60141429018278081</v>
      </c>
      <c r="Q1767" s="307">
        <f t="shared" si="205"/>
        <v>-0.10599138250882213</v>
      </c>
      <c r="S1767" s="307">
        <f t="shared" si="206"/>
        <v>-8.3739466963558638</v>
      </c>
      <c r="T1767" s="307">
        <f t="shared" si="206"/>
        <v>-0.60141429018278081</v>
      </c>
      <c r="U1767" s="307">
        <f t="shared" si="206"/>
        <v>-0.10599138250882213</v>
      </c>
      <c r="W1767" s="307">
        <f t="shared" si="207"/>
        <v>-8.2059616139070908</v>
      </c>
      <c r="X1767" s="307">
        <f t="shared" si="207"/>
        <v>-0.7602870798319683</v>
      </c>
      <c r="Y1767" s="307">
        <f t="shared" si="207"/>
        <v>-4.7964349094097178E-2</v>
      </c>
      <c r="AA1767" s="307">
        <f t="shared" si="208"/>
        <v>-8.3739466963558638</v>
      </c>
      <c r="AB1767" s="307">
        <f t="shared" si="208"/>
        <v>-0.60141429018278081</v>
      </c>
      <c r="AC1767" s="307">
        <f t="shared" si="208"/>
        <v>-0.10599138250882213</v>
      </c>
      <c r="AE1767" s="307">
        <f t="shared" si="209"/>
        <v>-8.3739466963558638</v>
      </c>
      <c r="AF1767" s="307">
        <f t="shared" si="209"/>
        <v>-0.60141429018278081</v>
      </c>
      <c r="AG1767" s="307">
        <f t="shared" si="209"/>
        <v>-0.10599138250882213</v>
      </c>
      <c r="AI1767" s="307">
        <f t="shared" si="210"/>
        <v>-8.3739466963558638</v>
      </c>
      <c r="AJ1767" s="307">
        <f t="shared" si="210"/>
        <v>-0.60141429018278081</v>
      </c>
      <c r="AK1767" s="307">
        <f t="shared" si="210"/>
        <v>-0.10599138250882213</v>
      </c>
      <c r="AL1767" s="291"/>
    </row>
    <row r="1768" spans="1:38">
      <c r="A1768" s="289" t="s">
        <v>104</v>
      </c>
      <c r="C1768" s="307">
        <f t="shared" si="202"/>
        <v>-9.5622498106492255</v>
      </c>
      <c r="D1768" s="307">
        <f t="shared" si="202"/>
        <v>-0.46442561512923047</v>
      </c>
      <c r="E1768" s="307">
        <f t="shared" si="202"/>
        <v>0</v>
      </c>
      <c r="G1768" s="307">
        <f t="shared" si="203"/>
        <v>-8.2059616139070908</v>
      </c>
      <c r="H1768" s="307">
        <f t="shared" si="203"/>
        <v>-0.7602870798319683</v>
      </c>
      <c r="I1768" s="307">
        <f t="shared" si="203"/>
        <v>-4.7964349094097178E-2</v>
      </c>
      <c r="K1768" s="307">
        <f t="shared" si="204"/>
        <v>-8.2059616139070908</v>
      </c>
      <c r="L1768" s="307">
        <f t="shared" si="204"/>
        <v>-0.7602870798319683</v>
      </c>
      <c r="M1768" s="307">
        <f t="shared" si="204"/>
        <v>-4.7964349094097178E-2</v>
      </c>
      <c r="O1768" s="307">
        <f t="shared" si="205"/>
        <v>-8.3739466963558638</v>
      </c>
      <c r="P1768" s="307">
        <f t="shared" si="205"/>
        <v>-0.60141429018278081</v>
      </c>
      <c r="Q1768" s="307">
        <f t="shared" si="205"/>
        <v>-0.10599138250882213</v>
      </c>
      <c r="S1768" s="307">
        <f t="shared" si="206"/>
        <v>-8.3739466963558638</v>
      </c>
      <c r="T1768" s="307">
        <f t="shared" si="206"/>
        <v>-0.60141429018278081</v>
      </c>
      <c r="U1768" s="307">
        <f t="shared" si="206"/>
        <v>-0.10599138250882213</v>
      </c>
      <c r="W1768" s="307">
        <f t="shared" si="207"/>
        <v>-8.2059616139070908</v>
      </c>
      <c r="X1768" s="307">
        <f t="shared" si="207"/>
        <v>-0.7602870798319683</v>
      </c>
      <c r="Y1768" s="307">
        <f t="shared" si="207"/>
        <v>-4.7964349094097178E-2</v>
      </c>
      <c r="AA1768" s="307">
        <f t="shared" si="208"/>
        <v>-8.3739466963558638</v>
      </c>
      <c r="AB1768" s="307">
        <f t="shared" si="208"/>
        <v>-0.60141429018278081</v>
      </c>
      <c r="AC1768" s="307">
        <f t="shared" si="208"/>
        <v>-0.10599138250882213</v>
      </c>
      <c r="AE1768" s="307">
        <f t="shared" si="209"/>
        <v>-8.3739466963558638</v>
      </c>
      <c r="AF1768" s="307">
        <f t="shared" si="209"/>
        <v>-0.60141429018278081</v>
      </c>
      <c r="AG1768" s="307">
        <f t="shared" si="209"/>
        <v>-0.10599138250882213</v>
      </c>
      <c r="AI1768" s="307">
        <f t="shared" si="210"/>
        <v>-8.3739466963558638</v>
      </c>
      <c r="AJ1768" s="307">
        <f t="shared" si="210"/>
        <v>-0.60141429018278081</v>
      </c>
      <c r="AK1768" s="307">
        <f t="shared" si="210"/>
        <v>-0.10599138250882213</v>
      </c>
      <c r="AL1768" s="291"/>
    </row>
    <row r="1769" spans="1:38">
      <c r="A1769" s="289" t="s">
        <v>113</v>
      </c>
      <c r="C1769" s="307">
        <f t="shared" si="202"/>
        <v>-9.5622498106492255</v>
      </c>
      <c r="D1769" s="307">
        <f t="shared" si="202"/>
        <v>-0.46442561512923047</v>
      </c>
      <c r="E1769" s="307">
        <f t="shared" si="202"/>
        <v>0</v>
      </c>
      <c r="G1769" s="307">
        <f t="shared" si="203"/>
        <v>-8.2059616139070908</v>
      </c>
      <c r="H1769" s="307">
        <f t="shared" si="203"/>
        <v>-0.7602870798319683</v>
      </c>
      <c r="I1769" s="307">
        <f t="shared" si="203"/>
        <v>-4.7964349094097178E-2</v>
      </c>
      <c r="K1769" s="307">
        <f t="shared" si="204"/>
        <v>-8.2059616139070908</v>
      </c>
      <c r="L1769" s="307">
        <f t="shared" si="204"/>
        <v>-0.7602870798319683</v>
      </c>
      <c r="M1769" s="307">
        <f t="shared" si="204"/>
        <v>-4.7964349094097178E-2</v>
      </c>
      <c r="O1769" s="307">
        <f t="shared" si="205"/>
        <v>-8.3739466963558638</v>
      </c>
      <c r="P1769" s="307">
        <f t="shared" si="205"/>
        <v>-0.60141429018278081</v>
      </c>
      <c r="Q1769" s="307">
        <f t="shared" si="205"/>
        <v>-0.10599138250882213</v>
      </c>
      <c r="S1769" s="307">
        <f t="shared" si="206"/>
        <v>-8.3739466963558638</v>
      </c>
      <c r="T1769" s="307">
        <f t="shared" si="206"/>
        <v>-0.60141429018278081</v>
      </c>
      <c r="U1769" s="307">
        <f t="shared" si="206"/>
        <v>-0.10599138250882213</v>
      </c>
      <c r="W1769" s="307">
        <f t="shared" si="207"/>
        <v>-8.2059616139070908</v>
      </c>
      <c r="X1769" s="307">
        <f t="shared" si="207"/>
        <v>-0.7602870798319683</v>
      </c>
      <c r="Y1769" s="307">
        <f t="shared" si="207"/>
        <v>-4.7964349094097178E-2</v>
      </c>
      <c r="AA1769" s="307">
        <f t="shared" si="208"/>
        <v>-8.3739466963558638</v>
      </c>
      <c r="AB1769" s="307">
        <f t="shared" si="208"/>
        <v>-0.60141429018278081</v>
      </c>
      <c r="AC1769" s="307">
        <f t="shared" si="208"/>
        <v>-0.10599138250882213</v>
      </c>
      <c r="AE1769" s="307">
        <f t="shared" si="209"/>
        <v>-8.3739466963558638</v>
      </c>
      <c r="AF1769" s="307">
        <f t="shared" si="209"/>
        <v>-0.60141429018278081</v>
      </c>
      <c r="AG1769" s="307">
        <f t="shared" si="209"/>
        <v>-0.10599138250882213</v>
      </c>
      <c r="AI1769" s="307">
        <f t="shared" si="210"/>
        <v>-8.3739466963558638</v>
      </c>
      <c r="AJ1769" s="307">
        <f t="shared" si="210"/>
        <v>-0.60141429018278081</v>
      </c>
      <c r="AK1769" s="307">
        <f t="shared" si="210"/>
        <v>-0.10599138250882213</v>
      </c>
      <c r="AL1769" s="291"/>
    </row>
    <row r="1771" spans="1:38" ht="21" customHeight="1">
      <c r="A1771" s="1" t="s">
        <v>1671</v>
      </c>
    </row>
    <row r="1772" spans="1:38">
      <c r="A1772" s="287" t="s">
        <v>255</v>
      </c>
    </row>
    <row r="1773" spans="1:38">
      <c r="A1773" s="301" t="s">
        <v>1672</v>
      </c>
    </row>
    <row r="1774" spans="1:38">
      <c r="A1774" s="301" t="s">
        <v>501</v>
      </c>
    </row>
    <row r="1775" spans="1:38">
      <c r="A1775" s="287" t="s">
        <v>268</v>
      </c>
    </row>
    <row r="1777" spans="1:11">
      <c r="B1777" s="288" t="s">
        <v>60</v>
      </c>
      <c r="C1777" s="288" t="s">
        <v>61</v>
      </c>
      <c r="D1777" s="288" t="s">
        <v>62</v>
      </c>
      <c r="E1777" s="288" t="s">
        <v>63</v>
      </c>
      <c r="F1777" s="288" t="s">
        <v>64</v>
      </c>
      <c r="G1777" s="288" t="s">
        <v>69</v>
      </c>
      <c r="H1777" s="288" t="s">
        <v>65</v>
      </c>
      <c r="I1777" s="288" t="s">
        <v>66</v>
      </c>
      <c r="J1777" s="288" t="s">
        <v>67</v>
      </c>
    </row>
    <row r="1778" spans="1:11">
      <c r="A1778" s="289" t="s">
        <v>92</v>
      </c>
      <c r="B1778" s="306">
        <f t="shared" ref="B1778:B1794" si="211">SUMPRODUCT($C1753:$E1753,$B1240:$D1240)</f>
        <v>2.0040085436376867</v>
      </c>
      <c r="C1778" s="306">
        <f t="shared" ref="C1778:C1794" si="212">SUMPRODUCT($G1753:$I1753,$B1240:$D1240)</f>
        <v>1.9295796583283737</v>
      </c>
      <c r="D1778" s="306">
        <f t="shared" ref="D1778:D1794" si="213">SUMPRODUCT($K1753:$M1753,$B1240:$D1240)</f>
        <v>1.9295796583283737</v>
      </c>
      <c r="E1778" s="306">
        <f t="shared" ref="E1778:E1794" si="214">SUMPRODUCT($O1753:$Q1753,$B1240:$D1240)</f>
        <v>1.9098399703705187</v>
      </c>
      <c r="F1778" s="306">
        <f t="shared" ref="F1778:F1794" si="215">SUMPRODUCT($S1753:$U1753,$B1240:$D1240)</f>
        <v>1.9098399703705187</v>
      </c>
      <c r="G1778" s="306">
        <f t="shared" ref="G1778:G1794" si="216">SUMPRODUCT($W1753:$Y1753,$B1240:$D1240)</f>
        <v>1.9295796583283737</v>
      </c>
      <c r="H1778" s="306">
        <f t="shared" ref="H1778:H1794" si="217">SUMPRODUCT($AA1753:$AC1753,$B1240:$D1240)</f>
        <v>1.9098399703705187</v>
      </c>
      <c r="I1778" s="306">
        <f t="shared" ref="I1778:I1794" si="218">SUMPRODUCT($AE1753:$AG1753,$B1240:$D1240)</f>
        <v>1.9098399703705187</v>
      </c>
      <c r="J1778" s="306">
        <f t="shared" ref="J1778:J1794" si="219">SUMPRODUCT($AI1753:$AK1753,$B1240:$D1240)</f>
        <v>1.9098399703705187</v>
      </c>
      <c r="K1778" s="291"/>
    </row>
    <row r="1779" spans="1:11">
      <c r="A1779" s="289" t="s">
        <v>93</v>
      </c>
      <c r="B1779" s="306">
        <f t="shared" si="211"/>
        <v>2.3796070334364003</v>
      </c>
      <c r="C1779" s="306">
        <f t="shared" si="212"/>
        <v>2.2957175623274879</v>
      </c>
      <c r="D1779" s="306">
        <f t="shared" si="213"/>
        <v>2.2957175623274879</v>
      </c>
      <c r="E1779" s="306">
        <f t="shared" si="214"/>
        <v>2.2721591018340757</v>
      </c>
      <c r="F1779" s="306">
        <f t="shared" si="215"/>
        <v>2.2721591018340757</v>
      </c>
      <c r="G1779" s="306">
        <f t="shared" si="216"/>
        <v>2.2957175623274879</v>
      </c>
      <c r="H1779" s="306">
        <f t="shared" si="217"/>
        <v>2.2721591018340757</v>
      </c>
      <c r="I1779" s="306">
        <f t="shared" si="218"/>
        <v>2.2721591018340757</v>
      </c>
      <c r="J1779" s="306">
        <f t="shared" si="219"/>
        <v>2.2721591018340757</v>
      </c>
      <c r="K1779" s="291"/>
    </row>
    <row r="1780" spans="1:11">
      <c r="A1780" s="289" t="s">
        <v>129</v>
      </c>
      <c r="B1780" s="306">
        <f t="shared" si="211"/>
        <v>0.12407501037384824</v>
      </c>
      <c r="C1780" s="306">
        <f t="shared" si="212"/>
        <v>0.21990498499333769</v>
      </c>
      <c r="D1780" s="306">
        <f t="shared" si="213"/>
        <v>0.21990498499333769</v>
      </c>
      <c r="E1780" s="306">
        <f t="shared" si="214"/>
        <v>0.23289532230455828</v>
      </c>
      <c r="F1780" s="306">
        <f t="shared" si="215"/>
        <v>0.23289532230455828</v>
      </c>
      <c r="G1780" s="306">
        <f t="shared" si="216"/>
        <v>0.21990498499333769</v>
      </c>
      <c r="H1780" s="306">
        <f t="shared" si="217"/>
        <v>0.23289532230455828</v>
      </c>
      <c r="I1780" s="306">
        <f t="shared" si="218"/>
        <v>0.23289532230455828</v>
      </c>
      <c r="J1780" s="306">
        <f t="shared" si="219"/>
        <v>0.23289532230455828</v>
      </c>
      <c r="K1780" s="291"/>
    </row>
    <row r="1781" spans="1:11">
      <c r="A1781" s="289" t="s">
        <v>94</v>
      </c>
      <c r="B1781" s="306">
        <f t="shared" si="211"/>
        <v>1.8488068432231508</v>
      </c>
      <c r="C1781" s="306">
        <f t="shared" si="212"/>
        <v>1.8580305019183987</v>
      </c>
      <c r="D1781" s="306">
        <f t="shared" si="213"/>
        <v>1.8580305019183987</v>
      </c>
      <c r="E1781" s="306">
        <f t="shared" si="214"/>
        <v>1.7926725555436023</v>
      </c>
      <c r="F1781" s="306">
        <f t="shared" si="215"/>
        <v>1.7926725555436023</v>
      </c>
      <c r="G1781" s="306">
        <f t="shared" si="216"/>
        <v>1.8580305019183987</v>
      </c>
      <c r="H1781" s="306">
        <f t="shared" si="217"/>
        <v>1.7926725555436023</v>
      </c>
      <c r="I1781" s="306">
        <f t="shared" si="218"/>
        <v>1.7926725555436023</v>
      </c>
      <c r="J1781" s="306">
        <f t="shared" si="219"/>
        <v>1.7926725555436023</v>
      </c>
      <c r="K1781" s="291"/>
    </row>
    <row r="1782" spans="1:11">
      <c r="A1782" s="289" t="s">
        <v>95</v>
      </c>
      <c r="B1782" s="306">
        <f t="shared" si="211"/>
        <v>2.1213398169669895</v>
      </c>
      <c r="C1782" s="306">
        <f t="shared" si="212"/>
        <v>2.1167215992721293</v>
      </c>
      <c r="D1782" s="306">
        <f t="shared" si="213"/>
        <v>2.1167215992721293</v>
      </c>
      <c r="E1782" s="306">
        <f t="shared" si="214"/>
        <v>2.0548627876277656</v>
      </c>
      <c r="F1782" s="306">
        <f t="shared" si="215"/>
        <v>2.0548627876277656</v>
      </c>
      <c r="G1782" s="306">
        <f t="shared" si="216"/>
        <v>2.1167215992721293</v>
      </c>
      <c r="H1782" s="306">
        <f t="shared" si="217"/>
        <v>2.0548627876277656</v>
      </c>
      <c r="I1782" s="306">
        <f t="shared" si="218"/>
        <v>2.0548627876277656</v>
      </c>
      <c r="J1782" s="306">
        <f t="shared" si="219"/>
        <v>2.0548627876277656</v>
      </c>
      <c r="K1782" s="291"/>
    </row>
    <row r="1783" spans="1:11">
      <c r="A1783" s="289" t="s">
        <v>130</v>
      </c>
      <c r="B1783" s="306">
        <f t="shared" si="211"/>
        <v>0.28906805527446738</v>
      </c>
      <c r="C1783" s="306">
        <f t="shared" si="212"/>
        <v>0.351696059672501</v>
      </c>
      <c r="D1783" s="306">
        <f t="shared" si="213"/>
        <v>0.351696059672501</v>
      </c>
      <c r="E1783" s="306">
        <f t="shared" si="214"/>
        <v>0.37462874869056823</v>
      </c>
      <c r="F1783" s="306">
        <f t="shared" si="215"/>
        <v>0.37462874869056823</v>
      </c>
      <c r="G1783" s="306">
        <f t="shared" si="216"/>
        <v>0.351696059672501</v>
      </c>
      <c r="H1783" s="306">
        <f t="shared" si="217"/>
        <v>0.37462874869056823</v>
      </c>
      <c r="I1783" s="306">
        <f t="shared" si="218"/>
        <v>0.37462874869056823</v>
      </c>
      <c r="J1783" s="306">
        <f t="shared" si="219"/>
        <v>0.37462874869056823</v>
      </c>
      <c r="K1783" s="291"/>
    </row>
    <row r="1784" spans="1:11">
      <c r="A1784" s="289" t="s">
        <v>96</v>
      </c>
      <c r="B1784" s="306">
        <f t="shared" si="211"/>
        <v>1.5521985045289384</v>
      </c>
      <c r="C1784" s="306">
        <f t="shared" si="212"/>
        <v>1.5386219844348659</v>
      </c>
      <c r="D1784" s="306">
        <f t="shared" si="213"/>
        <v>1.5386219844348659</v>
      </c>
      <c r="E1784" s="306">
        <f t="shared" si="214"/>
        <v>1.4975033836660741</v>
      </c>
      <c r="F1784" s="306">
        <f t="shared" si="215"/>
        <v>1.4975033836660741</v>
      </c>
      <c r="G1784" s="306">
        <f t="shared" si="216"/>
        <v>1.5386219844348659</v>
      </c>
      <c r="H1784" s="306">
        <f t="shared" si="217"/>
        <v>1.4975033836660741</v>
      </c>
      <c r="I1784" s="306">
        <f t="shared" si="218"/>
        <v>1.4975033836660741</v>
      </c>
      <c r="J1784" s="306">
        <f t="shared" si="219"/>
        <v>1.4975033836660741</v>
      </c>
      <c r="K1784" s="291"/>
    </row>
    <row r="1785" spans="1:11">
      <c r="A1785" s="289" t="s">
        <v>97</v>
      </c>
      <c r="B1785" s="306">
        <f t="shared" si="211"/>
        <v>1.5183541089323045</v>
      </c>
      <c r="C1785" s="306">
        <f t="shared" si="212"/>
        <v>1.5146375567322521</v>
      </c>
      <c r="D1785" s="306">
        <f t="shared" si="213"/>
        <v>1.5146375567322521</v>
      </c>
      <c r="E1785" s="306">
        <f t="shared" si="214"/>
        <v>1.4696919070786112</v>
      </c>
      <c r="F1785" s="306">
        <f t="shared" si="215"/>
        <v>1.4696919070786112</v>
      </c>
      <c r="G1785" s="306">
        <f t="shared" si="216"/>
        <v>1.5146375567322521</v>
      </c>
      <c r="H1785" s="306">
        <f t="shared" si="217"/>
        <v>1.4696919070786112</v>
      </c>
      <c r="I1785" s="306">
        <f t="shared" si="218"/>
        <v>1.4696919070786112</v>
      </c>
      <c r="J1785" s="306">
        <f t="shared" si="219"/>
        <v>1.4696919070786112</v>
      </c>
      <c r="K1785" s="291"/>
    </row>
    <row r="1786" spans="1:11">
      <c r="A1786" s="289" t="s">
        <v>110</v>
      </c>
      <c r="B1786" s="306">
        <f t="shared" si="211"/>
        <v>1.5067156651449258</v>
      </c>
      <c r="C1786" s="306">
        <f t="shared" si="212"/>
        <v>1.5084548072757358</v>
      </c>
      <c r="D1786" s="306">
        <f t="shared" si="213"/>
        <v>1.5084548072757358</v>
      </c>
      <c r="E1786" s="306">
        <f t="shared" si="214"/>
        <v>1.4607412409262235</v>
      </c>
      <c r="F1786" s="306">
        <f t="shared" si="215"/>
        <v>1.4607412409262235</v>
      </c>
      <c r="G1786" s="306">
        <f t="shared" si="216"/>
        <v>1.5084548072757358</v>
      </c>
      <c r="H1786" s="306">
        <f t="shared" si="217"/>
        <v>1.4607412409262235</v>
      </c>
      <c r="I1786" s="306">
        <f t="shared" si="218"/>
        <v>1.4607412409262235</v>
      </c>
      <c r="J1786" s="306">
        <f t="shared" si="219"/>
        <v>1.4607412409262235</v>
      </c>
      <c r="K1786" s="291"/>
    </row>
    <row r="1787" spans="1:11">
      <c r="A1787" s="289" t="s">
        <v>1536</v>
      </c>
      <c r="B1787" s="306">
        <f t="shared" si="211"/>
        <v>11.93764724133308</v>
      </c>
      <c r="C1787" s="306">
        <f t="shared" si="212"/>
        <v>10.249465967575452</v>
      </c>
      <c r="D1787" s="306">
        <f t="shared" si="213"/>
        <v>10.249465967575452</v>
      </c>
      <c r="E1787" s="306">
        <f t="shared" si="214"/>
        <v>10.46566848302057</v>
      </c>
      <c r="F1787" s="306">
        <f t="shared" si="215"/>
        <v>10.46566848302057</v>
      </c>
      <c r="G1787" s="306">
        <f t="shared" si="216"/>
        <v>10.249465967575452</v>
      </c>
      <c r="H1787" s="306">
        <f t="shared" si="217"/>
        <v>10.46566848302057</v>
      </c>
      <c r="I1787" s="306">
        <f t="shared" si="218"/>
        <v>10.46566848302057</v>
      </c>
      <c r="J1787" s="306">
        <f t="shared" si="219"/>
        <v>10.46566848302057</v>
      </c>
      <c r="K1787" s="291"/>
    </row>
    <row r="1788" spans="1:11">
      <c r="A1788" s="289" t="s">
        <v>1535</v>
      </c>
      <c r="B1788" s="306">
        <f t="shared" si="211"/>
        <v>12.009468328158349</v>
      </c>
      <c r="C1788" s="306">
        <f t="shared" si="212"/>
        <v>10.305915942299643</v>
      </c>
      <c r="D1788" s="306">
        <f t="shared" si="213"/>
        <v>10.305915942299643</v>
      </c>
      <c r="E1788" s="306">
        <f t="shared" si="214"/>
        <v>10.524449505284016</v>
      </c>
      <c r="F1788" s="306">
        <f t="shared" si="215"/>
        <v>10.524449505284016</v>
      </c>
      <c r="G1788" s="306">
        <f t="shared" si="216"/>
        <v>10.305915942299643</v>
      </c>
      <c r="H1788" s="306">
        <f t="shared" si="217"/>
        <v>10.524449505284016</v>
      </c>
      <c r="I1788" s="306">
        <f t="shared" si="218"/>
        <v>10.524449505284016</v>
      </c>
      <c r="J1788" s="306">
        <f t="shared" si="219"/>
        <v>10.524449505284016</v>
      </c>
      <c r="K1788" s="291"/>
    </row>
    <row r="1789" spans="1:11">
      <c r="A1789" s="289" t="s">
        <v>98</v>
      </c>
      <c r="B1789" s="306">
        <f t="shared" si="211"/>
        <v>11.550844387211768</v>
      </c>
      <c r="C1789" s="306">
        <f t="shared" si="212"/>
        <v>9.9124983687535</v>
      </c>
      <c r="D1789" s="306">
        <f t="shared" si="213"/>
        <v>9.9124983687535</v>
      </c>
      <c r="E1789" s="306">
        <f t="shared" si="214"/>
        <v>10.11541814026771</v>
      </c>
      <c r="F1789" s="306">
        <f t="shared" si="215"/>
        <v>10.11541814026771</v>
      </c>
      <c r="G1789" s="306">
        <f t="shared" si="216"/>
        <v>9.9124983687535</v>
      </c>
      <c r="H1789" s="306">
        <f t="shared" si="217"/>
        <v>10.11541814026771</v>
      </c>
      <c r="I1789" s="306">
        <f t="shared" si="218"/>
        <v>10.11541814026771</v>
      </c>
      <c r="J1789" s="306">
        <f t="shared" si="219"/>
        <v>10.11541814026771</v>
      </c>
      <c r="K1789" s="291"/>
    </row>
    <row r="1790" spans="1:11">
      <c r="A1790" s="289" t="s">
        <v>99</v>
      </c>
      <c r="B1790" s="306">
        <f t="shared" si="211"/>
        <v>12.381436905975773</v>
      </c>
      <c r="C1790" s="306">
        <f t="shared" si="212"/>
        <v>10.625281496233109</v>
      </c>
      <c r="D1790" s="306">
        <f t="shared" si="213"/>
        <v>10.625281496233109</v>
      </c>
      <c r="E1790" s="306">
        <f t="shared" si="214"/>
        <v>10.842792724309193</v>
      </c>
      <c r="F1790" s="306">
        <f t="shared" si="215"/>
        <v>10.842792724309193</v>
      </c>
      <c r="G1790" s="306">
        <f t="shared" si="216"/>
        <v>10.625281496233109</v>
      </c>
      <c r="H1790" s="306">
        <f t="shared" si="217"/>
        <v>10.842792724309193</v>
      </c>
      <c r="I1790" s="306">
        <f t="shared" si="218"/>
        <v>10.842792724309193</v>
      </c>
      <c r="J1790" s="306">
        <f t="shared" si="219"/>
        <v>10.842792724309193</v>
      </c>
      <c r="K1790" s="291"/>
    </row>
    <row r="1791" spans="1:11">
      <c r="A1791" s="289" t="s">
        <v>111</v>
      </c>
      <c r="B1791" s="306">
        <f t="shared" si="211"/>
        <v>10.406902918316289</v>
      </c>
      <c r="C1791" s="306">
        <f t="shared" si="212"/>
        <v>8.9308110077039515</v>
      </c>
      <c r="D1791" s="306">
        <f t="shared" si="213"/>
        <v>8.9308110077039515</v>
      </c>
      <c r="E1791" s="306">
        <f t="shared" si="214"/>
        <v>9.1136345564908492</v>
      </c>
      <c r="F1791" s="306">
        <f t="shared" si="215"/>
        <v>9.1136345564908492</v>
      </c>
      <c r="G1791" s="306">
        <f t="shared" si="216"/>
        <v>8.9308110077039515</v>
      </c>
      <c r="H1791" s="306">
        <f t="shared" si="217"/>
        <v>9.1136345564908492</v>
      </c>
      <c r="I1791" s="306">
        <f t="shared" si="218"/>
        <v>9.1136345564908492</v>
      </c>
      <c r="J1791" s="306">
        <f t="shared" si="219"/>
        <v>9.1136345564908492</v>
      </c>
      <c r="K1791" s="291"/>
    </row>
    <row r="1792" spans="1:11">
      <c r="A1792" s="289" t="s">
        <v>102</v>
      </c>
      <c r="B1792" s="306">
        <f t="shared" si="211"/>
        <v>-9.5622498106492255</v>
      </c>
      <c r="C1792" s="306">
        <f t="shared" si="212"/>
        <v>-8.2059616139070908</v>
      </c>
      <c r="D1792" s="306">
        <f t="shared" si="213"/>
        <v>-8.2059616139070908</v>
      </c>
      <c r="E1792" s="306">
        <f t="shared" si="214"/>
        <v>-8.3739466963558638</v>
      </c>
      <c r="F1792" s="306">
        <f t="shared" si="215"/>
        <v>-8.3739466963558638</v>
      </c>
      <c r="G1792" s="306">
        <f t="shared" si="216"/>
        <v>-8.2059616139070908</v>
      </c>
      <c r="H1792" s="306">
        <f t="shared" si="217"/>
        <v>-8.3739466963558638</v>
      </c>
      <c r="I1792" s="306">
        <f t="shared" si="218"/>
        <v>-8.3739466963558638</v>
      </c>
      <c r="J1792" s="306">
        <f t="shared" si="219"/>
        <v>-8.3739466963558638</v>
      </c>
      <c r="K1792" s="291"/>
    </row>
    <row r="1793" spans="1:11">
      <c r="A1793" s="289" t="s">
        <v>104</v>
      </c>
      <c r="B1793" s="306">
        <f t="shared" si="211"/>
        <v>-9.5622498106492255</v>
      </c>
      <c r="C1793" s="306">
        <f t="shared" si="212"/>
        <v>-8.2059616139070908</v>
      </c>
      <c r="D1793" s="306">
        <f t="shared" si="213"/>
        <v>-8.2059616139070908</v>
      </c>
      <c r="E1793" s="306">
        <f t="shared" si="214"/>
        <v>-8.3739466963558638</v>
      </c>
      <c r="F1793" s="306">
        <f t="shared" si="215"/>
        <v>-8.3739466963558638</v>
      </c>
      <c r="G1793" s="306">
        <f t="shared" si="216"/>
        <v>-8.2059616139070908</v>
      </c>
      <c r="H1793" s="306">
        <f t="shared" si="217"/>
        <v>-8.3739466963558638</v>
      </c>
      <c r="I1793" s="306">
        <f t="shared" si="218"/>
        <v>-8.3739466963558638</v>
      </c>
      <c r="J1793" s="306">
        <f t="shared" si="219"/>
        <v>-8.3739466963558638</v>
      </c>
      <c r="K1793" s="291"/>
    </row>
    <row r="1794" spans="1:11">
      <c r="A1794" s="289" t="s">
        <v>113</v>
      </c>
      <c r="B1794" s="306">
        <f t="shared" si="211"/>
        <v>-9.5622498106492255</v>
      </c>
      <c r="C1794" s="306">
        <f t="shared" si="212"/>
        <v>-8.2059616139070908</v>
      </c>
      <c r="D1794" s="306">
        <f t="shared" si="213"/>
        <v>-8.2059616139070908</v>
      </c>
      <c r="E1794" s="306">
        <f t="shared" si="214"/>
        <v>-8.3739466963558638</v>
      </c>
      <c r="F1794" s="306">
        <f t="shared" si="215"/>
        <v>-8.3739466963558638</v>
      </c>
      <c r="G1794" s="306">
        <f t="shared" si="216"/>
        <v>-8.2059616139070908</v>
      </c>
      <c r="H1794" s="306">
        <f t="shared" si="217"/>
        <v>-8.3739466963558638</v>
      </c>
      <c r="I1794" s="306">
        <f t="shared" si="218"/>
        <v>-8.3739466963558638</v>
      </c>
      <c r="J1794" s="306">
        <f t="shared" si="219"/>
        <v>-8.3739466963558638</v>
      </c>
      <c r="K1794" s="291"/>
    </row>
    <row r="1796" spans="1:11" ht="21" customHeight="1">
      <c r="A1796" s="1" t="s">
        <v>1673</v>
      </c>
    </row>
    <row r="1797" spans="1:11">
      <c r="A1797" s="287" t="s">
        <v>255</v>
      </c>
    </row>
    <row r="1798" spans="1:11">
      <c r="A1798" s="301" t="s">
        <v>1672</v>
      </c>
    </row>
    <row r="1799" spans="1:11">
      <c r="A1799" s="301" t="s">
        <v>502</v>
      </c>
    </row>
    <row r="1800" spans="1:11">
      <c r="A1800" s="287" t="s">
        <v>268</v>
      </c>
    </row>
    <row r="1802" spans="1:11">
      <c r="B1802" s="288" t="s">
        <v>60</v>
      </c>
      <c r="C1802" s="288" t="s">
        <v>61</v>
      </c>
      <c r="D1802" s="288" t="s">
        <v>62</v>
      </c>
      <c r="E1802" s="288" t="s">
        <v>63</v>
      </c>
      <c r="F1802" s="288" t="s">
        <v>64</v>
      </c>
      <c r="G1802" s="288" t="s">
        <v>69</v>
      </c>
      <c r="H1802" s="288" t="s">
        <v>65</v>
      </c>
      <c r="I1802" s="288" t="s">
        <v>66</v>
      </c>
      <c r="J1802" s="288" t="s">
        <v>67</v>
      </c>
    </row>
    <row r="1803" spans="1:11">
      <c r="A1803" s="289" t="s">
        <v>93</v>
      </c>
      <c r="B1803" s="306">
        <f>SUMPRODUCT($C$1754:$E$1754,$B1282:$D1282)</f>
        <v>0</v>
      </c>
      <c r="C1803" s="306">
        <f>SUMPRODUCT($G$1754:$I$1754,$B1282:$D1282)</f>
        <v>7.09870804149937E-2</v>
      </c>
      <c r="D1803" s="306">
        <f>SUMPRODUCT($K$1754:$M$1754,$B1282:$D1282)</f>
        <v>7.09870804149937E-2</v>
      </c>
      <c r="E1803" s="306">
        <f>SUMPRODUCT($O$1754:$Q$1754,$B1282:$D1282)</f>
        <v>0.15686690084523774</v>
      </c>
      <c r="F1803" s="306">
        <f>SUMPRODUCT($S$1754:$U$1754,$B1282:$D1282)</f>
        <v>0.15686690084523774</v>
      </c>
      <c r="G1803" s="306">
        <f>SUMPRODUCT($W$1754:$Y$1754,$B1282:$D1282)</f>
        <v>7.09870804149937E-2</v>
      </c>
      <c r="H1803" s="306">
        <f>SUMPRODUCT($AA$1754:$AC$1754,$B1282:$D1282)</f>
        <v>0.15686690084523774</v>
      </c>
      <c r="I1803" s="306">
        <f>SUMPRODUCT($AE$1754:$AG$1754,$B1282:$D1282)</f>
        <v>0.15686690084523774</v>
      </c>
      <c r="J1803" s="306">
        <f>SUMPRODUCT($AI$1754:$AK$1754,$B1282:$D1282)</f>
        <v>0.15686690084523774</v>
      </c>
      <c r="K1803" s="291"/>
    </row>
    <row r="1804" spans="1:11">
      <c r="A1804" s="289" t="s">
        <v>95</v>
      </c>
      <c r="B1804" s="306">
        <f>SUMPRODUCT($C$1757:$E$1757,$B1283:$D1283)</f>
        <v>0</v>
      </c>
      <c r="C1804" s="306">
        <f>SUMPRODUCT($G$1757:$I$1757,$B1283:$D1283)</f>
        <v>6.7756059016726128E-2</v>
      </c>
      <c r="D1804" s="306">
        <f>SUMPRODUCT($K$1757:$M$1757,$B1283:$D1283)</f>
        <v>6.7756059016726128E-2</v>
      </c>
      <c r="E1804" s="306">
        <f>SUMPRODUCT($O$1757:$Q$1757,$B1283:$D1283)</f>
        <v>0.149736709349097</v>
      </c>
      <c r="F1804" s="306">
        <f>SUMPRODUCT($S$1757:$U$1757,$B1283:$D1283)</f>
        <v>0.149736709349097</v>
      </c>
      <c r="G1804" s="306">
        <f>SUMPRODUCT($W$1757:$Y$1757,$B1283:$D1283)</f>
        <v>6.7756059016726128E-2</v>
      </c>
      <c r="H1804" s="306">
        <f>SUMPRODUCT($AA$1757:$AC$1757,$B1283:$D1283)</f>
        <v>0.149736709349097</v>
      </c>
      <c r="I1804" s="306">
        <f>SUMPRODUCT($AE$1757:$AG$1757,$B1283:$D1283)</f>
        <v>0.149736709349097</v>
      </c>
      <c r="J1804" s="306">
        <f>SUMPRODUCT($AI$1757:$AK$1757,$B1283:$D1283)</f>
        <v>0.149736709349097</v>
      </c>
      <c r="K1804" s="291"/>
    </row>
    <row r="1805" spans="1:11">
      <c r="A1805" s="289" t="s">
        <v>96</v>
      </c>
      <c r="B1805" s="306">
        <f>SUMPRODUCT($C$1759:$E$1759,$B1284:$D1284)</f>
        <v>0</v>
      </c>
      <c r="C1805" s="306">
        <f>SUMPRODUCT($G$1759:$I$1759,$B1284:$D1284)</f>
        <v>4.7964349094097178E-2</v>
      </c>
      <c r="D1805" s="306">
        <f>SUMPRODUCT($K$1759:$M$1759,$B1284:$D1284)</f>
        <v>4.7964349094097178E-2</v>
      </c>
      <c r="E1805" s="306">
        <f>SUMPRODUCT($O$1759:$Q$1759,$B1284:$D1284)</f>
        <v>0.10599138250882213</v>
      </c>
      <c r="F1805" s="306">
        <f>SUMPRODUCT($S$1759:$U$1759,$B1284:$D1284)</f>
        <v>0.10599138250882213</v>
      </c>
      <c r="G1805" s="306">
        <f>SUMPRODUCT($W$1759:$Y$1759,$B1284:$D1284)</f>
        <v>4.7964349094097178E-2</v>
      </c>
      <c r="H1805" s="306">
        <f>SUMPRODUCT($AA$1759:$AC$1759,$B1284:$D1284)</f>
        <v>0.10599138250882213</v>
      </c>
      <c r="I1805" s="306">
        <f>SUMPRODUCT($AE$1759:$AG$1759,$B1284:$D1284)</f>
        <v>0.10599138250882213</v>
      </c>
      <c r="J1805" s="306">
        <f>SUMPRODUCT($AI$1759:$AK$1759,$B1284:$D1284)</f>
        <v>0.10599138250882213</v>
      </c>
      <c r="K1805" s="291"/>
    </row>
    <row r="1806" spans="1:11">
      <c r="A1806" s="289" t="s">
        <v>97</v>
      </c>
      <c r="B1806" s="306">
        <f>SUMPRODUCT($C$1760:$E$1760,$B1285:$D1285)</f>
        <v>0</v>
      </c>
      <c r="C1806" s="306">
        <f>SUMPRODUCT($G$1760:$I$1760,$B1285:$D1285)</f>
        <v>4.7964349094097178E-2</v>
      </c>
      <c r="D1806" s="306">
        <f>SUMPRODUCT($K$1760:$M$1760,$B1285:$D1285)</f>
        <v>4.7964349094097178E-2</v>
      </c>
      <c r="E1806" s="306">
        <f>SUMPRODUCT($O$1760:$Q$1760,$B1285:$D1285)</f>
        <v>0.10599138250882213</v>
      </c>
      <c r="F1806" s="306">
        <f>SUMPRODUCT($S$1760:$U$1760,$B1285:$D1285)</f>
        <v>0.10599138250882213</v>
      </c>
      <c r="G1806" s="306">
        <f>SUMPRODUCT($W$1760:$Y$1760,$B1285:$D1285)</f>
        <v>4.7964349094097178E-2</v>
      </c>
      <c r="H1806" s="306">
        <f>SUMPRODUCT($AA$1760:$AC$1760,$B1285:$D1285)</f>
        <v>0.10599138250882213</v>
      </c>
      <c r="I1806" s="306">
        <f>SUMPRODUCT($AE$1760:$AG$1760,$B1285:$D1285)</f>
        <v>0.10599138250882213</v>
      </c>
      <c r="J1806" s="306">
        <f>SUMPRODUCT($AI$1760:$AK$1760,$B1285:$D1285)</f>
        <v>0.10599138250882213</v>
      </c>
      <c r="K1806" s="291"/>
    </row>
    <row r="1807" spans="1:11">
      <c r="A1807" s="289" t="s">
        <v>110</v>
      </c>
      <c r="B1807" s="306">
        <f>SUMPRODUCT($C$1761:$E$1761,$B1286:$D1286)</f>
        <v>0</v>
      </c>
      <c r="C1807" s="306">
        <f>SUMPRODUCT($G$1761:$I$1761,$B1286:$D1286)</f>
        <v>4.7964349094097178E-2</v>
      </c>
      <c r="D1807" s="306">
        <f>SUMPRODUCT($K$1761:$M$1761,$B1286:$D1286)</f>
        <v>4.7964349094097178E-2</v>
      </c>
      <c r="E1807" s="306">
        <f>SUMPRODUCT($O$1761:$Q$1761,$B1286:$D1286)</f>
        <v>0.10599138250882213</v>
      </c>
      <c r="F1807" s="306">
        <f>SUMPRODUCT($S$1761:$U$1761,$B1286:$D1286)</f>
        <v>0.10599138250882213</v>
      </c>
      <c r="G1807" s="306">
        <f>SUMPRODUCT($W$1761:$Y$1761,$B1286:$D1286)</f>
        <v>4.7964349094097178E-2</v>
      </c>
      <c r="H1807" s="306">
        <f>SUMPRODUCT($AA$1761:$AC$1761,$B1286:$D1286)</f>
        <v>0.10599138250882213</v>
      </c>
      <c r="I1807" s="306">
        <f>SUMPRODUCT($AE$1761:$AG$1761,$B1286:$D1286)</f>
        <v>0.10599138250882213</v>
      </c>
      <c r="J1807" s="306">
        <f>SUMPRODUCT($AI$1761:$AK$1761,$B1286:$D1286)</f>
        <v>0.10599138250882213</v>
      </c>
      <c r="K1807" s="291"/>
    </row>
    <row r="1808" spans="1:11">
      <c r="A1808" s="289" t="s">
        <v>1536</v>
      </c>
      <c r="B1808" s="306">
        <f>SUMPRODUCT($C$1762:$E$1762,$B1287:$D1287)</f>
        <v>0.57979547418615907</v>
      </c>
      <c r="C1808" s="306">
        <f>SUMPRODUCT($G$1762:$I$1762,$B1287:$D1287)</f>
        <v>0.94961893766583583</v>
      </c>
      <c r="D1808" s="306">
        <f>SUMPRODUCT($K$1762:$M$1762,$B1287:$D1287)</f>
        <v>0.94961893766583583</v>
      </c>
      <c r="E1808" s="306">
        <f>SUMPRODUCT($O$1762:$Q$1762,$B1287:$D1287)</f>
        <v>0.7516411090535362</v>
      </c>
      <c r="F1808" s="306">
        <f>SUMPRODUCT($S$1762:$U$1762,$B1287:$D1287)</f>
        <v>0.7516411090535362</v>
      </c>
      <c r="G1808" s="306">
        <f>SUMPRODUCT($W$1762:$Y$1762,$B1287:$D1287)</f>
        <v>0.94961893766583583</v>
      </c>
      <c r="H1808" s="306">
        <f>SUMPRODUCT($AA$1762:$AC$1762,$B1287:$D1287)</f>
        <v>0.7516411090535362</v>
      </c>
      <c r="I1808" s="306">
        <f>SUMPRODUCT($AE$1762:$AG$1762,$B1287:$D1287)</f>
        <v>0.7516411090535362</v>
      </c>
      <c r="J1808" s="306">
        <f>SUMPRODUCT($AI$1762:$AK$1762,$B1287:$D1287)</f>
        <v>0.7516411090535362</v>
      </c>
      <c r="K1808" s="291"/>
    </row>
    <row r="1809" spans="1:11">
      <c r="A1809" s="289" t="s">
        <v>1535</v>
      </c>
      <c r="B1809" s="306">
        <f>SUMPRODUCT($C$1763:$E$1763,$B1288:$D1288)</f>
        <v>0.58328372779682347</v>
      </c>
      <c r="C1809" s="306">
        <f>SUMPRODUCT($G$1763:$I$1763,$B1288:$D1288)</f>
        <v>0.95484906040573614</v>
      </c>
      <c r="D1809" s="306">
        <f>SUMPRODUCT($K$1763:$M$1763,$B1288:$D1288)</f>
        <v>0.95484906040573614</v>
      </c>
      <c r="E1809" s="306">
        <f>SUMPRODUCT($O$1763:$Q$1763,$B1288:$D1288)</f>
        <v>0.75586274409166865</v>
      </c>
      <c r="F1809" s="306">
        <f>SUMPRODUCT($S$1763:$U$1763,$B1288:$D1288)</f>
        <v>0.75586274409166865</v>
      </c>
      <c r="G1809" s="306">
        <f>SUMPRODUCT($W$1763:$Y$1763,$B1288:$D1288)</f>
        <v>0.95484906040573614</v>
      </c>
      <c r="H1809" s="306">
        <f>SUMPRODUCT($AA$1763:$AC$1763,$B1288:$D1288)</f>
        <v>0.75586274409166865</v>
      </c>
      <c r="I1809" s="306">
        <f>SUMPRODUCT($AE$1763:$AG$1763,$B1288:$D1288)</f>
        <v>0.75586274409166865</v>
      </c>
      <c r="J1809" s="306">
        <f>SUMPRODUCT($AI$1763:$AK$1763,$B1288:$D1288)</f>
        <v>0.75586274409166865</v>
      </c>
      <c r="K1809" s="291"/>
    </row>
    <row r="1810" spans="1:11">
      <c r="A1810" s="289" t="s">
        <v>98</v>
      </c>
      <c r="B1810" s="306">
        <f>SUMPRODUCT($C$1764:$E$1764,$B1289:$D1289)</f>
        <v>0.56100897968786934</v>
      </c>
      <c r="C1810" s="306">
        <f>SUMPRODUCT($G$1764:$I$1764,$B1289:$D1289)</f>
        <v>0.91839869514457539</v>
      </c>
      <c r="D1810" s="306">
        <f>SUMPRODUCT($K$1764:$M$1764,$B1289:$D1289)</f>
        <v>0.91839869514457539</v>
      </c>
      <c r="E1810" s="306">
        <f>SUMPRODUCT($O$1764:$Q$1764,$B1289:$D1289)</f>
        <v>0.72648623657689904</v>
      </c>
      <c r="F1810" s="306">
        <f>SUMPRODUCT($S$1764:$U$1764,$B1289:$D1289)</f>
        <v>0.72648623657689904</v>
      </c>
      <c r="G1810" s="306">
        <f>SUMPRODUCT($W$1764:$Y$1764,$B1289:$D1289)</f>
        <v>0.91839869514457539</v>
      </c>
      <c r="H1810" s="306">
        <f>SUMPRODUCT($AA$1764:$AC$1764,$B1289:$D1289)</f>
        <v>0.72648623657689904</v>
      </c>
      <c r="I1810" s="306">
        <f>SUMPRODUCT($AE$1764:$AG$1764,$B1289:$D1289)</f>
        <v>0.72648623657689904</v>
      </c>
      <c r="J1810" s="306">
        <f>SUMPRODUCT($AI$1764:$AK$1764,$B1289:$D1289)</f>
        <v>0.72648623657689904</v>
      </c>
      <c r="K1810" s="291"/>
    </row>
    <row r="1811" spans="1:11">
      <c r="A1811" s="289" t="s">
        <v>99</v>
      </c>
      <c r="B1811" s="306">
        <f>SUMPRODUCT($C$1765:$E$1765,$B1290:$D1290)</f>
        <v>0.60134974144240061</v>
      </c>
      <c r="C1811" s="306">
        <f>SUMPRODUCT($G$1765:$I$1765,$B1290:$D1290)</f>
        <v>0.98443846330855878</v>
      </c>
      <c r="D1811" s="306">
        <f>SUMPRODUCT($K$1765:$M$1765,$B1290:$D1290)</f>
        <v>0.98443846330855878</v>
      </c>
      <c r="E1811" s="306">
        <f>SUMPRODUCT($O$1765:$Q$1765,$B1290:$D1290)</f>
        <v>0.77872605670241712</v>
      </c>
      <c r="F1811" s="306">
        <f>SUMPRODUCT($S$1765:$U$1765,$B1290:$D1290)</f>
        <v>0.77872605670241712</v>
      </c>
      <c r="G1811" s="306">
        <f>SUMPRODUCT($W$1765:$Y$1765,$B1290:$D1290)</f>
        <v>0.98443846330855878</v>
      </c>
      <c r="H1811" s="306">
        <f>SUMPRODUCT($AA$1765:$AC$1765,$B1290:$D1290)</f>
        <v>0.77872605670241712</v>
      </c>
      <c r="I1811" s="306">
        <f>SUMPRODUCT($AE$1765:$AG$1765,$B1290:$D1290)</f>
        <v>0.77872605670241712</v>
      </c>
      <c r="J1811" s="306">
        <f>SUMPRODUCT($AI$1765:$AK$1765,$B1290:$D1290)</f>
        <v>0.77872605670241712</v>
      </c>
      <c r="K1811" s="291"/>
    </row>
    <row r="1812" spans="1:11">
      <c r="A1812" s="289" t="s">
        <v>111</v>
      </c>
      <c r="B1812" s="306">
        <f>SUMPRODUCT($C$1766:$E$1766,$B1291:$D1291)</f>
        <v>0.50544928077977869</v>
      </c>
      <c r="C1812" s="306">
        <f>SUMPRODUCT($G$1766:$I$1766,$B1291:$D1291)</f>
        <v>0.82744479453463238</v>
      </c>
      <c r="D1812" s="306">
        <f>SUMPRODUCT($K$1766:$M$1766,$B1291:$D1291)</f>
        <v>0.82744479453463238</v>
      </c>
      <c r="E1812" s="306">
        <f>SUMPRODUCT($O$1766:$Q$1766,$B1291:$D1291)</f>
        <v>0.65453844603076283</v>
      </c>
      <c r="F1812" s="306">
        <f>SUMPRODUCT($S$1766:$U$1766,$B1291:$D1291)</f>
        <v>0.65453844603076283</v>
      </c>
      <c r="G1812" s="306">
        <f>SUMPRODUCT($W$1766:$Y$1766,$B1291:$D1291)</f>
        <v>0.82744479453463238</v>
      </c>
      <c r="H1812" s="306">
        <f>SUMPRODUCT($AA$1766:$AC$1766,$B1291:$D1291)</f>
        <v>0.65453844603076283</v>
      </c>
      <c r="I1812" s="306">
        <f>SUMPRODUCT($AE$1766:$AG$1766,$B1291:$D1291)</f>
        <v>0.65453844603076283</v>
      </c>
      <c r="J1812" s="306">
        <f>SUMPRODUCT($AI$1766:$AK$1766,$B1291:$D1291)</f>
        <v>0.65453844603076283</v>
      </c>
      <c r="K1812" s="291"/>
    </row>
    <row r="1813" spans="1:11">
      <c r="A1813" s="289" t="s">
        <v>102</v>
      </c>
      <c r="B1813" s="306">
        <f>SUMPRODUCT($C$1767:$E$1767,$B1292:$D1292)</f>
        <v>-0.46442561512923047</v>
      </c>
      <c r="C1813" s="306">
        <f>SUMPRODUCT($G$1767:$I$1767,$B1292:$D1292)</f>
        <v>-0.7602870798319683</v>
      </c>
      <c r="D1813" s="306">
        <f>SUMPRODUCT($K$1767:$M$1767,$B1292:$D1292)</f>
        <v>-0.7602870798319683</v>
      </c>
      <c r="E1813" s="306">
        <f>SUMPRODUCT($O$1767:$Q$1767,$B1292:$D1292)</f>
        <v>-0.60141429018278081</v>
      </c>
      <c r="F1813" s="306">
        <f>SUMPRODUCT($S$1767:$U$1767,$B1292:$D1292)</f>
        <v>-0.60141429018278081</v>
      </c>
      <c r="G1813" s="306">
        <f>SUMPRODUCT($W$1767:$Y$1767,$B1292:$D1292)</f>
        <v>-0.7602870798319683</v>
      </c>
      <c r="H1813" s="306">
        <f>SUMPRODUCT($AA$1767:$AC$1767,$B1292:$D1292)</f>
        <v>-0.60141429018278081</v>
      </c>
      <c r="I1813" s="306">
        <f>SUMPRODUCT($AE$1767:$AG$1767,$B1292:$D1292)</f>
        <v>-0.60141429018278081</v>
      </c>
      <c r="J1813" s="306">
        <f>SUMPRODUCT($AI$1767:$AK$1767,$B1292:$D1292)</f>
        <v>-0.60141429018278081</v>
      </c>
      <c r="K1813" s="291"/>
    </row>
    <row r="1814" spans="1:11">
      <c r="A1814" s="289" t="s">
        <v>104</v>
      </c>
      <c r="B1814" s="306">
        <f>SUMPRODUCT($C$1768:$E$1768,$B1293:$D1293)</f>
        <v>-0.46442561512923047</v>
      </c>
      <c r="C1814" s="306">
        <f>SUMPRODUCT($G$1768:$I$1768,$B1293:$D1293)</f>
        <v>-0.7602870798319683</v>
      </c>
      <c r="D1814" s="306">
        <f>SUMPRODUCT($K$1768:$M$1768,$B1293:$D1293)</f>
        <v>-0.7602870798319683</v>
      </c>
      <c r="E1814" s="306">
        <f>SUMPRODUCT($O$1768:$Q$1768,$B1293:$D1293)</f>
        <v>-0.60141429018278081</v>
      </c>
      <c r="F1814" s="306">
        <f>SUMPRODUCT($S$1768:$U$1768,$B1293:$D1293)</f>
        <v>-0.60141429018278081</v>
      </c>
      <c r="G1814" s="306">
        <f>SUMPRODUCT($W$1768:$Y$1768,$B1293:$D1293)</f>
        <v>-0.7602870798319683</v>
      </c>
      <c r="H1814" s="306">
        <f>SUMPRODUCT($AA$1768:$AC$1768,$B1293:$D1293)</f>
        <v>-0.60141429018278081</v>
      </c>
      <c r="I1814" s="306">
        <f>SUMPRODUCT($AE$1768:$AG$1768,$B1293:$D1293)</f>
        <v>-0.60141429018278081</v>
      </c>
      <c r="J1814" s="306">
        <f>SUMPRODUCT($AI$1768:$AK$1768,$B1293:$D1293)</f>
        <v>-0.60141429018278081</v>
      </c>
      <c r="K1814" s="291"/>
    </row>
    <row r="1815" spans="1:11">
      <c r="A1815" s="289" t="s">
        <v>113</v>
      </c>
      <c r="B1815" s="306">
        <f>SUMPRODUCT($C$1769:$E$1769,$B1294:$D1294)</f>
        <v>-0.46442561512923047</v>
      </c>
      <c r="C1815" s="306">
        <f>SUMPRODUCT($G$1769:$I$1769,$B1294:$D1294)</f>
        <v>-0.7602870798319683</v>
      </c>
      <c r="D1815" s="306">
        <f>SUMPRODUCT($K$1769:$M$1769,$B1294:$D1294)</f>
        <v>-0.7602870798319683</v>
      </c>
      <c r="E1815" s="306">
        <f>SUMPRODUCT($O$1769:$Q$1769,$B1294:$D1294)</f>
        <v>-0.60141429018278081</v>
      </c>
      <c r="F1815" s="306">
        <f>SUMPRODUCT($S$1769:$U$1769,$B1294:$D1294)</f>
        <v>-0.60141429018278081</v>
      </c>
      <c r="G1815" s="306">
        <f>SUMPRODUCT($W$1769:$Y$1769,$B1294:$D1294)</f>
        <v>-0.7602870798319683</v>
      </c>
      <c r="H1815" s="306">
        <f>SUMPRODUCT($AA$1769:$AC$1769,$B1294:$D1294)</f>
        <v>-0.60141429018278081</v>
      </c>
      <c r="I1815" s="306">
        <f>SUMPRODUCT($AE$1769:$AG$1769,$B1294:$D1294)</f>
        <v>-0.60141429018278081</v>
      </c>
      <c r="J1815" s="306">
        <f>SUMPRODUCT($AI$1769:$AK$1769,$B1294:$D1294)</f>
        <v>-0.60141429018278081</v>
      </c>
      <c r="K1815" s="291"/>
    </row>
    <row r="1817" spans="1:11" ht="21" customHeight="1">
      <c r="A1817" s="1" t="s">
        <v>1674</v>
      </c>
    </row>
    <row r="1818" spans="1:11">
      <c r="A1818" s="287" t="s">
        <v>255</v>
      </c>
    </row>
    <row r="1819" spans="1:11">
      <c r="A1819" s="301" t="s">
        <v>1672</v>
      </c>
    </row>
    <row r="1820" spans="1:11">
      <c r="A1820" s="301" t="s">
        <v>503</v>
      </c>
    </row>
    <row r="1821" spans="1:11">
      <c r="A1821" s="287" t="s">
        <v>268</v>
      </c>
    </row>
    <row r="1823" spans="1:11">
      <c r="B1823" s="288" t="s">
        <v>60</v>
      </c>
      <c r="C1823" s="288" t="s">
        <v>61</v>
      </c>
      <c r="D1823" s="288" t="s">
        <v>62</v>
      </c>
      <c r="E1823" s="288" t="s">
        <v>63</v>
      </c>
      <c r="F1823" s="288" t="s">
        <v>64</v>
      </c>
      <c r="G1823" s="288" t="s">
        <v>69</v>
      </c>
      <c r="H1823" s="288" t="s">
        <v>65</v>
      </c>
      <c r="I1823" s="288" t="s">
        <v>66</v>
      </c>
      <c r="J1823" s="288" t="s">
        <v>67</v>
      </c>
    </row>
    <row r="1824" spans="1:11">
      <c r="A1824" s="289" t="s">
        <v>1536</v>
      </c>
      <c r="B1824" s="306">
        <f>SUMPRODUCT($C$1762:$E$1762,$B1299:$D1299)</f>
        <v>0</v>
      </c>
      <c r="C1824" s="306">
        <f>SUMPRODUCT($G$1762:$I$1762,$B1299:$D1299)</f>
        <v>5.9908757416522754E-2</v>
      </c>
      <c r="D1824" s="306">
        <f>SUMPRODUCT($K$1762:$M$1762,$B1299:$D1299)</f>
        <v>5.9908757416522754E-2</v>
      </c>
      <c r="E1824" s="306">
        <f>SUMPRODUCT($O$1762:$Q$1762,$B1299:$D1299)</f>
        <v>0.13246688946289628</v>
      </c>
      <c r="F1824" s="306">
        <f>SUMPRODUCT($S$1762:$U$1762,$B1299:$D1299)</f>
        <v>0.13246688946289628</v>
      </c>
      <c r="G1824" s="306">
        <f>SUMPRODUCT($W$1762:$Y$1762,$B1299:$D1299)</f>
        <v>5.9908757416522754E-2</v>
      </c>
      <c r="H1824" s="306">
        <f>SUMPRODUCT($AA$1762:$AC$1762,$B1299:$D1299)</f>
        <v>0.13246688946289628</v>
      </c>
      <c r="I1824" s="306">
        <f>SUMPRODUCT($AE$1762:$AG$1762,$B1299:$D1299)</f>
        <v>0.13246688946289628</v>
      </c>
      <c r="J1824" s="306">
        <f>SUMPRODUCT($AI$1762:$AK$1762,$B1299:$D1299)</f>
        <v>0.13246688946289628</v>
      </c>
      <c r="K1824" s="291"/>
    </row>
    <row r="1825" spans="1:11">
      <c r="A1825" s="289" t="s">
        <v>1535</v>
      </c>
      <c r="B1825" s="306">
        <f>SUMPRODUCT($C$1763:$E$1763,$B1300:$D1300)</f>
        <v>0</v>
      </c>
      <c r="C1825" s="306">
        <f>SUMPRODUCT($G$1763:$I$1763,$B1300:$D1300)</f>
        <v>6.0238710982164032E-2</v>
      </c>
      <c r="D1825" s="306">
        <f>SUMPRODUCT($K$1763:$M$1763,$B1300:$D1300)</f>
        <v>6.0238710982164032E-2</v>
      </c>
      <c r="E1825" s="306">
        <f>SUMPRODUCT($O$1763:$Q$1763,$B1300:$D1300)</f>
        <v>0.13321089728153881</v>
      </c>
      <c r="F1825" s="306">
        <f>SUMPRODUCT($S$1763:$U$1763,$B1300:$D1300)</f>
        <v>0.13321089728153881</v>
      </c>
      <c r="G1825" s="306">
        <f>SUMPRODUCT($W$1763:$Y$1763,$B1300:$D1300)</f>
        <v>6.0238710982164032E-2</v>
      </c>
      <c r="H1825" s="306">
        <f>SUMPRODUCT($AA$1763:$AC$1763,$B1300:$D1300)</f>
        <v>0.13321089728153881</v>
      </c>
      <c r="I1825" s="306">
        <f>SUMPRODUCT($AE$1763:$AG$1763,$B1300:$D1300)</f>
        <v>0.13321089728153881</v>
      </c>
      <c r="J1825" s="306">
        <f>SUMPRODUCT($AI$1763:$AK$1763,$B1300:$D1300)</f>
        <v>0.13321089728153881</v>
      </c>
      <c r="K1825" s="291"/>
    </row>
    <row r="1826" spans="1:11">
      <c r="A1826" s="289" t="s">
        <v>98</v>
      </c>
      <c r="B1826" s="306">
        <f>SUMPRODUCT($C$1764:$E$1764,$B1301:$D1301)</f>
        <v>0</v>
      </c>
      <c r="C1826" s="306">
        <f>SUMPRODUCT($G$1764:$I$1764,$B1301:$D1301)</f>
        <v>5.7939161127416997E-2</v>
      </c>
      <c r="D1826" s="306">
        <f>SUMPRODUCT($K$1764:$M$1764,$B1301:$D1301)</f>
        <v>5.7939161127416997E-2</v>
      </c>
      <c r="E1826" s="306">
        <f>SUMPRODUCT($O$1764:$Q$1764,$B1301:$D1301)</f>
        <v>0.12803367303596108</v>
      </c>
      <c r="F1826" s="306">
        <f>SUMPRODUCT($S$1764:$U$1764,$B1301:$D1301)</f>
        <v>0.12803367303596108</v>
      </c>
      <c r="G1826" s="306">
        <f>SUMPRODUCT($W$1764:$Y$1764,$B1301:$D1301)</f>
        <v>5.7939161127416997E-2</v>
      </c>
      <c r="H1826" s="306">
        <f>SUMPRODUCT($AA$1764:$AC$1764,$B1301:$D1301)</f>
        <v>0.12803367303596108</v>
      </c>
      <c r="I1826" s="306">
        <f>SUMPRODUCT($AE$1764:$AG$1764,$B1301:$D1301)</f>
        <v>0.12803367303596108</v>
      </c>
      <c r="J1826" s="306">
        <f>SUMPRODUCT($AI$1764:$AK$1764,$B1301:$D1301)</f>
        <v>0.12803367303596108</v>
      </c>
      <c r="K1826" s="291"/>
    </row>
    <row r="1827" spans="1:11">
      <c r="A1827" s="289" t="s">
        <v>99</v>
      </c>
      <c r="B1827" s="306">
        <f>SUMPRODUCT($C$1765:$E$1765,$B1302:$D1302)</f>
        <v>0</v>
      </c>
      <c r="C1827" s="306">
        <f>SUMPRODUCT($G$1765:$I$1765,$B1302:$D1302)</f>
        <v>6.2105422238957396E-2</v>
      </c>
      <c r="D1827" s="306">
        <f>SUMPRODUCT($K$1765:$M$1765,$B1302:$D1302)</f>
        <v>6.2105422238957396E-2</v>
      </c>
      <c r="E1827" s="306">
        <f>SUMPRODUCT($O$1765:$Q$1765,$B1302:$D1302)</f>
        <v>0.13724025633053669</v>
      </c>
      <c r="F1827" s="306">
        <f>SUMPRODUCT($S$1765:$U$1765,$B1302:$D1302)</f>
        <v>0.13724025633053669</v>
      </c>
      <c r="G1827" s="306">
        <f>SUMPRODUCT($W$1765:$Y$1765,$B1302:$D1302)</f>
        <v>6.2105422238957396E-2</v>
      </c>
      <c r="H1827" s="306">
        <f>SUMPRODUCT($AA$1765:$AC$1765,$B1302:$D1302)</f>
        <v>0.13724025633053669</v>
      </c>
      <c r="I1827" s="306">
        <f>SUMPRODUCT($AE$1765:$AG$1765,$B1302:$D1302)</f>
        <v>0.13724025633053669</v>
      </c>
      <c r="J1827" s="306">
        <f>SUMPRODUCT($AI$1765:$AK$1765,$B1302:$D1302)</f>
        <v>0.13724025633053669</v>
      </c>
      <c r="K1827" s="291"/>
    </row>
    <row r="1828" spans="1:11">
      <c r="A1828" s="289" t="s">
        <v>111</v>
      </c>
      <c r="B1828" s="306">
        <f>SUMPRODUCT($C$1766:$E$1766,$B1303:$D1303)</f>
        <v>0</v>
      </c>
      <c r="C1828" s="306">
        <f>SUMPRODUCT($G$1766:$I$1766,$B1303:$D1303)</f>
        <v>5.2201138272564208E-2</v>
      </c>
      <c r="D1828" s="306">
        <f>SUMPRODUCT($K$1766:$M$1766,$B1303:$D1303)</f>
        <v>5.2201138272564208E-2</v>
      </c>
      <c r="E1828" s="306">
        <f>SUMPRODUCT($O$1766:$Q$1766,$B1303:$D1303)</f>
        <v>0.11535381837849602</v>
      </c>
      <c r="F1828" s="306">
        <f>SUMPRODUCT($S$1766:$U$1766,$B1303:$D1303)</f>
        <v>0.11535381837849602</v>
      </c>
      <c r="G1828" s="306">
        <f>SUMPRODUCT($W$1766:$Y$1766,$B1303:$D1303)</f>
        <v>5.2201138272564208E-2</v>
      </c>
      <c r="H1828" s="306">
        <f>SUMPRODUCT($AA$1766:$AC$1766,$B1303:$D1303)</f>
        <v>0.11535381837849602</v>
      </c>
      <c r="I1828" s="306">
        <f>SUMPRODUCT($AE$1766:$AG$1766,$B1303:$D1303)</f>
        <v>0.11535381837849602</v>
      </c>
      <c r="J1828" s="306">
        <f>SUMPRODUCT($AI$1766:$AK$1766,$B1303:$D1303)</f>
        <v>0.11535381837849602</v>
      </c>
      <c r="K1828" s="291"/>
    </row>
    <row r="1829" spans="1:11">
      <c r="A1829" s="289" t="s">
        <v>102</v>
      </c>
      <c r="B1829" s="306">
        <f>SUMPRODUCT($C$1767:$E$1767,$B1304:$D1304)</f>
        <v>0</v>
      </c>
      <c r="C1829" s="306">
        <f>SUMPRODUCT($G$1767:$I$1767,$B1304:$D1304)</f>
        <v>-4.7964349094097178E-2</v>
      </c>
      <c r="D1829" s="306">
        <f>SUMPRODUCT($K$1767:$M$1767,$B1304:$D1304)</f>
        <v>-4.7964349094097178E-2</v>
      </c>
      <c r="E1829" s="306">
        <f>SUMPRODUCT($O$1767:$Q$1767,$B1304:$D1304)</f>
        <v>-0.10599138250882213</v>
      </c>
      <c r="F1829" s="306">
        <f>SUMPRODUCT($S$1767:$U$1767,$B1304:$D1304)</f>
        <v>-0.10599138250882213</v>
      </c>
      <c r="G1829" s="306">
        <f>SUMPRODUCT($W$1767:$Y$1767,$B1304:$D1304)</f>
        <v>-4.7964349094097178E-2</v>
      </c>
      <c r="H1829" s="306">
        <f>SUMPRODUCT($AA$1767:$AC$1767,$B1304:$D1304)</f>
        <v>-0.10599138250882213</v>
      </c>
      <c r="I1829" s="306">
        <f>SUMPRODUCT($AE$1767:$AG$1767,$B1304:$D1304)</f>
        <v>-0.10599138250882213</v>
      </c>
      <c r="J1829" s="306">
        <f>SUMPRODUCT($AI$1767:$AK$1767,$B1304:$D1304)</f>
        <v>-0.10599138250882213</v>
      </c>
      <c r="K1829" s="291"/>
    </row>
    <row r="1830" spans="1:11">
      <c r="A1830" s="289" t="s">
        <v>104</v>
      </c>
      <c r="B1830" s="306">
        <f>SUMPRODUCT($C$1768:$E$1768,$B1305:$D1305)</f>
        <v>0</v>
      </c>
      <c r="C1830" s="306">
        <f>SUMPRODUCT($G$1768:$I$1768,$B1305:$D1305)</f>
        <v>-4.7964349094097178E-2</v>
      </c>
      <c r="D1830" s="306">
        <f>SUMPRODUCT($K$1768:$M$1768,$B1305:$D1305)</f>
        <v>-4.7964349094097178E-2</v>
      </c>
      <c r="E1830" s="306">
        <f>SUMPRODUCT($O$1768:$Q$1768,$B1305:$D1305)</f>
        <v>-0.10599138250882213</v>
      </c>
      <c r="F1830" s="306">
        <f>SUMPRODUCT($S$1768:$U$1768,$B1305:$D1305)</f>
        <v>-0.10599138250882213</v>
      </c>
      <c r="G1830" s="306">
        <f>SUMPRODUCT($W$1768:$Y$1768,$B1305:$D1305)</f>
        <v>-4.7964349094097178E-2</v>
      </c>
      <c r="H1830" s="306">
        <f>SUMPRODUCT($AA$1768:$AC$1768,$B1305:$D1305)</f>
        <v>-0.10599138250882213</v>
      </c>
      <c r="I1830" s="306">
        <f>SUMPRODUCT($AE$1768:$AG$1768,$B1305:$D1305)</f>
        <v>-0.10599138250882213</v>
      </c>
      <c r="J1830" s="306">
        <f>SUMPRODUCT($AI$1768:$AK$1768,$B1305:$D1305)</f>
        <v>-0.10599138250882213</v>
      </c>
      <c r="K1830" s="291"/>
    </row>
    <row r="1831" spans="1:11">
      <c r="A1831" s="289" t="s">
        <v>113</v>
      </c>
      <c r="B1831" s="306">
        <f>SUMPRODUCT($C$1769:$E$1769,$B1306:$D1306)</f>
        <v>0</v>
      </c>
      <c r="C1831" s="306">
        <f>SUMPRODUCT($G$1769:$I$1769,$B1306:$D1306)</f>
        <v>-4.7964349094097178E-2</v>
      </c>
      <c r="D1831" s="306">
        <f>SUMPRODUCT($K$1769:$M$1769,$B1306:$D1306)</f>
        <v>-4.7964349094097178E-2</v>
      </c>
      <c r="E1831" s="306">
        <f>SUMPRODUCT($O$1769:$Q$1769,$B1306:$D1306)</f>
        <v>-0.10599138250882213</v>
      </c>
      <c r="F1831" s="306">
        <f>SUMPRODUCT($S$1769:$U$1769,$B1306:$D1306)</f>
        <v>-0.10599138250882213</v>
      </c>
      <c r="G1831" s="306">
        <f>SUMPRODUCT($W$1769:$Y$1769,$B1306:$D1306)</f>
        <v>-4.7964349094097178E-2</v>
      </c>
      <c r="H1831" s="306">
        <f>SUMPRODUCT($AA$1769:$AC$1769,$B1306:$D1306)</f>
        <v>-0.10599138250882213</v>
      </c>
      <c r="I1831" s="306">
        <f>SUMPRODUCT($AE$1769:$AG$1769,$B1306:$D1306)</f>
        <v>-0.10599138250882213</v>
      </c>
      <c r="J1831" s="306">
        <f>SUMPRODUCT($AI$1769:$AK$1769,$B1306:$D1306)</f>
        <v>-0.10599138250882213</v>
      </c>
      <c r="K1831" s="291"/>
    </row>
    <row r="1833" spans="1:11" ht="21" customHeight="1">
      <c r="A1833" s="1" t="s">
        <v>1675</v>
      </c>
    </row>
    <row r="1834" spans="1:11">
      <c r="A1834" s="287" t="s">
        <v>255</v>
      </c>
    </row>
    <row r="1835" spans="1:11">
      <c r="A1835" s="301" t="s">
        <v>504</v>
      </c>
    </row>
    <row r="1836" spans="1:11">
      <c r="A1836" s="301" t="s">
        <v>438</v>
      </c>
    </row>
    <row r="1837" spans="1:11">
      <c r="A1837" s="301" t="s">
        <v>505</v>
      </c>
    </row>
    <row r="1838" spans="1:11">
      <c r="A1838" s="302" t="s">
        <v>258</v>
      </c>
      <c r="B1838" s="302" t="s">
        <v>381</v>
      </c>
      <c r="C1838" s="302" t="s">
        <v>380</v>
      </c>
      <c r="D1838" s="302"/>
      <c r="E1838" s="302"/>
    </row>
    <row r="1839" spans="1:11">
      <c r="A1839" s="302" t="s">
        <v>261</v>
      </c>
      <c r="B1839" s="302" t="s">
        <v>431</v>
      </c>
      <c r="C1839" s="302" t="s">
        <v>440</v>
      </c>
      <c r="D1839" s="302"/>
      <c r="E1839" s="302"/>
    </row>
    <row r="1841" spans="1:6">
      <c r="C1841" s="300" t="s">
        <v>506</v>
      </c>
      <c r="D1841" s="300"/>
      <c r="E1841" s="300"/>
    </row>
    <row r="1842" spans="1:6">
      <c r="B1842" s="288" t="s">
        <v>441</v>
      </c>
      <c r="C1842" s="288" t="s">
        <v>238</v>
      </c>
      <c r="D1842" s="288" t="s">
        <v>239</v>
      </c>
      <c r="E1842" s="288" t="s">
        <v>235</v>
      </c>
    </row>
    <row r="1843" spans="1:6" ht="30">
      <c r="A1843" s="289" t="s">
        <v>507</v>
      </c>
      <c r="B1843" s="313">
        <f>SUM($B297:$D297)</f>
        <v>8760</v>
      </c>
      <c r="C1843" s="313">
        <f>B297*24*$F14/$B1843</f>
        <v>258</v>
      </c>
      <c r="D1843" s="313">
        <f>C297*24*$F14/$B1843</f>
        <v>3265.5</v>
      </c>
      <c r="E1843" s="313">
        <f>D297*24*$F14/$B1843</f>
        <v>5236.5</v>
      </c>
      <c r="F1843" s="291"/>
    </row>
    <row r="1845" spans="1:6" ht="21" customHeight="1">
      <c r="A1845" s="1" t="s">
        <v>1676</v>
      </c>
    </row>
    <row r="1846" spans="1:6">
      <c r="A1846" s="287" t="s">
        <v>255</v>
      </c>
    </row>
    <row r="1847" spans="1:6">
      <c r="A1847" s="301" t="s">
        <v>508</v>
      </c>
    </row>
    <row r="1848" spans="1:6">
      <c r="A1848" s="301" t="s">
        <v>509</v>
      </c>
    </row>
    <row r="1849" spans="1:6">
      <c r="A1849" s="301" t="s">
        <v>1677</v>
      </c>
    </row>
    <row r="1850" spans="1:6">
      <c r="A1850" s="301" t="s">
        <v>448</v>
      </c>
    </row>
    <row r="1851" spans="1:6">
      <c r="A1851" s="302" t="s">
        <v>258</v>
      </c>
      <c r="B1851" s="302" t="s">
        <v>381</v>
      </c>
      <c r="C1851" s="302" t="s">
        <v>380</v>
      </c>
      <c r="D1851" s="302"/>
      <c r="E1851" s="302"/>
    </row>
    <row r="1852" spans="1:6">
      <c r="A1852" s="302" t="s">
        <v>261</v>
      </c>
      <c r="B1852" s="302" t="s">
        <v>431</v>
      </c>
      <c r="C1852" s="302" t="s">
        <v>449</v>
      </c>
      <c r="D1852" s="302"/>
      <c r="E1852" s="302"/>
    </row>
    <row r="1854" spans="1:6">
      <c r="C1854" s="300" t="s">
        <v>510</v>
      </c>
      <c r="D1854" s="300"/>
      <c r="E1854" s="300"/>
    </row>
    <row r="1855" spans="1:6">
      <c r="B1855" s="288" t="s">
        <v>450</v>
      </c>
      <c r="C1855" s="288" t="s">
        <v>238</v>
      </c>
      <c r="D1855" s="288" t="s">
        <v>239</v>
      </c>
      <c r="E1855" s="288" t="s">
        <v>235</v>
      </c>
    </row>
    <row r="1856" spans="1:6">
      <c r="A1856" s="289" t="s">
        <v>131</v>
      </c>
      <c r="B1856" s="308">
        <f>SUM($B287:$D287)</f>
        <v>1</v>
      </c>
      <c r="C1856" s="308">
        <f t="shared" ref="C1856:E1859" si="220">IF($B1856,B287/$B1856,C$1843/$F$14/24)</f>
        <v>2.9337899543378995E-2</v>
      </c>
      <c r="D1856" s="308">
        <f t="shared" si="220"/>
        <v>0.37237442922374431</v>
      </c>
      <c r="E1856" s="308">
        <f t="shared" si="220"/>
        <v>0.59828767123287674</v>
      </c>
      <c r="F1856" s="291"/>
    </row>
    <row r="1857" spans="1:6">
      <c r="A1857" s="289" t="s">
        <v>132</v>
      </c>
      <c r="B1857" s="308">
        <f>SUM($B288:$D288)</f>
        <v>1</v>
      </c>
      <c r="C1857" s="308">
        <f t="shared" si="220"/>
        <v>4.891355254087474E-2</v>
      </c>
      <c r="D1857" s="308">
        <f t="shared" si="220"/>
        <v>8.8639017251141775E-2</v>
      </c>
      <c r="E1857" s="308">
        <f t="shared" si="220"/>
        <v>0.86244743020798342</v>
      </c>
      <c r="F1857" s="291"/>
    </row>
    <row r="1858" spans="1:6">
      <c r="A1858" s="289" t="s">
        <v>133</v>
      </c>
      <c r="B1858" s="308">
        <f>SUM($B289:$D289)</f>
        <v>1</v>
      </c>
      <c r="C1858" s="308">
        <f t="shared" si="220"/>
        <v>8.9373751938750981E-2</v>
      </c>
      <c r="D1858" s="308">
        <f t="shared" si="220"/>
        <v>0.1511733177646977</v>
      </c>
      <c r="E1858" s="308">
        <f t="shared" si="220"/>
        <v>0.75945293029655137</v>
      </c>
      <c r="F1858" s="291"/>
    </row>
    <row r="1859" spans="1:6">
      <c r="A1859" s="289" t="s">
        <v>134</v>
      </c>
      <c r="B1859" s="308">
        <f>SUM($B290:$D290)</f>
        <v>1</v>
      </c>
      <c r="C1859" s="308">
        <f t="shared" si="220"/>
        <v>9.8662176030754195E-3</v>
      </c>
      <c r="D1859" s="308">
        <f t="shared" si="220"/>
        <v>0.63526803788016351</v>
      </c>
      <c r="E1859" s="308">
        <f t="shared" si="220"/>
        <v>0.35486574451676106</v>
      </c>
      <c r="F1859" s="291"/>
    </row>
    <row r="1861" spans="1:6" ht="21" customHeight="1">
      <c r="A1861" s="1" t="s">
        <v>1678</v>
      </c>
    </row>
    <row r="1862" spans="1:6">
      <c r="A1862" s="287" t="s">
        <v>255</v>
      </c>
    </row>
    <row r="1863" spans="1:6">
      <c r="A1863" s="301" t="s">
        <v>1679</v>
      </c>
    </row>
    <row r="1864" spans="1:6">
      <c r="A1864" s="287" t="s">
        <v>511</v>
      </c>
    </row>
    <row r="1865" spans="1:6">
      <c r="A1865" s="287" t="s">
        <v>273</v>
      </c>
    </row>
    <row r="1867" spans="1:6">
      <c r="B1867" s="288" t="s">
        <v>238</v>
      </c>
      <c r="C1867" s="288" t="s">
        <v>239</v>
      </c>
      <c r="D1867" s="288" t="s">
        <v>235</v>
      </c>
    </row>
    <row r="1868" spans="1:6">
      <c r="A1868" s="289" t="s">
        <v>131</v>
      </c>
      <c r="B1868" s="311">
        <f>C$1856</f>
        <v>2.9337899543378995E-2</v>
      </c>
      <c r="C1868" s="311">
        <f>D$1856</f>
        <v>0.37237442922374431</v>
      </c>
      <c r="D1868" s="311">
        <f>E$1856</f>
        <v>0.59828767123287674</v>
      </c>
      <c r="E1868" s="291"/>
    </row>
    <row r="1869" spans="1:6">
      <c r="A1869" s="289" t="s">
        <v>132</v>
      </c>
      <c r="B1869" s="311">
        <f>C$1857</f>
        <v>4.891355254087474E-2</v>
      </c>
      <c r="C1869" s="311">
        <f>D$1857</f>
        <v>8.8639017251141775E-2</v>
      </c>
      <c r="D1869" s="311">
        <f>E$1857</f>
        <v>0.86244743020798342</v>
      </c>
      <c r="E1869" s="291"/>
    </row>
    <row r="1870" spans="1:6">
      <c r="A1870" s="289" t="s">
        <v>133</v>
      </c>
      <c r="B1870" s="311">
        <f>C$1858</f>
        <v>8.9373751938750981E-2</v>
      </c>
      <c r="C1870" s="311">
        <f>D$1858</f>
        <v>0.1511733177646977</v>
      </c>
      <c r="D1870" s="311">
        <f>E$1858</f>
        <v>0.75945293029655137</v>
      </c>
      <c r="E1870" s="291"/>
    </row>
    <row r="1871" spans="1:6">
      <c r="A1871" s="289" t="s">
        <v>134</v>
      </c>
      <c r="B1871" s="311">
        <f>C$1859</f>
        <v>9.8662176030754195E-3</v>
      </c>
      <c r="C1871" s="311">
        <f>D$1859</f>
        <v>0.63526803788016351</v>
      </c>
      <c r="D1871" s="311">
        <f>E$1859</f>
        <v>0.35486574451676106</v>
      </c>
      <c r="E1871" s="291"/>
    </row>
    <row r="1872" spans="1:6">
      <c r="A1872" s="289" t="s">
        <v>135</v>
      </c>
      <c r="B1872" s="310">
        <v>1</v>
      </c>
      <c r="C1872" s="310">
        <v>0</v>
      </c>
      <c r="D1872" s="310">
        <v>0</v>
      </c>
      <c r="E1872" s="291"/>
    </row>
    <row r="1874" spans="1:5" ht="21" customHeight="1">
      <c r="A1874" s="1" t="s">
        <v>1680</v>
      </c>
    </row>
    <row r="1876" spans="1:5">
      <c r="B1876" s="288" t="s">
        <v>238</v>
      </c>
      <c r="C1876" s="288" t="s">
        <v>239</v>
      </c>
      <c r="D1876" s="288" t="s">
        <v>235</v>
      </c>
    </row>
    <row r="1877" spans="1:5">
      <c r="A1877" s="289" t="s">
        <v>135</v>
      </c>
      <c r="B1877" s="310">
        <v>0</v>
      </c>
      <c r="C1877" s="310">
        <v>1</v>
      </c>
      <c r="D1877" s="310">
        <v>0</v>
      </c>
      <c r="E1877" s="291"/>
    </row>
    <row r="1879" spans="1:5" ht="21" customHeight="1">
      <c r="A1879" s="1" t="s">
        <v>1681</v>
      </c>
    </row>
    <row r="1881" spans="1:5">
      <c r="B1881" s="288" t="s">
        <v>238</v>
      </c>
      <c r="C1881" s="288" t="s">
        <v>239</v>
      </c>
      <c r="D1881" s="288" t="s">
        <v>235</v>
      </c>
    </row>
    <row r="1882" spans="1:5">
      <c r="A1882" s="289" t="s">
        <v>135</v>
      </c>
      <c r="B1882" s="310">
        <v>0</v>
      </c>
      <c r="C1882" s="310">
        <v>0</v>
      </c>
      <c r="D1882" s="310">
        <v>1</v>
      </c>
      <c r="E1882" s="291"/>
    </row>
    <row r="1884" spans="1:5" ht="21" customHeight="1">
      <c r="A1884" s="1" t="s">
        <v>1682</v>
      </c>
    </row>
    <row r="1885" spans="1:5">
      <c r="A1885" s="287" t="s">
        <v>255</v>
      </c>
    </row>
    <row r="1886" spans="1:5">
      <c r="A1886" s="301" t="s">
        <v>469</v>
      </c>
    </row>
    <row r="1887" spans="1:5">
      <c r="A1887" s="301" t="s">
        <v>470</v>
      </c>
    </row>
    <row r="1888" spans="1:5">
      <c r="A1888" s="301" t="s">
        <v>1683</v>
      </c>
    </row>
    <row r="1889" spans="1:6">
      <c r="A1889" s="301" t="s">
        <v>1684</v>
      </c>
    </row>
    <row r="1890" spans="1:6">
      <c r="A1890" s="301" t="s">
        <v>512</v>
      </c>
    </row>
    <row r="1891" spans="1:6">
      <c r="A1891" s="301" t="s">
        <v>513</v>
      </c>
    </row>
    <row r="1892" spans="1:6">
      <c r="A1892" s="302" t="s">
        <v>258</v>
      </c>
      <c r="B1892" s="302" t="s">
        <v>380</v>
      </c>
      <c r="C1892" s="302"/>
      <c r="D1892" s="302"/>
      <c r="E1892" s="302" t="s">
        <v>380</v>
      </c>
    </row>
    <row r="1893" spans="1:6">
      <c r="A1893" s="302" t="s">
        <v>261</v>
      </c>
      <c r="B1893" s="302" t="s">
        <v>514</v>
      </c>
      <c r="C1893" s="302"/>
      <c r="D1893" s="302"/>
      <c r="E1893" s="302" t="s">
        <v>515</v>
      </c>
    </row>
    <row r="1895" spans="1:6">
      <c r="B1895" s="300" t="s">
        <v>516</v>
      </c>
      <c r="C1895" s="300"/>
      <c r="D1895" s="300"/>
    </row>
    <row r="1896" spans="1:6" ht="30">
      <c r="B1896" s="288" t="s">
        <v>238</v>
      </c>
      <c r="C1896" s="288" t="s">
        <v>239</v>
      </c>
      <c r="D1896" s="288" t="s">
        <v>235</v>
      </c>
      <c r="E1896" s="288" t="s">
        <v>1515</v>
      </c>
    </row>
    <row r="1897" spans="1:6">
      <c r="A1897" s="289" t="s">
        <v>131</v>
      </c>
      <c r="B1897" s="308">
        <f>IF($B$1330&gt;0,($B$1184*B$1868)/$B$1330,0)</f>
        <v>2.9337899543378995E-2</v>
      </c>
      <c r="C1897" s="308">
        <f>IF($B$1330&gt;0,($B$1184*C$1868)/$B$1330,0)</f>
        <v>0.37237442922374431</v>
      </c>
      <c r="D1897" s="308">
        <f>IF($B$1330&gt;0,($B$1184*D$1868)/$B$1330,0)</f>
        <v>0.59828767123287674</v>
      </c>
      <c r="E1897" s="306">
        <f>IF($C$1843&gt;0,$B1897*$F$14*24/$C$1843,0)</f>
        <v>0.99612403100775193</v>
      </c>
      <c r="F1897" s="291"/>
    </row>
    <row r="1898" spans="1:6">
      <c r="A1898" s="289" t="s">
        <v>132</v>
      </c>
      <c r="B1898" s="308">
        <f>IF($B$1331&gt;0,($B$1185*B$1869)/$B$1331,0)</f>
        <v>4.891355254087474E-2</v>
      </c>
      <c r="C1898" s="308">
        <f>IF($B$1331&gt;0,($B$1185*C$1869)/$B$1331,0)</f>
        <v>8.8639017251141775E-2</v>
      </c>
      <c r="D1898" s="308">
        <f>IF($B$1331&gt;0,($B$1185*D$1869)/$B$1331,0)</f>
        <v>0.86244743020798342</v>
      </c>
      <c r="E1898" s="306">
        <f>IF($C$1843&gt;0,$B1898*$F$14*24/$C$1843,0)</f>
        <v>1.6607857374343518</v>
      </c>
      <c r="F1898" s="291"/>
    </row>
    <row r="1899" spans="1:6">
      <c r="A1899" s="289" t="s">
        <v>133</v>
      </c>
      <c r="B1899" s="308">
        <f>IF($B$1332&gt;0,($B$1186*B$1870)/$B$1332,0)</f>
        <v>8.9373751938750981E-2</v>
      </c>
      <c r="C1899" s="308">
        <f>IF($B$1332&gt;0,($B$1186*C$1870)/$B$1332,0)</f>
        <v>0.1511733177646977</v>
      </c>
      <c r="D1899" s="308">
        <f>IF($B$1332&gt;0,($B$1186*D$1870)/$B$1332,0)</f>
        <v>0.75945293029655137</v>
      </c>
      <c r="E1899" s="306">
        <f>IF($C$1843&gt;0,$B1899*$F$14*24/$C$1843,0)</f>
        <v>3.0345506472227077</v>
      </c>
      <c r="F1899" s="291"/>
    </row>
    <row r="1900" spans="1:6">
      <c r="A1900" s="289" t="s">
        <v>134</v>
      </c>
      <c r="B1900" s="308">
        <f>IF($B$1333&gt;0,($B$1187*B$1871)/$B$1333,0)</f>
        <v>9.8662176030754195E-3</v>
      </c>
      <c r="C1900" s="308">
        <f>IF($B$1333&gt;0,($B$1187*C$1871)/$B$1333,0)</f>
        <v>0.63526803788016351</v>
      </c>
      <c r="D1900" s="308">
        <f>IF($B$1333&gt;0,($B$1187*D$1871)/$B$1333,0)</f>
        <v>0.35486574451676106</v>
      </c>
      <c r="E1900" s="306">
        <f>IF($C$1843&gt;0,$B1900*$F$14*24/$C$1843,0)</f>
        <v>0.33499250466256075</v>
      </c>
      <c r="F1900" s="291"/>
    </row>
    <row r="1902" spans="1:6" ht="21" customHeight="1">
      <c r="A1902" s="1" t="s">
        <v>1685</v>
      </c>
    </row>
    <row r="1903" spans="1:6">
      <c r="A1903" s="287" t="s">
        <v>255</v>
      </c>
    </row>
    <row r="1904" spans="1:6">
      <c r="A1904" s="301" t="s">
        <v>469</v>
      </c>
    </row>
    <row r="1905" spans="1:6">
      <c r="A1905" s="301" t="s">
        <v>470</v>
      </c>
    </row>
    <row r="1906" spans="1:6">
      <c r="A1906" s="301" t="s">
        <v>1683</v>
      </c>
    </row>
    <row r="1907" spans="1:6">
      <c r="A1907" s="301" t="s">
        <v>472</v>
      </c>
    </row>
    <row r="1908" spans="1:6">
      <c r="A1908" s="301" t="s">
        <v>1686</v>
      </c>
    </row>
    <row r="1909" spans="1:6">
      <c r="A1909" s="301" t="s">
        <v>480</v>
      </c>
    </row>
    <row r="1910" spans="1:6">
      <c r="A1910" s="301" t="s">
        <v>1687</v>
      </c>
    </row>
    <row r="1911" spans="1:6">
      <c r="A1911" s="301" t="s">
        <v>1688</v>
      </c>
    </row>
    <row r="1912" spans="1:6">
      <c r="A1912" s="301" t="s">
        <v>517</v>
      </c>
    </row>
    <row r="1913" spans="1:6">
      <c r="A1913" s="301" t="s">
        <v>484</v>
      </c>
    </row>
    <row r="1914" spans="1:6">
      <c r="A1914" s="302" t="s">
        <v>258</v>
      </c>
      <c r="B1914" s="302" t="s">
        <v>380</v>
      </c>
      <c r="C1914" s="302"/>
      <c r="D1914" s="302"/>
      <c r="E1914" s="302" t="s">
        <v>380</v>
      </c>
    </row>
    <row r="1915" spans="1:6">
      <c r="A1915" s="302" t="s">
        <v>261</v>
      </c>
      <c r="B1915" s="302" t="s">
        <v>485</v>
      </c>
      <c r="C1915" s="302"/>
      <c r="D1915" s="302"/>
      <c r="E1915" s="302" t="s">
        <v>486</v>
      </c>
    </row>
    <row r="1917" spans="1:6">
      <c r="B1917" s="300" t="s">
        <v>518</v>
      </c>
      <c r="C1917" s="300"/>
      <c r="D1917" s="300"/>
    </row>
    <row r="1918" spans="1:6" ht="45">
      <c r="B1918" s="288" t="s">
        <v>238</v>
      </c>
      <c r="C1918" s="288" t="s">
        <v>239</v>
      </c>
      <c r="D1918" s="288" t="s">
        <v>235</v>
      </c>
      <c r="E1918" s="288" t="s">
        <v>1514</v>
      </c>
    </row>
    <row r="1919" spans="1:6">
      <c r="A1919" s="289" t="s">
        <v>135</v>
      </c>
      <c r="B1919" s="308">
        <f>IF($B$1334&gt;0,($B$1188*B$1872+$C$1188*B$1877+$D$1188*B$1882)/$B$1334,0)</f>
        <v>5.0954327722382071E-2</v>
      </c>
      <c r="C1919" s="308">
        <f>IF($B$1334&gt;0,($B$1188*C$1872+$C$1188*C$1877+$D$1188*C$1882)/$B$1334,0)</f>
        <v>0.12068245140772692</v>
      </c>
      <c r="D1919" s="308">
        <f>IF($B$1334&gt;0,($B$1188*D$1872+$C$1188*D$1877+$D$1188*D$1882)/$B$1334,0)</f>
        <v>0.828363220869891</v>
      </c>
      <c r="E1919" s="306">
        <f>IF($C$1843&gt;0,$B1919*$F$14*24/$C$1843,0)</f>
        <v>1.7300771738297169</v>
      </c>
      <c r="F1919" s="291"/>
    </row>
    <row r="1921" spans="1:5" ht="21" customHeight="1">
      <c r="A1921" s="1" t="s">
        <v>1689</v>
      </c>
    </row>
    <row r="1922" spans="1:5">
      <c r="A1922" s="287" t="s">
        <v>255</v>
      </c>
    </row>
    <row r="1923" spans="1:5">
      <c r="A1923" s="301" t="s">
        <v>1690</v>
      </c>
    </row>
    <row r="1924" spans="1:5">
      <c r="A1924" s="301" t="s">
        <v>1691</v>
      </c>
    </row>
    <row r="1925" spans="1:5">
      <c r="A1925" s="301" t="s">
        <v>1513</v>
      </c>
    </row>
    <row r="1926" spans="1:5">
      <c r="A1926" s="301" t="s">
        <v>519</v>
      </c>
    </row>
    <row r="1927" spans="1:5">
      <c r="A1927" s="301" t="s">
        <v>520</v>
      </c>
    </row>
    <row r="1928" spans="1:5">
      <c r="A1928" s="301" t="s">
        <v>521</v>
      </c>
    </row>
    <row r="1929" spans="1:5">
      <c r="A1929" s="302" t="s">
        <v>258</v>
      </c>
      <c r="B1929" s="302" t="s">
        <v>414</v>
      </c>
      <c r="C1929" s="302" t="s">
        <v>380</v>
      </c>
      <c r="D1929" s="302" t="s">
        <v>380</v>
      </c>
    </row>
    <row r="1930" spans="1:5">
      <c r="A1930" s="302" t="s">
        <v>261</v>
      </c>
      <c r="B1930" s="302" t="s">
        <v>488</v>
      </c>
      <c r="C1930" s="302" t="s">
        <v>522</v>
      </c>
      <c r="D1930" s="302" t="s">
        <v>523</v>
      </c>
    </row>
    <row r="1932" spans="1:5" ht="30">
      <c r="B1932" s="288" t="s">
        <v>1512</v>
      </c>
      <c r="C1932" s="288" t="s">
        <v>1511</v>
      </c>
      <c r="D1932" s="288" t="s">
        <v>524</v>
      </c>
    </row>
    <row r="1933" spans="1:5">
      <c r="A1933" s="289" t="s">
        <v>131</v>
      </c>
      <c r="B1933" s="307">
        <f>E$1897</f>
        <v>0.99612403100775193</v>
      </c>
      <c r="C1933" s="312">
        <f>B1933*$B$1330/24/$F$14*1000</f>
        <v>6116.1098209079264</v>
      </c>
      <c r="D1933" s="312">
        <f>B$928*B$1330/24/F$14*1000</f>
        <v>6139.9079135962838</v>
      </c>
      <c r="E1933" s="291"/>
    </row>
    <row r="1934" spans="1:5">
      <c r="A1934" s="289" t="s">
        <v>132</v>
      </c>
      <c r="B1934" s="307">
        <f>E$1898</f>
        <v>1.6607857374343518</v>
      </c>
      <c r="C1934" s="312">
        <f>B1934*$B$1331/24/$F$14*1000</f>
        <v>3136.6595267083626</v>
      </c>
      <c r="D1934" s="312">
        <f>B$929*B$1331/24/F$14*1000</f>
        <v>3993.7456257907579</v>
      </c>
      <c r="E1934" s="291"/>
    </row>
    <row r="1935" spans="1:5">
      <c r="A1935" s="289" t="s">
        <v>133</v>
      </c>
      <c r="B1935" s="307">
        <f>E$1899</f>
        <v>3.0345506472227077</v>
      </c>
      <c r="C1935" s="312">
        <f>B1935*$B$1332/24/$F$14*1000</f>
        <v>271.71039736120412</v>
      </c>
      <c r="D1935" s="312">
        <f>B$930*B$1332/24/F$14*1000</f>
        <v>335.41720417611765</v>
      </c>
      <c r="E1935" s="291"/>
    </row>
    <row r="1936" spans="1:5">
      <c r="A1936" s="289" t="s">
        <v>134</v>
      </c>
      <c r="B1936" s="307">
        <f>E$1900</f>
        <v>0.33499250466256075</v>
      </c>
      <c r="C1936" s="312">
        <f>B1936*$B$1333/24/$F$14*1000</f>
        <v>184.21732181207005</v>
      </c>
      <c r="D1936" s="312">
        <f>B$931*B$1333/24/F$14*1000</f>
        <v>0</v>
      </c>
      <c r="E1936" s="291"/>
    </row>
    <row r="1937" spans="1:5">
      <c r="A1937" s="289" t="s">
        <v>135</v>
      </c>
      <c r="B1937" s="307">
        <f>E$1919</f>
        <v>1.7300771738297169</v>
      </c>
      <c r="C1937" s="312">
        <f>B1937*$B$1334/24/$F$14*1000</f>
        <v>49143.765543492111</v>
      </c>
      <c r="D1937" s="312">
        <f>B$932*B$1334/24/F$14*1000</f>
        <v>56296.873764067925</v>
      </c>
      <c r="E1937" s="291"/>
    </row>
    <row r="1939" spans="1:5" ht="21" customHeight="1">
      <c r="A1939" s="1" t="s">
        <v>1692</v>
      </c>
    </row>
    <row r="1940" spans="1:5">
      <c r="A1940" s="287" t="s">
        <v>255</v>
      </c>
    </row>
    <row r="1941" spans="1:5">
      <c r="A1941" s="301" t="s">
        <v>1693</v>
      </c>
    </row>
    <row r="1942" spans="1:5">
      <c r="A1942" s="301" t="s">
        <v>1694</v>
      </c>
    </row>
    <row r="1943" spans="1:5">
      <c r="A1943" s="287" t="s">
        <v>1573</v>
      </c>
    </row>
    <row r="1945" spans="1:5" ht="30">
      <c r="B1945" s="288" t="s">
        <v>1572</v>
      </c>
    </row>
    <row r="1946" spans="1:5">
      <c r="A1946" s="289" t="s">
        <v>1572</v>
      </c>
      <c r="B1946" s="306">
        <f>IF(SUM($C$1933:$C$1937),SUM($D$1933:$D$1937)/SUM($C$1933:$C$1937),0)</f>
        <v>1.1344630546686232</v>
      </c>
      <c r="C1946" s="291"/>
    </row>
    <row r="1948" spans="1:5" ht="21" customHeight="1">
      <c r="A1948" s="1" t="s">
        <v>1695</v>
      </c>
    </row>
    <row r="1949" spans="1:5">
      <c r="A1949" s="287" t="s">
        <v>255</v>
      </c>
    </row>
    <row r="1950" spans="1:5">
      <c r="A1950" s="301" t="s">
        <v>1571</v>
      </c>
    </row>
    <row r="1951" spans="1:5">
      <c r="A1951" s="301" t="s">
        <v>525</v>
      </c>
    </row>
    <row r="1952" spans="1:5">
      <c r="A1952" s="301" t="s">
        <v>305</v>
      </c>
    </row>
    <row r="1953" spans="1:8">
      <c r="A1953" s="301" t="s">
        <v>526</v>
      </c>
    </row>
    <row r="1954" spans="1:8">
      <c r="A1954" s="301" t="s">
        <v>527</v>
      </c>
    </row>
    <row r="1955" spans="1:8">
      <c r="A1955" s="301" t="s">
        <v>528</v>
      </c>
    </row>
    <row r="1956" spans="1:8">
      <c r="A1956" s="301" t="s">
        <v>529</v>
      </c>
    </row>
    <row r="1957" spans="1:8">
      <c r="A1957" s="301" t="s">
        <v>1688</v>
      </c>
    </row>
    <row r="1958" spans="1:8">
      <c r="A1958" s="301" t="s">
        <v>530</v>
      </c>
    </row>
    <row r="1959" spans="1:8">
      <c r="A1959" s="301" t="s">
        <v>531</v>
      </c>
    </row>
    <row r="1960" spans="1:8">
      <c r="A1960" s="302" t="s">
        <v>258</v>
      </c>
      <c r="B1960" s="302" t="s">
        <v>314</v>
      </c>
      <c r="C1960" s="302" t="s">
        <v>314</v>
      </c>
      <c r="D1960" s="302" t="s">
        <v>314</v>
      </c>
      <c r="E1960" s="302" t="s">
        <v>380</v>
      </c>
      <c r="F1960" s="302" t="s">
        <v>380</v>
      </c>
      <c r="G1960" s="302" t="s">
        <v>380</v>
      </c>
    </row>
    <row r="1961" spans="1:8" ht="30">
      <c r="A1961" s="302" t="s">
        <v>261</v>
      </c>
      <c r="B1961" s="302" t="s">
        <v>316</v>
      </c>
      <c r="C1961" s="302" t="s">
        <v>316</v>
      </c>
      <c r="D1961" s="302" t="s">
        <v>316</v>
      </c>
      <c r="E1961" s="302" t="s">
        <v>532</v>
      </c>
      <c r="F1961" s="302" t="s">
        <v>1696</v>
      </c>
      <c r="G1961" s="302" t="s">
        <v>533</v>
      </c>
    </row>
    <row r="1963" spans="1:8">
      <c r="B1963" s="288" t="s">
        <v>534</v>
      </c>
      <c r="C1963" s="288" t="s">
        <v>535</v>
      </c>
      <c r="D1963" s="288" t="s">
        <v>536</v>
      </c>
      <c r="E1963" s="288" t="s">
        <v>537</v>
      </c>
      <c r="F1963" s="288" t="s">
        <v>538</v>
      </c>
      <c r="G1963" s="288" t="s">
        <v>247</v>
      </c>
    </row>
    <row r="1964" spans="1:8">
      <c r="A1964" s="289" t="s">
        <v>60</v>
      </c>
      <c r="B1964" s="311">
        <f t="shared" ref="B1964:B1972" si="221">$C1444</f>
        <v>0.85470794540392059</v>
      </c>
      <c r="C1964" s="311">
        <f t="shared" ref="C1964:C1972" si="222">$D1444</f>
        <v>0.14529205459607947</v>
      </c>
      <c r="D1964" s="311">
        <f t="shared" ref="D1964:D1972" si="223">$E1444</f>
        <v>0</v>
      </c>
      <c r="E1964" s="306">
        <f t="shared" ref="E1964:E1972" si="224">C1964*24*$F$14/$D$1210</f>
        <v>0.46442561512923047</v>
      </c>
      <c r="F1964" s="308">
        <f t="shared" ref="F1964:F1972" si="225">IF($E311,MAX(0,$C1964+$B1964-$E311),$E1964*$D$1843/$F$14/24)</f>
        <v>0.15189849040208658</v>
      </c>
      <c r="G1964" s="308">
        <f t="shared" ref="G1964:G1972" si="226">1-$F1964-$D1964</f>
        <v>0.84810150959791342</v>
      </c>
      <c r="H1964" s="291"/>
    </row>
    <row r="1965" spans="1:8">
      <c r="A1965" s="289" t="s">
        <v>61</v>
      </c>
      <c r="B1965" s="311">
        <f t="shared" si="221"/>
        <v>0.73347807576361324</v>
      </c>
      <c r="C1965" s="311">
        <f t="shared" si="222"/>
        <v>0.23785008473510375</v>
      </c>
      <c r="D1965" s="311">
        <f t="shared" si="223"/>
        <v>2.8671839501283096E-2</v>
      </c>
      <c r="E1965" s="306">
        <f t="shared" si="224"/>
        <v>0.7602870798319683</v>
      </c>
      <c r="F1965" s="308">
        <f t="shared" si="225"/>
        <v>0.25017587831685006</v>
      </c>
      <c r="G1965" s="308">
        <f t="shared" si="226"/>
        <v>0.72115228218186689</v>
      </c>
      <c r="H1965" s="291"/>
    </row>
    <row r="1966" spans="1:8">
      <c r="A1966" s="289" t="s">
        <v>62</v>
      </c>
      <c r="B1966" s="311">
        <f t="shared" si="221"/>
        <v>0.73347807576361324</v>
      </c>
      <c r="C1966" s="311">
        <f t="shared" si="222"/>
        <v>0.23785008473510375</v>
      </c>
      <c r="D1966" s="311">
        <f t="shared" si="223"/>
        <v>2.8671839501283096E-2</v>
      </c>
      <c r="E1966" s="306">
        <f t="shared" si="224"/>
        <v>0.7602870798319683</v>
      </c>
      <c r="F1966" s="308">
        <f t="shared" si="225"/>
        <v>0.25017587831685006</v>
      </c>
      <c r="G1966" s="308">
        <f t="shared" si="226"/>
        <v>0.72115228218186689</v>
      </c>
      <c r="H1966" s="291"/>
    </row>
    <row r="1967" spans="1:8">
      <c r="A1967" s="289" t="s">
        <v>63</v>
      </c>
      <c r="B1967" s="311">
        <f t="shared" si="221"/>
        <v>0.74849318073591797</v>
      </c>
      <c r="C1967" s="311">
        <f t="shared" si="222"/>
        <v>0.18814792948012682</v>
      </c>
      <c r="D1967" s="311">
        <f t="shared" si="223"/>
        <v>6.3358889783955152E-2</v>
      </c>
      <c r="E1967" s="306">
        <f t="shared" si="224"/>
        <v>0.60141429018278081</v>
      </c>
      <c r="F1967" s="308">
        <f t="shared" si="225"/>
        <v>0.19177192722072589</v>
      </c>
      <c r="G1967" s="308">
        <f t="shared" si="226"/>
        <v>0.7448691829953189</v>
      </c>
      <c r="H1967" s="291"/>
    </row>
    <row r="1968" spans="1:8">
      <c r="A1968" s="289" t="s">
        <v>64</v>
      </c>
      <c r="B1968" s="311">
        <f t="shared" si="221"/>
        <v>0.74849318073591797</v>
      </c>
      <c r="C1968" s="311">
        <f t="shared" si="222"/>
        <v>0.18814792948012682</v>
      </c>
      <c r="D1968" s="311">
        <f t="shared" si="223"/>
        <v>6.3358889783955152E-2</v>
      </c>
      <c r="E1968" s="306">
        <f t="shared" si="224"/>
        <v>0.60141429018278081</v>
      </c>
      <c r="F1968" s="308">
        <f t="shared" si="225"/>
        <v>0.19177192722072589</v>
      </c>
      <c r="G1968" s="308">
        <f t="shared" si="226"/>
        <v>0.7448691829953189</v>
      </c>
      <c r="H1968" s="291"/>
    </row>
    <row r="1969" spans="1:8">
      <c r="A1969" s="289" t="s">
        <v>69</v>
      </c>
      <c r="B1969" s="311">
        <f t="shared" si="221"/>
        <v>0.73347807576361324</v>
      </c>
      <c r="C1969" s="311">
        <f t="shared" si="222"/>
        <v>0.23785008473510375</v>
      </c>
      <c r="D1969" s="311">
        <f t="shared" si="223"/>
        <v>2.8671839501283096E-2</v>
      </c>
      <c r="E1969" s="306">
        <f t="shared" si="224"/>
        <v>0.7602870798319683</v>
      </c>
      <c r="F1969" s="308">
        <f t="shared" si="225"/>
        <v>0.25017587831685006</v>
      </c>
      <c r="G1969" s="308">
        <f t="shared" si="226"/>
        <v>0.72115228218186689</v>
      </c>
      <c r="H1969" s="291"/>
    </row>
    <row r="1970" spans="1:8">
      <c r="A1970" s="289" t="s">
        <v>65</v>
      </c>
      <c r="B1970" s="311">
        <f t="shared" si="221"/>
        <v>0.74849318073591797</v>
      </c>
      <c r="C1970" s="311">
        <f t="shared" si="222"/>
        <v>0.18814792948012682</v>
      </c>
      <c r="D1970" s="311">
        <f t="shared" si="223"/>
        <v>6.3358889783955152E-2</v>
      </c>
      <c r="E1970" s="306">
        <f t="shared" si="224"/>
        <v>0.60141429018278081</v>
      </c>
      <c r="F1970" s="308">
        <f t="shared" si="225"/>
        <v>0.19177192722072589</v>
      </c>
      <c r="G1970" s="308">
        <f t="shared" si="226"/>
        <v>0.7448691829953189</v>
      </c>
      <c r="H1970" s="291"/>
    </row>
    <row r="1971" spans="1:8">
      <c r="A1971" s="289" t="s">
        <v>66</v>
      </c>
      <c r="B1971" s="311">
        <f t="shared" si="221"/>
        <v>0.74849318073591797</v>
      </c>
      <c r="C1971" s="311">
        <f t="shared" si="222"/>
        <v>0.18814792948012682</v>
      </c>
      <c r="D1971" s="311">
        <f t="shared" si="223"/>
        <v>6.3358889783955152E-2</v>
      </c>
      <c r="E1971" s="306">
        <f t="shared" si="224"/>
        <v>0.60141429018278081</v>
      </c>
      <c r="F1971" s="308">
        <f t="shared" si="225"/>
        <v>0.19177192722072589</v>
      </c>
      <c r="G1971" s="308">
        <f t="shared" si="226"/>
        <v>0.7448691829953189</v>
      </c>
      <c r="H1971" s="291"/>
    </row>
    <row r="1972" spans="1:8">
      <c r="A1972" s="289" t="s">
        <v>67</v>
      </c>
      <c r="B1972" s="311">
        <f t="shared" si="221"/>
        <v>0.74849318073591797</v>
      </c>
      <c r="C1972" s="311">
        <f t="shared" si="222"/>
        <v>0.18814792948012682</v>
      </c>
      <c r="D1972" s="311">
        <f t="shared" si="223"/>
        <v>6.3358889783955152E-2</v>
      </c>
      <c r="E1972" s="306">
        <f t="shared" si="224"/>
        <v>0.60141429018278081</v>
      </c>
      <c r="F1972" s="308">
        <f t="shared" si="225"/>
        <v>0.19177192722072589</v>
      </c>
      <c r="G1972" s="308">
        <f t="shared" si="226"/>
        <v>0.7448691829953189</v>
      </c>
      <c r="H1972" s="291"/>
    </row>
    <row r="1974" spans="1:8" ht="21" customHeight="1">
      <c r="A1974" s="1" t="s">
        <v>1697</v>
      </c>
    </row>
    <row r="1975" spans="1:8">
      <c r="A1975" s="287" t="s">
        <v>255</v>
      </c>
    </row>
    <row r="1976" spans="1:8">
      <c r="A1976" s="301" t="s">
        <v>1698</v>
      </c>
    </row>
    <row r="1977" spans="1:8">
      <c r="A1977" s="301" t="s">
        <v>1699</v>
      </c>
    </row>
    <row r="1978" spans="1:8">
      <c r="A1978" s="301" t="s">
        <v>1700</v>
      </c>
    </row>
    <row r="1979" spans="1:8">
      <c r="A1979" s="287" t="s">
        <v>295</v>
      </c>
    </row>
    <row r="1981" spans="1:8">
      <c r="B1981" s="288" t="s">
        <v>238</v>
      </c>
      <c r="C1981" s="288" t="s">
        <v>239</v>
      </c>
      <c r="D1981" s="288" t="s">
        <v>235</v>
      </c>
    </row>
    <row r="1982" spans="1:8">
      <c r="A1982" s="289" t="s">
        <v>60</v>
      </c>
      <c r="B1982" s="311">
        <f>$G$1964</f>
        <v>0.84810150959791342</v>
      </c>
      <c r="C1982" s="311">
        <f>$F$1964</f>
        <v>0.15189849040208658</v>
      </c>
      <c r="D1982" s="311">
        <f>$D$1964</f>
        <v>0</v>
      </c>
      <c r="E1982" s="291"/>
    </row>
    <row r="1983" spans="1:8">
      <c r="A1983" s="289" t="s">
        <v>61</v>
      </c>
      <c r="B1983" s="311">
        <f>$G$1965</f>
        <v>0.72115228218186689</v>
      </c>
      <c r="C1983" s="311">
        <f>$F$1965</f>
        <v>0.25017587831685006</v>
      </c>
      <c r="D1983" s="311">
        <f>$D$1965</f>
        <v>2.8671839501283096E-2</v>
      </c>
      <c r="E1983" s="291"/>
    </row>
    <row r="1984" spans="1:8">
      <c r="A1984" s="289" t="s">
        <v>62</v>
      </c>
      <c r="B1984" s="311">
        <f>$G$1966</f>
        <v>0.72115228218186689</v>
      </c>
      <c r="C1984" s="311">
        <f>$F$1966</f>
        <v>0.25017587831685006</v>
      </c>
      <c r="D1984" s="311">
        <f>$D$1966</f>
        <v>2.8671839501283096E-2</v>
      </c>
      <c r="E1984" s="291"/>
    </row>
    <row r="1985" spans="1:38">
      <c r="A1985" s="289" t="s">
        <v>63</v>
      </c>
      <c r="B1985" s="311">
        <f>$G$1967</f>
        <v>0.7448691829953189</v>
      </c>
      <c r="C1985" s="311">
        <f>$F$1967</f>
        <v>0.19177192722072589</v>
      </c>
      <c r="D1985" s="311">
        <f>$D$1967</f>
        <v>6.3358889783955152E-2</v>
      </c>
      <c r="E1985" s="291"/>
    </row>
    <row r="1986" spans="1:38">
      <c r="A1986" s="289" t="s">
        <v>64</v>
      </c>
      <c r="B1986" s="311">
        <f>$G$1968</f>
        <v>0.7448691829953189</v>
      </c>
      <c r="C1986" s="311">
        <f>$F$1968</f>
        <v>0.19177192722072589</v>
      </c>
      <c r="D1986" s="311">
        <f>$D$1968</f>
        <v>6.3358889783955152E-2</v>
      </c>
      <c r="E1986" s="291"/>
    </row>
    <row r="1987" spans="1:38">
      <c r="A1987" s="289" t="s">
        <v>69</v>
      </c>
      <c r="B1987" s="311">
        <f>$G$1969</f>
        <v>0.72115228218186689</v>
      </c>
      <c r="C1987" s="311">
        <f>$F$1969</f>
        <v>0.25017587831685006</v>
      </c>
      <c r="D1987" s="311">
        <f>$D$1969</f>
        <v>2.8671839501283096E-2</v>
      </c>
      <c r="E1987" s="291"/>
    </row>
    <row r="1988" spans="1:38">
      <c r="A1988" s="289" t="s">
        <v>65</v>
      </c>
      <c r="B1988" s="311">
        <f>$G$1970</f>
        <v>0.7448691829953189</v>
      </c>
      <c r="C1988" s="311">
        <f>$F$1970</f>
        <v>0.19177192722072589</v>
      </c>
      <c r="D1988" s="311">
        <f>$D$1970</f>
        <v>6.3358889783955152E-2</v>
      </c>
      <c r="E1988" s="291"/>
    </row>
    <row r="1989" spans="1:38">
      <c r="A1989" s="289" t="s">
        <v>66</v>
      </c>
      <c r="B1989" s="311">
        <f>$G$1971</f>
        <v>0.7448691829953189</v>
      </c>
      <c r="C1989" s="311">
        <f>$F$1971</f>
        <v>0.19177192722072589</v>
      </c>
      <c r="D1989" s="311">
        <f>$D$1971</f>
        <v>6.3358889783955152E-2</v>
      </c>
      <c r="E1989" s="291"/>
    </row>
    <row r="1990" spans="1:38">
      <c r="A1990" s="289" t="s">
        <v>67</v>
      </c>
      <c r="B1990" s="311">
        <f>$G$1972</f>
        <v>0.7448691829953189</v>
      </c>
      <c r="C1990" s="311">
        <f>$F$1972</f>
        <v>0.19177192722072589</v>
      </c>
      <c r="D1990" s="311">
        <f>$D$1972</f>
        <v>6.3358889783955152E-2</v>
      </c>
      <c r="E1990" s="291"/>
    </row>
    <row r="1992" spans="1:38" ht="21" customHeight="1">
      <c r="A1992" s="1" t="s">
        <v>1701</v>
      </c>
    </row>
    <row r="1993" spans="1:38">
      <c r="A1993" s="287" t="s">
        <v>255</v>
      </c>
    </row>
    <row r="1994" spans="1:38">
      <c r="A1994" s="301" t="s">
        <v>1702</v>
      </c>
    </row>
    <row r="1995" spans="1:38">
      <c r="A1995" s="287" t="s">
        <v>497</v>
      </c>
    </row>
    <row r="1997" spans="1:38">
      <c r="B1997" s="297" t="s">
        <v>60</v>
      </c>
      <c r="C1997" s="288" t="s">
        <v>238</v>
      </c>
      <c r="D1997" s="288" t="s">
        <v>239</v>
      </c>
      <c r="E1997" s="288" t="s">
        <v>235</v>
      </c>
      <c r="F1997" s="297" t="s">
        <v>61</v>
      </c>
      <c r="G1997" s="288" t="s">
        <v>238</v>
      </c>
      <c r="H1997" s="288" t="s">
        <v>239</v>
      </c>
      <c r="I1997" s="288" t="s">
        <v>235</v>
      </c>
      <c r="J1997" s="297" t="s">
        <v>62</v>
      </c>
      <c r="K1997" s="288" t="s">
        <v>238</v>
      </c>
      <c r="L1997" s="288" t="s">
        <v>239</v>
      </c>
      <c r="M1997" s="288" t="s">
        <v>235</v>
      </c>
      <c r="N1997" s="297" t="s">
        <v>63</v>
      </c>
      <c r="O1997" s="288" t="s">
        <v>238</v>
      </c>
      <c r="P1997" s="288" t="s">
        <v>239</v>
      </c>
      <c r="Q1997" s="288" t="s">
        <v>235</v>
      </c>
      <c r="R1997" s="297" t="s">
        <v>64</v>
      </c>
      <c r="S1997" s="288" t="s">
        <v>238</v>
      </c>
      <c r="T1997" s="288" t="s">
        <v>239</v>
      </c>
      <c r="U1997" s="288" t="s">
        <v>235</v>
      </c>
      <c r="V1997" s="297" t="s">
        <v>69</v>
      </c>
      <c r="W1997" s="288" t="s">
        <v>238</v>
      </c>
      <c r="X1997" s="288" t="s">
        <v>239</v>
      </c>
      <c r="Y1997" s="288" t="s">
        <v>235</v>
      </c>
      <c r="Z1997" s="297" t="s">
        <v>65</v>
      </c>
      <c r="AA1997" s="288" t="s">
        <v>238</v>
      </c>
      <c r="AB1997" s="288" t="s">
        <v>239</v>
      </c>
      <c r="AC1997" s="288" t="s">
        <v>235</v>
      </c>
      <c r="AD1997" s="297" t="s">
        <v>66</v>
      </c>
      <c r="AE1997" s="288" t="s">
        <v>238</v>
      </c>
      <c r="AF1997" s="288" t="s">
        <v>239</v>
      </c>
      <c r="AG1997" s="288" t="s">
        <v>235</v>
      </c>
      <c r="AH1997" s="297" t="s">
        <v>67</v>
      </c>
      <c r="AI1997" s="288" t="s">
        <v>238</v>
      </c>
      <c r="AJ1997" s="288" t="s">
        <v>239</v>
      </c>
      <c r="AK1997" s="288" t="s">
        <v>235</v>
      </c>
    </row>
    <row r="1998" spans="1:38">
      <c r="A1998" s="289" t="s">
        <v>498</v>
      </c>
      <c r="C1998" s="311">
        <f>B$1982</f>
        <v>0.84810150959791342</v>
      </c>
      <c r="D1998" s="311">
        <f>C$1982</f>
        <v>0.15189849040208658</v>
      </c>
      <c r="E1998" s="311">
        <f>D$1982</f>
        <v>0</v>
      </c>
      <c r="G1998" s="311">
        <f>B$1983</f>
        <v>0.72115228218186689</v>
      </c>
      <c r="H1998" s="311">
        <f>C$1983</f>
        <v>0.25017587831685006</v>
      </c>
      <c r="I1998" s="311">
        <f>D$1983</f>
        <v>2.8671839501283096E-2</v>
      </c>
      <c r="K1998" s="311">
        <f>B$1984</f>
        <v>0.72115228218186689</v>
      </c>
      <c r="L1998" s="311">
        <f>C$1984</f>
        <v>0.25017587831685006</v>
      </c>
      <c r="M1998" s="311">
        <f>D$1984</f>
        <v>2.8671839501283096E-2</v>
      </c>
      <c r="O1998" s="311">
        <f>B$1985</f>
        <v>0.7448691829953189</v>
      </c>
      <c r="P1998" s="311">
        <f>C$1985</f>
        <v>0.19177192722072589</v>
      </c>
      <c r="Q1998" s="311">
        <f>D$1985</f>
        <v>6.3358889783955152E-2</v>
      </c>
      <c r="S1998" s="311">
        <f>B$1986</f>
        <v>0.7448691829953189</v>
      </c>
      <c r="T1998" s="311">
        <f>C$1986</f>
        <v>0.19177192722072589</v>
      </c>
      <c r="U1998" s="311">
        <f>D$1986</f>
        <v>6.3358889783955152E-2</v>
      </c>
      <c r="W1998" s="311">
        <f>B$1987</f>
        <v>0.72115228218186689</v>
      </c>
      <c r="X1998" s="311">
        <f>C$1987</f>
        <v>0.25017587831685006</v>
      </c>
      <c r="Y1998" s="311">
        <f>D$1987</f>
        <v>2.8671839501283096E-2</v>
      </c>
      <c r="AA1998" s="311">
        <f>B$1988</f>
        <v>0.7448691829953189</v>
      </c>
      <c r="AB1998" s="311">
        <f>C$1988</f>
        <v>0.19177192722072589</v>
      </c>
      <c r="AC1998" s="311">
        <f>D$1988</f>
        <v>6.3358889783955152E-2</v>
      </c>
      <c r="AE1998" s="311">
        <f>B$1989</f>
        <v>0.7448691829953189</v>
      </c>
      <c r="AF1998" s="311">
        <f>C$1989</f>
        <v>0.19177192722072589</v>
      </c>
      <c r="AG1998" s="311">
        <f>D$1989</f>
        <v>6.3358889783955152E-2</v>
      </c>
      <c r="AI1998" s="311">
        <f>B$1990</f>
        <v>0.7448691829953189</v>
      </c>
      <c r="AJ1998" s="311">
        <f>C$1990</f>
        <v>0.19177192722072589</v>
      </c>
      <c r="AK1998" s="311">
        <f>D$1990</f>
        <v>6.3358889783955152E-2</v>
      </c>
      <c r="AL1998" s="291"/>
    </row>
    <row r="2000" spans="1:38" ht="21" customHeight="1">
      <c r="A2000" s="1" t="s">
        <v>1703</v>
      </c>
    </row>
    <row r="2001" spans="1:38">
      <c r="A2001" s="287" t="s">
        <v>255</v>
      </c>
    </row>
    <row r="2002" spans="1:38">
      <c r="A2002" s="301" t="s">
        <v>1704</v>
      </c>
    </row>
    <row r="2003" spans="1:38">
      <c r="A2003" s="301" t="s">
        <v>1705</v>
      </c>
    </row>
    <row r="2004" spans="1:38">
      <c r="A2004" s="301" t="s">
        <v>1706</v>
      </c>
    </row>
    <row r="2005" spans="1:38">
      <c r="A2005" s="301" t="s">
        <v>448</v>
      </c>
    </row>
    <row r="2006" spans="1:38">
      <c r="A2006" s="287" t="s">
        <v>500</v>
      </c>
    </row>
    <row r="2008" spans="1:38">
      <c r="B2008" s="297" t="s">
        <v>60</v>
      </c>
      <c r="C2008" s="288" t="s">
        <v>238</v>
      </c>
      <c r="D2008" s="288" t="s">
        <v>239</v>
      </c>
      <c r="E2008" s="288" t="s">
        <v>235</v>
      </c>
      <c r="F2008" s="297" t="s">
        <v>61</v>
      </c>
      <c r="G2008" s="288" t="s">
        <v>238</v>
      </c>
      <c r="H2008" s="288" t="s">
        <v>239</v>
      </c>
      <c r="I2008" s="288" t="s">
        <v>235</v>
      </c>
      <c r="J2008" s="297" t="s">
        <v>62</v>
      </c>
      <c r="K2008" s="288" t="s">
        <v>238</v>
      </c>
      <c r="L2008" s="288" t="s">
        <v>239</v>
      </c>
      <c r="M2008" s="288" t="s">
        <v>235</v>
      </c>
      <c r="N2008" s="297" t="s">
        <v>63</v>
      </c>
      <c r="O2008" s="288" t="s">
        <v>238</v>
      </c>
      <c r="P2008" s="288" t="s">
        <v>239</v>
      </c>
      <c r="Q2008" s="288" t="s">
        <v>235</v>
      </c>
      <c r="R2008" s="297" t="s">
        <v>64</v>
      </c>
      <c r="S2008" s="288" t="s">
        <v>238</v>
      </c>
      <c r="T2008" s="288" t="s">
        <v>239</v>
      </c>
      <c r="U2008" s="288" t="s">
        <v>235</v>
      </c>
      <c r="V2008" s="297" t="s">
        <v>69</v>
      </c>
      <c r="W2008" s="288" t="s">
        <v>238</v>
      </c>
      <c r="X2008" s="288" t="s">
        <v>239</v>
      </c>
      <c r="Y2008" s="288" t="s">
        <v>235</v>
      </c>
      <c r="Z2008" s="297" t="s">
        <v>65</v>
      </c>
      <c r="AA2008" s="288" t="s">
        <v>238</v>
      </c>
      <c r="AB2008" s="288" t="s">
        <v>239</v>
      </c>
      <c r="AC2008" s="288" t="s">
        <v>235</v>
      </c>
      <c r="AD2008" s="297" t="s">
        <v>66</v>
      </c>
      <c r="AE2008" s="288" t="s">
        <v>238</v>
      </c>
      <c r="AF2008" s="288" t="s">
        <v>239</v>
      </c>
      <c r="AG2008" s="288" t="s">
        <v>235</v>
      </c>
      <c r="AH2008" s="297" t="s">
        <v>67</v>
      </c>
      <c r="AI2008" s="288" t="s">
        <v>238</v>
      </c>
      <c r="AJ2008" s="288" t="s">
        <v>239</v>
      </c>
      <c r="AK2008" s="288" t="s">
        <v>235</v>
      </c>
    </row>
    <row r="2009" spans="1:38" ht="30">
      <c r="A2009" s="289" t="s">
        <v>1707</v>
      </c>
      <c r="C2009" s="306">
        <f>IF(C1843&gt;0,$B1946*C1998*24*$F14/C1843,0)</f>
        <v>32.66800350468322</v>
      </c>
      <c r="D2009" s="306">
        <f>IF(D1843&gt;0,$B1946*D1998*24*$F14/D1843,0)</f>
        <v>0.46227268555776091</v>
      </c>
      <c r="E2009" s="306">
        <f>IF(E1843&gt;0,$B1946*E1998*24*$F14/E1843,0)</f>
        <v>0</v>
      </c>
      <c r="G2009" s="306">
        <f>IF(C1843&gt;0,$B1946*G1998*24*$F14/C1843,0)</f>
        <v>27.778048989556346</v>
      </c>
      <c r="H2009" s="306">
        <f>IF(D1843&gt;0,$B1946*H1998*24*$F14/D1843,0)</f>
        <v>0.76136026648565847</v>
      </c>
      <c r="I2009" s="306">
        <f>IF(E1843&gt;0,$B1946*I1998*24*$F14/E1843,0)</f>
        <v>5.4413781988481708E-2</v>
      </c>
      <c r="K2009" s="306">
        <f>IF(C1843&gt;0,$B1946*K1998*24*$F14/C1843,0)</f>
        <v>27.778048989556346</v>
      </c>
      <c r="L2009" s="306">
        <f>IF(D1843&gt;0,$B1946*L1998*24*$F14/D1843,0)</f>
        <v>0.76136026648565847</v>
      </c>
      <c r="M2009" s="306">
        <f>IF(E1843&gt;0,$B1946*M1998*24*$F14/E1843,0)</f>
        <v>5.4413781988481708E-2</v>
      </c>
      <c r="O2009" s="306">
        <f>IF(C1843&gt;0,$B1946*O1998*24*$F14/C1843,0)</f>
        <v>28.691599773425839</v>
      </c>
      <c r="P2009" s="306">
        <f>IF(D1843&gt;0,$B1946*P1998*24*$F14/D1843,0)</f>
        <v>0.58361951837866755</v>
      </c>
      <c r="Q2009" s="306">
        <f>IF(E1843&gt;0,$B1946*Q1998*24*$F14/E1843,0)</f>
        <v>0.12024330756950885</v>
      </c>
      <c r="S2009" s="306">
        <f>IF(C1843&gt;0,$B1946*S1998*24*$F14/C1843,0)</f>
        <v>28.691599773425839</v>
      </c>
      <c r="T2009" s="306">
        <f>IF(D1843&gt;0,$B1946*T1998*24*$F14/D1843,0)</f>
        <v>0.58361951837866755</v>
      </c>
      <c r="U2009" s="306">
        <f>IF(E1843&gt;0,$B1946*U1998*24*$F14/E1843,0)</f>
        <v>0.12024330756950885</v>
      </c>
      <c r="W2009" s="306">
        <f>IF(C1843&gt;0,$B1946*W1998*24*$F14/C1843,0)</f>
        <v>27.778048989556346</v>
      </c>
      <c r="X2009" s="306">
        <f>IF(D1843&gt;0,$B1946*X1998*24*$F14/D1843,0)</f>
        <v>0.76136026648565847</v>
      </c>
      <c r="Y2009" s="306">
        <f>IF(E1843&gt;0,$B1946*Y1998*24*$F14/E1843,0)</f>
        <v>5.4413781988481708E-2</v>
      </c>
      <c r="AA2009" s="306">
        <f>IF(C1843&gt;0,$B1946*AA1998*24*$F14/C1843,0)</f>
        <v>28.691599773425839</v>
      </c>
      <c r="AB2009" s="306">
        <f>IF(D1843&gt;0,$B1946*AB1998*24*$F14/D1843,0)</f>
        <v>0.58361951837866755</v>
      </c>
      <c r="AC2009" s="306">
        <f>IF(E1843&gt;0,$B1946*AC1998*24*$F14/E1843,0)</f>
        <v>0.12024330756950885</v>
      </c>
      <c r="AE2009" s="306">
        <f>IF(C1843&gt;0,$B1946*AE1998*24*$F14/C1843,0)</f>
        <v>28.691599773425839</v>
      </c>
      <c r="AF2009" s="306">
        <f>IF(D1843&gt;0,$B1946*AF1998*24*$F14/D1843,0)</f>
        <v>0.58361951837866755</v>
      </c>
      <c r="AG2009" s="306">
        <f>IF(E1843&gt;0,$B1946*AG1998*24*$F14/E1843,0)</f>
        <v>0.12024330756950885</v>
      </c>
      <c r="AI2009" s="306">
        <f>IF(C1843&gt;0,$B1946*AI1998*24*$F14/C1843,0)</f>
        <v>28.691599773425839</v>
      </c>
      <c r="AJ2009" s="306">
        <f>IF(D1843&gt;0,$B1946*AJ1998*24*$F14/D1843,0)</f>
        <v>0.58361951837866755</v>
      </c>
      <c r="AK2009" s="306">
        <f>IF(E1843&gt;0,$B1946*AK1998*24*$F14/E1843,0)</f>
        <v>0.12024330756950885</v>
      </c>
      <c r="AL2009" s="291"/>
    </row>
    <row r="2011" spans="1:38" ht="21" customHeight="1">
      <c r="A2011" s="1" t="s">
        <v>1708</v>
      </c>
    </row>
    <row r="2012" spans="1:38">
      <c r="A2012" s="287" t="s">
        <v>255</v>
      </c>
    </row>
    <row r="2013" spans="1:38">
      <c r="A2013" s="301" t="s">
        <v>1709</v>
      </c>
    </row>
    <row r="2014" spans="1:38">
      <c r="A2014" s="301" t="s">
        <v>1710</v>
      </c>
    </row>
    <row r="2015" spans="1:38">
      <c r="A2015" s="287" t="s">
        <v>268</v>
      </c>
    </row>
    <row r="2017" spans="1:11">
      <c r="B2017" s="288" t="s">
        <v>60</v>
      </c>
      <c r="C2017" s="288" t="s">
        <v>61</v>
      </c>
      <c r="D2017" s="288" t="s">
        <v>62</v>
      </c>
      <c r="E2017" s="288" t="s">
        <v>63</v>
      </c>
      <c r="F2017" s="288" t="s">
        <v>64</v>
      </c>
      <c r="G2017" s="288" t="s">
        <v>69</v>
      </c>
      <c r="H2017" s="288" t="s">
        <v>65</v>
      </c>
      <c r="I2017" s="288" t="s">
        <v>66</v>
      </c>
      <c r="J2017" s="288" t="s">
        <v>67</v>
      </c>
    </row>
    <row r="2018" spans="1:11">
      <c r="A2018" s="289" t="s">
        <v>131</v>
      </c>
      <c r="B2018" s="306">
        <f>SUMPRODUCT($C$2009:$E$2009,$B1868:$D1868)</f>
        <v>1.1305491325334478</v>
      </c>
      <c r="C2018" s="306">
        <f>SUMPRODUCT($G$2009:$I$2009,$B1868:$D1868)</f>
        <v>1.1310158003417616</v>
      </c>
      <c r="D2018" s="306">
        <f>SUMPRODUCT($K$2009:$M$2009,$B1868:$D1868)</f>
        <v>1.1310158003417616</v>
      </c>
      <c r="E2018" s="306">
        <f>SUMPRODUCT($O$2009:$Q$2009,$B1868:$D1868)</f>
        <v>1.1310163453987956</v>
      </c>
      <c r="F2018" s="306">
        <f>SUMPRODUCT($S$2009:$U$2009,$B1868:$D1868)</f>
        <v>1.1310163453987956</v>
      </c>
      <c r="G2018" s="306">
        <f>SUMPRODUCT($W$2009:$Y$2009,$B1868:$D1868)</f>
        <v>1.1310158003417616</v>
      </c>
      <c r="H2018" s="306">
        <f>SUMPRODUCT($AA$2009:$AC$2009,$B1868:$D1868)</f>
        <v>1.1310163453987956</v>
      </c>
      <c r="I2018" s="306">
        <f>SUMPRODUCT($AE$2009:$AG$2009,$B1868:$D1868)</f>
        <v>1.1310163453987956</v>
      </c>
      <c r="J2018" s="306">
        <f>SUMPRODUCT($AI$2009:$AK$2009,$B1868:$D1868)</f>
        <v>1.1310163453987956</v>
      </c>
      <c r="K2018" s="291"/>
    </row>
    <row r="2019" spans="1:11">
      <c r="A2019" s="289" t="s">
        <v>132</v>
      </c>
      <c r="B2019" s="306">
        <f>SUMPRODUCT($C$2009:$E$2009,$B1869:$D1869)</f>
        <v>1.6388835023816888</v>
      </c>
      <c r="C2019" s="306">
        <f>SUMPRODUCT($G$2009:$I$2009,$B1869:$D1869)</f>
        <v>1.4731383109728764</v>
      </c>
      <c r="D2019" s="306">
        <f>SUMPRODUCT($K$2009:$M$2009,$B1869:$D1869)</f>
        <v>1.4731383109728764</v>
      </c>
      <c r="E2019" s="306">
        <f>SUMPRODUCT($O$2009:$Q$2009,$B1869:$D1869)</f>
        <v>1.5588430651699154</v>
      </c>
      <c r="F2019" s="306">
        <f>SUMPRODUCT($S$2009:$U$2009,$B1869:$D1869)</f>
        <v>1.5588430651699154</v>
      </c>
      <c r="G2019" s="306">
        <f>SUMPRODUCT($W$2009:$Y$2009,$B1869:$D1869)</f>
        <v>1.4731383109728764</v>
      </c>
      <c r="H2019" s="306">
        <f>SUMPRODUCT($AA$2009:$AC$2009,$B1869:$D1869)</f>
        <v>1.5588430651699154</v>
      </c>
      <c r="I2019" s="306">
        <f>SUMPRODUCT($AE$2009:$AG$2009,$B1869:$D1869)</f>
        <v>1.5588430651699154</v>
      </c>
      <c r="J2019" s="306">
        <f>SUMPRODUCT($AI$2009:$AK$2009,$B1869:$D1869)</f>
        <v>1.5588430651699154</v>
      </c>
      <c r="K2019" s="291"/>
    </row>
    <row r="2020" spans="1:11">
      <c r="A2020" s="289" t="s">
        <v>133</v>
      </c>
      <c r="B2020" s="306">
        <f>SUMPRODUCT($C$2009:$E$2009,$B1870:$D1870)</f>
        <v>2.9895453371495693</v>
      </c>
      <c r="C2020" s="306">
        <f>SUMPRODUCT($G$2009:$I$2009,$B1870:$D1870)</f>
        <v>2.6390505234136028</v>
      </c>
      <c r="D2020" s="306">
        <f>SUMPRODUCT($K$2009:$M$2009,$B1870:$D1870)</f>
        <v>2.6390505234136028</v>
      </c>
      <c r="E2020" s="306">
        <f>SUMPRODUCT($O$2009:$Q$2009,$B1870:$D1870)</f>
        <v>2.7438227520638359</v>
      </c>
      <c r="F2020" s="306">
        <f>SUMPRODUCT($S$2009:$U$2009,$B1870:$D1870)</f>
        <v>2.7438227520638359</v>
      </c>
      <c r="G2020" s="306">
        <f>SUMPRODUCT($W$2009:$Y$2009,$B1870:$D1870)</f>
        <v>2.6390505234136028</v>
      </c>
      <c r="H2020" s="306">
        <f>SUMPRODUCT($AA$2009:$AC$2009,$B1870:$D1870)</f>
        <v>2.7438227520638359</v>
      </c>
      <c r="I2020" s="306">
        <f>SUMPRODUCT($AE$2009:$AG$2009,$B1870:$D1870)</f>
        <v>2.7438227520638359</v>
      </c>
      <c r="J2020" s="306">
        <f>SUMPRODUCT($AI$2009:$AK$2009,$B1870:$D1870)</f>
        <v>2.7438227520638359</v>
      </c>
      <c r="K2020" s="291"/>
    </row>
    <row r="2021" spans="1:11">
      <c r="A2021" s="289" t="s">
        <v>134</v>
      </c>
      <c r="B2021" s="306">
        <f>SUMPRODUCT($C$2009:$E$2009,$B1871:$D1871)</f>
        <v>0.61597669315510761</v>
      </c>
      <c r="C2021" s="306">
        <f>SUMPRODUCT($G$2009:$I$2009,$B1871:$D1871)</f>
        <v>0.77704170578743015</v>
      </c>
      <c r="D2021" s="306">
        <f>SUMPRODUCT($K$2009:$M$2009,$B1871:$D1871)</f>
        <v>0.77704170578743015</v>
      </c>
      <c r="E2021" s="306">
        <f>SUMPRODUCT($O$2009:$Q$2009,$B1871:$D1871)</f>
        <v>0.69650262391776252</v>
      </c>
      <c r="F2021" s="306">
        <f>SUMPRODUCT($S$2009:$U$2009,$B1871:$D1871)</f>
        <v>0.69650262391776252</v>
      </c>
      <c r="G2021" s="306">
        <f>SUMPRODUCT($W$2009:$Y$2009,$B1871:$D1871)</f>
        <v>0.77704170578743015</v>
      </c>
      <c r="H2021" s="306">
        <f>SUMPRODUCT($AA$2009:$AC$2009,$B1871:$D1871)</f>
        <v>0.69650262391776252</v>
      </c>
      <c r="I2021" s="306">
        <f>SUMPRODUCT($AE$2009:$AG$2009,$B1871:$D1871)</f>
        <v>0.69650262391776252</v>
      </c>
      <c r="J2021" s="306">
        <f>SUMPRODUCT($AI$2009:$AK$2009,$B1871:$D1871)</f>
        <v>0.69650262391776252</v>
      </c>
      <c r="K2021" s="291"/>
    </row>
    <row r="2022" spans="1:11">
      <c r="A2022" s="289" t="s">
        <v>135</v>
      </c>
      <c r="B2022" s="306">
        <f>SUMPRODUCT($C$2009:$E$2009,$B1872:$D1872)</f>
        <v>32.66800350468322</v>
      </c>
      <c r="C2022" s="306">
        <f>SUMPRODUCT($G$2009:$I$2009,$B1872:$D1872)</f>
        <v>27.778048989556346</v>
      </c>
      <c r="D2022" s="306">
        <f>SUMPRODUCT($K$2009:$M$2009,$B1872:$D1872)</f>
        <v>27.778048989556346</v>
      </c>
      <c r="E2022" s="306">
        <f>SUMPRODUCT($O$2009:$Q$2009,$B1872:$D1872)</f>
        <v>28.691599773425839</v>
      </c>
      <c r="F2022" s="306">
        <f>SUMPRODUCT($S$2009:$U$2009,$B1872:$D1872)</f>
        <v>28.691599773425839</v>
      </c>
      <c r="G2022" s="306">
        <f>SUMPRODUCT($W$2009:$Y$2009,$B1872:$D1872)</f>
        <v>27.778048989556346</v>
      </c>
      <c r="H2022" s="306">
        <f>SUMPRODUCT($AA$2009:$AC$2009,$B1872:$D1872)</f>
        <v>28.691599773425839</v>
      </c>
      <c r="I2022" s="306">
        <f>SUMPRODUCT($AE$2009:$AG$2009,$B1872:$D1872)</f>
        <v>28.691599773425839</v>
      </c>
      <c r="J2022" s="306">
        <f>SUMPRODUCT($AI$2009:$AK$2009,$B1872:$D1872)</f>
        <v>28.691599773425839</v>
      </c>
      <c r="K2022" s="291"/>
    </row>
    <row r="2024" spans="1:11" ht="21" customHeight="1">
      <c r="A2024" s="1" t="s">
        <v>1711</v>
      </c>
    </row>
    <row r="2025" spans="1:11">
      <c r="A2025" s="287" t="s">
        <v>255</v>
      </c>
    </row>
    <row r="2026" spans="1:11">
      <c r="A2026" s="301" t="s">
        <v>1709</v>
      </c>
    </row>
    <row r="2027" spans="1:11">
      <c r="A2027" s="301" t="s">
        <v>1712</v>
      </c>
    </row>
    <row r="2028" spans="1:11">
      <c r="A2028" s="287" t="s">
        <v>268</v>
      </c>
    </row>
    <row r="2030" spans="1:11">
      <c r="B2030" s="288" t="s">
        <v>60</v>
      </c>
      <c r="C2030" s="288" t="s">
        <v>61</v>
      </c>
      <c r="D2030" s="288" t="s">
        <v>62</v>
      </c>
      <c r="E2030" s="288" t="s">
        <v>63</v>
      </c>
      <c r="F2030" s="288" t="s">
        <v>64</v>
      </c>
      <c r="G2030" s="288" t="s">
        <v>69</v>
      </c>
      <c r="H2030" s="288" t="s">
        <v>65</v>
      </c>
      <c r="I2030" s="288" t="s">
        <v>66</v>
      </c>
      <c r="J2030" s="288" t="s">
        <v>67</v>
      </c>
    </row>
    <row r="2031" spans="1:11">
      <c r="A2031" s="289" t="s">
        <v>135</v>
      </c>
      <c r="B2031" s="306">
        <f>SUMPRODUCT($C$2009:$E$2009,$B1877:$D1877)</f>
        <v>0.46227268555776091</v>
      </c>
      <c r="C2031" s="306">
        <f>SUMPRODUCT($G$2009:$I$2009,$B1877:$D1877)</f>
        <v>0.76136026648565847</v>
      </c>
      <c r="D2031" s="306">
        <f>SUMPRODUCT($K$2009:$M$2009,$B1877:$D1877)</f>
        <v>0.76136026648565847</v>
      </c>
      <c r="E2031" s="306">
        <f>SUMPRODUCT($O$2009:$Q$2009,$B1877:$D1877)</f>
        <v>0.58361951837866755</v>
      </c>
      <c r="F2031" s="306">
        <f>SUMPRODUCT($S$2009:$U$2009,$B1877:$D1877)</f>
        <v>0.58361951837866755</v>
      </c>
      <c r="G2031" s="306">
        <f>SUMPRODUCT($W$2009:$Y$2009,$B1877:$D1877)</f>
        <v>0.76136026648565847</v>
      </c>
      <c r="H2031" s="306">
        <f>SUMPRODUCT($AA$2009:$AC$2009,$B1877:$D1877)</f>
        <v>0.58361951837866755</v>
      </c>
      <c r="I2031" s="306">
        <f>SUMPRODUCT($AE$2009:$AG$2009,$B1877:$D1877)</f>
        <v>0.58361951837866755</v>
      </c>
      <c r="J2031" s="306">
        <f>SUMPRODUCT($AI$2009:$AK$2009,$B1877:$D1877)</f>
        <v>0.58361951837866755</v>
      </c>
      <c r="K2031" s="291"/>
    </row>
    <row r="2033" spans="1:11" ht="21" customHeight="1">
      <c r="A2033" s="1" t="s">
        <v>1713</v>
      </c>
    </row>
    <row r="2034" spans="1:11">
      <c r="A2034" s="287" t="s">
        <v>255</v>
      </c>
    </row>
    <row r="2035" spans="1:11">
      <c r="A2035" s="301" t="s">
        <v>1709</v>
      </c>
    </row>
    <row r="2036" spans="1:11">
      <c r="A2036" s="301" t="s">
        <v>1714</v>
      </c>
    </row>
    <row r="2037" spans="1:11">
      <c r="A2037" s="287" t="s">
        <v>268</v>
      </c>
    </row>
    <row r="2039" spans="1:11">
      <c r="B2039" s="288" t="s">
        <v>60</v>
      </c>
      <c r="C2039" s="288" t="s">
        <v>61</v>
      </c>
      <c r="D2039" s="288" t="s">
        <v>62</v>
      </c>
      <c r="E2039" s="288" t="s">
        <v>63</v>
      </c>
      <c r="F2039" s="288" t="s">
        <v>64</v>
      </c>
      <c r="G2039" s="288" t="s">
        <v>69</v>
      </c>
      <c r="H2039" s="288" t="s">
        <v>65</v>
      </c>
      <c r="I2039" s="288" t="s">
        <v>66</v>
      </c>
      <c r="J2039" s="288" t="s">
        <v>67</v>
      </c>
    </row>
    <row r="2040" spans="1:11">
      <c r="A2040" s="289" t="s">
        <v>135</v>
      </c>
      <c r="B2040" s="306">
        <f>SUMPRODUCT($C$2009:$E$2009,$B1882:$D1882)</f>
        <v>0</v>
      </c>
      <c r="C2040" s="306">
        <f>SUMPRODUCT($G$2009:$I$2009,$B1882:$D1882)</f>
        <v>5.4413781988481708E-2</v>
      </c>
      <c r="D2040" s="306">
        <f>SUMPRODUCT($K$2009:$M$2009,$B1882:$D1882)</f>
        <v>5.4413781988481708E-2</v>
      </c>
      <c r="E2040" s="306">
        <f>SUMPRODUCT($O$2009:$Q$2009,$B1882:$D1882)</f>
        <v>0.12024330756950885</v>
      </c>
      <c r="F2040" s="306">
        <f>SUMPRODUCT($S$2009:$U$2009,$B1882:$D1882)</f>
        <v>0.12024330756950885</v>
      </c>
      <c r="G2040" s="306">
        <f>SUMPRODUCT($W$2009:$Y$2009,$B1882:$D1882)</f>
        <v>5.4413781988481708E-2</v>
      </c>
      <c r="H2040" s="306">
        <f>SUMPRODUCT($AA$2009:$AC$2009,$B1882:$D1882)</f>
        <v>0.12024330756950885</v>
      </c>
      <c r="I2040" s="306">
        <f>SUMPRODUCT($AE$2009:$AG$2009,$B1882:$D1882)</f>
        <v>0.12024330756950885</v>
      </c>
      <c r="J2040" s="306">
        <f>SUMPRODUCT($AI$2009:$AK$2009,$B1882:$D1882)</f>
        <v>0.12024330756950885</v>
      </c>
      <c r="K2040" s="291"/>
    </row>
    <row r="2042" spans="1:11" ht="21" customHeight="1">
      <c r="A2042" s="1" t="s">
        <v>1715</v>
      </c>
    </row>
    <row r="2043" spans="1:11">
      <c r="A2043" s="287" t="s">
        <v>255</v>
      </c>
    </row>
    <row r="2044" spans="1:11">
      <c r="A2044" s="301" t="s">
        <v>1716</v>
      </c>
    </row>
    <row r="2045" spans="1:11">
      <c r="A2045" s="301" t="s">
        <v>1717</v>
      </c>
    </row>
    <row r="2046" spans="1:11">
      <c r="A2046" s="287" t="s">
        <v>273</v>
      </c>
    </row>
    <row r="2048" spans="1:11">
      <c r="B2048" s="288" t="s">
        <v>60</v>
      </c>
      <c r="C2048" s="288" t="s">
        <v>61</v>
      </c>
      <c r="D2048" s="288" t="s">
        <v>62</v>
      </c>
      <c r="E2048" s="288" t="s">
        <v>63</v>
      </c>
      <c r="F2048" s="288" t="s">
        <v>64</v>
      </c>
      <c r="G2048" s="288" t="s">
        <v>69</v>
      </c>
      <c r="H2048" s="288" t="s">
        <v>65</v>
      </c>
      <c r="I2048" s="288" t="s">
        <v>66</v>
      </c>
      <c r="J2048" s="288" t="s">
        <v>67</v>
      </c>
    </row>
    <row r="2049" spans="1:11">
      <c r="A2049" s="289" t="s">
        <v>92</v>
      </c>
      <c r="B2049" s="307">
        <f>$B$1778</f>
        <v>2.0040085436376867</v>
      </c>
      <c r="C2049" s="307">
        <f>$C$1778</f>
        <v>1.9295796583283737</v>
      </c>
      <c r="D2049" s="307">
        <f>$D$1778</f>
        <v>1.9295796583283737</v>
      </c>
      <c r="E2049" s="307">
        <f>$E$1778</f>
        <v>1.9098399703705187</v>
      </c>
      <c r="F2049" s="307">
        <f>$F$1778</f>
        <v>1.9098399703705187</v>
      </c>
      <c r="G2049" s="307">
        <f>$G$1778</f>
        <v>1.9295796583283737</v>
      </c>
      <c r="H2049" s="307">
        <f>$H$1778</f>
        <v>1.9098399703705187</v>
      </c>
      <c r="I2049" s="307">
        <f>$I$1778</f>
        <v>1.9098399703705187</v>
      </c>
      <c r="J2049" s="307">
        <f>$J$1778</f>
        <v>1.9098399703705187</v>
      </c>
      <c r="K2049" s="291"/>
    </row>
    <row r="2050" spans="1:11">
      <c r="A2050" s="289" t="s">
        <v>93</v>
      </c>
      <c r="B2050" s="307">
        <f>$B$1779</f>
        <v>2.3796070334364003</v>
      </c>
      <c r="C2050" s="307">
        <f>$C$1779</f>
        <v>2.2957175623274879</v>
      </c>
      <c r="D2050" s="307">
        <f>$D$1779</f>
        <v>2.2957175623274879</v>
      </c>
      <c r="E2050" s="307">
        <f>$E$1779</f>
        <v>2.2721591018340757</v>
      </c>
      <c r="F2050" s="307">
        <f>$F$1779</f>
        <v>2.2721591018340757</v>
      </c>
      <c r="G2050" s="307">
        <f>$G$1779</f>
        <v>2.2957175623274879</v>
      </c>
      <c r="H2050" s="307">
        <f>$H$1779</f>
        <v>2.2721591018340757</v>
      </c>
      <c r="I2050" s="307">
        <f>$I$1779</f>
        <v>2.2721591018340757</v>
      </c>
      <c r="J2050" s="307">
        <f>$J$1779</f>
        <v>2.2721591018340757</v>
      </c>
      <c r="K2050" s="291"/>
    </row>
    <row r="2051" spans="1:11">
      <c r="A2051" s="289" t="s">
        <v>129</v>
      </c>
      <c r="B2051" s="307">
        <f>$B$1780</f>
        <v>0.12407501037384824</v>
      </c>
      <c r="C2051" s="307">
        <f>$C$1780</f>
        <v>0.21990498499333769</v>
      </c>
      <c r="D2051" s="307">
        <f>$D$1780</f>
        <v>0.21990498499333769</v>
      </c>
      <c r="E2051" s="307">
        <f>$E$1780</f>
        <v>0.23289532230455828</v>
      </c>
      <c r="F2051" s="307">
        <f>$F$1780</f>
        <v>0.23289532230455828</v>
      </c>
      <c r="G2051" s="307">
        <f>$G$1780</f>
        <v>0.21990498499333769</v>
      </c>
      <c r="H2051" s="307">
        <f>$H$1780</f>
        <v>0.23289532230455828</v>
      </c>
      <c r="I2051" s="307">
        <f>$I$1780</f>
        <v>0.23289532230455828</v>
      </c>
      <c r="J2051" s="307">
        <f>$J$1780</f>
        <v>0.23289532230455828</v>
      </c>
      <c r="K2051" s="291"/>
    </row>
    <row r="2052" spans="1:11">
      <c r="A2052" s="289" t="s">
        <v>94</v>
      </c>
      <c r="B2052" s="307">
        <f>$B$1781</f>
        <v>1.8488068432231508</v>
      </c>
      <c r="C2052" s="307">
        <f>$C$1781</f>
        <v>1.8580305019183987</v>
      </c>
      <c r="D2052" s="307">
        <f>$D$1781</f>
        <v>1.8580305019183987</v>
      </c>
      <c r="E2052" s="307">
        <f>$E$1781</f>
        <v>1.7926725555436023</v>
      </c>
      <c r="F2052" s="307">
        <f>$F$1781</f>
        <v>1.7926725555436023</v>
      </c>
      <c r="G2052" s="307">
        <f>$G$1781</f>
        <v>1.8580305019183987</v>
      </c>
      <c r="H2052" s="307">
        <f>$H$1781</f>
        <v>1.7926725555436023</v>
      </c>
      <c r="I2052" s="307">
        <f>$I$1781</f>
        <v>1.7926725555436023</v>
      </c>
      <c r="J2052" s="307">
        <f>$J$1781</f>
        <v>1.7926725555436023</v>
      </c>
      <c r="K2052" s="291"/>
    </row>
    <row r="2053" spans="1:11">
      <c r="A2053" s="289" t="s">
        <v>95</v>
      </c>
      <c r="B2053" s="307">
        <f>$B$1782</f>
        <v>2.1213398169669895</v>
      </c>
      <c r="C2053" s="307">
        <f>$C$1782</f>
        <v>2.1167215992721293</v>
      </c>
      <c r="D2053" s="307">
        <f>$D$1782</f>
        <v>2.1167215992721293</v>
      </c>
      <c r="E2053" s="307">
        <f>$E$1782</f>
        <v>2.0548627876277656</v>
      </c>
      <c r="F2053" s="307">
        <f>$F$1782</f>
        <v>2.0548627876277656</v>
      </c>
      <c r="G2053" s="307">
        <f>$G$1782</f>
        <v>2.1167215992721293</v>
      </c>
      <c r="H2053" s="307">
        <f>$H$1782</f>
        <v>2.0548627876277656</v>
      </c>
      <c r="I2053" s="307">
        <f>$I$1782</f>
        <v>2.0548627876277656</v>
      </c>
      <c r="J2053" s="307">
        <f>$J$1782</f>
        <v>2.0548627876277656</v>
      </c>
      <c r="K2053" s="291"/>
    </row>
    <row r="2054" spans="1:11">
      <c r="A2054" s="289" t="s">
        <v>130</v>
      </c>
      <c r="B2054" s="307">
        <f>$B$1783</f>
        <v>0.28906805527446738</v>
      </c>
      <c r="C2054" s="307">
        <f>$C$1783</f>
        <v>0.351696059672501</v>
      </c>
      <c r="D2054" s="307">
        <f>$D$1783</f>
        <v>0.351696059672501</v>
      </c>
      <c r="E2054" s="307">
        <f>$E$1783</f>
        <v>0.37462874869056823</v>
      </c>
      <c r="F2054" s="307">
        <f>$F$1783</f>
        <v>0.37462874869056823</v>
      </c>
      <c r="G2054" s="307">
        <f>$G$1783</f>
        <v>0.351696059672501</v>
      </c>
      <c r="H2054" s="307">
        <f>$H$1783</f>
        <v>0.37462874869056823</v>
      </c>
      <c r="I2054" s="307">
        <f>$I$1783</f>
        <v>0.37462874869056823</v>
      </c>
      <c r="J2054" s="307">
        <f>$J$1783</f>
        <v>0.37462874869056823</v>
      </c>
      <c r="K2054" s="291"/>
    </row>
    <row r="2055" spans="1:11">
      <c r="A2055" s="289" t="s">
        <v>96</v>
      </c>
      <c r="B2055" s="307">
        <f>$B$1784</f>
        <v>1.5521985045289384</v>
      </c>
      <c r="C2055" s="307">
        <f>$C$1784</f>
        <v>1.5386219844348659</v>
      </c>
      <c r="D2055" s="307">
        <f>$D$1784</f>
        <v>1.5386219844348659</v>
      </c>
      <c r="E2055" s="307">
        <f>$E$1784</f>
        <v>1.4975033836660741</v>
      </c>
      <c r="F2055" s="307">
        <f>$F$1784</f>
        <v>1.4975033836660741</v>
      </c>
      <c r="G2055" s="307">
        <f>$G$1784</f>
        <v>1.5386219844348659</v>
      </c>
      <c r="H2055" s="307">
        <f>$H$1784</f>
        <v>1.4975033836660741</v>
      </c>
      <c r="I2055" s="307">
        <f>$I$1784</f>
        <v>1.4975033836660741</v>
      </c>
      <c r="J2055" s="307">
        <f>$J$1784</f>
        <v>1.4975033836660741</v>
      </c>
      <c r="K2055" s="291"/>
    </row>
    <row r="2056" spans="1:11">
      <c r="A2056" s="289" t="s">
        <v>97</v>
      </c>
      <c r="B2056" s="307">
        <f>$B$1785</f>
        <v>1.5183541089323045</v>
      </c>
      <c r="C2056" s="307">
        <f>$C$1785</f>
        <v>1.5146375567322521</v>
      </c>
      <c r="D2056" s="307">
        <f>$D$1785</f>
        <v>1.5146375567322521</v>
      </c>
      <c r="E2056" s="307">
        <f>$E$1785</f>
        <v>1.4696919070786112</v>
      </c>
      <c r="F2056" s="307">
        <f>$F$1785</f>
        <v>1.4696919070786112</v>
      </c>
      <c r="G2056" s="307">
        <f>$G$1785</f>
        <v>1.5146375567322521</v>
      </c>
      <c r="H2056" s="307">
        <f>$H$1785</f>
        <v>1.4696919070786112</v>
      </c>
      <c r="I2056" s="307">
        <f>$I$1785</f>
        <v>1.4696919070786112</v>
      </c>
      <c r="J2056" s="307">
        <f>$J$1785</f>
        <v>1.4696919070786112</v>
      </c>
      <c r="K2056" s="291"/>
    </row>
    <row r="2057" spans="1:11">
      <c r="A2057" s="289" t="s">
        <v>110</v>
      </c>
      <c r="B2057" s="307">
        <f>$B$1786</f>
        <v>1.5067156651449258</v>
      </c>
      <c r="C2057" s="307">
        <f>$C$1786</f>
        <v>1.5084548072757358</v>
      </c>
      <c r="D2057" s="307">
        <f>$D$1786</f>
        <v>1.5084548072757358</v>
      </c>
      <c r="E2057" s="307">
        <f>$E$1786</f>
        <v>1.4607412409262235</v>
      </c>
      <c r="F2057" s="307">
        <f>$F$1786</f>
        <v>1.4607412409262235</v>
      </c>
      <c r="G2057" s="307">
        <f>$G$1786</f>
        <v>1.5084548072757358</v>
      </c>
      <c r="H2057" s="307">
        <f>$H$1786</f>
        <v>1.4607412409262235</v>
      </c>
      <c r="I2057" s="307">
        <f>$I$1786</f>
        <v>1.4607412409262235</v>
      </c>
      <c r="J2057" s="307">
        <f>$J$1786</f>
        <v>1.4607412409262235</v>
      </c>
      <c r="K2057" s="291"/>
    </row>
    <row r="2058" spans="1:11">
      <c r="A2058" s="289" t="s">
        <v>1536</v>
      </c>
      <c r="B2058" s="307">
        <f>$B$1787</f>
        <v>11.93764724133308</v>
      </c>
      <c r="C2058" s="307">
        <f>$C$1787</f>
        <v>10.249465967575452</v>
      </c>
      <c r="D2058" s="307">
        <f>$D$1787</f>
        <v>10.249465967575452</v>
      </c>
      <c r="E2058" s="307">
        <f>$E$1787</f>
        <v>10.46566848302057</v>
      </c>
      <c r="F2058" s="307">
        <f>$F$1787</f>
        <v>10.46566848302057</v>
      </c>
      <c r="G2058" s="307">
        <f>$G$1787</f>
        <v>10.249465967575452</v>
      </c>
      <c r="H2058" s="307">
        <f>$H$1787</f>
        <v>10.46566848302057</v>
      </c>
      <c r="I2058" s="307">
        <f>$I$1787</f>
        <v>10.46566848302057</v>
      </c>
      <c r="J2058" s="307">
        <f>$J$1787</f>
        <v>10.46566848302057</v>
      </c>
      <c r="K2058" s="291"/>
    </row>
    <row r="2059" spans="1:11">
      <c r="A2059" s="289" t="s">
        <v>1535</v>
      </c>
      <c r="B2059" s="307">
        <f>$B$1788</f>
        <v>12.009468328158349</v>
      </c>
      <c r="C2059" s="307">
        <f>$C$1788</f>
        <v>10.305915942299643</v>
      </c>
      <c r="D2059" s="307">
        <f>$D$1788</f>
        <v>10.305915942299643</v>
      </c>
      <c r="E2059" s="307">
        <f>$E$1788</f>
        <v>10.524449505284016</v>
      </c>
      <c r="F2059" s="307">
        <f>$F$1788</f>
        <v>10.524449505284016</v>
      </c>
      <c r="G2059" s="307">
        <f>$G$1788</f>
        <v>10.305915942299643</v>
      </c>
      <c r="H2059" s="307">
        <f>$H$1788</f>
        <v>10.524449505284016</v>
      </c>
      <c r="I2059" s="307">
        <f>$I$1788</f>
        <v>10.524449505284016</v>
      </c>
      <c r="J2059" s="307">
        <f>$J$1788</f>
        <v>10.524449505284016</v>
      </c>
      <c r="K2059" s="291"/>
    </row>
    <row r="2060" spans="1:11">
      <c r="A2060" s="289" t="s">
        <v>98</v>
      </c>
      <c r="B2060" s="307">
        <f>$B$1789</f>
        <v>11.550844387211768</v>
      </c>
      <c r="C2060" s="307">
        <f>$C$1789</f>
        <v>9.9124983687535</v>
      </c>
      <c r="D2060" s="307">
        <f>$D$1789</f>
        <v>9.9124983687535</v>
      </c>
      <c r="E2060" s="307">
        <f>$E$1789</f>
        <v>10.11541814026771</v>
      </c>
      <c r="F2060" s="307">
        <f>$F$1789</f>
        <v>10.11541814026771</v>
      </c>
      <c r="G2060" s="307">
        <f>$G$1789</f>
        <v>9.9124983687535</v>
      </c>
      <c r="H2060" s="307">
        <f>$H$1789</f>
        <v>10.11541814026771</v>
      </c>
      <c r="I2060" s="307">
        <f>$I$1789</f>
        <v>10.11541814026771</v>
      </c>
      <c r="J2060" s="307">
        <f>$J$1789</f>
        <v>10.11541814026771</v>
      </c>
      <c r="K2060" s="291"/>
    </row>
    <row r="2061" spans="1:11">
      <c r="A2061" s="289" t="s">
        <v>99</v>
      </c>
      <c r="B2061" s="307">
        <f>$B$1790</f>
        <v>12.381436905975773</v>
      </c>
      <c r="C2061" s="307">
        <f>$C$1790</f>
        <v>10.625281496233109</v>
      </c>
      <c r="D2061" s="307">
        <f>$D$1790</f>
        <v>10.625281496233109</v>
      </c>
      <c r="E2061" s="307">
        <f>$E$1790</f>
        <v>10.842792724309193</v>
      </c>
      <c r="F2061" s="307">
        <f>$F$1790</f>
        <v>10.842792724309193</v>
      </c>
      <c r="G2061" s="307">
        <f>$G$1790</f>
        <v>10.625281496233109</v>
      </c>
      <c r="H2061" s="307">
        <f>$H$1790</f>
        <v>10.842792724309193</v>
      </c>
      <c r="I2061" s="307">
        <f>$I$1790</f>
        <v>10.842792724309193</v>
      </c>
      <c r="J2061" s="307">
        <f>$J$1790</f>
        <v>10.842792724309193</v>
      </c>
      <c r="K2061" s="291"/>
    </row>
    <row r="2062" spans="1:11">
      <c r="A2062" s="289" t="s">
        <v>111</v>
      </c>
      <c r="B2062" s="307">
        <f>$B$1791</f>
        <v>10.406902918316289</v>
      </c>
      <c r="C2062" s="307">
        <f>$C$1791</f>
        <v>8.9308110077039515</v>
      </c>
      <c r="D2062" s="307">
        <f>$D$1791</f>
        <v>8.9308110077039515</v>
      </c>
      <c r="E2062" s="307">
        <f>$E$1791</f>
        <v>9.1136345564908492</v>
      </c>
      <c r="F2062" s="307">
        <f>$F$1791</f>
        <v>9.1136345564908492</v>
      </c>
      <c r="G2062" s="307">
        <f>$G$1791</f>
        <v>8.9308110077039515</v>
      </c>
      <c r="H2062" s="307">
        <f>$H$1791</f>
        <v>9.1136345564908492</v>
      </c>
      <c r="I2062" s="307">
        <f>$I$1791</f>
        <v>9.1136345564908492</v>
      </c>
      <c r="J2062" s="307">
        <f>$J$1791</f>
        <v>9.1136345564908492</v>
      </c>
      <c r="K2062" s="291"/>
    </row>
    <row r="2063" spans="1:11">
      <c r="A2063" s="289" t="s">
        <v>131</v>
      </c>
      <c r="B2063" s="307">
        <f>$B$2018</f>
        <v>1.1305491325334478</v>
      </c>
      <c r="C2063" s="307">
        <f>$C$2018</f>
        <v>1.1310158003417616</v>
      </c>
      <c r="D2063" s="307">
        <f>$D$2018</f>
        <v>1.1310158003417616</v>
      </c>
      <c r="E2063" s="307">
        <f>$E$2018</f>
        <v>1.1310163453987956</v>
      </c>
      <c r="F2063" s="307">
        <f>$F$2018</f>
        <v>1.1310163453987956</v>
      </c>
      <c r="G2063" s="307">
        <f>$G$2018</f>
        <v>1.1310158003417616</v>
      </c>
      <c r="H2063" s="307">
        <f>$H$2018</f>
        <v>1.1310163453987956</v>
      </c>
      <c r="I2063" s="307">
        <f>$I$2018</f>
        <v>1.1310163453987956</v>
      </c>
      <c r="J2063" s="307">
        <f>$J$2018</f>
        <v>1.1310163453987956</v>
      </c>
      <c r="K2063" s="291"/>
    </row>
    <row r="2064" spans="1:11">
      <c r="A2064" s="289" t="s">
        <v>132</v>
      </c>
      <c r="B2064" s="307">
        <f>$B$2019</f>
        <v>1.6388835023816888</v>
      </c>
      <c r="C2064" s="307">
        <f>$C$2019</f>
        <v>1.4731383109728764</v>
      </c>
      <c r="D2064" s="307">
        <f>$D$2019</f>
        <v>1.4731383109728764</v>
      </c>
      <c r="E2064" s="307">
        <f>$E$2019</f>
        <v>1.5588430651699154</v>
      </c>
      <c r="F2064" s="307">
        <f>$F$2019</f>
        <v>1.5588430651699154</v>
      </c>
      <c r="G2064" s="307">
        <f>$G$2019</f>
        <v>1.4731383109728764</v>
      </c>
      <c r="H2064" s="307">
        <f>$H$2019</f>
        <v>1.5588430651699154</v>
      </c>
      <c r="I2064" s="307">
        <f>$I$2019</f>
        <v>1.5588430651699154</v>
      </c>
      <c r="J2064" s="307">
        <f>$J$2019</f>
        <v>1.5588430651699154</v>
      </c>
      <c r="K2064" s="291"/>
    </row>
    <row r="2065" spans="1:11">
      <c r="A2065" s="289" t="s">
        <v>133</v>
      </c>
      <c r="B2065" s="307">
        <f>$B$2020</f>
        <v>2.9895453371495693</v>
      </c>
      <c r="C2065" s="307">
        <f>$C$2020</f>
        <v>2.6390505234136028</v>
      </c>
      <c r="D2065" s="307">
        <f>$D$2020</f>
        <v>2.6390505234136028</v>
      </c>
      <c r="E2065" s="307">
        <f>$E$2020</f>
        <v>2.7438227520638359</v>
      </c>
      <c r="F2065" s="307">
        <f>$F$2020</f>
        <v>2.7438227520638359</v>
      </c>
      <c r="G2065" s="307">
        <f>$G$2020</f>
        <v>2.6390505234136028</v>
      </c>
      <c r="H2065" s="307">
        <f>$H$2020</f>
        <v>2.7438227520638359</v>
      </c>
      <c r="I2065" s="307">
        <f>$I$2020</f>
        <v>2.7438227520638359</v>
      </c>
      <c r="J2065" s="307">
        <f>$J$2020</f>
        <v>2.7438227520638359</v>
      </c>
      <c r="K2065" s="291"/>
    </row>
    <row r="2066" spans="1:11">
      <c r="A2066" s="289" t="s">
        <v>134</v>
      </c>
      <c r="B2066" s="307">
        <f>$B$2021</f>
        <v>0.61597669315510761</v>
      </c>
      <c r="C2066" s="307">
        <f>$C$2021</f>
        <v>0.77704170578743015</v>
      </c>
      <c r="D2066" s="307">
        <f>$D$2021</f>
        <v>0.77704170578743015</v>
      </c>
      <c r="E2066" s="307">
        <f>$E$2021</f>
        <v>0.69650262391776252</v>
      </c>
      <c r="F2066" s="307">
        <f>$F$2021</f>
        <v>0.69650262391776252</v>
      </c>
      <c r="G2066" s="307">
        <f>$G$2021</f>
        <v>0.77704170578743015</v>
      </c>
      <c r="H2066" s="307">
        <f>$H$2021</f>
        <v>0.69650262391776252</v>
      </c>
      <c r="I2066" s="307">
        <f>$I$2021</f>
        <v>0.69650262391776252</v>
      </c>
      <c r="J2066" s="307">
        <f>$J$2021</f>
        <v>0.69650262391776252</v>
      </c>
      <c r="K2066" s="291"/>
    </row>
    <row r="2067" spans="1:11">
      <c r="A2067" s="289" t="s">
        <v>135</v>
      </c>
      <c r="B2067" s="307">
        <f>$B$2022</f>
        <v>32.66800350468322</v>
      </c>
      <c r="C2067" s="307">
        <f>$C$2022</f>
        <v>27.778048989556346</v>
      </c>
      <c r="D2067" s="307">
        <f>$D$2022</f>
        <v>27.778048989556346</v>
      </c>
      <c r="E2067" s="307">
        <f>$E$2022</f>
        <v>28.691599773425839</v>
      </c>
      <c r="F2067" s="307">
        <f>$F$2022</f>
        <v>28.691599773425839</v>
      </c>
      <c r="G2067" s="307">
        <f>$G$2022</f>
        <v>27.778048989556346</v>
      </c>
      <c r="H2067" s="307">
        <f>$H$2022</f>
        <v>28.691599773425839</v>
      </c>
      <c r="I2067" s="307">
        <f>$I$2022</f>
        <v>28.691599773425839</v>
      </c>
      <c r="J2067" s="307">
        <f>$J$2022</f>
        <v>28.691599773425839</v>
      </c>
      <c r="K2067" s="291"/>
    </row>
    <row r="2068" spans="1:11">
      <c r="A2068" s="289" t="s">
        <v>102</v>
      </c>
      <c r="B2068" s="307">
        <f>$B$1792</f>
        <v>-9.5622498106492255</v>
      </c>
      <c r="C2068" s="307">
        <f>$C$1792</f>
        <v>-8.2059616139070908</v>
      </c>
      <c r="D2068" s="307">
        <f>$D$1792</f>
        <v>-8.2059616139070908</v>
      </c>
      <c r="E2068" s="307">
        <f>$E$1792</f>
        <v>-8.3739466963558638</v>
      </c>
      <c r="F2068" s="307">
        <f>$F$1792</f>
        <v>-8.3739466963558638</v>
      </c>
      <c r="G2068" s="307">
        <f>$G$1792</f>
        <v>-8.2059616139070908</v>
      </c>
      <c r="H2068" s="307">
        <f>$H$1792</f>
        <v>-8.3739466963558638</v>
      </c>
      <c r="I2068" s="307">
        <f>$I$1792</f>
        <v>-8.3739466963558638</v>
      </c>
      <c r="J2068" s="307">
        <f>$J$1792</f>
        <v>-8.3739466963558638</v>
      </c>
      <c r="K2068" s="291"/>
    </row>
    <row r="2069" spans="1:11">
      <c r="A2069" s="289" t="s">
        <v>104</v>
      </c>
      <c r="B2069" s="307">
        <f>$B$1793</f>
        <v>-9.5622498106492255</v>
      </c>
      <c r="C2069" s="307">
        <f>$C$1793</f>
        <v>-8.2059616139070908</v>
      </c>
      <c r="D2069" s="307">
        <f>$D$1793</f>
        <v>-8.2059616139070908</v>
      </c>
      <c r="E2069" s="307">
        <f>$E$1793</f>
        <v>-8.3739466963558638</v>
      </c>
      <c r="F2069" s="307">
        <f>$F$1793</f>
        <v>-8.3739466963558638</v>
      </c>
      <c r="G2069" s="307">
        <f>$G$1793</f>
        <v>-8.2059616139070908</v>
      </c>
      <c r="H2069" s="307">
        <f>$H$1793</f>
        <v>-8.3739466963558638</v>
      </c>
      <c r="I2069" s="307">
        <f>$I$1793</f>
        <v>-8.3739466963558638</v>
      </c>
      <c r="J2069" s="307">
        <f>$J$1793</f>
        <v>-8.3739466963558638</v>
      </c>
      <c r="K2069" s="291"/>
    </row>
    <row r="2070" spans="1:11">
      <c r="A2070" s="289" t="s">
        <v>113</v>
      </c>
      <c r="B2070" s="307">
        <f>$B$1794</f>
        <v>-9.5622498106492255</v>
      </c>
      <c r="C2070" s="307">
        <f>$C$1794</f>
        <v>-8.2059616139070908</v>
      </c>
      <c r="D2070" s="307">
        <f>$D$1794</f>
        <v>-8.2059616139070908</v>
      </c>
      <c r="E2070" s="307">
        <f>$E$1794</f>
        <v>-8.3739466963558638</v>
      </c>
      <c r="F2070" s="307">
        <f>$F$1794</f>
        <v>-8.3739466963558638</v>
      </c>
      <c r="G2070" s="307">
        <f>$G$1794</f>
        <v>-8.2059616139070908</v>
      </c>
      <c r="H2070" s="307">
        <f>$H$1794</f>
        <v>-8.3739466963558638</v>
      </c>
      <c r="I2070" s="307">
        <f>$I$1794</f>
        <v>-8.3739466963558638</v>
      </c>
      <c r="J2070" s="307">
        <f>$J$1794</f>
        <v>-8.3739466963558638</v>
      </c>
      <c r="K2070" s="291"/>
    </row>
    <row r="2072" spans="1:11" ht="21" customHeight="1">
      <c r="A2072" s="1" t="s">
        <v>1718</v>
      </c>
    </row>
    <row r="2073" spans="1:11">
      <c r="A2073" s="287" t="s">
        <v>255</v>
      </c>
    </row>
    <row r="2074" spans="1:11">
      <c r="A2074" s="301" t="s">
        <v>1719</v>
      </c>
    </row>
    <row r="2075" spans="1:11">
      <c r="A2075" s="301" t="s">
        <v>1720</v>
      </c>
    </row>
    <row r="2076" spans="1:11">
      <c r="A2076" s="287" t="s">
        <v>273</v>
      </c>
    </row>
    <row r="2078" spans="1:11">
      <c r="B2078" s="288" t="s">
        <v>60</v>
      </c>
      <c r="C2078" s="288" t="s">
        <v>61</v>
      </c>
      <c r="D2078" s="288" t="s">
        <v>62</v>
      </c>
      <c r="E2078" s="288" t="s">
        <v>63</v>
      </c>
      <c r="F2078" s="288" t="s">
        <v>64</v>
      </c>
      <c r="G2078" s="288" t="s">
        <v>69</v>
      </c>
      <c r="H2078" s="288" t="s">
        <v>65</v>
      </c>
      <c r="I2078" s="288" t="s">
        <v>66</v>
      </c>
      <c r="J2078" s="288" t="s">
        <v>67</v>
      </c>
    </row>
    <row r="2079" spans="1:11">
      <c r="A2079" s="289" t="s">
        <v>93</v>
      </c>
      <c r="B2079" s="307">
        <f>$B$1803</f>
        <v>0</v>
      </c>
      <c r="C2079" s="307">
        <f>$C$1803</f>
        <v>7.09870804149937E-2</v>
      </c>
      <c r="D2079" s="307">
        <f>$D$1803</f>
        <v>7.09870804149937E-2</v>
      </c>
      <c r="E2079" s="307">
        <f>$E$1803</f>
        <v>0.15686690084523774</v>
      </c>
      <c r="F2079" s="307">
        <f>$F$1803</f>
        <v>0.15686690084523774</v>
      </c>
      <c r="G2079" s="307">
        <f>$G$1803</f>
        <v>7.09870804149937E-2</v>
      </c>
      <c r="H2079" s="307">
        <f>$H$1803</f>
        <v>0.15686690084523774</v>
      </c>
      <c r="I2079" s="307">
        <f>$I$1803</f>
        <v>0.15686690084523774</v>
      </c>
      <c r="J2079" s="307">
        <f>$J$1803</f>
        <v>0.15686690084523774</v>
      </c>
      <c r="K2079" s="291"/>
    </row>
    <row r="2080" spans="1:11">
      <c r="A2080" s="289" t="s">
        <v>95</v>
      </c>
      <c r="B2080" s="307">
        <f>$B$1804</f>
        <v>0</v>
      </c>
      <c r="C2080" s="307">
        <f>$C$1804</f>
        <v>6.7756059016726128E-2</v>
      </c>
      <c r="D2080" s="307">
        <f>$D$1804</f>
        <v>6.7756059016726128E-2</v>
      </c>
      <c r="E2080" s="307">
        <f>$E$1804</f>
        <v>0.149736709349097</v>
      </c>
      <c r="F2080" s="307">
        <f>$F$1804</f>
        <v>0.149736709349097</v>
      </c>
      <c r="G2080" s="307">
        <f>$G$1804</f>
        <v>6.7756059016726128E-2</v>
      </c>
      <c r="H2080" s="307">
        <f>$H$1804</f>
        <v>0.149736709349097</v>
      </c>
      <c r="I2080" s="307">
        <f>$I$1804</f>
        <v>0.149736709349097</v>
      </c>
      <c r="J2080" s="307">
        <f>$J$1804</f>
        <v>0.149736709349097</v>
      </c>
      <c r="K2080" s="291"/>
    </row>
    <row r="2081" spans="1:11">
      <c r="A2081" s="289" t="s">
        <v>96</v>
      </c>
      <c r="B2081" s="307">
        <f>$B$1805</f>
        <v>0</v>
      </c>
      <c r="C2081" s="307">
        <f>$C$1805</f>
        <v>4.7964349094097178E-2</v>
      </c>
      <c r="D2081" s="307">
        <f>$D$1805</f>
        <v>4.7964349094097178E-2</v>
      </c>
      <c r="E2081" s="307">
        <f>$E$1805</f>
        <v>0.10599138250882213</v>
      </c>
      <c r="F2081" s="307">
        <f>$F$1805</f>
        <v>0.10599138250882213</v>
      </c>
      <c r="G2081" s="307">
        <f>$G$1805</f>
        <v>4.7964349094097178E-2</v>
      </c>
      <c r="H2081" s="307">
        <f>$H$1805</f>
        <v>0.10599138250882213</v>
      </c>
      <c r="I2081" s="307">
        <f>$I$1805</f>
        <v>0.10599138250882213</v>
      </c>
      <c r="J2081" s="307">
        <f>$J$1805</f>
        <v>0.10599138250882213</v>
      </c>
      <c r="K2081" s="291"/>
    </row>
    <row r="2082" spans="1:11">
      <c r="A2082" s="289" t="s">
        <v>97</v>
      </c>
      <c r="B2082" s="307">
        <f>$B$1806</f>
        <v>0</v>
      </c>
      <c r="C2082" s="307">
        <f>$C$1806</f>
        <v>4.7964349094097178E-2</v>
      </c>
      <c r="D2082" s="307">
        <f>$D$1806</f>
        <v>4.7964349094097178E-2</v>
      </c>
      <c r="E2082" s="307">
        <f>$E$1806</f>
        <v>0.10599138250882213</v>
      </c>
      <c r="F2082" s="307">
        <f>$F$1806</f>
        <v>0.10599138250882213</v>
      </c>
      <c r="G2082" s="307">
        <f>$G$1806</f>
        <v>4.7964349094097178E-2</v>
      </c>
      <c r="H2082" s="307">
        <f>$H$1806</f>
        <v>0.10599138250882213</v>
      </c>
      <c r="I2082" s="307">
        <f>$I$1806</f>
        <v>0.10599138250882213</v>
      </c>
      <c r="J2082" s="307">
        <f>$J$1806</f>
        <v>0.10599138250882213</v>
      </c>
      <c r="K2082" s="291"/>
    </row>
    <row r="2083" spans="1:11">
      <c r="A2083" s="289" t="s">
        <v>110</v>
      </c>
      <c r="B2083" s="307">
        <f>$B$1807</f>
        <v>0</v>
      </c>
      <c r="C2083" s="307">
        <f>$C$1807</f>
        <v>4.7964349094097178E-2</v>
      </c>
      <c r="D2083" s="307">
        <f>$D$1807</f>
        <v>4.7964349094097178E-2</v>
      </c>
      <c r="E2083" s="307">
        <f>$E$1807</f>
        <v>0.10599138250882213</v>
      </c>
      <c r="F2083" s="307">
        <f>$F$1807</f>
        <v>0.10599138250882213</v>
      </c>
      <c r="G2083" s="307">
        <f>$G$1807</f>
        <v>4.7964349094097178E-2</v>
      </c>
      <c r="H2083" s="307">
        <f>$H$1807</f>
        <v>0.10599138250882213</v>
      </c>
      <c r="I2083" s="307">
        <f>$I$1807</f>
        <v>0.10599138250882213</v>
      </c>
      <c r="J2083" s="307">
        <f>$J$1807</f>
        <v>0.10599138250882213</v>
      </c>
      <c r="K2083" s="291"/>
    </row>
    <row r="2084" spans="1:11">
      <c r="A2084" s="289" t="s">
        <v>1536</v>
      </c>
      <c r="B2084" s="307">
        <f>$B$1808</f>
        <v>0.57979547418615907</v>
      </c>
      <c r="C2084" s="307">
        <f>$C$1808</f>
        <v>0.94961893766583583</v>
      </c>
      <c r="D2084" s="307">
        <f>$D$1808</f>
        <v>0.94961893766583583</v>
      </c>
      <c r="E2084" s="307">
        <f>$E$1808</f>
        <v>0.7516411090535362</v>
      </c>
      <c r="F2084" s="307">
        <f>$F$1808</f>
        <v>0.7516411090535362</v>
      </c>
      <c r="G2084" s="307">
        <f>$G$1808</f>
        <v>0.94961893766583583</v>
      </c>
      <c r="H2084" s="307">
        <f>$H$1808</f>
        <v>0.7516411090535362</v>
      </c>
      <c r="I2084" s="307">
        <f>$I$1808</f>
        <v>0.7516411090535362</v>
      </c>
      <c r="J2084" s="307">
        <f>$J$1808</f>
        <v>0.7516411090535362</v>
      </c>
      <c r="K2084" s="291"/>
    </row>
    <row r="2085" spans="1:11">
      <c r="A2085" s="289" t="s">
        <v>1535</v>
      </c>
      <c r="B2085" s="307">
        <f>$B$1809</f>
        <v>0.58328372779682347</v>
      </c>
      <c r="C2085" s="307">
        <f>$C$1809</f>
        <v>0.95484906040573614</v>
      </c>
      <c r="D2085" s="307">
        <f>$D$1809</f>
        <v>0.95484906040573614</v>
      </c>
      <c r="E2085" s="307">
        <f>$E$1809</f>
        <v>0.75586274409166865</v>
      </c>
      <c r="F2085" s="307">
        <f>$F$1809</f>
        <v>0.75586274409166865</v>
      </c>
      <c r="G2085" s="307">
        <f>$G$1809</f>
        <v>0.95484906040573614</v>
      </c>
      <c r="H2085" s="307">
        <f>$H$1809</f>
        <v>0.75586274409166865</v>
      </c>
      <c r="I2085" s="307">
        <f>$I$1809</f>
        <v>0.75586274409166865</v>
      </c>
      <c r="J2085" s="307">
        <f>$J$1809</f>
        <v>0.75586274409166865</v>
      </c>
      <c r="K2085" s="291"/>
    </row>
    <row r="2086" spans="1:11">
      <c r="A2086" s="289" t="s">
        <v>98</v>
      </c>
      <c r="B2086" s="307">
        <f>$B$1810</f>
        <v>0.56100897968786934</v>
      </c>
      <c r="C2086" s="307">
        <f>$C$1810</f>
        <v>0.91839869514457539</v>
      </c>
      <c r="D2086" s="307">
        <f>$D$1810</f>
        <v>0.91839869514457539</v>
      </c>
      <c r="E2086" s="307">
        <f>$E$1810</f>
        <v>0.72648623657689904</v>
      </c>
      <c r="F2086" s="307">
        <f>$F$1810</f>
        <v>0.72648623657689904</v>
      </c>
      <c r="G2086" s="307">
        <f>$G$1810</f>
        <v>0.91839869514457539</v>
      </c>
      <c r="H2086" s="307">
        <f>$H$1810</f>
        <v>0.72648623657689904</v>
      </c>
      <c r="I2086" s="307">
        <f>$I$1810</f>
        <v>0.72648623657689904</v>
      </c>
      <c r="J2086" s="307">
        <f>$J$1810</f>
        <v>0.72648623657689904</v>
      </c>
      <c r="K2086" s="291"/>
    </row>
    <row r="2087" spans="1:11">
      <c r="A2087" s="289" t="s">
        <v>99</v>
      </c>
      <c r="B2087" s="307">
        <f>$B$1811</f>
        <v>0.60134974144240061</v>
      </c>
      <c r="C2087" s="307">
        <f>$C$1811</f>
        <v>0.98443846330855878</v>
      </c>
      <c r="D2087" s="307">
        <f>$D$1811</f>
        <v>0.98443846330855878</v>
      </c>
      <c r="E2087" s="307">
        <f>$E$1811</f>
        <v>0.77872605670241712</v>
      </c>
      <c r="F2087" s="307">
        <f>$F$1811</f>
        <v>0.77872605670241712</v>
      </c>
      <c r="G2087" s="307">
        <f>$G$1811</f>
        <v>0.98443846330855878</v>
      </c>
      <c r="H2087" s="307">
        <f>$H$1811</f>
        <v>0.77872605670241712</v>
      </c>
      <c r="I2087" s="307">
        <f>$I$1811</f>
        <v>0.77872605670241712</v>
      </c>
      <c r="J2087" s="307">
        <f>$J$1811</f>
        <v>0.77872605670241712</v>
      </c>
      <c r="K2087" s="291"/>
    </row>
    <row r="2088" spans="1:11">
      <c r="A2088" s="289" t="s">
        <v>111</v>
      </c>
      <c r="B2088" s="307">
        <f>$B$1812</f>
        <v>0.50544928077977869</v>
      </c>
      <c r="C2088" s="307">
        <f>$C$1812</f>
        <v>0.82744479453463238</v>
      </c>
      <c r="D2088" s="307">
        <f>$D$1812</f>
        <v>0.82744479453463238</v>
      </c>
      <c r="E2088" s="307">
        <f>$E$1812</f>
        <v>0.65453844603076283</v>
      </c>
      <c r="F2088" s="307">
        <f>$F$1812</f>
        <v>0.65453844603076283</v>
      </c>
      <c r="G2088" s="307">
        <f>$G$1812</f>
        <v>0.82744479453463238</v>
      </c>
      <c r="H2088" s="307">
        <f>$H$1812</f>
        <v>0.65453844603076283</v>
      </c>
      <c r="I2088" s="307">
        <f>$I$1812</f>
        <v>0.65453844603076283</v>
      </c>
      <c r="J2088" s="307">
        <f>$J$1812</f>
        <v>0.65453844603076283</v>
      </c>
      <c r="K2088" s="291"/>
    </row>
    <row r="2089" spans="1:11">
      <c r="A2089" s="289" t="s">
        <v>135</v>
      </c>
      <c r="B2089" s="307">
        <f>$B$2031</f>
        <v>0.46227268555776091</v>
      </c>
      <c r="C2089" s="307">
        <f>$C$2031</f>
        <v>0.76136026648565847</v>
      </c>
      <c r="D2089" s="307">
        <f>$D$2031</f>
        <v>0.76136026648565847</v>
      </c>
      <c r="E2089" s="307">
        <f>$E$2031</f>
        <v>0.58361951837866755</v>
      </c>
      <c r="F2089" s="307">
        <f>$F$2031</f>
        <v>0.58361951837866755</v>
      </c>
      <c r="G2089" s="307">
        <f>$G$2031</f>
        <v>0.76136026648565847</v>
      </c>
      <c r="H2089" s="307">
        <f>$H$2031</f>
        <v>0.58361951837866755</v>
      </c>
      <c r="I2089" s="307">
        <f>$I$2031</f>
        <v>0.58361951837866755</v>
      </c>
      <c r="J2089" s="307">
        <f>$J$2031</f>
        <v>0.58361951837866755</v>
      </c>
      <c r="K2089" s="291"/>
    </row>
    <row r="2090" spans="1:11">
      <c r="A2090" s="289" t="s">
        <v>102</v>
      </c>
      <c r="B2090" s="307">
        <f>$B$1813</f>
        <v>-0.46442561512923047</v>
      </c>
      <c r="C2090" s="307">
        <f>$C$1813</f>
        <v>-0.7602870798319683</v>
      </c>
      <c r="D2090" s="307">
        <f>$D$1813</f>
        <v>-0.7602870798319683</v>
      </c>
      <c r="E2090" s="307">
        <f>$E$1813</f>
        <v>-0.60141429018278081</v>
      </c>
      <c r="F2090" s="307">
        <f>$F$1813</f>
        <v>-0.60141429018278081</v>
      </c>
      <c r="G2090" s="307">
        <f>$G$1813</f>
        <v>-0.7602870798319683</v>
      </c>
      <c r="H2090" s="307">
        <f>$H$1813</f>
        <v>-0.60141429018278081</v>
      </c>
      <c r="I2090" s="307">
        <f>$I$1813</f>
        <v>-0.60141429018278081</v>
      </c>
      <c r="J2090" s="307">
        <f>$J$1813</f>
        <v>-0.60141429018278081</v>
      </c>
      <c r="K2090" s="291"/>
    </row>
    <row r="2091" spans="1:11">
      <c r="A2091" s="289" t="s">
        <v>104</v>
      </c>
      <c r="B2091" s="307">
        <f>$B$1814</f>
        <v>-0.46442561512923047</v>
      </c>
      <c r="C2091" s="307">
        <f>$C$1814</f>
        <v>-0.7602870798319683</v>
      </c>
      <c r="D2091" s="307">
        <f>$D$1814</f>
        <v>-0.7602870798319683</v>
      </c>
      <c r="E2091" s="307">
        <f>$E$1814</f>
        <v>-0.60141429018278081</v>
      </c>
      <c r="F2091" s="307">
        <f>$F$1814</f>
        <v>-0.60141429018278081</v>
      </c>
      <c r="G2091" s="307">
        <f>$G$1814</f>
        <v>-0.7602870798319683</v>
      </c>
      <c r="H2091" s="307">
        <f>$H$1814</f>
        <v>-0.60141429018278081</v>
      </c>
      <c r="I2091" s="307">
        <f>$I$1814</f>
        <v>-0.60141429018278081</v>
      </c>
      <c r="J2091" s="307">
        <f>$J$1814</f>
        <v>-0.60141429018278081</v>
      </c>
      <c r="K2091" s="291"/>
    </row>
    <row r="2092" spans="1:11">
      <c r="A2092" s="289" t="s">
        <v>113</v>
      </c>
      <c r="B2092" s="307">
        <f>$B$1815</f>
        <v>-0.46442561512923047</v>
      </c>
      <c r="C2092" s="307">
        <f>$C$1815</f>
        <v>-0.7602870798319683</v>
      </c>
      <c r="D2092" s="307">
        <f>$D$1815</f>
        <v>-0.7602870798319683</v>
      </c>
      <c r="E2092" s="307">
        <f>$E$1815</f>
        <v>-0.60141429018278081</v>
      </c>
      <c r="F2092" s="307">
        <f>$F$1815</f>
        <v>-0.60141429018278081</v>
      </c>
      <c r="G2092" s="307">
        <f>$G$1815</f>
        <v>-0.7602870798319683</v>
      </c>
      <c r="H2092" s="307">
        <f>$H$1815</f>
        <v>-0.60141429018278081</v>
      </c>
      <c r="I2092" s="307">
        <f>$I$1815</f>
        <v>-0.60141429018278081</v>
      </c>
      <c r="J2092" s="307">
        <f>$J$1815</f>
        <v>-0.60141429018278081</v>
      </c>
      <c r="K2092" s="291"/>
    </row>
    <row r="2094" spans="1:11" ht="21" customHeight="1">
      <c r="A2094" s="1" t="s">
        <v>1721</v>
      </c>
    </row>
    <row r="2095" spans="1:11">
      <c r="A2095" s="287" t="s">
        <v>255</v>
      </c>
    </row>
    <row r="2096" spans="1:11">
      <c r="A2096" s="301" t="s">
        <v>1722</v>
      </c>
    </row>
    <row r="2097" spans="1:11">
      <c r="A2097" s="301" t="s">
        <v>1723</v>
      </c>
    </row>
    <row r="2098" spans="1:11">
      <c r="A2098" s="287" t="s">
        <v>273</v>
      </c>
    </row>
    <row r="2100" spans="1:11">
      <c r="B2100" s="288" t="s">
        <v>60</v>
      </c>
      <c r="C2100" s="288" t="s">
        <v>61</v>
      </c>
      <c r="D2100" s="288" t="s">
        <v>62</v>
      </c>
      <c r="E2100" s="288" t="s">
        <v>63</v>
      </c>
      <c r="F2100" s="288" t="s">
        <v>64</v>
      </c>
      <c r="G2100" s="288" t="s">
        <v>69</v>
      </c>
      <c r="H2100" s="288" t="s">
        <v>65</v>
      </c>
      <c r="I2100" s="288" t="s">
        <v>66</v>
      </c>
      <c r="J2100" s="288" t="s">
        <v>67</v>
      </c>
    </row>
    <row r="2101" spans="1:11">
      <c r="A2101" s="289" t="s">
        <v>1536</v>
      </c>
      <c r="B2101" s="307">
        <f>$B$1824</f>
        <v>0</v>
      </c>
      <c r="C2101" s="307">
        <f>$C$1824</f>
        <v>5.9908757416522754E-2</v>
      </c>
      <c r="D2101" s="307">
        <f>$D$1824</f>
        <v>5.9908757416522754E-2</v>
      </c>
      <c r="E2101" s="307">
        <f>$E$1824</f>
        <v>0.13246688946289628</v>
      </c>
      <c r="F2101" s="307">
        <f>$F$1824</f>
        <v>0.13246688946289628</v>
      </c>
      <c r="G2101" s="307">
        <f>$G$1824</f>
        <v>5.9908757416522754E-2</v>
      </c>
      <c r="H2101" s="307">
        <f>$H$1824</f>
        <v>0.13246688946289628</v>
      </c>
      <c r="I2101" s="307">
        <f>$I$1824</f>
        <v>0.13246688946289628</v>
      </c>
      <c r="J2101" s="307">
        <f>$J$1824</f>
        <v>0.13246688946289628</v>
      </c>
      <c r="K2101" s="291"/>
    </row>
    <row r="2102" spans="1:11">
      <c r="A2102" s="289" t="s">
        <v>1535</v>
      </c>
      <c r="B2102" s="307">
        <f>$B$1825</f>
        <v>0</v>
      </c>
      <c r="C2102" s="307">
        <f>$C$1825</f>
        <v>6.0238710982164032E-2</v>
      </c>
      <c r="D2102" s="307">
        <f>$D$1825</f>
        <v>6.0238710982164032E-2</v>
      </c>
      <c r="E2102" s="307">
        <f>$E$1825</f>
        <v>0.13321089728153881</v>
      </c>
      <c r="F2102" s="307">
        <f>$F$1825</f>
        <v>0.13321089728153881</v>
      </c>
      <c r="G2102" s="307">
        <f>$G$1825</f>
        <v>6.0238710982164032E-2</v>
      </c>
      <c r="H2102" s="307">
        <f>$H$1825</f>
        <v>0.13321089728153881</v>
      </c>
      <c r="I2102" s="307">
        <f>$I$1825</f>
        <v>0.13321089728153881</v>
      </c>
      <c r="J2102" s="307">
        <f>$J$1825</f>
        <v>0.13321089728153881</v>
      </c>
      <c r="K2102" s="291"/>
    </row>
    <row r="2103" spans="1:11">
      <c r="A2103" s="289" t="s">
        <v>98</v>
      </c>
      <c r="B2103" s="307">
        <f>$B$1826</f>
        <v>0</v>
      </c>
      <c r="C2103" s="307">
        <f>$C$1826</f>
        <v>5.7939161127416997E-2</v>
      </c>
      <c r="D2103" s="307">
        <f>$D$1826</f>
        <v>5.7939161127416997E-2</v>
      </c>
      <c r="E2103" s="307">
        <f>$E$1826</f>
        <v>0.12803367303596108</v>
      </c>
      <c r="F2103" s="307">
        <f>$F$1826</f>
        <v>0.12803367303596108</v>
      </c>
      <c r="G2103" s="307">
        <f>$G$1826</f>
        <v>5.7939161127416997E-2</v>
      </c>
      <c r="H2103" s="307">
        <f>$H$1826</f>
        <v>0.12803367303596108</v>
      </c>
      <c r="I2103" s="307">
        <f>$I$1826</f>
        <v>0.12803367303596108</v>
      </c>
      <c r="J2103" s="307">
        <f>$J$1826</f>
        <v>0.12803367303596108</v>
      </c>
      <c r="K2103" s="291"/>
    </row>
    <row r="2104" spans="1:11">
      <c r="A2104" s="289" t="s">
        <v>99</v>
      </c>
      <c r="B2104" s="307">
        <f>$B$1827</f>
        <v>0</v>
      </c>
      <c r="C2104" s="307">
        <f>$C$1827</f>
        <v>6.2105422238957396E-2</v>
      </c>
      <c r="D2104" s="307">
        <f>$D$1827</f>
        <v>6.2105422238957396E-2</v>
      </c>
      <c r="E2104" s="307">
        <f>$E$1827</f>
        <v>0.13724025633053669</v>
      </c>
      <c r="F2104" s="307">
        <f>$F$1827</f>
        <v>0.13724025633053669</v>
      </c>
      <c r="G2104" s="307">
        <f>$G$1827</f>
        <v>6.2105422238957396E-2</v>
      </c>
      <c r="H2104" s="307">
        <f>$H$1827</f>
        <v>0.13724025633053669</v>
      </c>
      <c r="I2104" s="307">
        <f>$I$1827</f>
        <v>0.13724025633053669</v>
      </c>
      <c r="J2104" s="307">
        <f>$J$1827</f>
        <v>0.13724025633053669</v>
      </c>
      <c r="K2104" s="291"/>
    </row>
    <row r="2105" spans="1:11">
      <c r="A2105" s="289" t="s">
        <v>111</v>
      </c>
      <c r="B2105" s="307">
        <f>$B$1828</f>
        <v>0</v>
      </c>
      <c r="C2105" s="307">
        <f>$C$1828</f>
        <v>5.2201138272564208E-2</v>
      </c>
      <c r="D2105" s="307">
        <f>$D$1828</f>
        <v>5.2201138272564208E-2</v>
      </c>
      <c r="E2105" s="307">
        <f>$E$1828</f>
        <v>0.11535381837849602</v>
      </c>
      <c r="F2105" s="307">
        <f>$F$1828</f>
        <v>0.11535381837849602</v>
      </c>
      <c r="G2105" s="307">
        <f>$G$1828</f>
        <v>5.2201138272564208E-2</v>
      </c>
      <c r="H2105" s="307">
        <f>$H$1828</f>
        <v>0.11535381837849602</v>
      </c>
      <c r="I2105" s="307">
        <f>$I$1828</f>
        <v>0.11535381837849602</v>
      </c>
      <c r="J2105" s="307">
        <f>$J$1828</f>
        <v>0.11535381837849602</v>
      </c>
      <c r="K2105" s="291"/>
    </row>
    <row r="2106" spans="1:11">
      <c r="A2106" s="289" t="s">
        <v>135</v>
      </c>
      <c r="B2106" s="307">
        <f>$B$2040</f>
        <v>0</v>
      </c>
      <c r="C2106" s="307">
        <f>$C$2040</f>
        <v>5.4413781988481708E-2</v>
      </c>
      <c r="D2106" s="307">
        <f>$D$2040</f>
        <v>5.4413781988481708E-2</v>
      </c>
      <c r="E2106" s="307">
        <f>$E$2040</f>
        <v>0.12024330756950885</v>
      </c>
      <c r="F2106" s="307">
        <f>$F$2040</f>
        <v>0.12024330756950885</v>
      </c>
      <c r="G2106" s="307">
        <f>$G$2040</f>
        <v>5.4413781988481708E-2</v>
      </c>
      <c r="H2106" s="307">
        <f>$H$2040</f>
        <v>0.12024330756950885</v>
      </c>
      <c r="I2106" s="307">
        <f>$I$2040</f>
        <v>0.12024330756950885</v>
      </c>
      <c r="J2106" s="307">
        <f>$J$2040</f>
        <v>0.12024330756950885</v>
      </c>
      <c r="K2106" s="291"/>
    </row>
    <row r="2107" spans="1:11">
      <c r="A2107" s="289" t="s">
        <v>102</v>
      </c>
      <c r="B2107" s="307">
        <f>$B$1829</f>
        <v>0</v>
      </c>
      <c r="C2107" s="307">
        <f>$C$1829</f>
        <v>-4.7964349094097178E-2</v>
      </c>
      <c r="D2107" s="307">
        <f>$D$1829</f>
        <v>-4.7964349094097178E-2</v>
      </c>
      <c r="E2107" s="307">
        <f>$E$1829</f>
        <v>-0.10599138250882213</v>
      </c>
      <c r="F2107" s="307">
        <f>$F$1829</f>
        <v>-0.10599138250882213</v>
      </c>
      <c r="G2107" s="307">
        <f>$G$1829</f>
        <v>-4.7964349094097178E-2</v>
      </c>
      <c r="H2107" s="307">
        <f>$H$1829</f>
        <v>-0.10599138250882213</v>
      </c>
      <c r="I2107" s="307">
        <f>$I$1829</f>
        <v>-0.10599138250882213</v>
      </c>
      <c r="J2107" s="307">
        <f>$J$1829</f>
        <v>-0.10599138250882213</v>
      </c>
      <c r="K2107" s="291"/>
    </row>
    <row r="2108" spans="1:11">
      <c r="A2108" s="289" t="s">
        <v>104</v>
      </c>
      <c r="B2108" s="307">
        <f>$B$1830</f>
        <v>0</v>
      </c>
      <c r="C2108" s="307">
        <f>$C$1830</f>
        <v>-4.7964349094097178E-2</v>
      </c>
      <c r="D2108" s="307">
        <f>$D$1830</f>
        <v>-4.7964349094097178E-2</v>
      </c>
      <c r="E2108" s="307">
        <f>$E$1830</f>
        <v>-0.10599138250882213</v>
      </c>
      <c r="F2108" s="307">
        <f>$F$1830</f>
        <v>-0.10599138250882213</v>
      </c>
      <c r="G2108" s="307">
        <f>$G$1830</f>
        <v>-4.7964349094097178E-2</v>
      </c>
      <c r="H2108" s="307">
        <f>$H$1830</f>
        <v>-0.10599138250882213</v>
      </c>
      <c r="I2108" s="307">
        <f>$I$1830</f>
        <v>-0.10599138250882213</v>
      </c>
      <c r="J2108" s="307">
        <f>$J$1830</f>
        <v>-0.10599138250882213</v>
      </c>
      <c r="K2108" s="291"/>
    </row>
    <row r="2109" spans="1:11">
      <c r="A2109" s="289" t="s">
        <v>113</v>
      </c>
      <c r="B2109" s="307">
        <f>$B$1831</f>
        <v>0</v>
      </c>
      <c r="C2109" s="307">
        <f>$C$1831</f>
        <v>-4.7964349094097178E-2</v>
      </c>
      <c r="D2109" s="307">
        <f>$D$1831</f>
        <v>-4.7964349094097178E-2</v>
      </c>
      <c r="E2109" s="307">
        <f>$E$1831</f>
        <v>-0.10599138250882213</v>
      </c>
      <c r="F2109" s="307">
        <f>$F$1831</f>
        <v>-0.10599138250882213</v>
      </c>
      <c r="G2109" s="307">
        <f>$G$1831</f>
        <v>-4.7964349094097178E-2</v>
      </c>
      <c r="H2109" s="307">
        <f>$H$1831</f>
        <v>-0.10599138250882213</v>
      </c>
      <c r="I2109" s="307">
        <f>$I$1831</f>
        <v>-0.10599138250882213</v>
      </c>
      <c r="J2109" s="307">
        <f>$J$1831</f>
        <v>-0.10599138250882213</v>
      </c>
      <c r="K2109" s="291"/>
    </row>
    <row r="2111" spans="1:11" ht="21" customHeight="1">
      <c r="A2111" s="1" t="str">
        <f>"Forecast simultaneous maximum load for "&amp;CDCM!B7&amp;" in "&amp;CDCM!C7&amp;" ("&amp;CDCM!D7&amp;")"</f>
        <v>Forecast simultaneous maximum load for West Mids in 0 (Forecast)</v>
      </c>
    </row>
    <row r="2113" spans="1:11" ht="21" customHeight="1">
      <c r="A2113" s="1" t="s">
        <v>539</v>
      </c>
    </row>
    <row r="2114" spans="1:11">
      <c r="A2114" s="287" t="s">
        <v>255</v>
      </c>
    </row>
    <row r="2115" spans="1:11">
      <c r="A2115" s="301" t="s">
        <v>464</v>
      </c>
    </row>
    <row r="2116" spans="1:11">
      <c r="A2116" s="301" t="s">
        <v>1724</v>
      </c>
    </row>
    <row r="2117" spans="1:11">
      <c r="A2117" s="301" t="s">
        <v>540</v>
      </c>
    </row>
    <row r="2118" spans="1:11">
      <c r="A2118" s="301" t="s">
        <v>448</v>
      </c>
    </row>
    <row r="2119" spans="1:11">
      <c r="A2119" s="287" t="s">
        <v>541</v>
      </c>
    </row>
    <row r="2121" spans="1:11">
      <c r="B2121" s="288" t="s">
        <v>60</v>
      </c>
      <c r="C2121" s="288" t="s">
        <v>61</v>
      </c>
      <c r="D2121" s="288" t="s">
        <v>62</v>
      </c>
      <c r="E2121" s="288" t="s">
        <v>63</v>
      </c>
      <c r="F2121" s="288" t="s">
        <v>64</v>
      </c>
      <c r="G2121" s="288" t="s">
        <v>69</v>
      </c>
      <c r="H2121" s="288" t="s">
        <v>65</v>
      </c>
      <c r="I2121" s="288" t="s">
        <v>66</v>
      </c>
      <c r="J2121" s="288" t="s">
        <v>67</v>
      </c>
    </row>
    <row r="2122" spans="1:11">
      <c r="A2122" s="289" t="s">
        <v>92</v>
      </c>
      <c r="B2122" s="312">
        <f t="shared" ref="B2122:J2122" si="227">($B$1170*B$2049)*B$570/(24*$F$14)*1000</f>
        <v>1758210.9372496782</v>
      </c>
      <c r="C2122" s="312">
        <f t="shared" si="227"/>
        <v>1689531.9121982723</v>
      </c>
      <c r="D2122" s="312">
        <f t="shared" si="227"/>
        <v>516841.13285779371</v>
      </c>
      <c r="E2122" s="312">
        <f t="shared" si="227"/>
        <v>507022.34375478147</v>
      </c>
      <c r="F2122" s="312">
        <f t="shared" si="227"/>
        <v>503552.98265382013</v>
      </c>
      <c r="G2122" s="312">
        <f t="shared" si="227"/>
        <v>1146091.8428493363</v>
      </c>
      <c r="H2122" s="312">
        <f t="shared" si="227"/>
        <v>1594283.9386153973</v>
      </c>
      <c r="I2122" s="312">
        <f t="shared" si="227"/>
        <v>1565974.2238175538</v>
      </c>
      <c r="J2122" s="312">
        <f t="shared" si="227"/>
        <v>1541483.3665913364</v>
      </c>
      <c r="K2122" s="291"/>
    </row>
    <row r="2123" spans="1:11">
      <c r="A2123" s="289" t="s">
        <v>129</v>
      </c>
      <c r="B2123" s="312">
        <f t="shared" ref="B2123:J2123" si="228">($B$1172*B$2051)*B$572/(24*$F$14)*1000</f>
        <v>555.89748253101789</v>
      </c>
      <c r="C2123" s="312">
        <f t="shared" si="228"/>
        <v>983.28120975865579</v>
      </c>
      <c r="D2123" s="312">
        <f t="shared" si="228"/>
        <v>300.79347463062686</v>
      </c>
      <c r="E2123" s="312">
        <f t="shared" si="228"/>
        <v>315.74018893526295</v>
      </c>
      <c r="F2123" s="312">
        <f t="shared" si="228"/>
        <v>313.57969888389761</v>
      </c>
      <c r="G2123" s="312">
        <f t="shared" si="228"/>
        <v>667.00756913502642</v>
      </c>
      <c r="H2123" s="312">
        <f t="shared" si="228"/>
        <v>992.81524413120837</v>
      </c>
      <c r="I2123" s="312">
        <f t="shared" si="228"/>
        <v>975.18581456252343</v>
      </c>
      <c r="J2123" s="312">
        <f t="shared" si="228"/>
        <v>959.93451847460904</v>
      </c>
      <c r="K2123" s="291"/>
    </row>
    <row r="2124" spans="1:11">
      <c r="A2124" s="289" t="s">
        <v>94</v>
      </c>
      <c r="B2124" s="312">
        <f t="shared" ref="B2124:J2124" si="229">($B$1173*B$2052)*B$573/(24*$F$14)*1000</f>
        <v>373708.98090410582</v>
      </c>
      <c r="C2124" s="312">
        <f t="shared" si="229"/>
        <v>374823.75967884337</v>
      </c>
      <c r="D2124" s="312">
        <f t="shared" si="229"/>
        <v>114661.54333976061</v>
      </c>
      <c r="E2124" s="312">
        <f t="shared" si="229"/>
        <v>109648.24283024298</v>
      </c>
      <c r="F2124" s="312">
        <f t="shared" si="229"/>
        <v>108897.9615987555</v>
      </c>
      <c r="G2124" s="312">
        <f t="shared" si="229"/>
        <v>254261.22488275875</v>
      </c>
      <c r="H2124" s="312">
        <f t="shared" si="229"/>
        <v>344778.55777930637</v>
      </c>
      <c r="I2124" s="312">
        <f t="shared" si="229"/>
        <v>338656.32170658978</v>
      </c>
      <c r="J2124" s="312">
        <f t="shared" si="229"/>
        <v>333359.94869001937</v>
      </c>
      <c r="K2124" s="291"/>
    </row>
    <row r="2125" spans="1:11">
      <c r="A2125" s="289" t="s">
        <v>130</v>
      </c>
      <c r="B2125" s="312">
        <f t="shared" ref="B2125:J2125" si="230">($B$1175*B$2054)*B$575/(24*$F$14)*1000</f>
        <v>238.70645571394479</v>
      </c>
      <c r="C2125" s="312">
        <f t="shared" si="230"/>
        <v>289.84368650436767</v>
      </c>
      <c r="D2125" s="312">
        <f t="shared" si="230"/>
        <v>88.665468940261547</v>
      </c>
      <c r="E2125" s="312">
        <f t="shared" si="230"/>
        <v>93.610351728194445</v>
      </c>
      <c r="F2125" s="312">
        <f t="shared" si="230"/>
        <v>92.96981168704356</v>
      </c>
      <c r="G2125" s="312">
        <f t="shared" si="230"/>
        <v>196.61509936904505</v>
      </c>
      <c r="H2125" s="312">
        <f t="shared" si="230"/>
        <v>294.34892187035115</v>
      </c>
      <c r="I2125" s="312">
        <f t="shared" si="230"/>
        <v>289.12216531377487</v>
      </c>
      <c r="J2125" s="312">
        <f t="shared" si="230"/>
        <v>284.60047551585939</v>
      </c>
      <c r="K2125" s="291"/>
    </row>
    <row r="2126" spans="1:11">
      <c r="A2126" s="289" t="s">
        <v>131</v>
      </c>
      <c r="B2126" s="312">
        <f t="shared" ref="B2126:J2126" si="231">($B$1184*B$2063)*B$584/(24*$F$14)*1000</f>
        <v>7545.3752437545145</v>
      </c>
      <c r="C2126" s="312">
        <f t="shared" si="231"/>
        <v>7533.4229760428416</v>
      </c>
      <c r="D2126" s="312">
        <f t="shared" si="231"/>
        <v>2304.5334847620147</v>
      </c>
      <c r="E2126" s="312">
        <f t="shared" si="231"/>
        <v>2284.1204109508076</v>
      </c>
      <c r="F2126" s="312">
        <f t="shared" si="231"/>
        <v>2268.4910435249467</v>
      </c>
      <c r="G2126" s="312">
        <f t="shared" si="231"/>
        <v>5110.2879793153279</v>
      </c>
      <c r="H2126" s="312">
        <f t="shared" si="231"/>
        <v>7182.2011986195284</v>
      </c>
      <c r="I2126" s="312">
        <f t="shared" si="231"/>
        <v>7054.6667848122661</v>
      </c>
      <c r="J2126" s="312">
        <f t="shared" si="231"/>
        <v>6944.336209520814</v>
      </c>
      <c r="K2126" s="291"/>
    </row>
    <row r="2127" spans="1:11">
      <c r="A2127" s="289" t="s">
        <v>132</v>
      </c>
      <c r="B2127" s="312">
        <f t="shared" ref="B2127:J2127" si="232">($B$1185*B$2064)*B$585/(24*$F$14)*1000</f>
        <v>3364.5842000499479</v>
      </c>
      <c r="C2127" s="312">
        <f t="shared" si="232"/>
        <v>3018.2771801940407</v>
      </c>
      <c r="D2127" s="312">
        <f t="shared" si="232"/>
        <v>923.31478667403076</v>
      </c>
      <c r="E2127" s="312">
        <f t="shared" si="232"/>
        <v>968.37690769429298</v>
      </c>
      <c r="F2127" s="312">
        <f t="shared" si="232"/>
        <v>961.75067274428307</v>
      </c>
      <c r="G2127" s="312">
        <f t="shared" si="232"/>
        <v>2047.4445204043795</v>
      </c>
      <c r="H2127" s="312">
        <f t="shared" si="232"/>
        <v>3044.969850894262</v>
      </c>
      <c r="I2127" s="312">
        <f t="shared" si="232"/>
        <v>2990.9002927942706</v>
      </c>
      <c r="J2127" s="312">
        <f t="shared" si="232"/>
        <v>2944.1244832473503</v>
      </c>
      <c r="K2127" s="291"/>
    </row>
    <row r="2128" spans="1:11">
      <c r="A2128" s="289" t="s">
        <v>133</v>
      </c>
      <c r="B2128" s="312">
        <f t="shared" ref="B2128:J2128" si="233">($B$1186*B$2065)*B$586/(24*$F$14)*1000</f>
        <v>290.968888679994</v>
      </c>
      <c r="C2128" s="312">
        <f t="shared" si="233"/>
        <v>256.3429597954734</v>
      </c>
      <c r="D2128" s="312">
        <f t="shared" si="233"/>
        <v>78.417332507457473</v>
      </c>
      <c r="E2128" s="312">
        <f t="shared" si="233"/>
        <v>80.8083382370301</v>
      </c>
      <c r="F2128" s="312">
        <f t="shared" si="233"/>
        <v>80.255397506180458</v>
      </c>
      <c r="G2128" s="312">
        <f t="shared" si="233"/>
        <v>173.88992363641717</v>
      </c>
      <c r="H2128" s="312">
        <f t="shared" si="233"/>
        <v>254.09419790739278</v>
      </c>
      <c r="I2128" s="312">
        <f t="shared" si="233"/>
        <v>249.58224486043906</v>
      </c>
      <c r="J2128" s="312">
        <f t="shared" si="233"/>
        <v>245.6789346832289</v>
      </c>
      <c r="K2128" s="291"/>
    </row>
    <row r="2129" spans="1:11">
      <c r="A2129" s="289" t="s">
        <v>134</v>
      </c>
      <c r="B2129" s="312">
        <f t="shared" ref="B2129:J2129" si="234">($B$1187*B$2066)*B$587/(24*$F$14)*1000</f>
        <v>368.20459015897336</v>
      </c>
      <c r="C2129" s="312">
        <f t="shared" si="234"/>
        <v>463.55527327611867</v>
      </c>
      <c r="D2129" s="312">
        <f t="shared" si="234"/>
        <v>141.80521294238642</v>
      </c>
      <c r="E2129" s="312">
        <f t="shared" si="234"/>
        <v>125.98138737785747</v>
      </c>
      <c r="F2129" s="312">
        <f t="shared" si="234"/>
        <v>125.11934464897672</v>
      </c>
      <c r="G2129" s="312">
        <f t="shared" si="234"/>
        <v>314.4521352782873</v>
      </c>
      <c r="H2129" s="312">
        <f t="shared" si="234"/>
        <v>396.13659030013628</v>
      </c>
      <c r="I2129" s="312">
        <f t="shared" si="234"/>
        <v>389.1023891639656</v>
      </c>
      <c r="J2129" s="312">
        <f t="shared" si="234"/>
        <v>383.01707121015937</v>
      </c>
      <c r="K2129" s="291"/>
    </row>
    <row r="2131" spans="1:11" ht="21" customHeight="1">
      <c r="A2131" s="1" t="s">
        <v>542</v>
      </c>
    </row>
    <row r="2132" spans="1:11">
      <c r="A2132" s="287" t="s">
        <v>255</v>
      </c>
    </row>
    <row r="2133" spans="1:11">
      <c r="A2133" s="301" t="s">
        <v>464</v>
      </c>
    </row>
    <row r="2134" spans="1:11">
      <c r="A2134" s="301" t="s">
        <v>1724</v>
      </c>
    </row>
    <row r="2135" spans="1:11">
      <c r="A2135" s="301" t="s">
        <v>543</v>
      </c>
    </row>
    <row r="2136" spans="1:11">
      <c r="A2136" s="301" t="s">
        <v>1725</v>
      </c>
    </row>
    <row r="2137" spans="1:11">
      <c r="A2137" s="301" t="s">
        <v>544</v>
      </c>
    </row>
    <row r="2138" spans="1:11">
      <c r="A2138" s="301" t="s">
        <v>513</v>
      </c>
    </row>
    <row r="2139" spans="1:11">
      <c r="A2139" s="287" t="s">
        <v>545</v>
      </c>
    </row>
    <row r="2141" spans="1:11">
      <c r="B2141" s="288" t="s">
        <v>60</v>
      </c>
      <c r="C2141" s="288" t="s">
        <v>61</v>
      </c>
      <c r="D2141" s="288" t="s">
        <v>62</v>
      </c>
      <c r="E2141" s="288" t="s">
        <v>63</v>
      </c>
      <c r="F2141" s="288" t="s">
        <v>64</v>
      </c>
      <c r="G2141" s="288" t="s">
        <v>69</v>
      </c>
      <c r="H2141" s="288" t="s">
        <v>65</v>
      </c>
      <c r="I2141" s="288" t="s">
        <v>66</v>
      </c>
      <c r="J2141" s="288" t="s">
        <v>67</v>
      </c>
    </row>
    <row r="2142" spans="1:11">
      <c r="A2142" s="289" t="s">
        <v>93</v>
      </c>
      <c r="B2142" s="312">
        <f t="shared" ref="B2142:J2142" si="235">($B$1171*B$2050+$C$1171*B$2079)*B$571/(24*$F$14)*1000</f>
        <v>276583.00427776924</v>
      </c>
      <c r="C2142" s="312">
        <f t="shared" si="235"/>
        <v>272646.7940757756</v>
      </c>
      <c r="D2142" s="312">
        <f t="shared" si="235"/>
        <v>83404.803959472396</v>
      </c>
      <c r="E2142" s="312">
        <f t="shared" si="235"/>
        <v>84165.511872371717</v>
      </c>
      <c r="F2142" s="312">
        <f t="shared" si="235"/>
        <v>83589.599278914655</v>
      </c>
      <c r="G2142" s="312">
        <f t="shared" si="235"/>
        <v>184949.60906817057</v>
      </c>
      <c r="H2142" s="312">
        <f t="shared" si="235"/>
        <v>264650.51376190042</v>
      </c>
      <c r="I2142" s="312">
        <f t="shared" si="235"/>
        <v>259951.11211566103</v>
      </c>
      <c r="J2142" s="312">
        <f t="shared" si="235"/>
        <v>255885.63934108309</v>
      </c>
      <c r="K2142" s="291"/>
    </row>
    <row r="2143" spans="1:11">
      <c r="A2143" s="289" t="s">
        <v>95</v>
      </c>
      <c r="B2143" s="312">
        <f t="shared" ref="B2143:J2143" si="236">($B$1174*B$2053+$C$1174*B$2080)*B$574/(24*$F$14)*1000</f>
        <v>133632.76164962718</v>
      </c>
      <c r="C2143" s="312">
        <f t="shared" si="236"/>
        <v>134830.50366679145</v>
      </c>
      <c r="D2143" s="312">
        <f t="shared" si="236"/>
        <v>41245.714126975021</v>
      </c>
      <c r="E2143" s="312">
        <f t="shared" si="236"/>
        <v>40344.970868242039</v>
      </c>
      <c r="F2143" s="312">
        <f t="shared" si="236"/>
        <v>40068.905573933444</v>
      </c>
      <c r="G2143" s="312">
        <f t="shared" si="236"/>
        <v>91462.102197713801</v>
      </c>
      <c r="H2143" s="312">
        <f t="shared" si="236"/>
        <v>126860.95563917205</v>
      </c>
      <c r="I2143" s="312">
        <f t="shared" si="236"/>
        <v>124608.28446427088</v>
      </c>
      <c r="J2143" s="312">
        <f t="shared" si="236"/>
        <v>122659.48884707438</v>
      </c>
      <c r="K2143" s="291"/>
    </row>
    <row r="2144" spans="1:11">
      <c r="A2144" s="289" t="s">
        <v>96</v>
      </c>
      <c r="B2144" s="312">
        <f t="shared" ref="B2144:J2144" si="237">($B$1176*B$2055+$C$1176*B$2081)*B$576/(24*$F$14)*1000</f>
        <v>0</v>
      </c>
      <c r="C2144" s="312">
        <f t="shared" si="237"/>
        <v>0</v>
      </c>
      <c r="D2144" s="312">
        <f t="shared" si="237"/>
        <v>0</v>
      </c>
      <c r="E2144" s="312">
        <f t="shared" si="237"/>
        <v>0</v>
      </c>
      <c r="F2144" s="312">
        <f t="shared" si="237"/>
        <v>0</v>
      </c>
      <c r="G2144" s="312">
        <f t="shared" si="237"/>
        <v>0</v>
      </c>
      <c r="H2144" s="312">
        <f t="shared" si="237"/>
        <v>0</v>
      </c>
      <c r="I2144" s="312">
        <f t="shared" si="237"/>
        <v>0</v>
      </c>
      <c r="J2144" s="312">
        <f t="shared" si="237"/>
        <v>0</v>
      </c>
      <c r="K2144" s="291"/>
    </row>
    <row r="2145" spans="1:11">
      <c r="A2145" s="289" t="s">
        <v>97</v>
      </c>
      <c r="B2145" s="312">
        <f t="shared" ref="B2145:J2145" si="238">($B$1177*B$2056+$C$1177*B$2082)*B$577/(24*$F$14)*1000</f>
        <v>0</v>
      </c>
      <c r="C2145" s="312">
        <f t="shared" si="238"/>
        <v>0</v>
      </c>
      <c r="D2145" s="312">
        <f t="shared" si="238"/>
        <v>0</v>
      </c>
      <c r="E2145" s="312">
        <f t="shared" si="238"/>
        <v>0</v>
      </c>
      <c r="F2145" s="312">
        <f t="shared" si="238"/>
        <v>0</v>
      </c>
      <c r="G2145" s="312">
        <f t="shared" si="238"/>
        <v>0</v>
      </c>
      <c r="H2145" s="312">
        <f t="shared" si="238"/>
        <v>0</v>
      </c>
      <c r="I2145" s="312">
        <f t="shared" si="238"/>
        <v>0</v>
      </c>
      <c r="J2145" s="312">
        <f t="shared" si="238"/>
        <v>0</v>
      </c>
      <c r="K2145" s="291"/>
    </row>
    <row r="2146" spans="1:11">
      <c r="A2146" s="289" t="s">
        <v>110</v>
      </c>
      <c r="B2146" s="312">
        <f t="shared" ref="B2146:J2146" si="239">($B$1178*B$2057+$C$1178*B$2083)*B$578/(24*$F$14)*1000</f>
        <v>0</v>
      </c>
      <c r="C2146" s="312">
        <f t="shared" si="239"/>
        <v>0</v>
      </c>
      <c r="D2146" s="312">
        <f t="shared" si="239"/>
        <v>0</v>
      </c>
      <c r="E2146" s="312">
        <f t="shared" si="239"/>
        <v>0</v>
      </c>
      <c r="F2146" s="312">
        <f t="shared" si="239"/>
        <v>0</v>
      </c>
      <c r="G2146" s="312">
        <f t="shared" si="239"/>
        <v>0</v>
      </c>
      <c r="H2146" s="312">
        <f t="shared" si="239"/>
        <v>0</v>
      </c>
      <c r="I2146" s="312">
        <f t="shared" si="239"/>
        <v>0</v>
      </c>
      <c r="J2146" s="312">
        <f t="shared" si="239"/>
        <v>0</v>
      </c>
      <c r="K2146" s="291"/>
    </row>
    <row r="2148" spans="1:11" ht="21" customHeight="1">
      <c r="A2148" s="1" t="s">
        <v>546</v>
      </c>
    </row>
    <row r="2149" spans="1:11">
      <c r="A2149" s="287" t="s">
        <v>255</v>
      </c>
    </row>
    <row r="2150" spans="1:11">
      <c r="A2150" s="301" t="s">
        <v>464</v>
      </c>
    </row>
    <row r="2151" spans="1:11">
      <c r="A2151" s="301" t="s">
        <v>1724</v>
      </c>
    </row>
    <row r="2152" spans="1:11">
      <c r="A2152" s="301" t="s">
        <v>543</v>
      </c>
    </row>
    <row r="2153" spans="1:11">
      <c r="A2153" s="301" t="s">
        <v>1725</v>
      </c>
    </row>
    <row r="2154" spans="1:11">
      <c r="A2154" s="301" t="s">
        <v>547</v>
      </c>
    </row>
    <row r="2155" spans="1:11">
      <c r="A2155" s="301" t="s">
        <v>1726</v>
      </c>
    </row>
    <row r="2156" spans="1:11">
      <c r="A2156" s="301" t="s">
        <v>548</v>
      </c>
    </row>
    <row r="2157" spans="1:11">
      <c r="A2157" s="301" t="s">
        <v>476</v>
      </c>
    </row>
    <row r="2158" spans="1:11">
      <c r="A2158" s="287" t="s">
        <v>549</v>
      </c>
    </row>
    <row r="2160" spans="1:11">
      <c r="B2160" s="288" t="s">
        <v>60</v>
      </c>
      <c r="C2160" s="288" t="s">
        <v>61</v>
      </c>
      <c r="D2160" s="288" t="s">
        <v>62</v>
      </c>
      <c r="E2160" s="288" t="s">
        <v>63</v>
      </c>
      <c r="F2160" s="288" t="s">
        <v>64</v>
      </c>
      <c r="G2160" s="288" t="s">
        <v>69</v>
      </c>
      <c r="H2160" s="288" t="s">
        <v>65</v>
      </c>
      <c r="I2160" s="288" t="s">
        <v>66</v>
      </c>
      <c r="J2160" s="288" t="s">
        <v>67</v>
      </c>
    </row>
    <row r="2161" spans="1:11">
      <c r="A2161" s="289" t="s">
        <v>1536</v>
      </c>
      <c r="B2161" s="312">
        <f t="shared" ref="B2161:J2161" si="240">($B$1179*B$2058+$C$1179*B$2084+$D$1179*B$2101)*B$579/(24*$F$14)*1000</f>
        <v>0</v>
      </c>
      <c r="C2161" s="312">
        <f t="shared" si="240"/>
        <v>0</v>
      </c>
      <c r="D2161" s="312">
        <f t="shared" si="240"/>
        <v>0</v>
      </c>
      <c r="E2161" s="312">
        <f t="shared" si="240"/>
        <v>0</v>
      </c>
      <c r="F2161" s="312">
        <f t="shared" si="240"/>
        <v>0</v>
      </c>
      <c r="G2161" s="312">
        <f t="shared" si="240"/>
        <v>0</v>
      </c>
      <c r="H2161" s="312">
        <f t="shared" si="240"/>
        <v>0</v>
      </c>
      <c r="I2161" s="312">
        <f t="shared" si="240"/>
        <v>0</v>
      </c>
      <c r="J2161" s="312">
        <f t="shared" si="240"/>
        <v>0</v>
      </c>
      <c r="K2161" s="291"/>
    </row>
    <row r="2162" spans="1:11">
      <c r="A2162" s="289" t="s">
        <v>1535</v>
      </c>
      <c r="B2162" s="312">
        <f t="shared" ref="B2162:J2162" si="241">($B$1180*B$2059+$C$1180*B$2085+$D$1180*B$2102)*B$580/(24*$F$14)*1000</f>
        <v>121289.3080022698</v>
      </c>
      <c r="C2162" s="312">
        <f t="shared" si="241"/>
        <v>120771.38601965744</v>
      </c>
      <c r="D2162" s="312">
        <f t="shared" si="241"/>
        <v>36944.919191251422</v>
      </c>
      <c r="E2162" s="312">
        <f t="shared" si="241"/>
        <v>36021.509399436996</v>
      </c>
      <c r="F2162" s="312">
        <f t="shared" si="241"/>
        <v>35775.027907945252</v>
      </c>
      <c r="G2162" s="312">
        <f t="shared" si="241"/>
        <v>81925.117464424839</v>
      </c>
      <c r="H2162" s="312">
        <f t="shared" si="241"/>
        <v>113266.23883065191</v>
      </c>
      <c r="I2162" s="312">
        <f t="shared" si="241"/>
        <v>111254.96916917307</v>
      </c>
      <c r="J2162" s="312">
        <f t="shared" si="241"/>
        <v>109515.01104969198</v>
      </c>
      <c r="K2162" s="291"/>
    </row>
    <row r="2163" spans="1:11">
      <c r="A2163" s="289" t="s">
        <v>98</v>
      </c>
      <c r="B2163" s="312">
        <f t="shared" ref="B2163:J2163" si="242">($B$1181*B$2060+$C$1181*B$2086+$D$1181*B$2103)*B$581/(24*$F$14)*1000</f>
        <v>521716.04969898349</v>
      </c>
      <c r="C2163" s="312">
        <f t="shared" si="242"/>
        <v>521030.27406809625</v>
      </c>
      <c r="D2163" s="312">
        <f t="shared" si="242"/>
        <v>159387.26883955981</v>
      </c>
      <c r="E2163" s="312">
        <f t="shared" si="242"/>
        <v>155052.91155107343</v>
      </c>
      <c r="F2163" s="312">
        <f t="shared" si="242"/>
        <v>153991.94343684323</v>
      </c>
      <c r="G2163" s="312">
        <f t="shared" si="242"/>
        <v>353440.22961368109</v>
      </c>
      <c r="H2163" s="312">
        <f t="shared" si="242"/>
        <v>487549.25609547953</v>
      </c>
      <c r="I2163" s="312">
        <f t="shared" si="242"/>
        <v>478891.83939845697</v>
      </c>
      <c r="J2163" s="312">
        <f t="shared" si="242"/>
        <v>471402.2706130165</v>
      </c>
      <c r="K2163" s="291"/>
    </row>
    <row r="2164" spans="1:11">
      <c r="A2164" s="289" t="s">
        <v>99</v>
      </c>
      <c r="B2164" s="312">
        <f t="shared" ref="B2164:J2164" si="243">($B$1182*B$2061+$C$1182*B$2087+$D$1182*B$2104)*B$582/(24*$F$14)*1000</f>
        <v>13304.008860051423</v>
      </c>
      <c r="C2164" s="312">
        <f t="shared" si="243"/>
        <v>13310.585184127165</v>
      </c>
      <c r="D2164" s="312">
        <f t="shared" si="243"/>
        <v>4071.8129535733328</v>
      </c>
      <c r="E2164" s="312">
        <f t="shared" si="243"/>
        <v>3965.5582837911315</v>
      </c>
      <c r="F2164" s="312">
        <f t="shared" si="243"/>
        <v>3938.423476375162</v>
      </c>
      <c r="G2164" s="312">
        <f t="shared" si="243"/>
        <v>9029.2186805934252</v>
      </c>
      <c r="H2164" s="312">
        <f t="shared" si="243"/>
        <v>12469.323999948117</v>
      </c>
      <c r="I2164" s="312">
        <f t="shared" si="243"/>
        <v>12247.9060971453</v>
      </c>
      <c r="J2164" s="312">
        <f t="shared" si="243"/>
        <v>0</v>
      </c>
      <c r="K2164" s="291"/>
    </row>
    <row r="2165" spans="1:11">
      <c r="A2165" s="289" t="s">
        <v>111</v>
      </c>
      <c r="B2165" s="312">
        <f t="shared" ref="B2165:J2165" si="244">($B$1183*B$2062+$C$1183*B$2088+$D$1183*B$2105)*B$583/(24*$F$14)*1000</f>
        <v>1125434.7354996025</v>
      </c>
      <c r="C2165" s="312">
        <f t="shared" si="244"/>
        <v>1131037.6066637256</v>
      </c>
      <c r="D2165" s="312">
        <f t="shared" si="244"/>
        <v>345993.3214118816</v>
      </c>
      <c r="E2165" s="312">
        <f t="shared" si="244"/>
        <v>337933.64920725516</v>
      </c>
      <c r="F2165" s="312">
        <f t="shared" si="244"/>
        <v>335621.29774640396</v>
      </c>
      <c r="G2165" s="312">
        <f t="shared" si="244"/>
        <v>767237.93471680221</v>
      </c>
      <c r="H2165" s="312">
        <f t="shared" si="244"/>
        <v>1062600.4867142232</v>
      </c>
      <c r="I2165" s="312">
        <f t="shared" si="244"/>
        <v>0</v>
      </c>
      <c r="J2165" s="312">
        <f t="shared" si="244"/>
        <v>0</v>
      </c>
      <c r="K2165" s="291"/>
    </row>
    <row r="2166" spans="1:11">
      <c r="A2166" s="289" t="s">
        <v>135</v>
      </c>
      <c r="B2166" s="312">
        <f t="shared" ref="B2166:J2166" si="245">($B$1188*B$2067+$C$1188*B$2089+$D$1188*B$2106)*B$588/(24*$F$14)*1000</f>
        <v>53119.372311860388</v>
      </c>
      <c r="C2166" s="312">
        <f t="shared" si="245"/>
        <v>47836.537962960814</v>
      </c>
      <c r="D2166" s="312">
        <f t="shared" si="245"/>
        <v>14633.574124446657</v>
      </c>
      <c r="E2166" s="312">
        <f t="shared" si="245"/>
        <v>15247.936814193939</v>
      </c>
      <c r="F2166" s="312">
        <f t="shared" si="245"/>
        <v>15143.600980665733</v>
      </c>
      <c r="G2166" s="312">
        <f t="shared" si="245"/>
        <v>32449.855225385094</v>
      </c>
      <c r="H2166" s="312">
        <f t="shared" si="245"/>
        <v>47945.699157686431</v>
      </c>
      <c r="I2166" s="312">
        <f t="shared" si="245"/>
        <v>47094.326929652751</v>
      </c>
      <c r="J2166" s="312">
        <f t="shared" si="245"/>
        <v>46357.801117505463</v>
      </c>
      <c r="K2166" s="291"/>
    </row>
    <row r="2167" spans="1:11">
      <c r="A2167" s="289" t="s">
        <v>102</v>
      </c>
      <c r="B2167" s="312">
        <f t="shared" ref="B2167:J2167" si="246">($B$1192*B$2068+$C$1192*B$2090+$D$1192*B$2107)*B$592/(24*$F$14)*1000</f>
        <v>-1196.6264010480954</v>
      </c>
      <c r="C2167" s="312">
        <f t="shared" si="246"/>
        <v>-1221.7659149332494</v>
      </c>
      <c r="D2167" s="312">
        <f t="shared" si="246"/>
        <v>-373.74782624824172</v>
      </c>
      <c r="E2167" s="312">
        <f t="shared" si="246"/>
        <v>-364.30663356793946</v>
      </c>
      <c r="F2167" s="312">
        <f t="shared" si="246"/>
        <v>-361.81382180354501</v>
      </c>
      <c r="G2167" s="312">
        <f t="shared" si="246"/>
        <v>-828.78336826113059</v>
      </c>
      <c r="H2167" s="312">
        <f t="shared" si="246"/>
        <v>-1145.5278485898752</v>
      </c>
      <c r="I2167" s="312">
        <f t="shared" si="246"/>
        <v>-1125.186699876597</v>
      </c>
      <c r="J2167" s="312">
        <f t="shared" si="246"/>
        <v>0</v>
      </c>
      <c r="K2167" s="291"/>
    </row>
    <row r="2168" spans="1:11">
      <c r="A2168" s="289" t="s">
        <v>104</v>
      </c>
      <c r="B2168" s="312">
        <f t="shared" ref="B2168:J2168" si="247">($B$1194*B$2069+$C$1194*B$2091+$D$1194*B$2108)*B$594/(24*$F$14)*1000</f>
        <v>-1813.7882511847608</v>
      </c>
      <c r="C2168" s="312">
        <f t="shared" si="247"/>
        <v>-1729.474443966212</v>
      </c>
      <c r="D2168" s="312">
        <f t="shared" si="247"/>
        <v>-529.05986824781667</v>
      </c>
      <c r="E2168" s="312">
        <f t="shared" si="247"/>
        <v>-527.52629021511916</v>
      </c>
      <c r="F2168" s="312">
        <f t="shared" si="247"/>
        <v>-523.91662840524054</v>
      </c>
      <c r="G2168" s="312">
        <f t="shared" si="247"/>
        <v>-1173.186808923356</v>
      </c>
      <c r="H2168" s="312">
        <f t="shared" si="247"/>
        <v>-1658.7566643691887</v>
      </c>
      <c r="I2168" s="312">
        <f t="shared" si="247"/>
        <v>0</v>
      </c>
      <c r="J2168" s="312">
        <f t="shared" si="247"/>
        <v>0</v>
      </c>
      <c r="K2168" s="291"/>
    </row>
    <row r="2169" spans="1:11">
      <c r="A2169" s="289" t="s">
        <v>113</v>
      </c>
      <c r="B2169" s="312">
        <f t="shared" ref="B2169:J2169" si="248">($B$1196*B$2070+$C$1196*B$2092+$D$1196*B$2109)*B$596/(24*$F$14)*1000</f>
        <v>-85960.300716284197</v>
      </c>
      <c r="C2169" s="312">
        <f t="shared" si="248"/>
        <v>-84617.301146004844</v>
      </c>
      <c r="D2169" s="312">
        <f t="shared" si="248"/>
        <v>-25885.099575756303</v>
      </c>
      <c r="E2169" s="312">
        <f t="shared" si="248"/>
        <v>-25706.991415477896</v>
      </c>
      <c r="F2169" s="312">
        <f t="shared" si="248"/>
        <v>-25531.088248412067</v>
      </c>
      <c r="G2169" s="312">
        <f t="shared" si="248"/>
        <v>-57400.039565503692</v>
      </c>
      <c r="H2169" s="312">
        <f t="shared" si="248"/>
        <v>0</v>
      </c>
      <c r="I2169" s="312">
        <f t="shared" si="248"/>
        <v>0</v>
      </c>
      <c r="J2169" s="312">
        <f t="shared" si="248"/>
        <v>0</v>
      </c>
      <c r="K2169" s="291"/>
    </row>
    <row r="2171" spans="1:11" ht="21" customHeight="1">
      <c r="A2171" s="1" t="s">
        <v>550</v>
      </c>
    </row>
    <row r="2172" spans="1:11">
      <c r="A2172" s="287" t="s">
        <v>255</v>
      </c>
    </row>
    <row r="2173" spans="1:11">
      <c r="A2173" s="301" t="s">
        <v>469</v>
      </c>
    </row>
    <row r="2174" spans="1:11">
      <c r="A2174" s="301" t="s">
        <v>551</v>
      </c>
    </row>
    <row r="2175" spans="1:11">
      <c r="A2175" s="301" t="s">
        <v>540</v>
      </c>
    </row>
    <row r="2176" spans="1:11">
      <c r="A2176" s="301" t="s">
        <v>448</v>
      </c>
    </row>
    <row r="2177" spans="1:11">
      <c r="A2177" s="287" t="s">
        <v>552</v>
      </c>
    </row>
    <row r="2179" spans="1:11">
      <c r="B2179" s="288" t="s">
        <v>60</v>
      </c>
      <c r="C2179" s="288" t="s">
        <v>61</v>
      </c>
      <c r="D2179" s="288" t="s">
        <v>62</v>
      </c>
      <c r="E2179" s="288" t="s">
        <v>63</v>
      </c>
      <c r="F2179" s="288" t="s">
        <v>64</v>
      </c>
      <c r="G2179" s="288" t="s">
        <v>69</v>
      </c>
      <c r="H2179" s="288" t="s">
        <v>65</v>
      </c>
      <c r="I2179" s="288" t="s">
        <v>66</v>
      </c>
      <c r="J2179" s="288" t="s">
        <v>67</v>
      </c>
    </row>
    <row r="2180" spans="1:11">
      <c r="A2180" s="289" t="s">
        <v>92</v>
      </c>
      <c r="B2180" s="312">
        <f t="shared" ref="B2180:J2180" si="249">$B1316*$B914*B570/(24*$F$14)*1000</f>
        <v>1813640.4885373504</v>
      </c>
      <c r="C2180" s="312">
        <f t="shared" si="249"/>
        <v>1810020.4476420661</v>
      </c>
      <c r="D2180" s="312">
        <f t="shared" si="249"/>
        <v>553699.5258277863</v>
      </c>
      <c r="E2180" s="312">
        <f t="shared" si="249"/>
        <v>548794.70719348488</v>
      </c>
      <c r="F2180" s="312">
        <f t="shared" si="249"/>
        <v>545039.51369362732</v>
      </c>
      <c r="G2180" s="312">
        <f t="shared" si="249"/>
        <v>1227825.08898218</v>
      </c>
      <c r="H2180" s="312">
        <f t="shared" si="249"/>
        <v>1725633.1955636065</v>
      </c>
      <c r="I2180" s="312">
        <f t="shared" si="249"/>
        <v>1694991.1107825704</v>
      </c>
      <c r="J2180" s="312">
        <f t="shared" si="249"/>
        <v>1668482.5101539562</v>
      </c>
      <c r="K2180" s="291"/>
    </row>
    <row r="2181" spans="1:11">
      <c r="A2181" s="289" t="s">
        <v>93</v>
      </c>
      <c r="B2181" s="312">
        <f t="shared" ref="B2181:J2181" si="250">$B1317*$B915*B571/(24*$F$14)*1000</f>
        <v>284722.88731770957</v>
      </c>
      <c r="C2181" s="312">
        <f t="shared" si="250"/>
        <v>284154.57816138683</v>
      </c>
      <c r="D2181" s="312">
        <f t="shared" si="250"/>
        <v>86925.125843035756</v>
      </c>
      <c r="E2181" s="312">
        <f t="shared" si="250"/>
        <v>86155.119807024603</v>
      </c>
      <c r="F2181" s="312">
        <f t="shared" si="250"/>
        <v>85565.593083027372</v>
      </c>
      <c r="G2181" s="312">
        <f t="shared" si="250"/>
        <v>192755.89989616093</v>
      </c>
      <c r="H2181" s="312">
        <f t="shared" si="250"/>
        <v>270906.64825662191</v>
      </c>
      <c r="I2181" s="312">
        <f t="shared" si="250"/>
        <v>266096.15637169121</v>
      </c>
      <c r="J2181" s="312">
        <f t="shared" si="250"/>
        <v>261934.57894913491</v>
      </c>
      <c r="K2181" s="291"/>
    </row>
    <row r="2182" spans="1:11">
      <c r="A2182" s="289" t="s">
        <v>129</v>
      </c>
      <c r="B2182" s="312">
        <f t="shared" ref="B2182:J2182" si="251">$B1318*$B916*B572/(24*$F$14)*1000</f>
        <v>0</v>
      </c>
      <c r="C2182" s="312">
        <f t="shared" si="251"/>
        <v>0</v>
      </c>
      <c r="D2182" s="312">
        <f t="shared" si="251"/>
        <v>0</v>
      </c>
      <c r="E2182" s="312">
        <f t="shared" si="251"/>
        <v>0</v>
      </c>
      <c r="F2182" s="312">
        <f t="shared" si="251"/>
        <v>0</v>
      </c>
      <c r="G2182" s="312">
        <f t="shared" si="251"/>
        <v>0</v>
      </c>
      <c r="H2182" s="312">
        <f t="shared" si="251"/>
        <v>0</v>
      </c>
      <c r="I2182" s="312">
        <f t="shared" si="251"/>
        <v>0</v>
      </c>
      <c r="J2182" s="312">
        <f t="shared" si="251"/>
        <v>0</v>
      </c>
      <c r="K2182" s="291"/>
    </row>
    <row r="2183" spans="1:11">
      <c r="A2183" s="289" t="s">
        <v>94</v>
      </c>
      <c r="B2183" s="312">
        <f t="shared" ref="B2183:J2183" si="252">$B1319*$B917*B573/(24*$F$14)*1000</f>
        <v>352957.10306078766</v>
      </c>
      <c r="C2183" s="312">
        <f t="shared" si="252"/>
        <v>352252.59786505753</v>
      </c>
      <c r="D2183" s="312">
        <f t="shared" si="252"/>
        <v>107756.84698124362</v>
      </c>
      <c r="E2183" s="312">
        <f t="shared" si="252"/>
        <v>106802.30798239401</v>
      </c>
      <c r="F2183" s="312">
        <f t="shared" si="252"/>
        <v>106071.5004008918</v>
      </c>
      <c r="G2183" s="312">
        <f t="shared" si="252"/>
        <v>238950.10571913529</v>
      </c>
      <c r="H2183" s="312">
        <f t="shared" si="252"/>
        <v>335829.78407306148</v>
      </c>
      <c r="I2183" s="312">
        <f t="shared" si="252"/>
        <v>329866.45145868004</v>
      </c>
      <c r="J2183" s="312">
        <f t="shared" si="252"/>
        <v>324707.54651406413</v>
      </c>
      <c r="K2183" s="291"/>
    </row>
    <row r="2184" spans="1:11">
      <c r="A2184" s="289" t="s">
        <v>95</v>
      </c>
      <c r="B2184" s="312">
        <f t="shared" ref="B2184:J2184" si="253">$B1320*$B918*B574/(24*$F$14)*1000</f>
        <v>127963.54107032208</v>
      </c>
      <c r="C2184" s="312">
        <f t="shared" si="253"/>
        <v>127708.12482068069</v>
      </c>
      <c r="D2184" s="312">
        <f t="shared" si="253"/>
        <v>39066.922282388499</v>
      </c>
      <c r="E2184" s="312">
        <f t="shared" si="253"/>
        <v>38720.857025950019</v>
      </c>
      <c r="F2184" s="312">
        <f t="shared" si="253"/>
        <v>38455.904925088194</v>
      </c>
      <c r="G2184" s="312">
        <f t="shared" si="253"/>
        <v>86630.64548578384</v>
      </c>
      <c r="H2184" s="312">
        <f t="shared" si="253"/>
        <v>121754.08284521606</v>
      </c>
      <c r="I2184" s="312">
        <f t="shared" si="253"/>
        <v>119592.09445824493</v>
      </c>
      <c r="J2184" s="312">
        <f t="shared" si="253"/>
        <v>117721.74891473971</v>
      </c>
      <c r="K2184" s="291"/>
    </row>
    <row r="2185" spans="1:11">
      <c r="A2185" s="289" t="s">
        <v>130</v>
      </c>
      <c r="B2185" s="312">
        <f t="shared" ref="B2185:J2185" si="254">$B1321*$B919*B575/(24*$F$14)*1000</f>
        <v>0</v>
      </c>
      <c r="C2185" s="312">
        <f t="shared" si="254"/>
        <v>0</v>
      </c>
      <c r="D2185" s="312">
        <f t="shared" si="254"/>
        <v>0</v>
      </c>
      <c r="E2185" s="312">
        <f t="shared" si="254"/>
        <v>0</v>
      </c>
      <c r="F2185" s="312">
        <f t="shared" si="254"/>
        <v>0</v>
      </c>
      <c r="G2185" s="312">
        <f t="shared" si="254"/>
        <v>0</v>
      </c>
      <c r="H2185" s="312">
        <f t="shared" si="254"/>
        <v>0</v>
      </c>
      <c r="I2185" s="312">
        <f t="shared" si="254"/>
        <v>0</v>
      </c>
      <c r="J2185" s="312">
        <f t="shared" si="254"/>
        <v>0</v>
      </c>
      <c r="K2185" s="291"/>
    </row>
    <row r="2186" spans="1:11">
      <c r="A2186" s="289" t="s">
        <v>96</v>
      </c>
      <c r="B2186" s="312">
        <f t="shared" ref="B2186:J2186" si="255">$B1322*$B920*B576/(24*$F$14)*1000</f>
        <v>0</v>
      </c>
      <c r="C2186" s="312">
        <f t="shared" si="255"/>
        <v>0</v>
      </c>
      <c r="D2186" s="312">
        <f t="shared" si="255"/>
        <v>0</v>
      </c>
      <c r="E2186" s="312">
        <f t="shared" si="255"/>
        <v>0</v>
      </c>
      <c r="F2186" s="312">
        <f t="shared" si="255"/>
        <v>0</v>
      </c>
      <c r="G2186" s="312">
        <f t="shared" si="255"/>
        <v>0</v>
      </c>
      <c r="H2186" s="312">
        <f t="shared" si="255"/>
        <v>0</v>
      </c>
      <c r="I2186" s="312">
        <f t="shared" si="255"/>
        <v>0</v>
      </c>
      <c r="J2186" s="312">
        <f t="shared" si="255"/>
        <v>0</v>
      </c>
      <c r="K2186" s="291"/>
    </row>
    <row r="2187" spans="1:11">
      <c r="A2187" s="289" t="s">
        <v>97</v>
      </c>
      <c r="B2187" s="312">
        <f t="shared" ref="B2187:J2187" si="256">$B1323*$B921*B577/(24*$F$14)*1000</f>
        <v>0</v>
      </c>
      <c r="C2187" s="312">
        <f t="shared" si="256"/>
        <v>0</v>
      </c>
      <c r="D2187" s="312">
        <f t="shared" si="256"/>
        <v>0</v>
      </c>
      <c r="E2187" s="312">
        <f t="shared" si="256"/>
        <v>0</v>
      </c>
      <c r="F2187" s="312">
        <f t="shared" si="256"/>
        <v>0</v>
      </c>
      <c r="G2187" s="312">
        <f t="shared" si="256"/>
        <v>0</v>
      </c>
      <c r="H2187" s="312">
        <f t="shared" si="256"/>
        <v>0</v>
      </c>
      <c r="I2187" s="312">
        <f t="shared" si="256"/>
        <v>0</v>
      </c>
      <c r="J2187" s="312">
        <f t="shared" si="256"/>
        <v>0</v>
      </c>
      <c r="K2187" s="291"/>
    </row>
    <row r="2188" spans="1:11">
      <c r="A2188" s="289" t="s">
        <v>110</v>
      </c>
      <c r="B2188" s="312">
        <f t="shared" ref="B2188:J2188" si="257">$B1324*$B922*B578/(24*$F$14)*1000</f>
        <v>0</v>
      </c>
      <c r="C2188" s="312">
        <f t="shared" si="257"/>
        <v>0</v>
      </c>
      <c r="D2188" s="312">
        <f t="shared" si="257"/>
        <v>0</v>
      </c>
      <c r="E2188" s="312">
        <f t="shared" si="257"/>
        <v>0</v>
      </c>
      <c r="F2188" s="312">
        <f t="shared" si="257"/>
        <v>0</v>
      </c>
      <c r="G2188" s="312">
        <f t="shared" si="257"/>
        <v>0</v>
      </c>
      <c r="H2188" s="312">
        <f t="shared" si="257"/>
        <v>0</v>
      </c>
      <c r="I2188" s="312">
        <f t="shared" si="257"/>
        <v>0</v>
      </c>
      <c r="J2188" s="312">
        <f t="shared" si="257"/>
        <v>0</v>
      </c>
      <c r="K2188" s="291"/>
    </row>
    <row r="2189" spans="1:11">
      <c r="A2189" s="289" t="s">
        <v>1536</v>
      </c>
      <c r="B2189" s="312">
        <f t="shared" ref="B2189:J2189" si="258">$B1325*$B923*B579/(24*$F$14)*1000</f>
        <v>0</v>
      </c>
      <c r="C2189" s="312">
        <f t="shared" si="258"/>
        <v>0</v>
      </c>
      <c r="D2189" s="312">
        <f t="shared" si="258"/>
        <v>0</v>
      </c>
      <c r="E2189" s="312">
        <f t="shared" si="258"/>
        <v>0</v>
      </c>
      <c r="F2189" s="312">
        <f t="shared" si="258"/>
        <v>0</v>
      </c>
      <c r="G2189" s="312">
        <f t="shared" si="258"/>
        <v>0</v>
      </c>
      <c r="H2189" s="312">
        <f t="shared" si="258"/>
        <v>0</v>
      </c>
      <c r="I2189" s="312">
        <f t="shared" si="258"/>
        <v>0</v>
      </c>
      <c r="J2189" s="312">
        <f t="shared" si="258"/>
        <v>0</v>
      </c>
      <c r="K2189" s="291"/>
    </row>
    <row r="2190" spans="1:11">
      <c r="A2190" s="289" t="s">
        <v>1535</v>
      </c>
      <c r="B2190" s="312">
        <f t="shared" ref="B2190:J2190" si="259">$B1326*$B924*B580/(24*$F$14)*1000</f>
        <v>129159.80628658243</v>
      </c>
      <c r="C2190" s="312">
        <f t="shared" si="259"/>
        <v>128902.00228201837</v>
      </c>
      <c r="D2190" s="312">
        <f t="shared" si="259"/>
        <v>39432.138810798613</v>
      </c>
      <c r="E2190" s="312">
        <f t="shared" si="259"/>
        <v>39082.838368576966</v>
      </c>
      <c r="F2190" s="312">
        <f t="shared" si="259"/>
        <v>38815.409367032451</v>
      </c>
      <c r="G2190" s="312">
        <f t="shared" si="259"/>
        <v>87440.51075670404</v>
      </c>
      <c r="H2190" s="312">
        <f t="shared" si="259"/>
        <v>122892.29903575873</v>
      </c>
      <c r="I2190" s="312">
        <f t="shared" si="259"/>
        <v>120710.09933325461</v>
      </c>
      <c r="J2190" s="312">
        <f t="shared" si="259"/>
        <v>118822.26889290013</v>
      </c>
      <c r="K2190" s="291"/>
    </row>
    <row r="2191" spans="1:11">
      <c r="A2191" s="289" t="s">
        <v>98</v>
      </c>
      <c r="B2191" s="312">
        <f t="shared" ref="B2191:J2191" si="260">$B1327*$B925*B581/(24*$F$14)*1000</f>
        <v>512649.49680268136</v>
      </c>
      <c r="C2191" s="312">
        <f t="shared" si="260"/>
        <v>511626.24431405327</v>
      </c>
      <c r="D2191" s="312">
        <f t="shared" si="260"/>
        <v>156510.50199282766</v>
      </c>
      <c r="E2191" s="312">
        <f t="shared" si="260"/>
        <v>155124.09006572582</v>
      </c>
      <c r="F2191" s="312">
        <f t="shared" si="260"/>
        <v>154062.63490398575</v>
      </c>
      <c r="G2191" s="312">
        <f t="shared" si="260"/>
        <v>347061.01788455917</v>
      </c>
      <c r="H2191" s="312">
        <f t="shared" si="260"/>
        <v>487773.07022139046</v>
      </c>
      <c r="I2191" s="312">
        <f t="shared" si="260"/>
        <v>479111.67925484246</v>
      </c>
      <c r="J2191" s="312">
        <f t="shared" si="260"/>
        <v>471618.67231157445</v>
      </c>
      <c r="K2191" s="291"/>
    </row>
    <row r="2192" spans="1:11">
      <c r="A2192" s="289" t="s">
        <v>99</v>
      </c>
      <c r="B2192" s="312">
        <f t="shared" ref="B2192:J2192" si="261">$B1328*$B926*B582/(24*$F$14)*1000</f>
        <v>13059.478520838446</v>
      </c>
      <c r="C2192" s="312">
        <f t="shared" si="261"/>
        <v>13033.411697443556</v>
      </c>
      <c r="D2192" s="312">
        <f t="shared" si="261"/>
        <v>3987.023398654947</v>
      </c>
      <c r="E2192" s="312">
        <f t="shared" si="261"/>
        <v>3951.7052779975706</v>
      </c>
      <c r="F2192" s="312">
        <f t="shared" si="261"/>
        <v>3924.6652614325822</v>
      </c>
      <c r="G2192" s="312">
        <f t="shared" si="261"/>
        <v>8841.1983953009931</v>
      </c>
      <c r="H2192" s="312">
        <f t="shared" si="261"/>
        <v>12425.764529817741</v>
      </c>
      <c r="I2192" s="312">
        <f t="shared" si="261"/>
        <v>12205.120112933126</v>
      </c>
      <c r="J2192" s="312">
        <f t="shared" si="261"/>
        <v>0</v>
      </c>
      <c r="K2192" s="291"/>
    </row>
    <row r="2193" spans="1:11">
      <c r="A2193" s="289" t="s">
        <v>111</v>
      </c>
      <c r="B2193" s="312">
        <f t="shared" ref="B2193:J2193" si="262">$B1329*$B927*B583/(24*$F$14)*1000</f>
        <v>1102050.51441216</v>
      </c>
      <c r="C2193" s="312">
        <f t="shared" si="262"/>
        <v>1099850.8127865868</v>
      </c>
      <c r="D2193" s="312">
        <f t="shared" si="262"/>
        <v>336453.0352762437</v>
      </c>
      <c r="E2193" s="312">
        <f t="shared" si="262"/>
        <v>333472.64421572571</v>
      </c>
      <c r="F2193" s="312">
        <f t="shared" si="262"/>
        <v>331190.81771571591</v>
      </c>
      <c r="G2193" s="312">
        <f t="shared" si="262"/>
        <v>746082.41240369773</v>
      </c>
      <c r="H2193" s="312">
        <f t="shared" si="262"/>
        <v>1048573.2772713227</v>
      </c>
      <c r="I2193" s="312">
        <f t="shared" si="262"/>
        <v>0</v>
      </c>
      <c r="J2193" s="312">
        <f t="shared" si="262"/>
        <v>0</v>
      </c>
      <c r="K2193" s="291"/>
    </row>
    <row r="2194" spans="1:11">
      <c r="A2194" s="289" t="s">
        <v>131</v>
      </c>
      <c r="B2194" s="312">
        <f t="shared" ref="B2194:J2194" si="263">$B1330*$B928*B584/(24*$F$14)*1000</f>
        <v>6674.0799020791619</v>
      </c>
      <c r="C2194" s="312">
        <f t="shared" si="263"/>
        <v>6660.7583853085434</v>
      </c>
      <c r="D2194" s="312">
        <f t="shared" si="263"/>
        <v>2037.5785060347059</v>
      </c>
      <c r="E2194" s="312">
        <f t="shared" si="263"/>
        <v>2019.5290901347923</v>
      </c>
      <c r="F2194" s="312">
        <f t="shared" si="263"/>
        <v>2005.7102205053266</v>
      </c>
      <c r="G2194" s="312">
        <f t="shared" si="263"/>
        <v>4518.3170542543612</v>
      </c>
      <c r="H2194" s="312">
        <f t="shared" si="263"/>
        <v>6350.2187460315517</v>
      </c>
      <c r="I2194" s="312">
        <f t="shared" si="263"/>
        <v>6237.45785241043</v>
      </c>
      <c r="J2194" s="312">
        <f t="shared" si="263"/>
        <v>6139.9079135962838</v>
      </c>
      <c r="K2194" s="291"/>
    </row>
    <row r="2195" spans="1:11">
      <c r="A2195" s="289" t="s">
        <v>132</v>
      </c>
      <c r="B2195" s="312">
        <f t="shared" ref="B2195:J2195" si="264">$B1331*$B929*B585/(24*$F$14)*1000</f>
        <v>4341.2014952345535</v>
      </c>
      <c r="C2195" s="312">
        <f t="shared" si="264"/>
        <v>4332.5364223897732</v>
      </c>
      <c r="D2195" s="312">
        <f t="shared" si="264"/>
        <v>1325.3570509846645</v>
      </c>
      <c r="E2195" s="312">
        <f t="shared" si="264"/>
        <v>1313.6166834070443</v>
      </c>
      <c r="F2195" s="312">
        <f t="shared" si="264"/>
        <v>1304.628103950691</v>
      </c>
      <c r="G2195" s="312">
        <f t="shared" si="264"/>
        <v>2938.9706206187657</v>
      </c>
      <c r="H2195" s="312">
        <f t="shared" si="264"/>
        <v>4130.5437633059491</v>
      </c>
      <c r="I2195" s="312">
        <f t="shared" si="264"/>
        <v>4057.1976590977138</v>
      </c>
      <c r="J2195" s="312">
        <f t="shared" si="264"/>
        <v>3993.7456257907575</v>
      </c>
      <c r="K2195" s="291"/>
    </row>
    <row r="2196" spans="1:11">
      <c r="A2196" s="289" t="s">
        <v>133</v>
      </c>
      <c r="B2196" s="312">
        <f t="shared" ref="B2196:J2196" si="265">$B1332*$B930*B586/(24*$F$14)*1000</f>
        <v>364.59850093943993</v>
      </c>
      <c r="C2196" s="312">
        <f t="shared" si="265"/>
        <v>363.87075942059857</v>
      </c>
      <c r="D2196" s="312">
        <f t="shared" si="265"/>
        <v>111.31093420311674</v>
      </c>
      <c r="E2196" s="312">
        <f t="shared" si="265"/>
        <v>110.32491214816788</v>
      </c>
      <c r="F2196" s="312">
        <f t="shared" si="265"/>
        <v>109.57000072584415</v>
      </c>
      <c r="G2196" s="312">
        <f t="shared" si="265"/>
        <v>246.83127096471296</v>
      </c>
      <c r="H2196" s="312">
        <f t="shared" si="265"/>
        <v>346.90628062744037</v>
      </c>
      <c r="I2196" s="312">
        <f t="shared" si="265"/>
        <v>340.74626256022418</v>
      </c>
      <c r="J2196" s="312">
        <f t="shared" si="265"/>
        <v>335.41720417611765</v>
      </c>
      <c r="K2196" s="291"/>
    </row>
    <row r="2197" spans="1:11">
      <c r="A2197" s="289" t="s">
        <v>134</v>
      </c>
      <c r="B2197" s="312">
        <f t="shared" ref="B2197:J2197" si="266">$B1333*$B931*B587/(24*$F$14)*1000</f>
        <v>0</v>
      </c>
      <c r="C2197" s="312">
        <f t="shared" si="266"/>
        <v>0</v>
      </c>
      <c r="D2197" s="312">
        <f t="shared" si="266"/>
        <v>0</v>
      </c>
      <c r="E2197" s="312">
        <f t="shared" si="266"/>
        <v>0</v>
      </c>
      <c r="F2197" s="312">
        <f t="shared" si="266"/>
        <v>0</v>
      </c>
      <c r="G2197" s="312">
        <f t="shared" si="266"/>
        <v>0</v>
      </c>
      <c r="H2197" s="312">
        <f t="shared" si="266"/>
        <v>0</v>
      </c>
      <c r="I2197" s="312">
        <f t="shared" si="266"/>
        <v>0</v>
      </c>
      <c r="J2197" s="312">
        <f t="shared" si="266"/>
        <v>0</v>
      </c>
      <c r="K2197" s="291"/>
    </row>
    <row r="2198" spans="1:11">
      <c r="A2198" s="289" t="s">
        <v>135</v>
      </c>
      <c r="B2198" s="312">
        <f t="shared" ref="B2198:J2198" si="267">$B1334*$B932*B588/(24*$F$14)*1000</f>
        <v>61194.701781541829</v>
      </c>
      <c r="C2198" s="312">
        <f t="shared" si="267"/>
        <v>61072.556668205412</v>
      </c>
      <c r="D2198" s="312">
        <f t="shared" si="267"/>
        <v>18682.576604219154</v>
      </c>
      <c r="E2198" s="312">
        <f t="shared" si="267"/>
        <v>18517.081339024298</v>
      </c>
      <c r="F2198" s="312">
        <f t="shared" si="267"/>
        <v>18390.375992618458</v>
      </c>
      <c r="G2198" s="312">
        <f t="shared" si="267"/>
        <v>41428.491829025566</v>
      </c>
      <c r="H2198" s="312">
        <f t="shared" si="267"/>
        <v>58225.215776918965</v>
      </c>
      <c r="I2198" s="312">
        <f t="shared" si="267"/>
        <v>57191.310076207323</v>
      </c>
      <c r="J2198" s="312">
        <f t="shared" si="267"/>
        <v>56296.873764067925</v>
      </c>
      <c r="K2198" s="291"/>
    </row>
    <row r="2199" spans="1:11">
      <c r="A2199" s="289" t="s">
        <v>1534</v>
      </c>
      <c r="B2199" s="312">
        <f t="shared" ref="B2199:J2199" si="268">$B1335*$B933*B589/(24*$F$14)*1000</f>
        <v>-206.07299135648762</v>
      </c>
      <c r="C2199" s="312">
        <f t="shared" si="268"/>
        <v>-205.66166802044671</v>
      </c>
      <c r="D2199" s="312">
        <f t="shared" si="268"/>
        <v>-62.913525762771833</v>
      </c>
      <c r="E2199" s="312">
        <f t="shared" si="268"/>
        <v>-62.356220908574052</v>
      </c>
      <c r="F2199" s="312">
        <f t="shared" si="268"/>
        <v>-61.929541000108735</v>
      </c>
      <c r="G2199" s="312">
        <f t="shared" si="268"/>
        <v>-139.5103332486573</v>
      </c>
      <c r="H2199" s="312">
        <f t="shared" si="268"/>
        <v>-196.07325533443159</v>
      </c>
      <c r="I2199" s="312">
        <f t="shared" si="268"/>
        <v>-192.5915807069978</v>
      </c>
      <c r="J2199" s="312">
        <f t="shared" si="268"/>
        <v>0</v>
      </c>
      <c r="K2199" s="291"/>
    </row>
    <row r="2200" spans="1:11">
      <c r="A2200" s="289" t="s">
        <v>100</v>
      </c>
      <c r="B2200" s="312">
        <f t="shared" ref="B2200:J2200" si="269">$B1336*$B934*B590/(24*$F$14)*1000</f>
        <v>0</v>
      </c>
      <c r="C2200" s="312">
        <f t="shared" si="269"/>
        <v>0</v>
      </c>
      <c r="D2200" s="312">
        <f t="shared" si="269"/>
        <v>0</v>
      </c>
      <c r="E2200" s="312">
        <f t="shared" si="269"/>
        <v>0</v>
      </c>
      <c r="F2200" s="312">
        <f t="shared" si="269"/>
        <v>0</v>
      </c>
      <c r="G2200" s="312">
        <f t="shared" si="269"/>
        <v>0</v>
      </c>
      <c r="H2200" s="312">
        <f t="shared" si="269"/>
        <v>0</v>
      </c>
      <c r="I2200" s="312">
        <f t="shared" si="269"/>
        <v>0</v>
      </c>
      <c r="J2200" s="312">
        <f t="shared" si="269"/>
        <v>0</v>
      </c>
      <c r="K2200" s="291"/>
    </row>
    <row r="2201" spans="1:11">
      <c r="A2201" s="289" t="s">
        <v>101</v>
      </c>
      <c r="B2201" s="312">
        <f t="shared" ref="B2201:J2201" si="270">$B1337*$B935*B591/(24*$F$14)*1000</f>
        <v>-3110.1487112508667</v>
      </c>
      <c r="C2201" s="312">
        <f t="shared" si="270"/>
        <v>-3103.9408295916833</v>
      </c>
      <c r="D2201" s="312">
        <f t="shared" si="270"/>
        <v>-949.51997242977302</v>
      </c>
      <c r="E2201" s="312">
        <f t="shared" si="270"/>
        <v>-941.10887031179277</v>
      </c>
      <c r="F2201" s="312">
        <f t="shared" si="270"/>
        <v>-934.66922017280694</v>
      </c>
      <c r="G2201" s="312">
        <f t="shared" si="270"/>
        <v>-2105.5543489873762</v>
      </c>
      <c r="H2201" s="312">
        <f t="shared" si="270"/>
        <v>-2959.2280792111005</v>
      </c>
      <c r="I2201" s="312">
        <f t="shared" si="270"/>
        <v>-2906.6810385522117</v>
      </c>
      <c r="J2201" s="312">
        <f t="shared" si="270"/>
        <v>0</v>
      </c>
      <c r="K2201" s="291"/>
    </row>
    <row r="2202" spans="1:11">
      <c r="A2202" s="289" t="s">
        <v>102</v>
      </c>
      <c r="B2202" s="312">
        <f t="shared" ref="B2202:J2202" si="271">$B1338*$B936*B592/(24*$F$14)*1000</f>
        <v>-1187.1782692711761</v>
      </c>
      <c r="C2202" s="312">
        <f t="shared" si="271"/>
        <v>-1184.8086519672413</v>
      </c>
      <c r="D2202" s="312">
        <f t="shared" si="271"/>
        <v>-362.44230812173157</v>
      </c>
      <c r="E2202" s="312">
        <f t="shared" si="271"/>
        <v>-359.23169712459026</v>
      </c>
      <c r="F2202" s="312">
        <f t="shared" si="271"/>
        <v>-356.7736112205119</v>
      </c>
      <c r="G2202" s="312">
        <f t="shared" si="271"/>
        <v>-803.71345551573074</v>
      </c>
      <c r="H2202" s="312">
        <f t="shared" si="271"/>
        <v>-1129.5701896014996</v>
      </c>
      <c r="I2202" s="312">
        <f t="shared" si="271"/>
        <v>-1109.512401188015</v>
      </c>
      <c r="J2202" s="312">
        <f t="shared" si="271"/>
        <v>0</v>
      </c>
      <c r="K2202" s="291"/>
    </row>
    <row r="2203" spans="1:11">
      <c r="A2203" s="289" t="s">
        <v>103</v>
      </c>
      <c r="B2203" s="312">
        <f t="shared" ref="B2203:J2203" si="272">$B1339*$B937*B593/(24*$F$14)*1000</f>
        <v>-148.24623072411279</v>
      </c>
      <c r="C2203" s="312">
        <f t="shared" si="272"/>
        <v>-147.95033006398486</v>
      </c>
      <c r="D2203" s="312">
        <f t="shared" si="272"/>
        <v>-45.259172463610014</v>
      </c>
      <c r="E2203" s="312">
        <f t="shared" si="272"/>
        <v>-44.858254597298512</v>
      </c>
      <c r="F2203" s="312">
        <f t="shared" si="272"/>
        <v>-44.551306618626867</v>
      </c>
      <c r="G2203" s="312">
        <f t="shared" si="272"/>
        <v>-100.36191989565744</v>
      </c>
      <c r="H2203" s="312">
        <f t="shared" si="272"/>
        <v>-141.05255064140135</v>
      </c>
      <c r="I2203" s="312">
        <f t="shared" si="272"/>
        <v>0</v>
      </c>
      <c r="J2203" s="312">
        <f t="shared" si="272"/>
        <v>0</v>
      </c>
      <c r="K2203" s="291"/>
    </row>
    <row r="2204" spans="1:11">
      <c r="A2204" s="289" t="s">
        <v>104</v>
      </c>
      <c r="B2204" s="312">
        <f t="shared" ref="B2204:J2204" si="273">$B1340*$B938*B594/(24*$F$14)*1000</f>
        <v>-1307.7706355227303</v>
      </c>
      <c r="C2204" s="312">
        <f t="shared" si="273"/>
        <v>-1305.1603148929444</v>
      </c>
      <c r="D2204" s="312">
        <f t="shared" si="273"/>
        <v>-399.25883070928472</v>
      </c>
      <c r="E2204" s="312">
        <f t="shared" si="273"/>
        <v>-395.72208909867095</v>
      </c>
      <c r="F2204" s="312">
        <f t="shared" si="273"/>
        <v>-393.01431331793714</v>
      </c>
      <c r="G2204" s="312">
        <f t="shared" si="273"/>
        <v>-885.35385434846603</v>
      </c>
      <c r="H2204" s="312">
        <f t="shared" si="273"/>
        <v>-1244.3107854640632</v>
      </c>
      <c r="I2204" s="312">
        <f t="shared" si="273"/>
        <v>0</v>
      </c>
      <c r="J2204" s="312">
        <f t="shared" si="273"/>
        <v>0</v>
      </c>
      <c r="K2204" s="291"/>
    </row>
    <row r="2205" spans="1:11">
      <c r="A2205" s="289" t="s">
        <v>112</v>
      </c>
      <c r="B2205" s="312">
        <f t="shared" ref="B2205:J2205" si="274">$B1341*$B939*B595/(24*$F$14)*1000</f>
        <v>-11463.083163160274</v>
      </c>
      <c r="C2205" s="312">
        <f t="shared" si="274"/>
        <v>-11440.202757644982</v>
      </c>
      <c r="D2205" s="312">
        <f t="shared" si="274"/>
        <v>-3499.6482225014079</v>
      </c>
      <c r="E2205" s="312">
        <f t="shared" si="274"/>
        <v>-3468.647401632792</v>
      </c>
      <c r="F2205" s="312">
        <f t="shared" si="274"/>
        <v>-3444.9127664310045</v>
      </c>
      <c r="G2205" s="312">
        <f t="shared" si="274"/>
        <v>-7760.4471193561649</v>
      </c>
      <c r="H2205" s="312">
        <f t="shared" si="274"/>
        <v>0</v>
      </c>
      <c r="I2205" s="312">
        <f t="shared" si="274"/>
        <v>0</v>
      </c>
      <c r="J2205" s="312">
        <f t="shared" si="274"/>
        <v>0</v>
      </c>
      <c r="K2205" s="291"/>
    </row>
    <row r="2206" spans="1:11">
      <c r="A2206" s="289" t="s">
        <v>113</v>
      </c>
      <c r="B2206" s="312">
        <f t="shared" ref="B2206:J2206" si="275">$B1342*$B940*B596/(24*$F$14)*1000</f>
        <v>-78809.607606914724</v>
      </c>
      <c r="C2206" s="312">
        <f t="shared" si="275"/>
        <v>-78652.3030009129</v>
      </c>
      <c r="D2206" s="312">
        <f t="shared" si="275"/>
        <v>-24060.359612843917</v>
      </c>
      <c r="E2206" s="312">
        <f t="shared" si="275"/>
        <v>-23847.226506037226</v>
      </c>
      <c r="F2206" s="312">
        <f t="shared" si="275"/>
        <v>-23684.049003063366</v>
      </c>
      <c r="G2206" s="312">
        <f t="shared" si="275"/>
        <v>-53353.690593138715</v>
      </c>
      <c r="H2206" s="312">
        <f t="shared" si="275"/>
        <v>0</v>
      </c>
      <c r="I2206" s="312">
        <f t="shared" si="275"/>
        <v>0</v>
      </c>
      <c r="J2206" s="312">
        <f t="shared" si="275"/>
        <v>0</v>
      </c>
      <c r="K2206" s="291"/>
    </row>
    <row r="2208" spans="1:11" ht="21" customHeight="1">
      <c r="A2208" s="1" t="s">
        <v>553</v>
      </c>
    </row>
    <row r="2209" spans="1:11">
      <c r="A2209" s="287" t="s">
        <v>255</v>
      </c>
    </row>
    <row r="2210" spans="1:11">
      <c r="A2210" s="301" t="s">
        <v>554</v>
      </c>
    </row>
    <row r="2211" spans="1:11">
      <c r="A2211" s="301" t="s">
        <v>555</v>
      </c>
    </row>
    <row r="2212" spans="1:11">
      <c r="A2212" s="301" t="s">
        <v>556</v>
      </c>
    </row>
    <row r="2213" spans="1:11">
      <c r="A2213" s="301" t="s">
        <v>557</v>
      </c>
    </row>
    <row r="2214" spans="1:11">
      <c r="A2214" s="287" t="s">
        <v>558</v>
      </c>
    </row>
    <row r="2216" spans="1:11">
      <c r="B2216" s="288" t="s">
        <v>60</v>
      </c>
      <c r="C2216" s="288" t="s">
        <v>61</v>
      </c>
      <c r="D2216" s="288" t="s">
        <v>62</v>
      </c>
      <c r="E2216" s="288" t="s">
        <v>63</v>
      </c>
      <c r="F2216" s="288" t="s">
        <v>64</v>
      </c>
      <c r="G2216" s="288" t="s">
        <v>69</v>
      </c>
      <c r="H2216" s="288" t="s">
        <v>65</v>
      </c>
      <c r="I2216" s="288" t="s">
        <v>66</v>
      </c>
      <c r="J2216" s="288" t="s">
        <v>67</v>
      </c>
    </row>
    <row r="2217" spans="1:11">
      <c r="A2217" s="289" t="s">
        <v>92</v>
      </c>
      <c r="B2217" s="314">
        <f t="shared" ref="B2217:J2217" si="276">B$2122</f>
        <v>1758210.9372496782</v>
      </c>
      <c r="C2217" s="314">
        <f t="shared" si="276"/>
        <v>1689531.9121982723</v>
      </c>
      <c r="D2217" s="314">
        <f t="shared" si="276"/>
        <v>516841.13285779371</v>
      </c>
      <c r="E2217" s="314">
        <f t="shared" si="276"/>
        <v>507022.34375478147</v>
      </c>
      <c r="F2217" s="314">
        <f t="shared" si="276"/>
        <v>503552.98265382013</v>
      </c>
      <c r="G2217" s="314">
        <f t="shared" si="276"/>
        <v>1146091.8428493363</v>
      </c>
      <c r="H2217" s="314">
        <f t="shared" si="276"/>
        <v>1594283.9386153973</v>
      </c>
      <c r="I2217" s="314">
        <f t="shared" si="276"/>
        <v>1565974.2238175538</v>
      </c>
      <c r="J2217" s="314">
        <f t="shared" si="276"/>
        <v>1541483.3665913364</v>
      </c>
      <c r="K2217" s="291"/>
    </row>
    <row r="2218" spans="1:11">
      <c r="A2218" s="289" t="s">
        <v>93</v>
      </c>
      <c r="B2218" s="314">
        <f t="shared" ref="B2218:J2218" si="277">B$2142</f>
        <v>276583.00427776924</v>
      </c>
      <c r="C2218" s="314">
        <f t="shared" si="277"/>
        <v>272646.7940757756</v>
      </c>
      <c r="D2218" s="314">
        <f t="shared" si="277"/>
        <v>83404.803959472396</v>
      </c>
      <c r="E2218" s="314">
        <f t="shared" si="277"/>
        <v>84165.511872371717</v>
      </c>
      <c r="F2218" s="314">
        <f t="shared" si="277"/>
        <v>83589.599278914655</v>
      </c>
      <c r="G2218" s="314">
        <f t="shared" si="277"/>
        <v>184949.60906817057</v>
      </c>
      <c r="H2218" s="314">
        <f t="shared" si="277"/>
        <v>264650.51376190042</v>
      </c>
      <c r="I2218" s="314">
        <f t="shared" si="277"/>
        <v>259951.11211566103</v>
      </c>
      <c r="J2218" s="314">
        <f t="shared" si="277"/>
        <v>255885.63934108309</v>
      </c>
      <c r="K2218" s="291"/>
    </row>
    <row r="2219" spans="1:11">
      <c r="A2219" s="289" t="s">
        <v>129</v>
      </c>
      <c r="B2219" s="314">
        <f t="shared" ref="B2219:J2219" si="278">B$2123</f>
        <v>555.89748253101789</v>
      </c>
      <c r="C2219" s="314">
        <f t="shared" si="278"/>
        <v>983.28120975865579</v>
      </c>
      <c r="D2219" s="314">
        <f t="shared" si="278"/>
        <v>300.79347463062686</v>
      </c>
      <c r="E2219" s="314">
        <f t="shared" si="278"/>
        <v>315.74018893526295</v>
      </c>
      <c r="F2219" s="314">
        <f t="shared" si="278"/>
        <v>313.57969888389761</v>
      </c>
      <c r="G2219" s="314">
        <f t="shared" si="278"/>
        <v>667.00756913502642</v>
      </c>
      <c r="H2219" s="314">
        <f t="shared" si="278"/>
        <v>992.81524413120837</v>
      </c>
      <c r="I2219" s="314">
        <f t="shared" si="278"/>
        <v>975.18581456252343</v>
      </c>
      <c r="J2219" s="314">
        <f t="shared" si="278"/>
        <v>959.93451847460904</v>
      </c>
      <c r="K2219" s="291"/>
    </row>
    <row r="2220" spans="1:11">
      <c r="A2220" s="289" t="s">
        <v>94</v>
      </c>
      <c r="B2220" s="314">
        <f t="shared" ref="B2220:J2220" si="279">B$2124</f>
        <v>373708.98090410582</v>
      </c>
      <c r="C2220" s="314">
        <f t="shared" si="279"/>
        <v>374823.75967884337</v>
      </c>
      <c r="D2220" s="314">
        <f t="shared" si="279"/>
        <v>114661.54333976061</v>
      </c>
      <c r="E2220" s="314">
        <f t="shared" si="279"/>
        <v>109648.24283024298</v>
      </c>
      <c r="F2220" s="314">
        <f t="shared" si="279"/>
        <v>108897.9615987555</v>
      </c>
      <c r="G2220" s="314">
        <f t="shared" si="279"/>
        <v>254261.22488275875</v>
      </c>
      <c r="H2220" s="314">
        <f t="shared" si="279"/>
        <v>344778.55777930637</v>
      </c>
      <c r="I2220" s="314">
        <f t="shared" si="279"/>
        <v>338656.32170658978</v>
      </c>
      <c r="J2220" s="314">
        <f t="shared" si="279"/>
        <v>333359.94869001937</v>
      </c>
      <c r="K2220" s="291"/>
    </row>
    <row r="2221" spans="1:11">
      <c r="A2221" s="289" t="s">
        <v>95</v>
      </c>
      <c r="B2221" s="314">
        <f t="shared" ref="B2221:J2221" si="280">B$2143</f>
        <v>133632.76164962718</v>
      </c>
      <c r="C2221" s="314">
        <f t="shared" si="280"/>
        <v>134830.50366679145</v>
      </c>
      <c r="D2221" s="314">
        <f t="shared" si="280"/>
        <v>41245.714126975021</v>
      </c>
      <c r="E2221" s="314">
        <f t="shared" si="280"/>
        <v>40344.970868242039</v>
      </c>
      <c r="F2221" s="314">
        <f t="shared" si="280"/>
        <v>40068.905573933444</v>
      </c>
      <c r="G2221" s="314">
        <f t="shared" si="280"/>
        <v>91462.102197713801</v>
      </c>
      <c r="H2221" s="314">
        <f t="shared" si="280"/>
        <v>126860.95563917205</v>
      </c>
      <c r="I2221" s="314">
        <f t="shared" si="280"/>
        <v>124608.28446427088</v>
      </c>
      <c r="J2221" s="314">
        <f t="shared" si="280"/>
        <v>122659.48884707438</v>
      </c>
      <c r="K2221" s="291"/>
    </row>
    <row r="2222" spans="1:11">
      <c r="A2222" s="289" t="s">
        <v>130</v>
      </c>
      <c r="B2222" s="314">
        <f t="shared" ref="B2222:J2222" si="281">B$2125</f>
        <v>238.70645571394479</v>
      </c>
      <c r="C2222" s="314">
        <f t="shared" si="281"/>
        <v>289.84368650436767</v>
      </c>
      <c r="D2222" s="314">
        <f t="shared" si="281"/>
        <v>88.665468940261547</v>
      </c>
      <c r="E2222" s="314">
        <f t="shared" si="281"/>
        <v>93.610351728194445</v>
      </c>
      <c r="F2222" s="314">
        <f t="shared" si="281"/>
        <v>92.96981168704356</v>
      </c>
      <c r="G2222" s="314">
        <f t="shared" si="281"/>
        <v>196.61509936904505</v>
      </c>
      <c r="H2222" s="314">
        <f t="shared" si="281"/>
        <v>294.34892187035115</v>
      </c>
      <c r="I2222" s="314">
        <f t="shared" si="281"/>
        <v>289.12216531377487</v>
      </c>
      <c r="J2222" s="314">
        <f t="shared" si="281"/>
        <v>284.60047551585939</v>
      </c>
      <c r="K2222" s="291"/>
    </row>
    <row r="2223" spans="1:11">
      <c r="A2223" s="289" t="s">
        <v>96</v>
      </c>
      <c r="B2223" s="314">
        <f t="shared" ref="B2223:J2223" si="282">B$2144</f>
        <v>0</v>
      </c>
      <c r="C2223" s="314">
        <f t="shared" si="282"/>
        <v>0</v>
      </c>
      <c r="D2223" s="314">
        <f t="shared" si="282"/>
        <v>0</v>
      </c>
      <c r="E2223" s="314">
        <f t="shared" si="282"/>
        <v>0</v>
      </c>
      <c r="F2223" s="314">
        <f t="shared" si="282"/>
        <v>0</v>
      </c>
      <c r="G2223" s="314">
        <f t="shared" si="282"/>
        <v>0</v>
      </c>
      <c r="H2223" s="314">
        <f t="shared" si="282"/>
        <v>0</v>
      </c>
      <c r="I2223" s="314">
        <f t="shared" si="282"/>
        <v>0</v>
      </c>
      <c r="J2223" s="314">
        <f t="shared" si="282"/>
        <v>0</v>
      </c>
      <c r="K2223" s="291"/>
    </row>
    <row r="2224" spans="1:11">
      <c r="A2224" s="289" t="s">
        <v>97</v>
      </c>
      <c r="B2224" s="314">
        <f t="shared" ref="B2224:J2224" si="283">B$2145</f>
        <v>0</v>
      </c>
      <c r="C2224" s="314">
        <f t="shared" si="283"/>
        <v>0</v>
      </c>
      <c r="D2224" s="314">
        <f t="shared" si="283"/>
        <v>0</v>
      </c>
      <c r="E2224" s="314">
        <f t="shared" si="283"/>
        <v>0</v>
      </c>
      <c r="F2224" s="314">
        <f t="shared" si="283"/>
        <v>0</v>
      </c>
      <c r="G2224" s="314">
        <f t="shared" si="283"/>
        <v>0</v>
      </c>
      <c r="H2224" s="314">
        <f t="shared" si="283"/>
        <v>0</v>
      </c>
      <c r="I2224" s="314">
        <f t="shared" si="283"/>
        <v>0</v>
      </c>
      <c r="J2224" s="314">
        <f t="shared" si="283"/>
        <v>0</v>
      </c>
      <c r="K2224" s="291"/>
    </row>
    <row r="2225" spans="1:11">
      <c r="A2225" s="289" t="s">
        <v>110</v>
      </c>
      <c r="B2225" s="314">
        <f t="shared" ref="B2225:J2225" si="284">B$2146</f>
        <v>0</v>
      </c>
      <c r="C2225" s="314">
        <f t="shared" si="284"/>
        <v>0</v>
      </c>
      <c r="D2225" s="314">
        <f t="shared" si="284"/>
        <v>0</v>
      </c>
      <c r="E2225" s="314">
        <f t="shared" si="284"/>
        <v>0</v>
      </c>
      <c r="F2225" s="314">
        <f t="shared" si="284"/>
        <v>0</v>
      </c>
      <c r="G2225" s="314">
        <f t="shared" si="284"/>
        <v>0</v>
      </c>
      <c r="H2225" s="314">
        <f t="shared" si="284"/>
        <v>0</v>
      </c>
      <c r="I2225" s="314">
        <f t="shared" si="284"/>
        <v>0</v>
      </c>
      <c r="J2225" s="314">
        <f t="shared" si="284"/>
        <v>0</v>
      </c>
      <c r="K2225" s="291"/>
    </row>
    <row r="2226" spans="1:11">
      <c r="A2226" s="289" t="s">
        <v>1536</v>
      </c>
      <c r="B2226" s="314">
        <f t="shared" ref="B2226:J2226" si="285">B$2161</f>
        <v>0</v>
      </c>
      <c r="C2226" s="314">
        <f t="shared" si="285"/>
        <v>0</v>
      </c>
      <c r="D2226" s="314">
        <f t="shared" si="285"/>
        <v>0</v>
      </c>
      <c r="E2226" s="314">
        <f t="shared" si="285"/>
        <v>0</v>
      </c>
      <c r="F2226" s="314">
        <f t="shared" si="285"/>
        <v>0</v>
      </c>
      <c r="G2226" s="314">
        <f t="shared" si="285"/>
        <v>0</v>
      </c>
      <c r="H2226" s="314">
        <f t="shared" si="285"/>
        <v>0</v>
      </c>
      <c r="I2226" s="314">
        <f t="shared" si="285"/>
        <v>0</v>
      </c>
      <c r="J2226" s="314">
        <f t="shared" si="285"/>
        <v>0</v>
      </c>
      <c r="K2226" s="291"/>
    </row>
    <row r="2227" spans="1:11">
      <c r="A2227" s="289" t="s">
        <v>1535</v>
      </c>
      <c r="B2227" s="314">
        <f t="shared" ref="B2227:J2227" si="286">B$2162</f>
        <v>121289.3080022698</v>
      </c>
      <c r="C2227" s="314">
        <f t="shared" si="286"/>
        <v>120771.38601965744</v>
      </c>
      <c r="D2227" s="314">
        <f t="shared" si="286"/>
        <v>36944.919191251422</v>
      </c>
      <c r="E2227" s="314">
        <f t="shared" si="286"/>
        <v>36021.509399436996</v>
      </c>
      <c r="F2227" s="314">
        <f t="shared" si="286"/>
        <v>35775.027907945252</v>
      </c>
      <c r="G2227" s="314">
        <f t="shared" si="286"/>
        <v>81925.117464424839</v>
      </c>
      <c r="H2227" s="314">
        <f t="shared" si="286"/>
        <v>113266.23883065191</v>
      </c>
      <c r="I2227" s="314">
        <f t="shared" si="286"/>
        <v>111254.96916917307</v>
      </c>
      <c r="J2227" s="314">
        <f t="shared" si="286"/>
        <v>109515.01104969198</v>
      </c>
      <c r="K2227" s="291"/>
    </row>
    <row r="2228" spans="1:11">
      <c r="A2228" s="289" t="s">
        <v>98</v>
      </c>
      <c r="B2228" s="314">
        <f t="shared" ref="B2228:J2228" si="287">B$2163</f>
        <v>521716.04969898349</v>
      </c>
      <c r="C2228" s="314">
        <f t="shared" si="287"/>
        <v>521030.27406809625</v>
      </c>
      <c r="D2228" s="314">
        <f t="shared" si="287"/>
        <v>159387.26883955981</v>
      </c>
      <c r="E2228" s="314">
        <f t="shared" si="287"/>
        <v>155052.91155107343</v>
      </c>
      <c r="F2228" s="314">
        <f t="shared" si="287"/>
        <v>153991.94343684323</v>
      </c>
      <c r="G2228" s="314">
        <f t="shared" si="287"/>
        <v>353440.22961368109</v>
      </c>
      <c r="H2228" s="314">
        <f t="shared" si="287"/>
        <v>487549.25609547953</v>
      </c>
      <c r="I2228" s="314">
        <f t="shared" si="287"/>
        <v>478891.83939845697</v>
      </c>
      <c r="J2228" s="314">
        <f t="shared" si="287"/>
        <v>471402.2706130165</v>
      </c>
      <c r="K2228" s="291"/>
    </row>
    <row r="2229" spans="1:11">
      <c r="A2229" s="289" t="s">
        <v>99</v>
      </c>
      <c r="B2229" s="314">
        <f t="shared" ref="B2229:J2229" si="288">B$2164</f>
        <v>13304.008860051423</v>
      </c>
      <c r="C2229" s="314">
        <f t="shared" si="288"/>
        <v>13310.585184127165</v>
      </c>
      <c r="D2229" s="314">
        <f t="shared" si="288"/>
        <v>4071.8129535733328</v>
      </c>
      <c r="E2229" s="314">
        <f t="shared" si="288"/>
        <v>3965.5582837911315</v>
      </c>
      <c r="F2229" s="314">
        <f t="shared" si="288"/>
        <v>3938.423476375162</v>
      </c>
      <c r="G2229" s="314">
        <f t="shared" si="288"/>
        <v>9029.2186805934252</v>
      </c>
      <c r="H2229" s="314">
        <f t="shared" si="288"/>
        <v>12469.323999948117</v>
      </c>
      <c r="I2229" s="314">
        <f t="shared" si="288"/>
        <v>12247.9060971453</v>
      </c>
      <c r="J2229" s="314">
        <f t="shared" si="288"/>
        <v>0</v>
      </c>
      <c r="K2229" s="291"/>
    </row>
    <row r="2230" spans="1:11">
      <c r="A2230" s="289" t="s">
        <v>111</v>
      </c>
      <c r="B2230" s="314">
        <f t="shared" ref="B2230:J2230" si="289">B$2165</f>
        <v>1125434.7354996025</v>
      </c>
      <c r="C2230" s="314">
        <f t="shared" si="289"/>
        <v>1131037.6066637256</v>
      </c>
      <c r="D2230" s="314">
        <f t="shared" si="289"/>
        <v>345993.3214118816</v>
      </c>
      <c r="E2230" s="314">
        <f t="shared" si="289"/>
        <v>337933.64920725516</v>
      </c>
      <c r="F2230" s="314">
        <f t="shared" si="289"/>
        <v>335621.29774640396</v>
      </c>
      <c r="G2230" s="314">
        <f t="shared" si="289"/>
        <v>767237.93471680221</v>
      </c>
      <c r="H2230" s="314">
        <f t="shared" si="289"/>
        <v>1062600.4867142232</v>
      </c>
      <c r="I2230" s="314">
        <f t="shared" si="289"/>
        <v>0</v>
      </c>
      <c r="J2230" s="314">
        <f t="shared" si="289"/>
        <v>0</v>
      </c>
      <c r="K2230" s="291"/>
    </row>
    <row r="2231" spans="1:11">
      <c r="A2231" s="289" t="s">
        <v>131</v>
      </c>
      <c r="B2231" s="314">
        <f t="shared" ref="B2231:J2231" si="290">B$2126</f>
        <v>7545.3752437545145</v>
      </c>
      <c r="C2231" s="314">
        <f t="shared" si="290"/>
        <v>7533.4229760428416</v>
      </c>
      <c r="D2231" s="314">
        <f t="shared" si="290"/>
        <v>2304.5334847620147</v>
      </c>
      <c r="E2231" s="314">
        <f t="shared" si="290"/>
        <v>2284.1204109508076</v>
      </c>
      <c r="F2231" s="314">
        <f t="shared" si="290"/>
        <v>2268.4910435249467</v>
      </c>
      <c r="G2231" s="314">
        <f t="shared" si="290"/>
        <v>5110.2879793153279</v>
      </c>
      <c r="H2231" s="314">
        <f t="shared" si="290"/>
        <v>7182.2011986195284</v>
      </c>
      <c r="I2231" s="314">
        <f t="shared" si="290"/>
        <v>7054.6667848122661</v>
      </c>
      <c r="J2231" s="314">
        <f t="shared" si="290"/>
        <v>6944.336209520814</v>
      </c>
      <c r="K2231" s="291"/>
    </row>
    <row r="2232" spans="1:11">
      <c r="A2232" s="289" t="s">
        <v>132</v>
      </c>
      <c r="B2232" s="314">
        <f t="shared" ref="B2232:J2232" si="291">B$2127</f>
        <v>3364.5842000499479</v>
      </c>
      <c r="C2232" s="314">
        <f t="shared" si="291"/>
        <v>3018.2771801940407</v>
      </c>
      <c r="D2232" s="314">
        <f t="shared" si="291"/>
        <v>923.31478667403076</v>
      </c>
      <c r="E2232" s="314">
        <f t="shared" si="291"/>
        <v>968.37690769429298</v>
      </c>
      <c r="F2232" s="314">
        <f t="shared" si="291"/>
        <v>961.75067274428307</v>
      </c>
      <c r="G2232" s="314">
        <f t="shared" si="291"/>
        <v>2047.4445204043795</v>
      </c>
      <c r="H2232" s="314">
        <f t="shared" si="291"/>
        <v>3044.969850894262</v>
      </c>
      <c r="I2232" s="314">
        <f t="shared" si="291"/>
        <v>2990.9002927942706</v>
      </c>
      <c r="J2232" s="314">
        <f t="shared" si="291"/>
        <v>2944.1244832473503</v>
      </c>
      <c r="K2232" s="291"/>
    </row>
    <row r="2233" spans="1:11">
      <c r="A2233" s="289" t="s">
        <v>133</v>
      </c>
      <c r="B2233" s="314">
        <f t="shared" ref="B2233:J2233" si="292">B$2128</f>
        <v>290.968888679994</v>
      </c>
      <c r="C2233" s="314">
        <f t="shared" si="292"/>
        <v>256.3429597954734</v>
      </c>
      <c r="D2233" s="314">
        <f t="shared" si="292"/>
        <v>78.417332507457473</v>
      </c>
      <c r="E2233" s="314">
        <f t="shared" si="292"/>
        <v>80.8083382370301</v>
      </c>
      <c r="F2233" s="314">
        <f t="shared" si="292"/>
        <v>80.255397506180458</v>
      </c>
      <c r="G2233" s="314">
        <f t="shared" si="292"/>
        <v>173.88992363641717</v>
      </c>
      <c r="H2233" s="314">
        <f t="shared" si="292"/>
        <v>254.09419790739278</v>
      </c>
      <c r="I2233" s="314">
        <f t="shared" si="292"/>
        <v>249.58224486043906</v>
      </c>
      <c r="J2233" s="314">
        <f t="shared" si="292"/>
        <v>245.6789346832289</v>
      </c>
      <c r="K2233" s="291"/>
    </row>
    <row r="2234" spans="1:11">
      <c r="A2234" s="289" t="s">
        <v>134</v>
      </c>
      <c r="B2234" s="314">
        <f t="shared" ref="B2234:J2234" si="293">B$2129</f>
        <v>368.20459015897336</v>
      </c>
      <c r="C2234" s="314">
        <f t="shared" si="293"/>
        <v>463.55527327611867</v>
      </c>
      <c r="D2234" s="314">
        <f t="shared" si="293"/>
        <v>141.80521294238642</v>
      </c>
      <c r="E2234" s="314">
        <f t="shared" si="293"/>
        <v>125.98138737785747</v>
      </c>
      <c r="F2234" s="314">
        <f t="shared" si="293"/>
        <v>125.11934464897672</v>
      </c>
      <c r="G2234" s="314">
        <f t="shared" si="293"/>
        <v>314.4521352782873</v>
      </c>
      <c r="H2234" s="314">
        <f t="shared" si="293"/>
        <v>396.13659030013628</v>
      </c>
      <c r="I2234" s="314">
        <f t="shared" si="293"/>
        <v>389.1023891639656</v>
      </c>
      <c r="J2234" s="314">
        <f t="shared" si="293"/>
        <v>383.01707121015937</v>
      </c>
      <c r="K2234" s="291"/>
    </row>
    <row r="2235" spans="1:11">
      <c r="A2235" s="289" t="s">
        <v>135</v>
      </c>
      <c r="B2235" s="314">
        <f t="shared" ref="B2235:J2235" si="294">B$2166</f>
        <v>53119.372311860388</v>
      </c>
      <c r="C2235" s="314">
        <f t="shared" si="294"/>
        <v>47836.537962960814</v>
      </c>
      <c r="D2235" s="314">
        <f t="shared" si="294"/>
        <v>14633.574124446657</v>
      </c>
      <c r="E2235" s="314">
        <f t="shared" si="294"/>
        <v>15247.936814193939</v>
      </c>
      <c r="F2235" s="314">
        <f t="shared" si="294"/>
        <v>15143.600980665733</v>
      </c>
      <c r="G2235" s="314">
        <f t="shared" si="294"/>
        <v>32449.855225385094</v>
      </c>
      <c r="H2235" s="314">
        <f t="shared" si="294"/>
        <v>47945.699157686431</v>
      </c>
      <c r="I2235" s="314">
        <f t="shared" si="294"/>
        <v>47094.326929652751</v>
      </c>
      <c r="J2235" s="314">
        <f t="shared" si="294"/>
        <v>46357.801117505463</v>
      </c>
      <c r="K2235" s="291"/>
    </row>
    <row r="2236" spans="1:11">
      <c r="A2236" s="289" t="s">
        <v>1534</v>
      </c>
      <c r="B2236" s="314">
        <f t="shared" ref="B2236:J2236" si="295">B2199</f>
        <v>-206.07299135648762</v>
      </c>
      <c r="C2236" s="314">
        <f t="shared" si="295"/>
        <v>-205.66166802044671</v>
      </c>
      <c r="D2236" s="314">
        <f t="shared" si="295"/>
        <v>-62.913525762771833</v>
      </c>
      <c r="E2236" s="314">
        <f t="shared" si="295"/>
        <v>-62.356220908574052</v>
      </c>
      <c r="F2236" s="314">
        <f t="shared" si="295"/>
        <v>-61.929541000108735</v>
      </c>
      <c r="G2236" s="314">
        <f t="shared" si="295"/>
        <v>-139.5103332486573</v>
      </c>
      <c r="H2236" s="314">
        <f t="shared" si="295"/>
        <v>-196.07325533443159</v>
      </c>
      <c r="I2236" s="314">
        <f t="shared" si="295"/>
        <v>-192.5915807069978</v>
      </c>
      <c r="J2236" s="314">
        <f t="shared" si="295"/>
        <v>0</v>
      </c>
      <c r="K2236" s="291"/>
    </row>
    <row r="2237" spans="1:11">
      <c r="A2237" s="289" t="s">
        <v>100</v>
      </c>
      <c r="B2237" s="314">
        <f t="shared" ref="B2237:J2237" si="296">B2200</f>
        <v>0</v>
      </c>
      <c r="C2237" s="314">
        <f t="shared" si="296"/>
        <v>0</v>
      </c>
      <c r="D2237" s="314">
        <f t="shared" si="296"/>
        <v>0</v>
      </c>
      <c r="E2237" s="314">
        <f t="shared" si="296"/>
        <v>0</v>
      </c>
      <c r="F2237" s="314">
        <f t="shared" si="296"/>
        <v>0</v>
      </c>
      <c r="G2237" s="314">
        <f t="shared" si="296"/>
        <v>0</v>
      </c>
      <c r="H2237" s="314">
        <f t="shared" si="296"/>
        <v>0</v>
      </c>
      <c r="I2237" s="314">
        <f t="shared" si="296"/>
        <v>0</v>
      </c>
      <c r="J2237" s="314">
        <f t="shared" si="296"/>
        <v>0</v>
      </c>
      <c r="K2237" s="291"/>
    </row>
    <row r="2238" spans="1:11">
      <c r="A2238" s="289" t="s">
        <v>101</v>
      </c>
      <c r="B2238" s="314">
        <f t="shared" ref="B2238:J2238" si="297">B2201</f>
        <v>-3110.1487112508667</v>
      </c>
      <c r="C2238" s="314">
        <f t="shared" si="297"/>
        <v>-3103.9408295916833</v>
      </c>
      <c r="D2238" s="314">
        <f t="shared" si="297"/>
        <v>-949.51997242977302</v>
      </c>
      <c r="E2238" s="314">
        <f t="shared" si="297"/>
        <v>-941.10887031179277</v>
      </c>
      <c r="F2238" s="314">
        <f t="shared" si="297"/>
        <v>-934.66922017280694</v>
      </c>
      <c r="G2238" s="314">
        <f t="shared" si="297"/>
        <v>-2105.5543489873762</v>
      </c>
      <c r="H2238" s="314">
        <f t="shared" si="297"/>
        <v>-2959.2280792111005</v>
      </c>
      <c r="I2238" s="314">
        <f t="shared" si="297"/>
        <v>-2906.6810385522117</v>
      </c>
      <c r="J2238" s="314">
        <f t="shared" si="297"/>
        <v>0</v>
      </c>
      <c r="K2238" s="291"/>
    </row>
    <row r="2239" spans="1:11">
      <c r="A2239" s="289" t="s">
        <v>102</v>
      </c>
      <c r="B2239" s="314">
        <f t="shared" ref="B2239:J2239" si="298">B$2167</f>
        <v>-1196.6264010480954</v>
      </c>
      <c r="C2239" s="314">
        <f t="shared" si="298"/>
        <v>-1221.7659149332494</v>
      </c>
      <c r="D2239" s="314">
        <f t="shared" si="298"/>
        <v>-373.74782624824172</v>
      </c>
      <c r="E2239" s="314">
        <f t="shared" si="298"/>
        <v>-364.30663356793946</v>
      </c>
      <c r="F2239" s="314">
        <f t="shared" si="298"/>
        <v>-361.81382180354501</v>
      </c>
      <c r="G2239" s="314">
        <f t="shared" si="298"/>
        <v>-828.78336826113059</v>
      </c>
      <c r="H2239" s="314">
        <f t="shared" si="298"/>
        <v>-1145.5278485898752</v>
      </c>
      <c r="I2239" s="314">
        <f t="shared" si="298"/>
        <v>-1125.186699876597</v>
      </c>
      <c r="J2239" s="314">
        <f t="shared" si="298"/>
        <v>0</v>
      </c>
      <c r="K2239" s="291"/>
    </row>
    <row r="2240" spans="1:11">
      <c r="A2240" s="289" t="s">
        <v>103</v>
      </c>
      <c r="B2240" s="314">
        <f t="shared" ref="B2240:J2240" si="299">B2203</f>
        <v>-148.24623072411279</v>
      </c>
      <c r="C2240" s="314">
        <f t="shared" si="299"/>
        <v>-147.95033006398486</v>
      </c>
      <c r="D2240" s="314">
        <f t="shared" si="299"/>
        <v>-45.259172463610014</v>
      </c>
      <c r="E2240" s="314">
        <f t="shared" si="299"/>
        <v>-44.858254597298512</v>
      </c>
      <c r="F2240" s="314">
        <f t="shared" si="299"/>
        <v>-44.551306618626867</v>
      </c>
      <c r="G2240" s="314">
        <f t="shared" si="299"/>
        <v>-100.36191989565744</v>
      </c>
      <c r="H2240" s="314">
        <f t="shared" si="299"/>
        <v>-141.05255064140135</v>
      </c>
      <c r="I2240" s="314">
        <f t="shared" si="299"/>
        <v>0</v>
      </c>
      <c r="J2240" s="314">
        <f t="shared" si="299"/>
        <v>0</v>
      </c>
      <c r="K2240" s="291"/>
    </row>
    <row r="2241" spans="1:11">
      <c r="A2241" s="289" t="s">
        <v>104</v>
      </c>
      <c r="B2241" s="314">
        <f t="shared" ref="B2241:J2241" si="300">B$2168</f>
        <v>-1813.7882511847608</v>
      </c>
      <c r="C2241" s="314">
        <f t="shared" si="300"/>
        <v>-1729.474443966212</v>
      </c>
      <c r="D2241" s="314">
        <f t="shared" si="300"/>
        <v>-529.05986824781667</v>
      </c>
      <c r="E2241" s="314">
        <f t="shared" si="300"/>
        <v>-527.52629021511916</v>
      </c>
      <c r="F2241" s="314">
        <f t="shared" si="300"/>
        <v>-523.91662840524054</v>
      </c>
      <c r="G2241" s="314">
        <f t="shared" si="300"/>
        <v>-1173.186808923356</v>
      </c>
      <c r="H2241" s="314">
        <f t="shared" si="300"/>
        <v>-1658.7566643691887</v>
      </c>
      <c r="I2241" s="314">
        <f t="shared" si="300"/>
        <v>0</v>
      </c>
      <c r="J2241" s="314">
        <f t="shared" si="300"/>
        <v>0</v>
      </c>
      <c r="K2241" s="291"/>
    </row>
    <row r="2242" spans="1:11">
      <c r="A2242" s="289" t="s">
        <v>112</v>
      </c>
      <c r="B2242" s="314">
        <f t="shared" ref="B2242:J2242" si="301">B2205</f>
        <v>-11463.083163160274</v>
      </c>
      <c r="C2242" s="314">
        <f t="shared" si="301"/>
        <v>-11440.202757644982</v>
      </c>
      <c r="D2242" s="314">
        <f t="shared" si="301"/>
        <v>-3499.6482225014079</v>
      </c>
      <c r="E2242" s="314">
        <f t="shared" si="301"/>
        <v>-3468.647401632792</v>
      </c>
      <c r="F2242" s="314">
        <f t="shared" si="301"/>
        <v>-3444.9127664310045</v>
      </c>
      <c r="G2242" s="314">
        <f t="shared" si="301"/>
        <v>-7760.4471193561649</v>
      </c>
      <c r="H2242" s="314">
        <f t="shared" si="301"/>
        <v>0</v>
      </c>
      <c r="I2242" s="314">
        <f t="shared" si="301"/>
        <v>0</v>
      </c>
      <c r="J2242" s="314">
        <f t="shared" si="301"/>
        <v>0</v>
      </c>
      <c r="K2242" s="291"/>
    </row>
    <row r="2243" spans="1:11">
      <c r="A2243" s="289" t="s">
        <v>113</v>
      </c>
      <c r="B2243" s="314">
        <f t="shared" ref="B2243:J2243" si="302">B$2169</f>
        <v>-85960.300716284197</v>
      </c>
      <c r="C2243" s="314">
        <f t="shared" si="302"/>
        <v>-84617.301146004844</v>
      </c>
      <c r="D2243" s="314">
        <f t="shared" si="302"/>
        <v>-25885.099575756303</v>
      </c>
      <c r="E2243" s="314">
        <f t="shared" si="302"/>
        <v>-25706.991415477896</v>
      </c>
      <c r="F2243" s="314">
        <f t="shared" si="302"/>
        <v>-25531.088248412067</v>
      </c>
      <c r="G2243" s="314">
        <f t="shared" si="302"/>
        <v>-57400.039565503692</v>
      </c>
      <c r="H2243" s="314">
        <f t="shared" si="302"/>
        <v>0</v>
      </c>
      <c r="I2243" s="314">
        <f t="shared" si="302"/>
        <v>0</v>
      </c>
      <c r="J2243" s="314">
        <f t="shared" si="302"/>
        <v>0</v>
      </c>
      <c r="K2243" s="291"/>
    </row>
    <row r="2245" spans="1:11" ht="21" customHeight="1">
      <c r="A2245" s="1" t="s">
        <v>559</v>
      </c>
    </row>
    <row r="2246" spans="1:11">
      <c r="A2246" s="287" t="s">
        <v>255</v>
      </c>
    </row>
    <row r="2247" spans="1:11">
      <c r="A2247" s="301" t="s">
        <v>560</v>
      </c>
    </row>
    <row r="2248" spans="1:11">
      <c r="A2248" s="287" t="s">
        <v>561</v>
      </c>
    </row>
    <row r="2250" spans="1:11">
      <c r="B2250" s="288" t="s">
        <v>60</v>
      </c>
      <c r="C2250" s="288" t="s">
        <v>61</v>
      </c>
      <c r="D2250" s="288" t="s">
        <v>62</v>
      </c>
      <c r="E2250" s="288" t="s">
        <v>63</v>
      </c>
      <c r="F2250" s="288" t="s">
        <v>64</v>
      </c>
      <c r="G2250" s="288" t="s">
        <v>69</v>
      </c>
      <c r="H2250" s="288" t="s">
        <v>65</v>
      </c>
      <c r="I2250" s="288" t="s">
        <v>66</v>
      </c>
      <c r="J2250" s="288" t="s">
        <v>67</v>
      </c>
    </row>
    <row r="2251" spans="1:11" ht="30">
      <c r="A2251" s="289" t="s">
        <v>562</v>
      </c>
      <c r="B2251" s="312">
        <f t="shared" ref="B2251:J2251" si="303">SUM(B$2217:B$2243)</f>
        <v>4285464.6288498268</v>
      </c>
      <c r="C2251" s="312">
        <f t="shared" si="303"/>
        <v>4215897.7857135953</v>
      </c>
      <c r="D2251" s="312">
        <f t="shared" si="303"/>
        <v>1289676.3724017614</v>
      </c>
      <c r="E2251" s="312">
        <f t="shared" si="303"/>
        <v>1262155.4770796013</v>
      </c>
      <c r="F2251" s="312">
        <f t="shared" si="303"/>
        <v>1253519.0270898091</v>
      </c>
      <c r="G2251" s="312">
        <f t="shared" si="303"/>
        <v>2859848.9484618288</v>
      </c>
      <c r="H2251" s="312">
        <f t="shared" si="303"/>
        <v>4060468.8981993427</v>
      </c>
      <c r="I2251" s="312">
        <f t="shared" si="303"/>
        <v>2946403.0840708748</v>
      </c>
      <c r="J2251" s="312">
        <f t="shared" si="303"/>
        <v>2892425.2179423794</v>
      </c>
      <c r="K2251" s="291"/>
    </row>
    <row r="2253" spans="1:11" ht="21" customHeight="1">
      <c r="A2253" s="1" t="str">
        <f>"Forecast aggregate maximum load for "&amp;CDCM!B7&amp;" in "&amp;CDCM!C7&amp;" ("&amp;CDCM!D7&amp;")"</f>
        <v>Forecast aggregate maximum load for West Mids in 0 (Forecast)</v>
      </c>
    </row>
    <row r="2255" spans="1:11" ht="21" customHeight="1">
      <c r="A2255" s="1" t="s">
        <v>563</v>
      </c>
    </row>
    <row r="2256" spans="1:11">
      <c r="A2256" s="287" t="s">
        <v>255</v>
      </c>
    </row>
    <row r="2257" spans="1:12">
      <c r="A2257" s="301" t="s">
        <v>564</v>
      </c>
    </row>
    <row r="2258" spans="1:12">
      <c r="A2258" s="301" t="s">
        <v>565</v>
      </c>
    </row>
    <row r="2259" spans="1:12">
      <c r="A2259" s="301" t="s">
        <v>566</v>
      </c>
    </row>
    <row r="2260" spans="1:12">
      <c r="A2260" s="302" t="s">
        <v>258</v>
      </c>
      <c r="B2260" s="303" t="s">
        <v>259</v>
      </c>
      <c r="C2260" s="303"/>
      <c r="D2260" s="303"/>
      <c r="E2260" s="303"/>
      <c r="F2260" s="303"/>
      <c r="G2260" s="303"/>
      <c r="H2260" s="303"/>
      <c r="I2260" s="303"/>
      <c r="J2260" s="302" t="s">
        <v>259</v>
      </c>
      <c r="K2260" s="302" t="s">
        <v>380</v>
      </c>
    </row>
    <row r="2261" spans="1:12">
      <c r="A2261" s="302" t="s">
        <v>261</v>
      </c>
      <c r="B2261" s="303" t="s">
        <v>262</v>
      </c>
      <c r="C2261" s="303"/>
      <c r="D2261" s="303"/>
      <c r="E2261" s="303"/>
      <c r="F2261" s="303"/>
      <c r="G2261" s="303"/>
      <c r="H2261" s="303"/>
      <c r="I2261" s="303"/>
      <c r="J2261" s="302" t="s">
        <v>262</v>
      </c>
      <c r="K2261" s="302" t="s">
        <v>567</v>
      </c>
    </row>
    <row r="2263" spans="1:12">
      <c r="B2263" s="304" t="s">
        <v>568</v>
      </c>
      <c r="C2263" s="304"/>
      <c r="D2263" s="304"/>
      <c r="E2263" s="304"/>
      <c r="F2263" s="304"/>
      <c r="G2263" s="304"/>
      <c r="H2263" s="304"/>
      <c r="I2263" s="304"/>
    </row>
    <row r="2264" spans="1:12" ht="30">
      <c r="B2264" s="288" t="s">
        <v>60</v>
      </c>
      <c r="C2264" s="288" t="s">
        <v>61</v>
      </c>
      <c r="D2264" s="288" t="s">
        <v>62</v>
      </c>
      <c r="E2264" s="288" t="s">
        <v>63</v>
      </c>
      <c r="F2264" s="288" t="s">
        <v>64</v>
      </c>
      <c r="G2264" s="288" t="s">
        <v>65</v>
      </c>
      <c r="H2264" s="288" t="s">
        <v>66</v>
      </c>
      <c r="I2264" s="288" t="s">
        <v>67</v>
      </c>
      <c r="J2264" s="288" t="s">
        <v>569</v>
      </c>
      <c r="K2264" s="288" t="s">
        <v>570</v>
      </c>
    </row>
    <row r="2265" spans="1:12">
      <c r="A2265" s="289" t="s">
        <v>92</v>
      </c>
      <c r="B2265" s="294">
        <v>0</v>
      </c>
      <c r="C2265" s="294">
        <v>0</v>
      </c>
      <c r="D2265" s="294">
        <v>0</v>
      </c>
      <c r="E2265" s="294">
        <v>0</v>
      </c>
      <c r="F2265" s="294">
        <v>0</v>
      </c>
      <c r="G2265" s="294">
        <v>0</v>
      </c>
      <c r="H2265" s="294">
        <v>0</v>
      </c>
      <c r="I2265" s="294">
        <v>1</v>
      </c>
      <c r="J2265" s="294">
        <v>0</v>
      </c>
      <c r="K2265" s="306">
        <f t="shared" ref="K2265:K2283" si="304">$C2265+0.2*$B$36*$J2265</f>
        <v>0</v>
      </c>
      <c r="L2265" s="291"/>
    </row>
    <row r="2266" spans="1:12">
      <c r="A2266" s="289" t="s">
        <v>93</v>
      </c>
      <c r="B2266" s="294">
        <v>0</v>
      </c>
      <c r="C2266" s="294">
        <v>0</v>
      </c>
      <c r="D2266" s="294">
        <v>0</v>
      </c>
      <c r="E2266" s="294">
        <v>0</v>
      </c>
      <c r="F2266" s="294">
        <v>0</v>
      </c>
      <c r="G2266" s="294">
        <v>0</v>
      </c>
      <c r="H2266" s="294">
        <v>0</v>
      </c>
      <c r="I2266" s="294">
        <v>1</v>
      </c>
      <c r="J2266" s="294">
        <v>0</v>
      </c>
      <c r="K2266" s="306">
        <f t="shared" si="304"/>
        <v>0</v>
      </c>
      <c r="L2266" s="291"/>
    </row>
    <row r="2267" spans="1:12">
      <c r="A2267" s="289" t="s">
        <v>129</v>
      </c>
      <c r="B2267" s="294">
        <v>0</v>
      </c>
      <c r="C2267" s="294">
        <v>0</v>
      </c>
      <c r="D2267" s="294">
        <v>0</v>
      </c>
      <c r="E2267" s="294">
        <v>0</v>
      </c>
      <c r="F2267" s="294">
        <v>0</v>
      </c>
      <c r="G2267" s="294">
        <v>0</v>
      </c>
      <c r="H2267" s="294">
        <v>0</v>
      </c>
      <c r="I2267" s="294">
        <v>1</v>
      </c>
      <c r="J2267" s="294">
        <v>0</v>
      </c>
      <c r="K2267" s="306">
        <f t="shared" si="304"/>
        <v>0</v>
      </c>
      <c r="L2267" s="291"/>
    </row>
    <row r="2268" spans="1:12">
      <c r="A2268" s="289" t="s">
        <v>94</v>
      </c>
      <c r="B2268" s="294">
        <v>0</v>
      </c>
      <c r="C2268" s="294">
        <v>0</v>
      </c>
      <c r="D2268" s="294">
        <v>0</v>
      </c>
      <c r="E2268" s="294">
        <v>0</v>
      </c>
      <c r="F2268" s="294">
        <v>0</v>
      </c>
      <c r="G2268" s="294">
        <v>0</v>
      </c>
      <c r="H2268" s="294">
        <v>0</v>
      </c>
      <c r="I2268" s="294">
        <v>1</v>
      </c>
      <c r="J2268" s="294">
        <v>0</v>
      </c>
      <c r="K2268" s="306">
        <f t="shared" si="304"/>
        <v>0</v>
      </c>
      <c r="L2268" s="291"/>
    </row>
    <row r="2269" spans="1:12">
      <c r="A2269" s="289" t="s">
        <v>95</v>
      </c>
      <c r="B2269" s="294">
        <v>0</v>
      </c>
      <c r="C2269" s="294">
        <v>0</v>
      </c>
      <c r="D2269" s="294">
        <v>0</v>
      </c>
      <c r="E2269" s="294">
        <v>0</v>
      </c>
      <c r="F2269" s="294">
        <v>0</v>
      </c>
      <c r="G2269" s="294">
        <v>0</v>
      </c>
      <c r="H2269" s="294">
        <v>0</v>
      </c>
      <c r="I2269" s="294">
        <v>1</v>
      </c>
      <c r="J2269" s="294">
        <v>0</v>
      </c>
      <c r="K2269" s="306">
        <f t="shared" si="304"/>
        <v>0</v>
      </c>
      <c r="L2269" s="291"/>
    </row>
    <row r="2270" spans="1:12">
      <c r="A2270" s="289" t="s">
        <v>130</v>
      </c>
      <c r="B2270" s="294">
        <v>0</v>
      </c>
      <c r="C2270" s="294">
        <v>0</v>
      </c>
      <c r="D2270" s="294">
        <v>0</v>
      </c>
      <c r="E2270" s="294">
        <v>0</v>
      </c>
      <c r="F2270" s="294">
        <v>0</v>
      </c>
      <c r="G2270" s="294">
        <v>0</v>
      </c>
      <c r="H2270" s="294">
        <v>0</v>
      </c>
      <c r="I2270" s="294">
        <v>1</v>
      </c>
      <c r="J2270" s="294">
        <v>0</v>
      </c>
      <c r="K2270" s="306">
        <f t="shared" si="304"/>
        <v>0</v>
      </c>
      <c r="L2270" s="291"/>
    </row>
    <row r="2271" spans="1:12">
      <c r="A2271" s="289" t="s">
        <v>96</v>
      </c>
      <c r="B2271" s="294">
        <v>0</v>
      </c>
      <c r="C2271" s="294">
        <v>0</v>
      </c>
      <c r="D2271" s="294">
        <v>0</v>
      </c>
      <c r="E2271" s="294">
        <v>0</v>
      </c>
      <c r="F2271" s="294">
        <v>0</v>
      </c>
      <c r="G2271" s="294">
        <v>0</v>
      </c>
      <c r="H2271" s="294">
        <v>0</v>
      </c>
      <c r="I2271" s="294">
        <v>1</v>
      </c>
      <c r="J2271" s="294">
        <v>0</v>
      </c>
      <c r="K2271" s="306">
        <f t="shared" si="304"/>
        <v>0</v>
      </c>
      <c r="L2271" s="291"/>
    </row>
    <row r="2272" spans="1:12">
      <c r="A2272" s="289" t="s">
        <v>97</v>
      </c>
      <c r="B2272" s="294">
        <v>0</v>
      </c>
      <c r="C2272" s="294">
        <v>0</v>
      </c>
      <c r="D2272" s="294">
        <v>0</v>
      </c>
      <c r="E2272" s="294">
        <v>0</v>
      </c>
      <c r="F2272" s="294">
        <v>0</v>
      </c>
      <c r="G2272" s="294">
        <v>0</v>
      </c>
      <c r="H2272" s="294">
        <v>1</v>
      </c>
      <c r="I2272" s="294">
        <v>0</v>
      </c>
      <c r="J2272" s="294">
        <v>0</v>
      </c>
      <c r="K2272" s="306">
        <f t="shared" si="304"/>
        <v>0</v>
      </c>
      <c r="L2272" s="291"/>
    </row>
    <row r="2273" spans="1:12">
      <c r="A2273" s="289" t="s">
        <v>110</v>
      </c>
      <c r="B2273" s="294">
        <v>0</v>
      </c>
      <c r="C2273" s="294">
        <v>0</v>
      </c>
      <c r="D2273" s="294">
        <v>0</v>
      </c>
      <c r="E2273" s="294">
        <v>0.2</v>
      </c>
      <c r="F2273" s="294">
        <v>1</v>
      </c>
      <c r="G2273" s="294">
        <v>1</v>
      </c>
      <c r="H2273" s="294">
        <v>0</v>
      </c>
      <c r="I2273" s="294">
        <v>0</v>
      </c>
      <c r="J2273" s="294">
        <v>1</v>
      </c>
      <c r="K2273" s="306">
        <f t="shared" si="304"/>
        <v>0.13851312583363759</v>
      </c>
      <c r="L2273" s="291"/>
    </row>
    <row r="2274" spans="1:12">
      <c r="A2274" s="289" t="s">
        <v>1536</v>
      </c>
      <c r="B2274" s="294">
        <v>0</v>
      </c>
      <c r="C2274" s="294">
        <v>0</v>
      </c>
      <c r="D2274" s="294">
        <v>0</v>
      </c>
      <c r="E2274" s="294">
        <v>0</v>
      </c>
      <c r="F2274" s="294">
        <v>0</v>
      </c>
      <c r="G2274" s="294">
        <v>0</v>
      </c>
      <c r="H2274" s="294">
        <v>0</v>
      </c>
      <c r="I2274" s="294">
        <v>1</v>
      </c>
      <c r="J2274" s="294">
        <v>0</v>
      </c>
      <c r="K2274" s="306">
        <f t="shared" si="304"/>
        <v>0</v>
      </c>
      <c r="L2274" s="291"/>
    </row>
    <row r="2275" spans="1:12">
      <c r="A2275" s="289" t="s">
        <v>1535</v>
      </c>
      <c r="B2275" s="294">
        <v>0</v>
      </c>
      <c r="C2275" s="294">
        <v>0</v>
      </c>
      <c r="D2275" s="294">
        <v>0</v>
      </c>
      <c r="E2275" s="294">
        <v>0</v>
      </c>
      <c r="F2275" s="294">
        <v>0</v>
      </c>
      <c r="G2275" s="294">
        <v>0</v>
      </c>
      <c r="H2275" s="294">
        <v>0</v>
      </c>
      <c r="I2275" s="294">
        <v>1</v>
      </c>
      <c r="J2275" s="294">
        <v>0</v>
      </c>
      <c r="K2275" s="306">
        <f t="shared" si="304"/>
        <v>0</v>
      </c>
      <c r="L2275" s="291"/>
    </row>
    <row r="2276" spans="1:12">
      <c r="A2276" s="289" t="s">
        <v>98</v>
      </c>
      <c r="B2276" s="294">
        <v>0</v>
      </c>
      <c r="C2276" s="294">
        <v>0</v>
      </c>
      <c r="D2276" s="294">
        <v>0</v>
      </c>
      <c r="E2276" s="294">
        <v>0</v>
      </c>
      <c r="F2276" s="294">
        <v>0</v>
      </c>
      <c r="G2276" s="294">
        <v>0.2</v>
      </c>
      <c r="H2276" s="294">
        <v>1</v>
      </c>
      <c r="I2276" s="294">
        <v>1</v>
      </c>
      <c r="J2276" s="294">
        <v>0</v>
      </c>
      <c r="K2276" s="306">
        <f t="shared" si="304"/>
        <v>0</v>
      </c>
      <c r="L2276" s="291"/>
    </row>
    <row r="2277" spans="1:12">
      <c r="A2277" s="289" t="s">
        <v>99</v>
      </c>
      <c r="B2277" s="294">
        <v>0</v>
      </c>
      <c r="C2277" s="294">
        <v>0</v>
      </c>
      <c r="D2277" s="294">
        <v>0</v>
      </c>
      <c r="E2277" s="294">
        <v>0</v>
      </c>
      <c r="F2277" s="294">
        <v>0</v>
      </c>
      <c r="G2277" s="294">
        <v>1</v>
      </c>
      <c r="H2277" s="294">
        <v>1</v>
      </c>
      <c r="I2277" s="294">
        <v>0</v>
      </c>
      <c r="J2277" s="294">
        <v>0</v>
      </c>
      <c r="K2277" s="306">
        <f t="shared" si="304"/>
        <v>0</v>
      </c>
      <c r="L2277" s="291"/>
    </row>
    <row r="2278" spans="1:12">
      <c r="A2278" s="289" t="s">
        <v>111</v>
      </c>
      <c r="B2278" s="294">
        <v>0</v>
      </c>
      <c r="C2278" s="294">
        <v>0</v>
      </c>
      <c r="D2278" s="294">
        <v>0</v>
      </c>
      <c r="E2278" s="294">
        <v>0.2</v>
      </c>
      <c r="F2278" s="294">
        <v>1</v>
      </c>
      <c r="G2278" s="294">
        <v>1</v>
      </c>
      <c r="H2278" s="294">
        <v>0</v>
      </c>
      <c r="I2278" s="294">
        <v>0</v>
      </c>
      <c r="J2278" s="294">
        <v>1</v>
      </c>
      <c r="K2278" s="306">
        <f t="shared" si="304"/>
        <v>0.13851312583363759</v>
      </c>
      <c r="L2278" s="291"/>
    </row>
    <row r="2279" spans="1:12">
      <c r="A2279" s="289" t="s">
        <v>131</v>
      </c>
      <c r="B2279" s="294">
        <v>0</v>
      </c>
      <c r="C2279" s="294">
        <v>0</v>
      </c>
      <c r="D2279" s="294">
        <v>0</v>
      </c>
      <c r="E2279" s="294">
        <v>0</v>
      </c>
      <c r="F2279" s="294">
        <v>0</v>
      </c>
      <c r="G2279" s="294">
        <v>0</v>
      </c>
      <c r="H2279" s="294">
        <v>0</v>
      </c>
      <c r="I2279" s="294">
        <v>0</v>
      </c>
      <c r="J2279" s="294">
        <v>0</v>
      </c>
      <c r="K2279" s="306">
        <f t="shared" si="304"/>
        <v>0</v>
      </c>
      <c r="L2279" s="291"/>
    </row>
    <row r="2280" spans="1:12">
      <c r="A2280" s="289" t="s">
        <v>132</v>
      </c>
      <c r="B2280" s="294">
        <v>0</v>
      </c>
      <c r="C2280" s="294">
        <v>0</v>
      </c>
      <c r="D2280" s="294">
        <v>0</v>
      </c>
      <c r="E2280" s="294">
        <v>0</v>
      </c>
      <c r="F2280" s="294">
        <v>0</v>
      </c>
      <c r="G2280" s="294">
        <v>0</v>
      </c>
      <c r="H2280" s="294">
        <v>0</v>
      </c>
      <c r="I2280" s="294">
        <v>0</v>
      </c>
      <c r="J2280" s="294">
        <v>0</v>
      </c>
      <c r="K2280" s="306">
        <f t="shared" si="304"/>
        <v>0</v>
      </c>
      <c r="L2280" s="291"/>
    </row>
    <row r="2281" spans="1:12">
      <c r="A2281" s="289" t="s">
        <v>133</v>
      </c>
      <c r="B2281" s="294">
        <v>0</v>
      </c>
      <c r="C2281" s="294">
        <v>0</v>
      </c>
      <c r="D2281" s="294">
        <v>0</v>
      </c>
      <c r="E2281" s="294">
        <v>0</v>
      </c>
      <c r="F2281" s="294">
        <v>0</v>
      </c>
      <c r="G2281" s="294">
        <v>0</v>
      </c>
      <c r="H2281" s="294">
        <v>0</v>
      </c>
      <c r="I2281" s="294">
        <v>0</v>
      </c>
      <c r="J2281" s="294">
        <v>0</v>
      </c>
      <c r="K2281" s="306">
        <f t="shared" si="304"/>
        <v>0</v>
      </c>
      <c r="L2281" s="291"/>
    </row>
    <row r="2282" spans="1:12">
      <c r="A2282" s="289" t="s">
        <v>134</v>
      </c>
      <c r="B2282" s="294">
        <v>0</v>
      </c>
      <c r="C2282" s="294">
        <v>0</v>
      </c>
      <c r="D2282" s="294">
        <v>0</v>
      </c>
      <c r="E2282" s="294">
        <v>0</v>
      </c>
      <c r="F2282" s="294">
        <v>0</v>
      </c>
      <c r="G2282" s="294">
        <v>0</v>
      </c>
      <c r="H2282" s="294">
        <v>0</v>
      </c>
      <c r="I2282" s="294">
        <v>0</v>
      </c>
      <c r="J2282" s="294">
        <v>0</v>
      </c>
      <c r="K2282" s="306">
        <f t="shared" si="304"/>
        <v>0</v>
      </c>
      <c r="L2282" s="291"/>
    </row>
    <row r="2283" spans="1:12">
      <c r="A2283" s="289" t="s">
        <v>135</v>
      </c>
      <c r="B2283" s="294">
        <v>0</v>
      </c>
      <c r="C2283" s="294">
        <v>0</v>
      </c>
      <c r="D2283" s="294">
        <v>0</v>
      </c>
      <c r="E2283" s="294">
        <v>0</v>
      </c>
      <c r="F2283" s="294">
        <v>0</v>
      </c>
      <c r="G2283" s="294">
        <v>0</v>
      </c>
      <c r="H2283" s="294">
        <v>0</v>
      </c>
      <c r="I2283" s="294">
        <v>0</v>
      </c>
      <c r="J2283" s="294">
        <v>0</v>
      </c>
      <c r="K2283" s="306">
        <f t="shared" si="304"/>
        <v>0</v>
      </c>
      <c r="L2283" s="291"/>
    </row>
    <row r="2285" spans="1:12" ht="21" customHeight="1">
      <c r="A2285" s="1" t="s">
        <v>571</v>
      </c>
    </row>
    <row r="2286" spans="1:12">
      <c r="A2286" s="287" t="s">
        <v>255</v>
      </c>
    </row>
    <row r="2287" spans="1:12">
      <c r="A2287" s="301" t="s">
        <v>572</v>
      </c>
    </row>
    <row r="2288" spans="1:12">
      <c r="A2288" s="301" t="s">
        <v>573</v>
      </c>
    </row>
    <row r="2289" spans="1:11">
      <c r="A2289" s="301" t="s">
        <v>574</v>
      </c>
    </row>
    <row r="2290" spans="1:11">
      <c r="A2290" s="287" t="s">
        <v>295</v>
      </c>
    </row>
    <row r="2292" spans="1:11">
      <c r="B2292" s="288" t="s">
        <v>60</v>
      </c>
      <c r="C2292" s="288" t="s">
        <v>61</v>
      </c>
      <c r="D2292" s="288" t="s">
        <v>62</v>
      </c>
      <c r="E2292" s="288" t="s">
        <v>63</v>
      </c>
      <c r="F2292" s="288" t="s">
        <v>64</v>
      </c>
      <c r="G2292" s="288" t="s">
        <v>69</v>
      </c>
      <c r="H2292" s="288" t="s">
        <v>65</v>
      </c>
      <c r="I2292" s="288" t="s">
        <v>66</v>
      </c>
      <c r="J2292" s="288" t="s">
        <v>67</v>
      </c>
    </row>
    <row r="2293" spans="1:11">
      <c r="A2293" s="289" t="s">
        <v>92</v>
      </c>
      <c r="B2293" s="307">
        <f t="shared" ref="B2293:B2311" si="305">$B2265</f>
        <v>0</v>
      </c>
      <c r="C2293" s="307">
        <f t="shared" ref="C2293:C2311" si="306">$K2265</f>
        <v>0</v>
      </c>
      <c r="D2293" s="307">
        <f t="shared" ref="D2293:D2311" si="307">$D2265</f>
        <v>0</v>
      </c>
      <c r="E2293" s="307">
        <f t="shared" ref="E2293:E2311" si="308">$E2265</f>
        <v>0</v>
      </c>
      <c r="F2293" s="307">
        <f t="shared" ref="F2293:F2311" si="309">$F2265</f>
        <v>0</v>
      </c>
      <c r="G2293" s="294">
        <v>0</v>
      </c>
      <c r="H2293" s="307">
        <f t="shared" ref="H2293:H2311" si="310">$G2265</f>
        <v>0</v>
      </c>
      <c r="I2293" s="307">
        <f t="shared" ref="I2293:I2311" si="311">$H2265</f>
        <v>0</v>
      </c>
      <c r="J2293" s="307">
        <f t="shared" ref="J2293:J2311" si="312">$I2265</f>
        <v>1</v>
      </c>
      <c r="K2293" s="291"/>
    </row>
    <row r="2294" spans="1:11">
      <c r="A2294" s="289" t="s">
        <v>93</v>
      </c>
      <c r="B2294" s="307">
        <f t="shared" si="305"/>
        <v>0</v>
      </c>
      <c r="C2294" s="307">
        <f t="shared" si="306"/>
        <v>0</v>
      </c>
      <c r="D2294" s="307">
        <f t="shared" si="307"/>
        <v>0</v>
      </c>
      <c r="E2294" s="307">
        <f t="shared" si="308"/>
        <v>0</v>
      </c>
      <c r="F2294" s="307">
        <f t="shared" si="309"/>
        <v>0</v>
      </c>
      <c r="G2294" s="294">
        <v>0</v>
      </c>
      <c r="H2294" s="307">
        <f t="shared" si="310"/>
        <v>0</v>
      </c>
      <c r="I2294" s="307">
        <f t="shared" si="311"/>
        <v>0</v>
      </c>
      <c r="J2294" s="307">
        <f t="shared" si="312"/>
        <v>1</v>
      </c>
      <c r="K2294" s="291"/>
    </row>
    <row r="2295" spans="1:11">
      <c r="A2295" s="289" t="s">
        <v>129</v>
      </c>
      <c r="B2295" s="307">
        <f t="shared" si="305"/>
        <v>0</v>
      </c>
      <c r="C2295" s="307">
        <f t="shared" si="306"/>
        <v>0</v>
      </c>
      <c r="D2295" s="307">
        <f t="shared" si="307"/>
        <v>0</v>
      </c>
      <c r="E2295" s="307">
        <f t="shared" si="308"/>
        <v>0</v>
      </c>
      <c r="F2295" s="307">
        <f t="shared" si="309"/>
        <v>0</v>
      </c>
      <c r="G2295" s="294">
        <v>0</v>
      </c>
      <c r="H2295" s="307">
        <f t="shared" si="310"/>
        <v>0</v>
      </c>
      <c r="I2295" s="307">
        <f t="shared" si="311"/>
        <v>0</v>
      </c>
      <c r="J2295" s="307">
        <f t="shared" si="312"/>
        <v>1</v>
      </c>
      <c r="K2295" s="291"/>
    </row>
    <row r="2296" spans="1:11">
      <c r="A2296" s="289" t="s">
        <v>94</v>
      </c>
      <c r="B2296" s="307">
        <f t="shared" si="305"/>
        <v>0</v>
      </c>
      <c r="C2296" s="307">
        <f t="shared" si="306"/>
        <v>0</v>
      </c>
      <c r="D2296" s="307">
        <f t="shared" si="307"/>
        <v>0</v>
      </c>
      <c r="E2296" s="307">
        <f t="shared" si="308"/>
        <v>0</v>
      </c>
      <c r="F2296" s="307">
        <f t="shared" si="309"/>
        <v>0</v>
      </c>
      <c r="G2296" s="294">
        <v>0</v>
      </c>
      <c r="H2296" s="307">
        <f t="shared" si="310"/>
        <v>0</v>
      </c>
      <c r="I2296" s="307">
        <f t="shared" si="311"/>
        <v>0</v>
      </c>
      <c r="J2296" s="307">
        <f t="shared" si="312"/>
        <v>1</v>
      </c>
      <c r="K2296" s="291"/>
    </row>
    <row r="2297" spans="1:11">
      <c r="A2297" s="289" t="s">
        <v>95</v>
      </c>
      <c r="B2297" s="307">
        <f t="shared" si="305"/>
        <v>0</v>
      </c>
      <c r="C2297" s="307">
        <f t="shared" si="306"/>
        <v>0</v>
      </c>
      <c r="D2297" s="307">
        <f t="shared" si="307"/>
        <v>0</v>
      </c>
      <c r="E2297" s="307">
        <f t="shared" si="308"/>
        <v>0</v>
      </c>
      <c r="F2297" s="307">
        <f t="shared" si="309"/>
        <v>0</v>
      </c>
      <c r="G2297" s="294">
        <v>0</v>
      </c>
      <c r="H2297" s="307">
        <f t="shared" si="310"/>
        <v>0</v>
      </c>
      <c r="I2297" s="307">
        <f t="shared" si="311"/>
        <v>0</v>
      </c>
      <c r="J2297" s="307">
        <f t="shared" si="312"/>
        <v>1</v>
      </c>
      <c r="K2297" s="291"/>
    </row>
    <row r="2298" spans="1:11">
      <c r="A2298" s="289" t="s">
        <v>130</v>
      </c>
      <c r="B2298" s="307">
        <f t="shared" si="305"/>
        <v>0</v>
      </c>
      <c r="C2298" s="307">
        <f t="shared" si="306"/>
        <v>0</v>
      </c>
      <c r="D2298" s="307">
        <f t="shared" si="307"/>
        <v>0</v>
      </c>
      <c r="E2298" s="307">
        <f t="shared" si="308"/>
        <v>0</v>
      </c>
      <c r="F2298" s="307">
        <f t="shared" si="309"/>
        <v>0</v>
      </c>
      <c r="G2298" s="294">
        <v>0</v>
      </c>
      <c r="H2298" s="307">
        <f t="shared" si="310"/>
        <v>0</v>
      </c>
      <c r="I2298" s="307">
        <f t="shared" si="311"/>
        <v>0</v>
      </c>
      <c r="J2298" s="307">
        <f t="shared" si="312"/>
        <v>1</v>
      </c>
      <c r="K2298" s="291"/>
    </row>
    <row r="2299" spans="1:11">
      <c r="A2299" s="289" t="s">
        <v>96</v>
      </c>
      <c r="B2299" s="307">
        <f t="shared" si="305"/>
        <v>0</v>
      </c>
      <c r="C2299" s="307">
        <f t="shared" si="306"/>
        <v>0</v>
      </c>
      <c r="D2299" s="307">
        <f t="shared" si="307"/>
        <v>0</v>
      </c>
      <c r="E2299" s="307">
        <f t="shared" si="308"/>
        <v>0</v>
      </c>
      <c r="F2299" s="307">
        <f t="shared" si="309"/>
        <v>0</v>
      </c>
      <c r="G2299" s="294">
        <v>0</v>
      </c>
      <c r="H2299" s="307">
        <f t="shared" si="310"/>
        <v>0</v>
      </c>
      <c r="I2299" s="307">
        <f t="shared" si="311"/>
        <v>0</v>
      </c>
      <c r="J2299" s="307">
        <f t="shared" si="312"/>
        <v>1</v>
      </c>
      <c r="K2299" s="291"/>
    </row>
    <row r="2300" spans="1:11">
      <c r="A2300" s="289" t="s">
        <v>97</v>
      </c>
      <c r="B2300" s="307">
        <f t="shared" si="305"/>
        <v>0</v>
      </c>
      <c r="C2300" s="307">
        <f t="shared" si="306"/>
        <v>0</v>
      </c>
      <c r="D2300" s="307">
        <f t="shared" si="307"/>
        <v>0</v>
      </c>
      <c r="E2300" s="307">
        <f t="shared" si="308"/>
        <v>0</v>
      </c>
      <c r="F2300" s="307">
        <f t="shared" si="309"/>
        <v>0</v>
      </c>
      <c r="G2300" s="294">
        <v>0</v>
      </c>
      <c r="H2300" s="307">
        <f t="shared" si="310"/>
        <v>0</v>
      </c>
      <c r="I2300" s="307">
        <f t="shared" si="311"/>
        <v>1</v>
      </c>
      <c r="J2300" s="307">
        <f t="shared" si="312"/>
        <v>0</v>
      </c>
      <c r="K2300" s="291"/>
    </row>
    <row r="2301" spans="1:11">
      <c r="A2301" s="289" t="s">
        <v>110</v>
      </c>
      <c r="B2301" s="307">
        <f t="shared" si="305"/>
        <v>0</v>
      </c>
      <c r="C2301" s="307">
        <f t="shared" si="306"/>
        <v>0.13851312583363759</v>
      </c>
      <c r="D2301" s="307">
        <f t="shared" si="307"/>
        <v>0</v>
      </c>
      <c r="E2301" s="307">
        <f t="shared" si="308"/>
        <v>0.2</v>
      </c>
      <c r="F2301" s="307">
        <f t="shared" si="309"/>
        <v>1</v>
      </c>
      <c r="G2301" s="294">
        <v>1</v>
      </c>
      <c r="H2301" s="307">
        <f t="shared" si="310"/>
        <v>1</v>
      </c>
      <c r="I2301" s="307">
        <f t="shared" si="311"/>
        <v>0</v>
      </c>
      <c r="J2301" s="307">
        <f t="shared" si="312"/>
        <v>0</v>
      </c>
      <c r="K2301" s="291"/>
    </row>
    <row r="2302" spans="1:11">
      <c r="A2302" s="289" t="s">
        <v>1536</v>
      </c>
      <c r="B2302" s="307">
        <f t="shared" si="305"/>
        <v>0</v>
      </c>
      <c r="C2302" s="307">
        <f t="shared" si="306"/>
        <v>0</v>
      </c>
      <c r="D2302" s="307">
        <f t="shared" si="307"/>
        <v>0</v>
      </c>
      <c r="E2302" s="307">
        <f t="shared" si="308"/>
        <v>0</v>
      </c>
      <c r="F2302" s="307">
        <f t="shared" si="309"/>
        <v>0</v>
      </c>
      <c r="G2302" s="294">
        <v>0</v>
      </c>
      <c r="H2302" s="307">
        <f t="shared" si="310"/>
        <v>0</v>
      </c>
      <c r="I2302" s="307">
        <f t="shared" si="311"/>
        <v>0</v>
      </c>
      <c r="J2302" s="307">
        <f t="shared" si="312"/>
        <v>1</v>
      </c>
      <c r="K2302" s="291"/>
    </row>
    <row r="2303" spans="1:11">
      <c r="A2303" s="289" t="s">
        <v>1535</v>
      </c>
      <c r="B2303" s="307">
        <f t="shared" si="305"/>
        <v>0</v>
      </c>
      <c r="C2303" s="307">
        <f t="shared" si="306"/>
        <v>0</v>
      </c>
      <c r="D2303" s="307">
        <f t="shared" si="307"/>
        <v>0</v>
      </c>
      <c r="E2303" s="307">
        <f t="shared" si="308"/>
        <v>0</v>
      </c>
      <c r="F2303" s="307">
        <f t="shared" si="309"/>
        <v>0</v>
      </c>
      <c r="G2303" s="294">
        <v>0</v>
      </c>
      <c r="H2303" s="307">
        <f t="shared" si="310"/>
        <v>0</v>
      </c>
      <c r="I2303" s="307">
        <f t="shared" si="311"/>
        <v>0</v>
      </c>
      <c r="J2303" s="307">
        <f t="shared" si="312"/>
        <v>1</v>
      </c>
      <c r="K2303" s="291"/>
    </row>
    <row r="2304" spans="1:11">
      <c r="A2304" s="289" t="s">
        <v>98</v>
      </c>
      <c r="B2304" s="307">
        <f t="shared" si="305"/>
        <v>0</v>
      </c>
      <c r="C2304" s="307">
        <f t="shared" si="306"/>
        <v>0</v>
      </c>
      <c r="D2304" s="307">
        <f t="shared" si="307"/>
        <v>0</v>
      </c>
      <c r="E2304" s="307">
        <f t="shared" si="308"/>
        <v>0</v>
      </c>
      <c r="F2304" s="307">
        <f t="shared" si="309"/>
        <v>0</v>
      </c>
      <c r="G2304" s="294">
        <v>0</v>
      </c>
      <c r="H2304" s="307">
        <f t="shared" si="310"/>
        <v>0.2</v>
      </c>
      <c r="I2304" s="307">
        <f t="shared" si="311"/>
        <v>1</v>
      </c>
      <c r="J2304" s="307">
        <f t="shared" si="312"/>
        <v>1</v>
      </c>
      <c r="K2304" s="291"/>
    </row>
    <row r="2305" spans="1:11">
      <c r="A2305" s="289" t="s">
        <v>99</v>
      </c>
      <c r="B2305" s="307">
        <f t="shared" si="305"/>
        <v>0</v>
      </c>
      <c r="C2305" s="307">
        <f t="shared" si="306"/>
        <v>0</v>
      </c>
      <c r="D2305" s="307">
        <f t="shared" si="307"/>
        <v>0</v>
      </c>
      <c r="E2305" s="307">
        <f t="shared" si="308"/>
        <v>0</v>
      </c>
      <c r="F2305" s="307">
        <f t="shared" si="309"/>
        <v>0</v>
      </c>
      <c r="G2305" s="294">
        <v>0</v>
      </c>
      <c r="H2305" s="307">
        <f t="shared" si="310"/>
        <v>1</v>
      </c>
      <c r="I2305" s="307">
        <f t="shared" si="311"/>
        <v>1</v>
      </c>
      <c r="J2305" s="307">
        <f t="shared" si="312"/>
        <v>0</v>
      </c>
      <c r="K2305" s="291"/>
    </row>
    <row r="2306" spans="1:11">
      <c r="A2306" s="289" t="s">
        <v>111</v>
      </c>
      <c r="B2306" s="307">
        <f t="shared" si="305"/>
        <v>0</v>
      </c>
      <c r="C2306" s="307">
        <f t="shared" si="306"/>
        <v>0.13851312583363759</v>
      </c>
      <c r="D2306" s="307">
        <f t="shared" si="307"/>
        <v>0</v>
      </c>
      <c r="E2306" s="307">
        <f t="shared" si="308"/>
        <v>0.2</v>
      </c>
      <c r="F2306" s="307">
        <f t="shared" si="309"/>
        <v>1</v>
      </c>
      <c r="G2306" s="294">
        <v>1</v>
      </c>
      <c r="H2306" s="307">
        <f t="shared" si="310"/>
        <v>1</v>
      </c>
      <c r="I2306" s="307">
        <f t="shared" si="311"/>
        <v>0</v>
      </c>
      <c r="J2306" s="307">
        <f t="shared" si="312"/>
        <v>0</v>
      </c>
      <c r="K2306" s="291"/>
    </row>
    <row r="2307" spans="1:11">
      <c r="A2307" s="289" t="s">
        <v>131</v>
      </c>
      <c r="B2307" s="307">
        <f t="shared" si="305"/>
        <v>0</v>
      </c>
      <c r="C2307" s="307">
        <f t="shared" si="306"/>
        <v>0</v>
      </c>
      <c r="D2307" s="307">
        <f t="shared" si="307"/>
        <v>0</v>
      </c>
      <c r="E2307" s="307">
        <f t="shared" si="308"/>
        <v>0</v>
      </c>
      <c r="F2307" s="307">
        <f t="shared" si="309"/>
        <v>0</v>
      </c>
      <c r="G2307" s="294">
        <v>0</v>
      </c>
      <c r="H2307" s="307">
        <f t="shared" si="310"/>
        <v>0</v>
      </c>
      <c r="I2307" s="307">
        <f t="shared" si="311"/>
        <v>0</v>
      </c>
      <c r="J2307" s="307">
        <f t="shared" si="312"/>
        <v>0</v>
      </c>
      <c r="K2307" s="291"/>
    </row>
    <row r="2308" spans="1:11">
      <c r="A2308" s="289" t="s">
        <v>132</v>
      </c>
      <c r="B2308" s="307">
        <f t="shared" si="305"/>
        <v>0</v>
      </c>
      <c r="C2308" s="307">
        <f t="shared" si="306"/>
        <v>0</v>
      </c>
      <c r="D2308" s="307">
        <f t="shared" si="307"/>
        <v>0</v>
      </c>
      <c r="E2308" s="307">
        <f t="shared" si="308"/>
        <v>0</v>
      </c>
      <c r="F2308" s="307">
        <f t="shared" si="309"/>
        <v>0</v>
      </c>
      <c r="G2308" s="294">
        <v>0</v>
      </c>
      <c r="H2308" s="307">
        <f t="shared" si="310"/>
        <v>0</v>
      </c>
      <c r="I2308" s="307">
        <f t="shared" si="311"/>
        <v>0</v>
      </c>
      <c r="J2308" s="307">
        <f t="shared" si="312"/>
        <v>0</v>
      </c>
      <c r="K2308" s="291"/>
    </row>
    <row r="2309" spans="1:11">
      <c r="A2309" s="289" t="s">
        <v>133</v>
      </c>
      <c r="B2309" s="307">
        <f t="shared" si="305"/>
        <v>0</v>
      </c>
      <c r="C2309" s="307">
        <f t="shared" si="306"/>
        <v>0</v>
      </c>
      <c r="D2309" s="307">
        <f t="shared" si="307"/>
        <v>0</v>
      </c>
      <c r="E2309" s="307">
        <f t="shared" si="308"/>
        <v>0</v>
      </c>
      <c r="F2309" s="307">
        <f t="shared" si="309"/>
        <v>0</v>
      </c>
      <c r="G2309" s="294">
        <v>0</v>
      </c>
      <c r="H2309" s="307">
        <f t="shared" si="310"/>
        <v>0</v>
      </c>
      <c r="I2309" s="307">
        <f t="shared" si="311"/>
        <v>0</v>
      </c>
      <c r="J2309" s="307">
        <f t="shared" si="312"/>
        <v>0</v>
      </c>
      <c r="K2309" s="291"/>
    </row>
    <row r="2310" spans="1:11">
      <c r="A2310" s="289" t="s">
        <v>134</v>
      </c>
      <c r="B2310" s="307">
        <f t="shared" si="305"/>
        <v>0</v>
      </c>
      <c r="C2310" s="307">
        <f t="shared" si="306"/>
        <v>0</v>
      </c>
      <c r="D2310" s="307">
        <f t="shared" si="307"/>
        <v>0</v>
      </c>
      <c r="E2310" s="307">
        <f t="shared" si="308"/>
        <v>0</v>
      </c>
      <c r="F2310" s="307">
        <f t="shared" si="309"/>
        <v>0</v>
      </c>
      <c r="G2310" s="294">
        <v>0</v>
      </c>
      <c r="H2310" s="307">
        <f t="shared" si="310"/>
        <v>0</v>
      </c>
      <c r="I2310" s="307">
        <f t="shared" si="311"/>
        <v>0</v>
      </c>
      <c r="J2310" s="307">
        <f t="shared" si="312"/>
        <v>0</v>
      </c>
      <c r="K2310" s="291"/>
    </row>
    <row r="2311" spans="1:11">
      <c r="A2311" s="289" t="s">
        <v>135</v>
      </c>
      <c r="B2311" s="307">
        <f t="shared" si="305"/>
        <v>0</v>
      </c>
      <c r="C2311" s="307">
        <f t="shared" si="306"/>
        <v>0</v>
      </c>
      <c r="D2311" s="307">
        <f t="shared" si="307"/>
        <v>0</v>
      </c>
      <c r="E2311" s="307">
        <f t="shared" si="308"/>
        <v>0</v>
      </c>
      <c r="F2311" s="307">
        <f t="shared" si="309"/>
        <v>0</v>
      </c>
      <c r="G2311" s="294">
        <v>0</v>
      </c>
      <c r="H2311" s="307">
        <f t="shared" si="310"/>
        <v>0</v>
      </c>
      <c r="I2311" s="307">
        <f t="shared" si="311"/>
        <v>0</v>
      </c>
      <c r="J2311" s="307">
        <f t="shared" si="312"/>
        <v>0</v>
      </c>
      <c r="K2311" s="291"/>
    </row>
    <row r="2313" spans="1:11" ht="21" customHeight="1">
      <c r="A2313" s="1" t="s">
        <v>575</v>
      </c>
    </row>
    <row r="2314" spans="1:11">
      <c r="A2314" s="287" t="s">
        <v>255</v>
      </c>
    </row>
    <row r="2315" spans="1:11">
      <c r="A2315" s="301" t="s">
        <v>576</v>
      </c>
    </row>
    <row r="2316" spans="1:11">
      <c r="A2316" s="301" t="s">
        <v>577</v>
      </c>
    </row>
    <row r="2317" spans="1:11">
      <c r="A2317" s="301" t="s">
        <v>578</v>
      </c>
    </row>
    <row r="2318" spans="1:11">
      <c r="A2318" s="301" t="s">
        <v>579</v>
      </c>
    </row>
    <row r="2319" spans="1:11">
      <c r="A2319" s="287" t="s">
        <v>580</v>
      </c>
    </row>
    <row r="2321" spans="1:11">
      <c r="B2321" s="288" t="s">
        <v>60</v>
      </c>
      <c r="C2321" s="288" t="s">
        <v>61</v>
      </c>
      <c r="D2321" s="288" t="s">
        <v>62</v>
      </c>
      <c r="E2321" s="288" t="s">
        <v>63</v>
      </c>
      <c r="F2321" s="288" t="s">
        <v>64</v>
      </c>
      <c r="G2321" s="288" t="s">
        <v>69</v>
      </c>
      <c r="H2321" s="288" t="s">
        <v>65</v>
      </c>
      <c r="I2321" s="288" t="s">
        <v>66</v>
      </c>
      <c r="J2321" s="288" t="s">
        <v>67</v>
      </c>
    </row>
    <row r="2322" spans="1:11">
      <c r="A2322" s="289" t="s">
        <v>98</v>
      </c>
      <c r="B2322" s="312">
        <f t="shared" ref="B2322:J2322" si="313">$F$1181*$E$14*B$2304*B$581</f>
        <v>0</v>
      </c>
      <c r="C2322" s="312">
        <f t="shared" si="313"/>
        <v>0</v>
      </c>
      <c r="D2322" s="312">
        <f t="shared" si="313"/>
        <v>0</v>
      </c>
      <c r="E2322" s="312">
        <f t="shared" si="313"/>
        <v>0</v>
      </c>
      <c r="F2322" s="312">
        <f t="shared" si="313"/>
        <v>0</v>
      </c>
      <c r="G2322" s="312">
        <f t="shared" si="313"/>
        <v>0</v>
      </c>
      <c r="H2322" s="312">
        <f t="shared" si="313"/>
        <v>303786.307224032</v>
      </c>
      <c r="I2322" s="312">
        <f t="shared" si="313"/>
        <v>1491959.8546376526</v>
      </c>
      <c r="J2322" s="312">
        <f t="shared" si="313"/>
        <v>1468626.5358438715</v>
      </c>
      <c r="K2322" s="291"/>
    </row>
    <row r="2323" spans="1:11">
      <c r="A2323" s="289" t="s">
        <v>99</v>
      </c>
      <c r="B2323" s="312">
        <f t="shared" ref="B2323:J2323" si="314">$F$1182*$E$14*B$2305*B$582</f>
        <v>0</v>
      </c>
      <c r="C2323" s="312">
        <f t="shared" si="314"/>
        <v>0</v>
      </c>
      <c r="D2323" s="312">
        <f t="shared" si="314"/>
        <v>0</v>
      </c>
      <c r="E2323" s="312">
        <f t="shared" si="314"/>
        <v>0</v>
      </c>
      <c r="F2323" s="312">
        <f t="shared" si="314"/>
        <v>0</v>
      </c>
      <c r="G2323" s="312">
        <f t="shared" si="314"/>
        <v>0</v>
      </c>
      <c r="H2323" s="312">
        <f t="shared" si="314"/>
        <v>51369.418460548877</v>
      </c>
      <c r="I2323" s="312">
        <f t="shared" si="314"/>
        <v>50457.251216856886</v>
      </c>
      <c r="J2323" s="312">
        <f t="shared" si="314"/>
        <v>0</v>
      </c>
      <c r="K2323" s="291"/>
    </row>
    <row r="2324" spans="1:11">
      <c r="A2324" s="289" t="s">
        <v>111</v>
      </c>
      <c r="B2324" s="312">
        <f t="shared" ref="B2324:J2324" si="315">$F$1183*$E$14*B$2306*B$583</f>
        <v>0</v>
      </c>
      <c r="C2324" s="312">
        <f t="shared" si="315"/>
        <v>410180.20692207996</v>
      </c>
      <c r="D2324" s="312">
        <f t="shared" si="315"/>
        <v>0</v>
      </c>
      <c r="E2324" s="312">
        <f t="shared" si="315"/>
        <v>179572.65280898148</v>
      </c>
      <c r="F2324" s="312">
        <f t="shared" si="315"/>
        <v>891719.52714528446</v>
      </c>
      <c r="G2324" s="312">
        <f t="shared" si="315"/>
        <v>2008800.4268617996</v>
      </c>
      <c r="H2324" s="312">
        <f t="shared" si="315"/>
        <v>2823246.3491429561</v>
      </c>
      <c r="I2324" s="312">
        <f t="shared" si="315"/>
        <v>0</v>
      </c>
      <c r="J2324" s="312">
        <f t="shared" si="315"/>
        <v>0</v>
      </c>
      <c r="K2324" s="291"/>
    </row>
    <row r="2326" spans="1:11" ht="21" customHeight="1">
      <c r="A2326" s="1" t="s">
        <v>581</v>
      </c>
    </row>
    <row r="2327" spans="1:11">
      <c r="A2327" s="287" t="s">
        <v>255</v>
      </c>
    </row>
    <row r="2328" spans="1:11">
      <c r="A2328" s="301" t="s">
        <v>469</v>
      </c>
    </row>
    <row r="2329" spans="1:11">
      <c r="A2329" s="301" t="s">
        <v>395</v>
      </c>
    </row>
    <row r="2330" spans="1:11">
      <c r="A2330" s="301" t="s">
        <v>578</v>
      </c>
    </row>
    <row r="2331" spans="1:11">
      <c r="A2331" s="301" t="s">
        <v>579</v>
      </c>
    </row>
    <row r="2332" spans="1:11">
      <c r="A2332" s="301" t="s">
        <v>520</v>
      </c>
    </row>
    <row r="2333" spans="1:11">
      <c r="A2333" s="287" t="s">
        <v>582</v>
      </c>
    </row>
    <row r="2335" spans="1:11">
      <c r="B2335" s="288" t="s">
        <v>60</v>
      </c>
      <c r="C2335" s="288" t="s">
        <v>61</v>
      </c>
      <c r="D2335" s="288" t="s">
        <v>62</v>
      </c>
      <c r="E2335" s="288" t="s">
        <v>63</v>
      </c>
      <c r="F2335" s="288" t="s">
        <v>64</v>
      </c>
      <c r="G2335" s="288" t="s">
        <v>69</v>
      </c>
      <c r="H2335" s="288" t="s">
        <v>65</v>
      </c>
      <c r="I2335" s="288" t="s">
        <v>66</v>
      </c>
      <c r="J2335" s="288" t="s">
        <v>67</v>
      </c>
    </row>
    <row r="2336" spans="1:11">
      <c r="A2336" s="289" t="s">
        <v>92</v>
      </c>
      <c r="B2336" s="312">
        <f t="shared" ref="B2336:J2336" si="316">$B$1316/$C$116*B$2293*B$570/(24*$F$14)*1000</f>
        <v>0</v>
      </c>
      <c r="C2336" s="312">
        <f t="shared" si="316"/>
        <v>0</v>
      </c>
      <c r="D2336" s="312">
        <f t="shared" si="316"/>
        <v>0</v>
      </c>
      <c r="E2336" s="312">
        <f t="shared" si="316"/>
        <v>0</v>
      </c>
      <c r="F2336" s="312">
        <f t="shared" si="316"/>
        <v>0</v>
      </c>
      <c r="G2336" s="312">
        <f t="shared" si="316"/>
        <v>0</v>
      </c>
      <c r="H2336" s="312">
        <f t="shared" si="316"/>
        <v>0</v>
      </c>
      <c r="I2336" s="312">
        <f t="shared" si="316"/>
        <v>0</v>
      </c>
      <c r="J2336" s="312">
        <f t="shared" si="316"/>
        <v>1859265.0483403665</v>
      </c>
      <c r="K2336" s="291"/>
    </row>
    <row r="2337" spans="1:11">
      <c r="A2337" s="289" t="s">
        <v>93</v>
      </c>
      <c r="B2337" s="312">
        <f t="shared" ref="B2337:J2337" si="317">$B$1317/$C$117*B$2294*B$571/(24*$F$14)*1000</f>
        <v>0</v>
      </c>
      <c r="C2337" s="312">
        <f t="shared" si="317"/>
        <v>0</v>
      </c>
      <c r="D2337" s="312">
        <f t="shared" si="317"/>
        <v>0</v>
      </c>
      <c r="E2337" s="312">
        <f t="shared" si="317"/>
        <v>0</v>
      </c>
      <c r="F2337" s="312">
        <f t="shared" si="317"/>
        <v>0</v>
      </c>
      <c r="G2337" s="312">
        <f t="shared" si="317"/>
        <v>0</v>
      </c>
      <c r="H2337" s="312">
        <f t="shared" si="317"/>
        <v>0</v>
      </c>
      <c r="I2337" s="312">
        <f t="shared" si="317"/>
        <v>0</v>
      </c>
      <c r="J2337" s="312">
        <f t="shared" si="317"/>
        <v>629688.01899703743</v>
      </c>
      <c r="K2337" s="291"/>
    </row>
    <row r="2338" spans="1:11">
      <c r="A2338" s="289" t="s">
        <v>94</v>
      </c>
      <c r="B2338" s="312">
        <f t="shared" ref="B2338:J2338" si="318">$B$1319/$C$119*B$2296*B$573/(24*$F$14)*1000</f>
        <v>0</v>
      </c>
      <c r="C2338" s="312">
        <f t="shared" si="318"/>
        <v>0</v>
      </c>
      <c r="D2338" s="312">
        <f t="shared" si="318"/>
        <v>0</v>
      </c>
      <c r="E2338" s="312">
        <f t="shared" si="318"/>
        <v>0</v>
      </c>
      <c r="F2338" s="312">
        <f t="shared" si="318"/>
        <v>0</v>
      </c>
      <c r="G2338" s="312">
        <f t="shared" si="318"/>
        <v>0</v>
      </c>
      <c r="H2338" s="312">
        <f t="shared" si="318"/>
        <v>0</v>
      </c>
      <c r="I2338" s="312">
        <f t="shared" si="318"/>
        <v>0</v>
      </c>
      <c r="J2338" s="312">
        <f t="shared" si="318"/>
        <v>467257.5020236409</v>
      </c>
      <c r="K2338" s="291"/>
    </row>
    <row r="2339" spans="1:11">
      <c r="A2339" s="289" t="s">
        <v>95</v>
      </c>
      <c r="B2339" s="312">
        <f t="shared" ref="B2339:J2339" si="319">$B$1320/$C$120*B$2297*B$574/(24*$F$14)*1000</f>
        <v>0</v>
      </c>
      <c r="C2339" s="312">
        <f t="shared" si="319"/>
        <v>0</v>
      </c>
      <c r="D2339" s="312">
        <f t="shared" si="319"/>
        <v>0</v>
      </c>
      <c r="E2339" s="312">
        <f t="shared" si="319"/>
        <v>0</v>
      </c>
      <c r="F2339" s="312">
        <f t="shared" si="319"/>
        <v>0</v>
      </c>
      <c r="G2339" s="312">
        <f t="shared" si="319"/>
        <v>0</v>
      </c>
      <c r="H2339" s="312">
        <f t="shared" si="319"/>
        <v>0</v>
      </c>
      <c r="I2339" s="312">
        <f t="shared" si="319"/>
        <v>0</v>
      </c>
      <c r="J2339" s="312">
        <f t="shared" si="319"/>
        <v>157284.35134295162</v>
      </c>
      <c r="K2339" s="291"/>
    </row>
    <row r="2340" spans="1:11">
      <c r="A2340" s="289" t="s">
        <v>96</v>
      </c>
      <c r="B2340" s="312">
        <f t="shared" ref="B2340:J2340" si="320">$B$1322/$C$122*B$2299*B$576/(24*$F$14)*1000</f>
        <v>0</v>
      </c>
      <c r="C2340" s="312">
        <f t="shared" si="320"/>
        <v>0</v>
      </c>
      <c r="D2340" s="312">
        <f t="shared" si="320"/>
        <v>0</v>
      </c>
      <c r="E2340" s="312">
        <f t="shared" si="320"/>
        <v>0</v>
      </c>
      <c r="F2340" s="312">
        <f t="shared" si="320"/>
        <v>0</v>
      </c>
      <c r="G2340" s="312">
        <f t="shared" si="320"/>
        <v>0</v>
      </c>
      <c r="H2340" s="312">
        <f t="shared" si="320"/>
        <v>0</v>
      </c>
      <c r="I2340" s="312">
        <f t="shared" si="320"/>
        <v>0</v>
      </c>
      <c r="J2340" s="312">
        <f t="shared" si="320"/>
        <v>0</v>
      </c>
      <c r="K2340" s="291"/>
    </row>
    <row r="2341" spans="1:11">
      <c r="A2341" s="289" t="s">
        <v>97</v>
      </c>
      <c r="B2341" s="312">
        <f t="shared" ref="B2341:J2341" si="321">$B$1323/$C$123*B$2300*B$577/(24*$F$14)*1000</f>
        <v>0</v>
      </c>
      <c r="C2341" s="312">
        <f t="shared" si="321"/>
        <v>0</v>
      </c>
      <c r="D2341" s="312">
        <f t="shared" si="321"/>
        <v>0</v>
      </c>
      <c r="E2341" s="312">
        <f t="shared" si="321"/>
        <v>0</v>
      </c>
      <c r="F2341" s="312">
        <f t="shared" si="321"/>
        <v>0</v>
      </c>
      <c r="G2341" s="312">
        <f t="shared" si="321"/>
        <v>0</v>
      </c>
      <c r="H2341" s="312">
        <f t="shared" si="321"/>
        <v>0</v>
      </c>
      <c r="I2341" s="312">
        <f t="shared" si="321"/>
        <v>0</v>
      </c>
      <c r="J2341" s="312">
        <f t="shared" si="321"/>
        <v>0</v>
      </c>
      <c r="K2341" s="291"/>
    </row>
    <row r="2342" spans="1:11">
      <c r="A2342" s="289" t="s">
        <v>110</v>
      </c>
      <c r="B2342" s="312">
        <f t="shared" ref="B2342:J2342" si="322">$B$1324/$C$124*B$2301*B$578/(24*$F$14)*1000</f>
        <v>0</v>
      </c>
      <c r="C2342" s="312">
        <f t="shared" si="322"/>
        <v>0</v>
      </c>
      <c r="D2342" s="312">
        <f t="shared" si="322"/>
        <v>0</v>
      </c>
      <c r="E2342" s="312">
        <f t="shared" si="322"/>
        <v>0</v>
      </c>
      <c r="F2342" s="312">
        <f t="shared" si="322"/>
        <v>0</v>
      </c>
      <c r="G2342" s="312">
        <f t="shared" si="322"/>
        <v>0</v>
      </c>
      <c r="H2342" s="312">
        <f t="shared" si="322"/>
        <v>0</v>
      </c>
      <c r="I2342" s="312">
        <f t="shared" si="322"/>
        <v>0</v>
      </c>
      <c r="J2342" s="312">
        <f t="shared" si="322"/>
        <v>0</v>
      </c>
      <c r="K2342" s="291"/>
    </row>
    <row r="2343" spans="1:11">
      <c r="A2343" s="289" t="s">
        <v>1536</v>
      </c>
      <c r="B2343" s="312">
        <f t="shared" ref="B2343:J2343" si="323">$B$1325/$C$125*B$2302*B$579/(24*$F$14)*1000</f>
        <v>0</v>
      </c>
      <c r="C2343" s="312">
        <f t="shared" si="323"/>
        <v>0</v>
      </c>
      <c r="D2343" s="312">
        <f t="shared" si="323"/>
        <v>0</v>
      </c>
      <c r="E2343" s="312">
        <f t="shared" si="323"/>
        <v>0</v>
      </c>
      <c r="F2343" s="312">
        <f t="shared" si="323"/>
        <v>0</v>
      </c>
      <c r="G2343" s="312">
        <f t="shared" si="323"/>
        <v>0</v>
      </c>
      <c r="H2343" s="312">
        <f t="shared" si="323"/>
        <v>0</v>
      </c>
      <c r="I2343" s="312">
        <f t="shared" si="323"/>
        <v>0</v>
      </c>
      <c r="J2343" s="312">
        <f t="shared" si="323"/>
        <v>0</v>
      </c>
      <c r="K2343" s="291"/>
    </row>
    <row r="2344" spans="1:11">
      <c r="A2344" s="289" t="s">
        <v>1535</v>
      </c>
      <c r="B2344" s="312">
        <f t="shared" ref="B2344:J2344" si="324">$B$1326/$C$126*B$2303*B$580/(24*$F$14)*1000</f>
        <v>0</v>
      </c>
      <c r="C2344" s="312">
        <f t="shared" si="324"/>
        <v>0</v>
      </c>
      <c r="D2344" s="312">
        <f t="shared" si="324"/>
        <v>0</v>
      </c>
      <c r="E2344" s="312">
        <f t="shared" si="324"/>
        <v>0</v>
      </c>
      <c r="F2344" s="312">
        <f t="shared" si="324"/>
        <v>0</v>
      </c>
      <c r="G2344" s="312">
        <f t="shared" si="324"/>
        <v>0</v>
      </c>
      <c r="H2344" s="312">
        <f t="shared" si="324"/>
        <v>0</v>
      </c>
      <c r="I2344" s="312">
        <f t="shared" si="324"/>
        <v>0</v>
      </c>
      <c r="J2344" s="312">
        <f t="shared" si="324"/>
        <v>168441.2673593878</v>
      </c>
      <c r="K2344" s="291"/>
    </row>
    <row r="2346" spans="1:11" ht="21" customHeight="1">
      <c r="A2346" s="1" t="s">
        <v>583</v>
      </c>
    </row>
    <row r="2347" spans="1:11">
      <c r="A2347" s="287" t="s">
        <v>255</v>
      </c>
    </row>
    <row r="2348" spans="1:11">
      <c r="A2348" s="301" t="s">
        <v>584</v>
      </c>
    </row>
    <row r="2349" spans="1:11">
      <c r="A2349" s="301" t="s">
        <v>585</v>
      </c>
    </row>
    <row r="2350" spans="1:11">
      <c r="A2350" s="287" t="s">
        <v>273</v>
      </c>
    </row>
    <row r="2352" spans="1:11">
      <c r="B2352" s="288" t="s">
        <v>60</v>
      </c>
      <c r="C2352" s="288" t="s">
        <v>61</v>
      </c>
      <c r="D2352" s="288" t="s">
        <v>62</v>
      </c>
      <c r="E2352" s="288" t="s">
        <v>63</v>
      </c>
      <c r="F2352" s="288" t="s">
        <v>64</v>
      </c>
      <c r="G2352" s="288" t="s">
        <v>69</v>
      </c>
      <c r="H2352" s="288" t="s">
        <v>65</v>
      </c>
      <c r="I2352" s="288" t="s">
        <v>66</v>
      </c>
      <c r="J2352" s="288" t="s">
        <v>67</v>
      </c>
    </row>
    <row r="2353" spans="1:11">
      <c r="A2353" s="289" t="s">
        <v>92</v>
      </c>
      <c r="B2353" s="314">
        <f t="shared" ref="B2353:J2353" si="325">B$2336</f>
        <v>0</v>
      </c>
      <c r="C2353" s="314">
        <f t="shared" si="325"/>
        <v>0</v>
      </c>
      <c r="D2353" s="314">
        <f t="shared" si="325"/>
        <v>0</v>
      </c>
      <c r="E2353" s="314">
        <f t="shared" si="325"/>
        <v>0</v>
      </c>
      <c r="F2353" s="314">
        <f t="shared" si="325"/>
        <v>0</v>
      </c>
      <c r="G2353" s="314">
        <f t="shared" si="325"/>
        <v>0</v>
      </c>
      <c r="H2353" s="314">
        <f t="shared" si="325"/>
        <v>0</v>
      </c>
      <c r="I2353" s="314">
        <f t="shared" si="325"/>
        <v>0</v>
      </c>
      <c r="J2353" s="314">
        <f t="shared" si="325"/>
        <v>1859265.0483403665</v>
      </c>
      <c r="K2353" s="291"/>
    </row>
    <row r="2354" spans="1:11">
      <c r="A2354" s="289" t="s">
        <v>93</v>
      </c>
      <c r="B2354" s="314">
        <f t="shared" ref="B2354:J2354" si="326">B$2337</f>
        <v>0</v>
      </c>
      <c r="C2354" s="314">
        <f t="shared" si="326"/>
        <v>0</v>
      </c>
      <c r="D2354" s="314">
        <f t="shared" si="326"/>
        <v>0</v>
      </c>
      <c r="E2354" s="314">
        <f t="shared" si="326"/>
        <v>0</v>
      </c>
      <c r="F2354" s="314">
        <f t="shared" si="326"/>
        <v>0</v>
      </c>
      <c r="G2354" s="314">
        <f t="shared" si="326"/>
        <v>0</v>
      </c>
      <c r="H2354" s="314">
        <f t="shared" si="326"/>
        <v>0</v>
      </c>
      <c r="I2354" s="314">
        <f t="shared" si="326"/>
        <v>0</v>
      </c>
      <c r="J2354" s="314">
        <f t="shared" si="326"/>
        <v>629688.01899703743</v>
      </c>
      <c r="K2354" s="291"/>
    </row>
    <row r="2355" spans="1:11">
      <c r="A2355" s="289" t="s">
        <v>94</v>
      </c>
      <c r="B2355" s="314">
        <f t="shared" ref="B2355:J2355" si="327">B$2338</f>
        <v>0</v>
      </c>
      <c r="C2355" s="314">
        <f t="shared" si="327"/>
        <v>0</v>
      </c>
      <c r="D2355" s="314">
        <f t="shared" si="327"/>
        <v>0</v>
      </c>
      <c r="E2355" s="314">
        <f t="shared" si="327"/>
        <v>0</v>
      </c>
      <c r="F2355" s="314">
        <f t="shared" si="327"/>
        <v>0</v>
      </c>
      <c r="G2355" s="314">
        <f t="shared" si="327"/>
        <v>0</v>
      </c>
      <c r="H2355" s="314">
        <f t="shared" si="327"/>
        <v>0</v>
      </c>
      <c r="I2355" s="314">
        <f t="shared" si="327"/>
        <v>0</v>
      </c>
      <c r="J2355" s="314">
        <f t="shared" si="327"/>
        <v>467257.5020236409</v>
      </c>
      <c r="K2355" s="291"/>
    </row>
    <row r="2356" spans="1:11">
      <c r="A2356" s="289" t="s">
        <v>95</v>
      </c>
      <c r="B2356" s="314">
        <f t="shared" ref="B2356:J2356" si="328">B$2339</f>
        <v>0</v>
      </c>
      <c r="C2356" s="314">
        <f t="shared" si="328"/>
        <v>0</v>
      </c>
      <c r="D2356" s="314">
        <f t="shared" si="328"/>
        <v>0</v>
      </c>
      <c r="E2356" s="314">
        <f t="shared" si="328"/>
        <v>0</v>
      </c>
      <c r="F2356" s="314">
        <f t="shared" si="328"/>
        <v>0</v>
      </c>
      <c r="G2356" s="314">
        <f t="shared" si="328"/>
        <v>0</v>
      </c>
      <c r="H2356" s="314">
        <f t="shared" si="328"/>
        <v>0</v>
      </c>
      <c r="I2356" s="314">
        <f t="shared" si="328"/>
        <v>0</v>
      </c>
      <c r="J2356" s="314">
        <f t="shared" si="328"/>
        <v>157284.35134295162</v>
      </c>
      <c r="K2356" s="291"/>
    </row>
    <row r="2357" spans="1:11">
      <c r="A2357" s="289" t="s">
        <v>96</v>
      </c>
      <c r="B2357" s="314">
        <f t="shared" ref="B2357:J2357" si="329">B$2340</f>
        <v>0</v>
      </c>
      <c r="C2357" s="314">
        <f t="shared" si="329"/>
        <v>0</v>
      </c>
      <c r="D2357" s="314">
        <f t="shared" si="329"/>
        <v>0</v>
      </c>
      <c r="E2357" s="314">
        <f t="shared" si="329"/>
        <v>0</v>
      </c>
      <c r="F2357" s="314">
        <f t="shared" si="329"/>
        <v>0</v>
      </c>
      <c r="G2357" s="314">
        <f t="shared" si="329"/>
        <v>0</v>
      </c>
      <c r="H2357" s="314">
        <f t="shared" si="329"/>
        <v>0</v>
      </c>
      <c r="I2357" s="314">
        <f t="shared" si="329"/>
        <v>0</v>
      </c>
      <c r="J2357" s="314">
        <f t="shared" si="329"/>
        <v>0</v>
      </c>
      <c r="K2357" s="291"/>
    </row>
    <row r="2358" spans="1:11">
      <c r="A2358" s="289" t="s">
        <v>97</v>
      </c>
      <c r="B2358" s="314">
        <f t="shared" ref="B2358:J2358" si="330">B$2341</f>
        <v>0</v>
      </c>
      <c r="C2358" s="314">
        <f t="shared" si="330"/>
        <v>0</v>
      </c>
      <c r="D2358" s="314">
        <f t="shared" si="330"/>
        <v>0</v>
      </c>
      <c r="E2358" s="314">
        <f t="shared" si="330"/>
        <v>0</v>
      </c>
      <c r="F2358" s="314">
        <f t="shared" si="330"/>
        <v>0</v>
      </c>
      <c r="G2358" s="314">
        <f t="shared" si="330"/>
        <v>0</v>
      </c>
      <c r="H2358" s="314">
        <f t="shared" si="330"/>
        <v>0</v>
      </c>
      <c r="I2358" s="314">
        <f t="shared" si="330"/>
        <v>0</v>
      </c>
      <c r="J2358" s="314">
        <f t="shared" si="330"/>
        <v>0</v>
      </c>
      <c r="K2358" s="291"/>
    </row>
    <row r="2359" spans="1:11">
      <c r="A2359" s="289" t="s">
        <v>110</v>
      </c>
      <c r="B2359" s="314">
        <f t="shared" ref="B2359:J2359" si="331">B$2342</f>
        <v>0</v>
      </c>
      <c r="C2359" s="314">
        <f t="shared" si="331"/>
        <v>0</v>
      </c>
      <c r="D2359" s="314">
        <f t="shared" si="331"/>
        <v>0</v>
      </c>
      <c r="E2359" s="314">
        <f t="shared" si="331"/>
        <v>0</v>
      </c>
      <c r="F2359" s="314">
        <f t="shared" si="331"/>
        <v>0</v>
      </c>
      <c r="G2359" s="314">
        <f t="shared" si="331"/>
        <v>0</v>
      </c>
      <c r="H2359" s="314">
        <f t="shared" si="331"/>
        <v>0</v>
      </c>
      <c r="I2359" s="314">
        <f t="shared" si="331"/>
        <v>0</v>
      </c>
      <c r="J2359" s="314">
        <f t="shared" si="331"/>
        <v>0</v>
      </c>
      <c r="K2359" s="291"/>
    </row>
    <row r="2360" spans="1:11">
      <c r="A2360" s="289" t="s">
        <v>1536</v>
      </c>
      <c r="B2360" s="314">
        <f t="shared" ref="B2360:J2360" si="332">B$2343</f>
        <v>0</v>
      </c>
      <c r="C2360" s="314">
        <f t="shared" si="332"/>
        <v>0</v>
      </c>
      <c r="D2360" s="314">
        <f t="shared" si="332"/>
        <v>0</v>
      </c>
      <c r="E2360" s="314">
        <f t="shared" si="332"/>
        <v>0</v>
      </c>
      <c r="F2360" s="314">
        <f t="shared" si="332"/>
        <v>0</v>
      </c>
      <c r="G2360" s="314">
        <f t="shared" si="332"/>
        <v>0</v>
      </c>
      <c r="H2360" s="314">
        <f t="shared" si="332"/>
        <v>0</v>
      </c>
      <c r="I2360" s="314">
        <f t="shared" si="332"/>
        <v>0</v>
      </c>
      <c r="J2360" s="314">
        <f t="shared" si="332"/>
        <v>0</v>
      </c>
      <c r="K2360" s="291"/>
    </row>
    <row r="2361" spans="1:11">
      <c r="A2361" s="289" t="s">
        <v>1535</v>
      </c>
      <c r="B2361" s="314">
        <f t="shared" ref="B2361:J2361" si="333">B$2344</f>
        <v>0</v>
      </c>
      <c r="C2361" s="314">
        <f t="shared" si="333"/>
        <v>0</v>
      </c>
      <c r="D2361" s="314">
        <f t="shared" si="333"/>
        <v>0</v>
      </c>
      <c r="E2361" s="314">
        <f t="shared" si="333"/>
        <v>0</v>
      </c>
      <c r="F2361" s="314">
        <f t="shared" si="333"/>
        <v>0</v>
      </c>
      <c r="G2361" s="314">
        <f t="shared" si="333"/>
        <v>0</v>
      </c>
      <c r="H2361" s="314">
        <f t="shared" si="333"/>
        <v>0</v>
      </c>
      <c r="I2361" s="314">
        <f t="shared" si="333"/>
        <v>0</v>
      </c>
      <c r="J2361" s="314">
        <f t="shared" si="333"/>
        <v>168441.2673593878</v>
      </c>
      <c r="K2361" s="291"/>
    </row>
    <row r="2362" spans="1:11">
      <c r="A2362" s="289" t="s">
        <v>98</v>
      </c>
      <c r="B2362" s="314">
        <f t="shared" ref="B2362:J2362" si="334">B$2322</f>
        <v>0</v>
      </c>
      <c r="C2362" s="314">
        <f t="shared" si="334"/>
        <v>0</v>
      </c>
      <c r="D2362" s="314">
        <f t="shared" si="334"/>
        <v>0</v>
      </c>
      <c r="E2362" s="314">
        <f t="shared" si="334"/>
        <v>0</v>
      </c>
      <c r="F2362" s="314">
        <f t="shared" si="334"/>
        <v>0</v>
      </c>
      <c r="G2362" s="314">
        <f t="shared" si="334"/>
        <v>0</v>
      </c>
      <c r="H2362" s="314">
        <f t="shared" si="334"/>
        <v>303786.307224032</v>
      </c>
      <c r="I2362" s="314">
        <f t="shared" si="334"/>
        <v>1491959.8546376526</v>
      </c>
      <c r="J2362" s="314">
        <f t="shared" si="334"/>
        <v>1468626.5358438715</v>
      </c>
      <c r="K2362" s="291"/>
    </row>
    <row r="2363" spans="1:11">
      <c r="A2363" s="289" t="s">
        <v>99</v>
      </c>
      <c r="B2363" s="314">
        <f t="shared" ref="B2363:J2363" si="335">B$2323</f>
        <v>0</v>
      </c>
      <c r="C2363" s="314">
        <f t="shared" si="335"/>
        <v>0</v>
      </c>
      <c r="D2363" s="314">
        <f t="shared" si="335"/>
        <v>0</v>
      </c>
      <c r="E2363" s="314">
        <f t="shared" si="335"/>
        <v>0</v>
      </c>
      <c r="F2363" s="314">
        <f t="shared" si="335"/>
        <v>0</v>
      </c>
      <c r="G2363" s="314">
        <f t="shared" si="335"/>
        <v>0</v>
      </c>
      <c r="H2363" s="314">
        <f t="shared" si="335"/>
        <v>51369.418460548877</v>
      </c>
      <c r="I2363" s="314">
        <f t="shared" si="335"/>
        <v>50457.251216856886</v>
      </c>
      <c r="J2363" s="314">
        <f t="shared" si="335"/>
        <v>0</v>
      </c>
      <c r="K2363" s="291"/>
    </row>
    <row r="2364" spans="1:11">
      <c r="A2364" s="289" t="s">
        <v>111</v>
      </c>
      <c r="B2364" s="314">
        <f t="shared" ref="B2364:J2364" si="336">B$2324</f>
        <v>0</v>
      </c>
      <c r="C2364" s="314">
        <f t="shared" si="336"/>
        <v>410180.20692207996</v>
      </c>
      <c r="D2364" s="314">
        <f t="shared" si="336"/>
        <v>0</v>
      </c>
      <c r="E2364" s="314">
        <f t="shared" si="336"/>
        <v>179572.65280898148</v>
      </c>
      <c r="F2364" s="314">
        <f t="shared" si="336"/>
        <v>891719.52714528446</v>
      </c>
      <c r="G2364" s="314">
        <f t="shared" si="336"/>
        <v>2008800.4268617996</v>
      </c>
      <c r="H2364" s="314">
        <f t="shared" si="336"/>
        <v>2823246.3491429561</v>
      </c>
      <c r="I2364" s="314">
        <f t="shared" si="336"/>
        <v>0</v>
      </c>
      <c r="J2364" s="314">
        <f t="shared" si="336"/>
        <v>0</v>
      </c>
      <c r="K2364" s="291"/>
    </row>
    <row r="2366" spans="1:11" ht="21" customHeight="1">
      <c r="A2366" s="1" t="s">
        <v>586</v>
      </c>
    </row>
    <row r="2367" spans="1:11">
      <c r="A2367" s="287" t="s">
        <v>255</v>
      </c>
    </row>
    <row r="2368" spans="1:11">
      <c r="A2368" s="301" t="s">
        <v>587</v>
      </c>
    </row>
    <row r="2369" spans="1:11">
      <c r="A2369" s="287" t="s">
        <v>561</v>
      </c>
    </row>
    <row r="2371" spans="1:11">
      <c r="B2371" s="288" t="s">
        <v>60</v>
      </c>
      <c r="C2371" s="288" t="s">
        <v>61</v>
      </c>
      <c r="D2371" s="288" t="s">
        <v>62</v>
      </c>
      <c r="E2371" s="288" t="s">
        <v>63</v>
      </c>
      <c r="F2371" s="288" t="s">
        <v>64</v>
      </c>
      <c r="G2371" s="288" t="s">
        <v>69</v>
      </c>
      <c r="H2371" s="288" t="s">
        <v>65</v>
      </c>
      <c r="I2371" s="288" t="s">
        <v>66</v>
      </c>
      <c r="J2371" s="288" t="s">
        <v>67</v>
      </c>
    </row>
    <row r="2372" spans="1:11">
      <c r="A2372" s="289" t="s">
        <v>588</v>
      </c>
      <c r="B2372" s="312">
        <f t="shared" ref="B2372:J2372" si="337">SUM(B$2353:B$2364)</f>
        <v>0</v>
      </c>
      <c r="C2372" s="312">
        <f t="shared" si="337"/>
        <v>410180.20692207996</v>
      </c>
      <c r="D2372" s="312">
        <f t="shared" si="337"/>
        <v>0</v>
      </c>
      <c r="E2372" s="312">
        <f t="shared" si="337"/>
        <v>179572.65280898148</v>
      </c>
      <c r="F2372" s="312">
        <f t="shared" si="337"/>
        <v>891719.52714528446</v>
      </c>
      <c r="G2372" s="312">
        <f t="shared" si="337"/>
        <v>2008800.4268617996</v>
      </c>
      <c r="H2372" s="312">
        <f t="shared" si="337"/>
        <v>3178402.0748275369</v>
      </c>
      <c r="I2372" s="312">
        <f t="shared" si="337"/>
        <v>1542417.1058545096</v>
      </c>
      <c r="J2372" s="312">
        <f t="shared" si="337"/>
        <v>4750562.7239072556</v>
      </c>
      <c r="K2372" s="291"/>
    </row>
    <row r="2374" spans="1:11" ht="21" customHeight="1">
      <c r="A2374" s="1" t="s">
        <v>589</v>
      </c>
    </row>
    <row r="2375" spans="1:11">
      <c r="A2375" s="287" t="s">
        <v>255</v>
      </c>
    </row>
    <row r="2376" spans="1:11">
      <c r="A2376" s="301" t="s">
        <v>560</v>
      </c>
    </row>
    <row r="2377" spans="1:11">
      <c r="A2377" s="301" t="s">
        <v>590</v>
      </c>
    </row>
    <row r="2378" spans="1:11">
      <c r="A2378" s="287" t="s">
        <v>591</v>
      </c>
    </row>
    <row r="2380" spans="1:11">
      <c r="B2380" s="288" t="s">
        <v>60</v>
      </c>
      <c r="C2380" s="288" t="s">
        <v>61</v>
      </c>
      <c r="D2380" s="288" t="s">
        <v>62</v>
      </c>
      <c r="E2380" s="288" t="s">
        <v>63</v>
      </c>
      <c r="F2380" s="288" t="s">
        <v>64</v>
      </c>
      <c r="G2380" s="288" t="s">
        <v>69</v>
      </c>
      <c r="H2380" s="288" t="s">
        <v>65</v>
      </c>
      <c r="I2380" s="288" t="s">
        <v>66</v>
      </c>
      <c r="J2380" s="288" t="s">
        <v>67</v>
      </c>
    </row>
    <row r="2381" spans="1:11">
      <c r="A2381" s="289" t="s">
        <v>92</v>
      </c>
      <c r="B2381" s="306">
        <f t="shared" ref="B2381:J2381" si="338">B$2217*B2293</f>
        <v>0</v>
      </c>
      <c r="C2381" s="306">
        <f t="shared" si="338"/>
        <v>0</v>
      </c>
      <c r="D2381" s="306">
        <f t="shared" si="338"/>
        <v>0</v>
      </c>
      <c r="E2381" s="306">
        <f t="shared" si="338"/>
        <v>0</v>
      </c>
      <c r="F2381" s="306">
        <f t="shared" si="338"/>
        <v>0</v>
      </c>
      <c r="G2381" s="306">
        <f t="shared" si="338"/>
        <v>0</v>
      </c>
      <c r="H2381" s="306">
        <f t="shared" si="338"/>
        <v>0</v>
      </c>
      <c r="I2381" s="306">
        <f t="shared" si="338"/>
        <v>0</v>
      </c>
      <c r="J2381" s="306">
        <f t="shared" si="338"/>
        <v>1541483.3665913364</v>
      </c>
      <c r="K2381" s="291"/>
    </row>
    <row r="2382" spans="1:11">
      <c r="A2382" s="289" t="s">
        <v>93</v>
      </c>
      <c r="B2382" s="306">
        <f t="shared" ref="B2382:J2382" si="339">B$2218*B2294</f>
        <v>0</v>
      </c>
      <c r="C2382" s="306">
        <f t="shared" si="339"/>
        <v>0</v>
      </c>
      <c r="D2382" s="306">
        <f t="shared" si="339"/>
        <v>0</v>
      </c>
      <c r="E2382" s="306">
        <f t="shared" si="339"/>
        <v>0</v>
      </c>
      <c r="F2382" s="306">
        <f t="shared" si="339"/>
        <v>0</v>
      </c>
      <c r="G2382" s="306">
        <f t="shared" si="339"/>
        <v>0</v>
      </c>
      <c r="H2382" s="306">
        <f t="shared" si="339"/>
        <v>0</v>
      </c>
      <c r="I2382" s="306">
        <f t="shared" si="339"/>
        <v>0</v>
      </c>
      <c r="J2382" s="306">
        <f t="shared" si="339"/>
        <v>255885.63934108309</v>
      </c>
      <c r="K2382" s="291"/>
    </row>
    <row r="2383" spans="1:11">
      <c r="A2383" s="289" t="s">
        <v>129</v>
      </c>
      <c r="B2383" s="306">
        <f t="shared" ref="B2383:J2383" si="340">B$2219*B2295</f>
        <v>0</v>
      </c>
      <c r="C2383" s="306">
        <f t="shared" si="340"/>
        <v>0</v>
      </c>
      <c r="D2383" s="306">
        <f t="shared" si="340"/>
        <v>0</v>
      </c>
      <c r="E2383" s="306">
        <f t="shared" si="340"/>
        <v>0</v>
      </c>
      <c r="F2383" s="306">
        <f t="shared" si="340"/>
        <v>0</v>
      </c>
      <c r="G2383" s="306">
        <f t="shared" si="340"/>
        <v>0</v>
      </c>
      <c r="H2383" s="306">
        <f t="shared" si="340"/>
        <v>0</v>
      </c>
      <c r="I2383" s="306">
        <f t="shared" si="340"/>
        <v>0</v>
      </c>
      <c r="J2383" s="306">
        <f t="shared" si="340"/>
        <v>959.93451847460904</v>
      </c>
      <c r="K2383" s="291"/>
    </row>
    <row r="2384" spans="1:11">
      <c r="A2384" s="289" t="s">
        <v>94</v>
      </c>
      <c r="B2384" s="306">
        <f t="shared" ref="B2384:J2384" si="341">B$2220*B2296</f>
        <v>0</v>
      </c>
      <c r="C2384" s="306">
        <f t="shared" si="341"/>
        <v>0</v>
      </c>
      <c r="D2384" s="306">
        <f t="shared" si="341"/>
        <v>0</v>
      </c>
      <c r="E2384" s="306">
        <f t="shared" si="341"/>
        <v>0</v>
      </c>
      <c r="F2384" s="306">
        <f t="shared" si="341"/>
        <v>0</v>
      </c>
      <c r="G2384" s="306">
        <f t="shared" si="341"/>
        <v>0</v>
      </c>
      <c r="H2384" s="306">
        <f t="shared" si="341"/>
        <v>0</v>
      </c>
      <c r="I2384" s="306">
        <f t="shared" si="341"/>
        <v>0</v>
      </c>
      <c r="J2384" s="306">
        <f t="shared" si="341"/>
        <v>333359.94869001937</v>
      </c>
      <c r="K2384" s="291"/>
    </row>
    <row r="2385" spans="1:11">
      <c r="A2385" s="289" t="s">
        <v>95</v>
      </c>
      <c r="B2385" s="306">
        <f t="shared" ref="B2385:J2385" si="342">B$2221*B2297</f>
        <v>0</v>
      </c>
      <c r="C2385" s="306">
        <f t="shared" si="342"/>
        <v>0</v>
      </c>
      <c r="D2385" s="306">
        <f t="shared" si="342"/>
        <v>0</v>
      </c>
      <c r="E2385" s="306">
        <f t="shared" si="342"/>
        <v>0</v>
      </c>
      <c r="F2385" s="306">
        <f t="shared" si="342"/>
        <v>0</v>
      </c>
      <c r="G2385" s="306">
        <f t="shared" si="342"/>
        <v>0</v>
      </c>
      <c r="H2385" s="306">
        <f t="shared" si="342"/>
        <v>0</v>
      </c>
      <c r="I2385" s="306">
        <f t="shared" si="342"/>
        <v>0</v>
      </c>
      <c r="J2385" s="306">
        <f t="shared" si="342"/>
        <v>122659.48884707438</v>
      </c>
      <c r="K2385" s="291"/>
    </row>
    <row r="2386" spans="1:11">
      <c r="A2386" s="289" t="s">
        <v>130</v>
      </c>
      <c r="B2386" s="306">
        <f t="shared" ref="B2386:J2386" si="343">B$2222*B2298</f>
        <v>0</v>
      </c>
      <c r="C2386" s="306">
        <f t="shared" si="343"/>
        <v>0</v>
      </c>
      <c r="D2386" s="306">
        <f t="shared" si="343"/>
        <v>0</v>
      </c>
      <c r="E2386" s="306">
        <f t="shared" si="343"/>
        <v>0</v>
      </c>
      <c r="F2386" s="306">
        <f t="shared" si="343"/>
        <v>0</v>
      </c>
      <c r="G2386" s="306">
        <f t="shared" si="343"/>
        <v>0</v>
      </c>
      <c r="H2386" s="306">
        <f t="shared" si="343"/>
        <v>0</v>
      </c>
      <c r="I2386" s="306">
        <f t="shared" si="343"/>
        <v>0</v>
      </c>
      <c r="J2386" s="306">
        <f t="shared" si="343"/>
        <v>284.60047551585939</v>
      </c>
      <c r="K2386" s="291"/>
    </row>
    <row r="2387" spans="1:11">
      <c r="A2387" s="289" t="s">
        <v>96</v>
      </c>
      <c r="B2387" s="306">
        <f t="shared" ref="B2387:J2387" si="344">B$2223*B2299</f>
        <v>0</v>
      </c>
      <c r="C2387" s="306">
        <f t="shared" si="344"/>
        <v>0</v>
      </c>
      <c r="D2387" s="306">
        <f t="shared" si="344"/>
        <v>0</v>
      </c>
      <c r="E2387" s="306">
        <f t="shared" si="344"/>
        <v>0</v>
      </c>
      <c r="F2387" s="306">
        <f t="shared" si="344"/>
        <v>0</v>
      </c>
      <c r="G2387" s="306">
        <f t="shared" si="344"/>
        <v>0</v>
      </c>
      <c r="H2387" s="306">
        <f t="shared" si="344"/>
        <v>0</v>
      </c>
      <c r="I2387" s="306">
        <f t="shared" si="344"/>
        <v>0</v>
      </c>
      <c r="J2387" s="306">
        <f t="shared" si="344"/>
        <v>0</v>
      </c>
      <c r="K2387" s="291"/>
    </row>
    <row r="2388" spans="1:11">
      <c r="A2388" s="289" t="s">
        <v>97</v>
      </c>
      <c r="B2388" s="306">
        <f t="shared" ref="B2388:J2388" si="345">B$2224*B2300</f>
        <v>0</v>
      </c>
      <c r="C2388" s="306">
        <f t="shared" si="345"/>
        <v>0</v>
      </c>
      <c r="D2388" s="306">
        <f t="shared" si="345"/>
        <v>0</v>
      </c>
      <c r="E2388" s="306">
        <f t="shared" si="345"/>
        <v>0</v>
      </c>
      <c r="F2388" s="306">
        <f t="shared" si="345"/>
        <v>0</v>
      </c>
      <c r="G2388" s="306">
        <f t="shared" si="345"/>
        <v>0</v>
      </c>
      <c r="H2388" s="306">
        <f t="shared" si="345"/>
        <v>0</v>
      </c>
      <c r="I2388" s="306">
        <f t="shared" si="345"/>
        <v>0</v>
      </c>
      <c r="J2388" s="306">
        <f t="shared" si="345"/>
        <v>0</v>
      </c>
      <c r="K2388" s="291"/>
    </row>
    <row r="2389" spans="1:11">
      <c r="A2389" s="289" t="s">
        <v>110</v>
      </c>
      <c r="B2389" s="306">
        <f t="shared" ref="B2389:J2389" si="346">B$2225*B2301</f>
        <v>0</v>
      </c>
      <c r="C2389" s="306">
        <f t="shared" si="346"/>
        <v>0</v>
      </c>
      <c r="D2389" s="306">
        <f t="shared" si="346"/>
        <v>0</v>
      </c>
      <c r="E2389" s="306">
        <f t="shared" si="346"/>
        <v>0</v>
      </c>
      <c r="F2389" s="306">
        <f t="shared" si="346"/>
        <v>0</v>
      </c>
      <c r="G2389" s="306">
        <f t="shared" si="346"/>
        <v>0</v>
      </c>
      <c r="H2389" s="306">
        <f t="shared" si="346"/>
        <v>0</v>
      </c>
      <c r="I2389" s="306">
        <f t="shared" si="346"/>
        <v>0</v>
      </c>
      <c r="J2389" s="306">
        <f t="shared" si="346"/>
        <v>0</v>
      </c>
      <c r="K2389" s="291"/>
    </row>
    <row r="2390" spans="1:11">
      <c r="A2390" s="289" t="s">
        <v>1536</v>
      </c>
      <c r="B2390" s="306">
        <f t="shared" ref="B2390:J2390" si="347">B$2226*B2302</f>
        <v>0</v>
      </c>
      <c r="C2390" s="306">
        <f t="shared" si="347"/>
        <v>0</v>
      </c>
      <c r="D2390" s="306">
        <f t="shared" si="347"/>
        <v>0</v>
      </c>
      <c r="E2390" s="306">
        <f t="shared" si="347"/>
        <v>0</v>
      </c>
      <c r="F2390" s="306">
        <f t="shared" si="347"/>
        <v>0</v>
      </c>
      <c r="G2390" s="306">
        <f t="shared" si="347"/>
        <v>0</v>
      </c>
      <c r="H2390" s="306">
        <f t="shared" si="347"/>
        <v>0</v>
      </c>
      <c r="I2390" s="306">
        <f t="shared" si="347"/>
        <v>0</v>
      </c>
      <c r="J2390" s="306">
        <f t="shared" si="347"/>
        <v>0</v>
      </c>
      <c r="K2390" s="291"/>
    </row>
    <row r="2391" spans="1:11">
      <c r="A2391" s="289" t="s">
        <v>1535</v>
      </c>
      <c r="B2391" s="306">
        <f t="shared" ref="B2391:J2391" si="348">B$2227*B2303</f>
        <v>0</v>
      </c>
      <c r="C2391" s="306">
        <f t="shared" si="348"/>
        <v>0</v>
      </c>
      <c r="D2391" s="306">
        <f t="shared" si="348"/>
        <v>0</v>
      </c>
      <c r="E2391" s="306">
        <f t="shared" si="348"/>
        <v>0</v>
      </c>
      <c r="F2391" s="306">
        <f t="shared" si="348"/>
        <v>0</v>
      </c>
      <c r="G2391" s="306">
        <f t="shared" si="348"/>
        <v>0</v>
      </c>
      <c r="H2391" s="306">
        <f t="shared" si="348"/>
        <v>0</v>
      </c>
      <c r="I2391" s="306">
        <f t="shared" si="348"/>
        <v>0</v>
      </c>
      <c r="J2391" s="306">
        <f t="shared" si="348"/>
        <v>109515.01104969198</v>
      </c>
      <c r="K2391" s="291"/>
    </row>
    <row r="2392" spans="1:11">
      <c r="A2392" s="289" t="s">
        <v>98</v>
      </c>
      <c r="B2392" s="306">
        <f t="shared" ref="B2392:J2392" si="349">B$2228*B2304</f>
        <v>0</v>
      </c>
      <c r="C2392" s="306">
        <f t="shared" si="349"/>
        <v>0</v>
      </c>
      <c r="D2392" s="306">
        <f t="shared" si="349"/>
        <v>0</v>
      </c>
      <c r="E2392" s="306">
        <f t="shared" si="349"/>
        <v>0</v>
      </c>
      <c r="F2392" s="306">
        <f t="shared" si="349"/>
        <v>0</v>
      </c>
      <c r="G2392" s="306">
        <f t="shared" si="349"/>
        <v>0</v>
      </c>
      <c r="H2392" s="306">
        <f t="shared" si="349"/>
        <v>97509.851219095915</v>
      </c>
      <c r="I2392" s="306">
        <f t="shared" si="349"/>
        <v>478891.83939845697</v>
      </c>
      <c r="J2392" s="306">
        <f t="shared" si="349"/>
        <v>471402.2706130165</v>
      </c>
      <c r="K2392" s="291"/>
    </row>
    <row r="2393" spans="1:11">
      <c r="A2393" s="289" t="s">
        <v>99</v>
      </c>
      <c r="B2393" s="306">
        <f t="shared" ref="B2393:J2393" si="350">B$2229*B2305</f>
        <v>0</v>
      </c>
      <c r="C2393" s="306">
        <f t="shared" si="350"/>
        <v>0</v>
      </c>
      <c r="D2393" s="306">
        <f t="shared" si="350"/>
        <v>0</v>
      </c>
      <c r="E2393" s="306">
        <f t="shared" si="350"/>
        <v>0</v>
      </c>
      <c r="F2393" s="306">
        <f t="shared" si="350"/>
        <v>0</v>
      </c>
      <c r="G2393" s="306">
        <f t="shared" si="350"/>
        <v>0</v>
      </c>
      <c r="H2393" s="306">
        <f t="shared" si="350"/>
        <v>12469.323999948117</v>
      </c>
      <c r="I2393" s="306">
        <f t="shared" si="350"/>
        <v>12247.9060971453</v>
      </c>
      <c r="J2393" s="306">
        <f t="shared" si="350"/>
        <v>0</v>
      </c>
      <c r="K2393" s="291"/>
    </row>
    <row r="2394" spans="1:11">
      <c r="A2394" s="289" t="s">
        <v>111</v>
      </c>
      <c r="B2394" s="306">
        <f t="shared" ref="B2394:J2394" si="351">B$2230*B2306</f>
        <v>0</v>
      </c>
      <c r="C2394" s="306">
        <f t="shared" si="351"/>
        <v>156663.55433438893</v>
      </c>
      <c r="D2394" s="306">
        <f t="shared" si="351"/>
        <v>0</v>
      </c>
      <c r="E2394" s="306">
        <f t="shared" si="351"/>
        <v>67586.72984145103</v>
      </c>
      <c r="F2394" s="306">
        <f t="shared" si="351"/>
        <v>335621.29774640396</v>
      </c>
      <c r="G2394" s="306">
        <f t="shared" si="351"/>
        <v>767237.93471680221</v>
      </c>
      <c r="H2394" s="306">
        <f t="shared" si="351"/>
        <v>1062600.4867142232</v>
      </c>
      <c r="I2394" s="306">
        <f t="shared" si="351"/>
        <v>0</v>
      </c>
      <c r="J2394" s="306">
        <f t="shared" si="351"/>
        <v>0</v>
      </c>
      <c r="K2394" s="291"/>
    </row>
    <row r="2395" spans="1:11">
      <c r="A2395" s="289" t="s">
        <v>131</v>
      </c>
      <c r="B2395" s="306">
        <f t="shared" ref="B2395:J2395" si="352">B$2231*B2307</f>
        <v>0</v>
      </c>
      <c r="C2395" s="306">
        <f t="shared" si="352"/>
        <v>0</v>
      </c>
      <c r="D2395" s="306">
        <f t="shared" si="352"/>
        <v>0</v>
      </c>
      <c r="E2395" s="306">
        <f t="shared" si="352"/>
        <v>0</v>
      </c>
      <c r="F2395" s="306">
        <f t="shared" si="352"/>
        <v>0</v>
      </c>
      <c r="G2395" s="306">
        <f t="shared" si="352"/>
        <v>0</v>
      </c>
      <c r="H2395" s="306">
        <f t="shared" si="352"/>
        <v>0</v>
      </c>
      <c r="I2395" s="306">
        <f t="shared" si="352"/>
        <v>0</v>
      </c>
      <c r="J2395" s="306">
        <f t="shared" si="352"/>
        <v>0</v>
      </c>
      <c r="K2395" s="291"/>
    </row>
    <row r="2396" spans="1:11">
      <c r="A2396" s="289" t="s">
        <v>132</v>
      </c>
      <c r="B2396" s="306">
        <f t="shared" ref="B2396:J2396" si="353">B$2232*B2308</f>
        <v>0</v>
      </c>
      <c r="C2396" s="306">
        <f t="shared" si="353"/>
        <v>0</v>
      </c>
      <c r="D2396" s="306">
        <f t="shared" si="353"/>
        <v>0</v>
      </c>
      <c r="E2396" s="306">
        <f t="shared" si="353"/>
        <v>0</v>
      </c>
      <c r="F2396" s="306">
        <f t="shared" si="353"/>
        <v>0</v>
      </c>
      <c r="G2396" s="306">
        <f t="shared" si="353"/>
        <v>0</v>
      </c>
      <c r="H2396" s="306">
        <f t="shared" si="353"/>
        <v>0</v>
      </c>
      <c r="I2396" s="306">
        <f t="shared" si="353"/>
        <v>0</v>
      </c>
      <c r="J2396" s="306">
        <f t="shared" si="353"/>
        <v>0</v>
      </c>
      <c r="K2396" s="291"/>
    </row>
    <row r="2397" spans="1:11">
      <c r="A2397" s="289" t="s">
        <v>133</v>
      </c>
      <c r="B2397" s="306">
        <f t="shared" ref="B2397:J2397" si="354">B$2233*B2309</f>
        <v>0</v>
      </c>
      <c r="C2397" s="306">
        <f t="shared" si="354"/>
        <v>0</v>
      </c>
      <c r="D2397" s="306">
        <f t="shared" si="354"/>
        <v>0</v>
      </c>
      <c r="E2397" s="306">
        <f t="shared" si="354"/>
        <v>0</v>
      </c>
      <c r="F2397" s="306">
        <f t="shared" si="354"/>
        <v>0</v>
      </c>
      <c r="G2397" s="306">
        <f t="shared" si="354"/>
        <v>0</v>
      </c>
      <c r="H2397" s="306">
        <f t="shared" si="354"/>
        <v>0</v>
      </c>
      <c r="I2397" s="306">
        <f t="shared" si="354"/>
        <v>0</v>
      </c>
      <c r="J2397" s="306">
        <f t="shared" si="354"/>
        <v>0</v>
      </c>
      <c r="K2397" s="291"/>
    </row>
    <row r="2398" spans="1:11">
      <c r="A2398" s="289" t="s">
        <v>134</v>
      </c>
      <c r="B2398" s="306">
        <f t="shared" ref="B2398:J2398" si="355">B$2234*B2310</f>
        <v>0</v>
      </c>
      <c r="C2398" s="306">
        <f t="shared" si="355"/>
        <v>0</v>
      </c>
      <c r="D2398" s="306">
        <f t="shared" si="355"/>
        <v>0</v>
      </c>
      <c r="E2398" s="306">
        <f t="shared" si="355"/>
        <v>0</v>
      </c>
      <c r="F2398" s="306">
        <f t="shared" si="355"/>
        <v>0</v>
      </c>
      <c r="G2398" s="306">
        <f t="shared" si="355"/>
        <v>0</v>
      </c>
      <c r="H2398" s="306">
        <f t="shared" si="355"/>
        <v>0</v>
      </c>
      <c r="I2398" s="306">
        <f t="shared" si="355"/>
        <v>0</v>
      </c>
      <c r="J2398" s="306">
        <f t="shared" si="355"/>
        <v>0</v>
      </c>
      <c r="K2398" s="291"/>
    </row>
    <row r="2399" spans="1:11">
      <c r="A2399" s="289" t="s">
        <v>135</v>
      </c>
      <c r="B2399" s="306">
        <f t="shared" ref="B2399:J2399" si="356">B$2235*B2311</f>
        <v>0</v>
      </c>
      <c r="C2399" s="306">
        <f t="shared" si="356"/>
        <v>0</v>
      </c>
      <c r="D2399" s="306">
        <f t="shared" si="356"/>
        <v>0</v>
      </c>
      <c r="E2399" s="306">
        <f t="shared" si="356"/>
        <v>0</v>
      </c>
      <c r="F2399" s="306">
        <f t="shared" si="356"/>
        <v>0</v>
      </c>
      <c r="G2399" s="306">
        <f t="shared" si="356"/>
        <v>0</v>
      </c>
      <c r="H2399" s="306">
        <f t="shared" si="356"/>
        <v>0</v>
      </c>
      <c r="I2399" s="306">
        <f t="shared" si="356"/>
        <v>0</v>
      </c>
      <c r="J2399" s="306">
        <f t="shared" si="356"/>
        <v>0</v>
      </c>
      <c r="K2399" s="291"/>
    </row>
    <row r="2401" spans="1:11" ht="21" customHeight="1">
      <c r="A2401" s="1" t="s">
        <v>592</v>
      </c>
    </row>
    <row r="2402" spans="1:11">
      <c r="A2402" s="287" t="s">
        <v>255</v>
      </c>
    </row>
    <row r="2403" spans="1:11">
      <c r="A2403" s="301" t="s">
        <v>593</v>
      </c>
    </row>
    <row r="2404" spans="1:11">
      <c r="A2404" s="287" t="s">
        <v>561</v>
      </c>
    </row>
    <row r="2406" spans="1:11">
      <c r="B2406" s="288" t="s">
        <v>60</v>
      </c>
      <c r="C2406" s="288" t="s">
        <v>61</v>
      </c>
      <c r="D2406" s="288" t="s">
        <v>62</v>
      </c>
      <c r="E2406" s="288" t="s">
        <v>63</v>
      </c>
      <c r="F2406" s="288" t="s">
        <v>64</v>
      </c>
      <c r="G2406" s="288" t="s">
        <v>69</v>
      </c>
      <c r="H2406" s="288" t="s">
        <v>65</v>
      </c>
      <c r="I2406" s="288" t="s">
        <v>66</v>
      </c>
      <c r="J2406" s="288" t="s">
        <v>67</v>
      </c>
    </row>
    <row r="2407" spans="1:11" ht="30">
      <c r="A2407" s="289" t="s">
        <v>594</v>
      </c>
      <c r="B2407" s="312">
        <f t="shared" ref="B2407:J2407" si="357">SUM(B$2381:B$2399)</f>
        <v>0</v>
      </c>
      <c r="C2407" s="312">
        <f t="shared" si="357"/>
        <v>156663.55433438893</v>
      </c>
      <c r="D2407" s="312">
        <f t="shared" si="357"/>
        <v>0</v>
      </c>
      <c r="E2407" s="312">
        <f t="shared" si="357"/>
        <v>67586.72984145103</v>
      </c>
      <c r="F2407" s="312">
        <f t="shared" si="357"/>
        <v>335621.29774640396</v>
      </c>
      <c r="G2407" s="312">
        <f t="shared" si="357"/>
        <v>767237.93471680221</v>
      </c>
      <c r="H2407" s="312">
        <f t="shared" si="357"/>
        <v>1172579.6619332673</v>
      </c>
      <c r="I2407" s="312">
        <f t="shared" si="357"/>
        <v>491139.74549560226</v>
      </c>
      <c r="J2407" s="312">
        <f t="shared" si="357"/>
        <v>2835550.2601262126</v>
      </c>
      <c r="K2407" s="291"/>
    </row>
    <row r="2409" spans="1:11" ht="21" customHeight="1">
      <c r="A2409" s="1" t="s">
        <v>595</v>
      </c>
    </row>
    <row r="2410" spans="1:11">
      <c r="A2410" s="287" t="s">
        <v>255</v>
      </c>
    </row>
    <row r="2411" spans="1:11">
      <c r="A2411" s="301" t="s">
        <v>596</v>
      </c>
    </row>
    <row r="2412" spans="1:11">
      <c r="A2412" s="301" t="s">
        <v>597</v>
      </c>
    </row>
    <row r="2413" spans="1:11">
      <c r="A2413" s="287" t="s">
        <v>598</v>
      </c>
    </row>
    <row r="2415" spans="1:11">
      <c r="B2415" s="288" t="s">
        <v>67</v>
      </c>
    </row>
    <row r="2416" spans="1:11">
      <c r="A2416" s="289" t="s">
        <v>599</v>
      </c>
      <c r="B2416" s="308">
        <f>$J2372/$J2407-1</f>
        <v>0.67535832134952334</v>
      </c>
      <c r="C2416" s="291"/>
    </row>
    <row r="2418" spans="1:11" ht="21" customHeight="1">
      <c r="A2418" s="1" t="s">
        <v>600</v>
      </c>
    </row>
    <row r="2420" spans="1:11">
      <c r="B2420" s="288" t="s">
        <v>60</v>
      </c>
      <c r="C2420" s="288" t="s">
        <v>61</v>
      </c>
      <c r="D2420" s="288" t="s">
        <v>62</v>
      </c>
      <c r="E2420" s="288" t="s">
        <v>63</v>
      </c>
      <c r="F2420" s="288" t="s">
        <v>64</v>
      </c>
      <c r="G2420" s="288" t="s">
        <v>69</v>
      </c>
      <c r="H2420" s="288" t="s">
        <v>65</v>
      </c>
      <c r="I2420" s="288" t="s">
        <v>66</v>
      </c>
      <c r="J2420" s="288" t="s">
        <v>67</v>
      </c>
    </row>
    <row r="2421" spans="1:11">
      <c r="A2421" s="289" t="s">
        <v>60</v>
      </c>
      <c r="B2421" s="310">
        <v>1</v>
      </c>
      <c r="C2421" s="310">
        <v>0</v>
      </c>
      <c r="D2421" s="310">
        <v>0</v>
      </c>
      <c r="E2421" s="310">
        <v>0</v>
      </c>
      <c r="F2421" s="310">
        <v>0</v>
      </c>
      <c r="G2421" s="310">
        <v>0</v>
      </c>
      <c r="H2421" s="310">
        <v>0</v>
      </c>
      <c r="I2421" s="310">
        <v>0</v>
      </c>
      <c r="J2421" s="310">
        <v>0</v>
      </c>
      <c r="K2421" s="291"/>
    </row>
    <row r="2422" spans="1:11">
      <c r="A2422" s="289" t="s">
        <v>61</v>
      </c>
      <c r="B2422" s="310">
        <v>0</v>
      </c>
      <c r="C2422" s="310">
        <v>1</v>
      </c>
      <c r="D2422" s="310">
        <v>0</v>
      </c>
      <c r="E2422" s="310">
        <v>0</v>
      </c>
      <c r="F2422" s="310">
        <v>0</v>
      </c>
      <c r="G2422" s="310">
        <v>0</v>
      </c>
      <c r="H2422" s="310">
        <v>0</v>
      </c>
      <c r="I2422" s="310">
        <v>0</v>
      </c>
      <c r="J2422" s="310">
        <v>0</v>
      </c>
      <c r="K2422" s="291"/>
    </row>
    <row r="2423" spans="1:11">
      <c r="A2423" s="289" t="s">
        <v>62</v>
      </c>
      <c r="B2423" s="310">
        <v>0</v>
      </c>
      <c r="C2423" s="310">
        <v>0</v>
      </c>
      <c r="D2423" s="310">
        <v>1</v>
      </c>
      <c r="E2423" s="310">
        <v>0</v>
      </c>
      <c r="F2423" s="310">
        <v>0</v>
      </c>
      <c r="G2423" s="310">
        <v>1</v>
      </c>
      <c r="H2423" s="310">
        <v>0</v>
      </c>
      <c r="I2423" s="310">
        <v>0</v>
      </c>
      <c r="J2423" s="310">
        <v>0</v>
      </c>
      <c r="K2423" s="291"/>
    </row>
    <row r="2424" spans="1:11">
      <c r="A2424" s="289" t="s">
        <v>63</v>
      </c>
      <c r="B2424" s="310">
        <v>0</v>
      </c>
      <c r="C2424" s="310">
        <v>0</v>
      </c>
      <c r="D2424" s="310">
        <v>0</v>
      </c>
      <c r="E2424" s="310">
        <v>1</v>
      </c>
      <c r="F2424" s="310">
        <v>0</v>
      </c>
      <c r="G2424" s="310">
        <v>0</v>
      </c>
      <c r="H2424" s="310">
        <v>0</v>
      </c>
      <c r="I2424" s="310">
        <v>0</v>
      </c>
      <c r="J2424" s="310">
        <v>0</v>
      </c>
      <c r="K2424" s="291"/>
    </row>
    <row r="2425" spans="1:11">
      <c r="A2425" s="289" t="s">
        <v>64</v>
      </c>
      <c r="B2425" s="310">
        <v>0</v>
      </c>
      <c r="C2425" s="310">
        <v>0</v>
      </c>
      <c r="D2425" s="310">
        <v>0</v>
      </c>
      <c r="E2425" s="310">
        <v>0</v>
      </c>
      <c r="F2425" s="310">
        <v>1</v>
      </c>
      <c r="G2425" s="310">
        <v>0</v>
      </c>
      <c r="H2425" s="310">
        <v>0</v>
      </c>
      <c r="I2425" s="310">
        <v>0</v>
      </c>
      <c r="J2425" s="310">
        <v>0</v>
      </c>
      <c r="K2425" s="291"/>
    </row>
    <row r="2426" spans="1:11">
      <c r="A2426" s="289" t="s">
        <v>65</v>
      </c>
      <c r="B2426" s="310">
        <v>0</v>
      </c>
      <c r="C2426" s="310">
        <v>0</v>
      </c>
      <c r="D2426" s="310">
        <v>0</v>
      </c>
      <c r="E2426" s="310">
        <v>0</v>
      </c>
      <c r="F2426" s="310">
        <v>0</v>
      </c>
      <c r="G2426" s="310">
        <v>0</v>
      </c>
      <c r="H2426" s="310">
        <v>1</v>
      </c>
      <c r="I2426" s="310">
        <v>0</v>
      </c>
      <c r="J2426" s="310">
        <v>0</v>
      </c>
      <c r="K2426" s="291"/>
    </row>
    <row r="2427" spans="1:11">
      <c r="A2427" s="289" t="s">
        <v>66</v>
      </c>
      <c r="B2427" s="310">
        <v>0</v>
      </c>
      <c r="C2427" s="310">
        <v>0</v>
      </c>
      <c r="D2427" s="310">
        <v>0</v>
      </c>
      <c r="E2427" s="310">
        <v>0</v>
      </c>
      <c r="F2427" s="310">
        <v>0</v>
      </c>
      <c r="G2427" s="310">
        <v>0</v>
      </c>
      <c r="H2427" s="310">
        <v>0</v>
      </c>
      <c r="I2427" s="310">
        <v>1</v>
      </c>
      <c r="J2427" s="310">
        <v>0</v>
      </c>
      <c r="K2427" s="291"/>
    </row>
    <row r="2428" spans="1:11">
      <c r="A2428" s="289" t="s">
        <v>67</v>
      </c>
      <c r="B2428" s="310">
        <v>0</v>
      </c>
      <c r="C2428" s="310">
        <v>0</v>
      </c>
      <c r="D2428" s="310">
        <v>0</v>
      </c>
      <c r="E2428" s="310">
        <v>0</v>
      </c>
      <c r="F2428" s="310">
        <v>0</v>
      </c>
      <c r="G2428" s="310">
        <v>0</v>
      </c>
      <c r="H2428" s="310">
        <v>0</v>
      </c>
      <c r="I2428" s="310">
        <v>0</v>
      </c>
      <c r="J2428" s="310">
        <v>1</v>
      </c>
      <c r="K2428" s="291"/>
    </row>
    <row r="2430" spans="1:11" ht="21" customHeight="1">
      <c r="A2430" s="1" t="s">
        <v>601</v>
      </c>
    </row>
    <row r="2431" spans="1:11">
      <c r="A2431" s="287" t="s">
        <v>255</v>
      </c>
    </row>
    <row r="2432" spans="1:11">
      <c r="A2432" s="301" t="s">
        <v>602</v>
      </c>
    </row>
    <row r="2433" spans="1:3">
      <c r="A2433" s="301" t="s">
        <v>603</v>
      </c>
    </row>
    <row r="2434" spans="1:3">
      <c r="A2434" s="287" t="s">
        <v>268</v>
      </c>
    </row>
    <row r="2436" spans="1:3" ht="30">
      <c r="B2436" s="288" t="s">
        <v>604</v>
      </c>
    </row>
    <row r="2437" spans="1:3">
      <c r="A2437" s="289" t="s">
        <v>60</v>
      </c>
      <c r="B2437" s="308">
        <f>SUMPRODUCT(D$645:D$652,$B$2421:$B$2428)</f>
        <v>5.649040831841079E-2</v>
      </c>
      <c r="C2437" s="291"/>
    </row>
    <row r="2438" spans="1:3">
      <c r="A2438" s="289" t="s">
        <v>61</v>
      </c>
      <c r="B2438" s="308">
        <f>SUMPRODUCT(D$645:D$652,$C$2421:$C$2428)</f>
        <v>8.3503476129090037E-2</v>
      </c>
      <c r="C2438" s="291"/>
    </row>
    <row r="2439" spans="1:3">
      <c r="A2439" s="289" t="s">
        <v>62</v>
      </c>
      <c r="B2439" s="308">
        <f>SUMPRODUCT(D$645:D$652,$D$2421:$D$2428)</f>
        <v>8.3503476129090037E-2</v>
      </c>
      <c r="C2439" s="291"/>
    </row>
    <row r="2440" spans="1:3">
      <c r="A2440" s="289" t="s">
        <v>63</v>
      </c>
      <c r="B2440" s="308">
        <f>SUMPRODUCT(D$645:D$652,$E$2421:$E$2428)</f>
        <v>0.11235890369236912</v>
      </c>
      <c r="C2440" s="291"/>
    </row>
    <row r="2441" spans="1:3">
      <c r="A2441" s="289" t="s">
        <v>64</v>
      </c>
      <c r="B2441" s="308">
        <f>SUMPRODUCT(D$645:D$652,$F$2421:$F$2428)</f>
        <v>0.11235890369236912</v>
      </c>
      <c r="C2441" s="291"/>
    </row>
    <row r="2442" spans="1:3">
      <c r="A2442" s="289" t="s">
        <v>69</v>
      </c>
      <c r="B2442" s="308">
        <f>SUMPRODUCT(D$645:D$652,$G$2421:$G$2428)</f>
        <v>8.3503476129090037E-2</v>
      </c>
      <c r="C2442" s="291"/>
    </row>
    <row r="2443" spans="1:3">
      <c r="A2443" s="289" t="s">
        <v>65</v>
      </c>
      <c r="B2443" s="308">
        <f>SUMPRODUCT(D$645:D$652,$H$2421:$H$2428)</f>
        <v>0.49056093094777475</v>
      </c>
      <c r="C2443" s="291"/>
    </row>
    <row r="2444" spans="1:3">
      <c r="A2444" s="289" t="s">
        <v>66</v>
      </c>
      <c r="B2444" s="308">
        <f>SUMPRODUCT(D$645:D$652,$I$2421:$I$2428)</f>
        <v>0.49056093094777475</v>
      </c>
      <c r="C2444" s="291"/>
    </row>
    <row r="2445" spans="1:3">
      <c r="A2445" s="289" t="s">
        <v>67</v>
      </c>
      <c r="B2445" s="308">
        <f>SUMPRODUCT(D$645:D$652,$J$2421:$J$2428)</f>
        <v>0</v>
      </c>
      <c r="C2445" s="291"/>
    </row>
    <row r="2447" spans="1:3" ht="21" customHeight="1">
      <c r="A2447" s="1" t="s">
        <v>605</v>
      </c>
    </row>
    <row r="2448" spans="1:3">
      <c r="A2448" s="287" t="s">
        <v>255</v>
      </c>
    </row>
    <row r="2449" spans="1:11">
      <c r="A2449" s="301" t="s">
        <v>606</v>
      </c>
    </row>
    <row r="2450" spans="1:11">
      <c r="A2450" s="301" t="s">
        <v>607</v>
      </c>
    </row>
    <row r="2451" spans="1:11">
      <c r="A2451" s="287" t="s">
        <v>273</v>
      </c>
    </row>
    <row r="2453" spans="1:11">
      <c r="B2453" s="288" t="s">
        <v>60</v>
      </c>
      <c r="C2453" s="288" t="s">
        <v>61</v>
      </c>
      <c r="D2453" s="288" t="s">
        <v>62</v>
      </c>
      <c r="E2453" s="288" t="s">
        <v>63</v>
      </c>
      <c r="F2453" s="288" t="s">
        <v>64</v>
      </c>
      <c r="G2453" s="288" t="s">
        <v>69</v>
      </c>
      <c r="H2453" s="288" t="s">
        <v>65</v>
      </c>
      <c r="I2453" s="288" t="s">
        <v>66</v>
      </c>
      <c r="J2453" s="288" t="s">
        <v>67</v>
      </c>
    </row>
    <row r="2454" spans="1:11">
      <c r="A2454" s="289" t="s">
        <v>608</v>
      </c>
      <c r="B2454" s="311">
        <f>$B$2437</f>
        <v>5.649040831841079E-2</v>
      </c>
      <c r="C2454" s="311">
        <f>$B$2438</f>
        <v>8.3503476129090037E-2</v>
      </c>
      <c r="D2454" s="311">
        <f>$B$2439</f>
        <v>8.3503476129090037E-2</v>
      </c>
      <c r="E2454" s="311">
        <f>$B$2440</f>
        <v>0.11235890369236912</v>
      </c>
      <c r="F2454" s="311">
        <f>$B$2441</f>
        <v>0.11235890369236912</v>
      </c>
      <c r="G2454" s="311">
        <f>$B$2442</f>
        <v>8.3503476129090037E-2</v>
      </c>
      <c r="H2454" s="311">
        <f>$B$2443</f>
        <v>0.49056093094777475</v>
      </c>
      <c r="I2454" s="311">
        <f>$B$2444</f>
        <v>0.49056093094777475</v>
      </c>
      <c r="J2454" s="311">
        <f>$B2416</f>
        <v>0.67535832134952334</v>
      </c>
      <c r="K2454" s="291"/>
    </row>
    <row r="2456" spans="1:11" ht="21" customHeight="1">
      <c r="A2456" s="1" t="s">
        <v>609</v>
      </c>
    </row>
    <row r="2457" spans="1:11">
      <c r="A2457" s="287" t="s">
        <v>255</v>
      </c>
    </row>
    <row r="2458" spans="1:11">
      <c r="A2458" s="301" t="s">
        <v>610</v>
      </c>
    </row>
    <row r="2459" spans="1:11">
      <c r="A2459" s="301" t="s">
        <v>597</v>
      </c>
    </row>
    <row r="2460" spans="1:11">
      <c r="A2460" s="301" t="s">
        <v>611</v>
      </c>
    </row>
    <row r="2461" spans="1:11">
      <c r="A2461" s="301" t="s">
        <v>612</v>
      </c>
    </row>
    <row r="2462" spans="1:11">
      <c r="A2462" s="287" t="s">
        <v>613</v>
      </c>
    </row>
    <row r="2464" spans="1:11">
      <c r="B2464" s="288" t="s">
        <v>60</v>
      </c>
      <c r="C2464" s="288" t="s">
        <v>61</v>
      </c>
      <c r="D2464" s="288" t="s">
        <v>62</v>
      </c>
      <c r="E2464" s="288" t="s">
        <v>63</v>
      </c>
      <c r="F2464" s="288" t="s">
        <v>64</v>
      </c>
      <c r="G2464" s="288" t="s">
        <v>69</v>
      </c>
      <c r="H2464" s="288" t="s">
        <v>65</v>
      </c>
      <c r="I2464" s="288" t="s">
        <v>66</v>
      </c>
      <c r="J2464" s="288" t="s">
        <v>67</v>
      </c>
    </row>
    <row r="2465" spans="1:13" ht="30">
      <c r="A2465" s="289" t="s">
        <v>614</v>
      </c>
      <c r="B2465" s="312">
        <f t="shared" ref="B2465:J2465" si="358">B2251-B2407+B2372/(1+B2454)</f>
        <v>4285464.6288498268</v>
      </c>
      <c r="C2465" s="312">
        <f t="shared" si="358"/>
        <v>4437802.6586697996</v>
      </c>
      <c r="D2465" s="312">
        <f t="shared" si="358"/>
        <v>1289676.3724017614</v>
      </c>
      <c r="E2465" s="312">
        <f t="shared" si="358"/>
        <v>1356002.8421268659</v>
      </c>
      <c r="F2465" s="312">
        <f t="shared" si="358"/>
        <v>1719545.0431602916</v>
      </c>
      <c r="G2465" s="312">
        <f t="shared" si="358"/>
        <v>3946597.1532620061</v>
      </c>
      <c r="H2465" s="312">
        <f t="shared" si="358"/>
        <v>5020242.2376335189</v>
      </c>
      <c r="I2465" s="312">
        <f t="shared" si="358"/>
        <v>3490053.0434642653</v>
      </c>
      <c r="J2465" s="312">
        <f t="shared" si="358"/>
        <v>2892425.2179423794</v>
      </c>
      <c r="K2465" s="291"/>
    </row>
    <row r="2467" spans="1:13" ht="21" customHeight="1">
      <c r="A2467" s="1" t="str">
        <f>"Other expenditure for "&amp;CDCM!B7&amp;" in "&amp;CDCM!C7&amp;" ("&amp;CDCM!D7&amp;")"</f>
        <v>Other expenditure for West Mids in 0 (Forecast)</v>
      </c>
    </row>
    <row r="2469" spans="1:13" ht="21" customHeight="1">
      <c r="A2469" s="1" t="s">
        <v>615</v>
      </c>
    </row>
    <row r="2470" spans="1:13">
      <c r="A2470" s="287" t="s">
        <v>255</v>
      </c>
    </row>
    <row r="2471" spans="1:13">
      <c r="A2471" s="301" t="s">
        <v>616</v>
      </c>
    </row>
    <row r="2472" spans="1:13">
      <c r="A2472" s="287" t="s">
        <v>617</v>
      </c>
    </row>
    <row r="2473" spans="1:13">
      <c r="A2473" s="287" t="s">
        <v>273</v>
      </c>
    </row>
    <row r="2475" spans="1:13" ht="30">
      <c r="B2475" s="288" t="s">
        <v>208</v>
      </c>
      <c r="C2475" s="288" t="s">
        <v>618</v>
      </c>
      <c r="D2475" s="288" t="s">
        <v>619</v>
      </c>
      <c r="E2475" s="288" t="s">
        <v>620</v>
      </c>
      <c r="F2475" s="288" t="s">
        <v>621</v>
      </c>
      <c r="G2475" s="288" t="s">
        <v>622</v>
      </c>
      <c r="H2475" s="288" t="s">
        <v>623</v>
      </c>
      <c r="I2475" s="288" t="s">
        <v>624</v>
      </c>
      <c r="J2475" s="288" t="s">
        <v>625</v>
      </c>
      <c r="K2475" s="288" t="s">
        <v>626</v>
      </c>
      <c r="L2475" s="288" t="s">
        <v>627</v>
      </c>
    </row>
    <row r="2476" spans="1:13" ht="30">
      <c r="A2476" s="289" t="s">
        <v>628</v>
      </c>
      <c r="B2476" s="314">
        <f>$B244</f>
        <v>15101978.164566599</v>
      </c>
      <c r="C2476" s="305">
        <v>0</v>
      </c>
      <c r="D2476" s="305">
        <v>0</v>
      </c>
      <c r="E2476" s="305">
        <v>0</v>
      </c>
      <c r="F2476" s="305">
        <v>0</v>
      </c>
      <c r="G2476" s="305">
        <v>0</v>
      </c>
      <c r="H2476" s="305">
        <v>0</v>
      </c>
      <c r="I2476" s="305">
        <v>0</v>
      </c>
      <c r="J2476" s="305">
        <v>0</v>
      </c>
      <c r="K2476" s="305">
        <v>0</v>
      </c>
      <c r="L2476" s="305">
        <v>0</v>
      </c>
      <c r="M2476" s="291"/>
    </row>
    <row r="2478" spans="1:13" ht="21" customHeight="1">
      <c r="A2478" s="1" t="s">
        <v>629</v>
      </c>
    </row>
    <row r="2479" spans="1:13">
      <c r="A2479" s="287" t="s">
        <v>255</v>
      </c>
    </row>
    <row r="2480" spans="1:13">
      <c r="A2480" s="301" t="s">
        <v>347</v>
      </c>
    </row>
    <row r="2481" spans="1:10">
      <c r="A2481" s="301" t="s">
        <v>630</v>
      </c>
    </row>
    <row r="2482" spans="1:10">
      <c r="A2482" s="301" t="s">
        <v>631</v>
      </c>
    </row>
    <row r="2483" spans="1:10">
      <c r="A2483" s="287" t="s">
        <v>632</v>
      </c>
    </row>
    <row r="2485" spans="1:10" ht="30">
      <c r="B2485" s="288" t="s">
        <v>220</v>
      </c>
      <c r="C2485" s="288" t="s">
        <v>221</v>
      </c>
      <c r="D2485" s="288" t="s">
        <v>222</v>
      </c>
      <c r="E2485" s="288" t="s">
        <v>223</v>
      </c>
      <c r="F2485" s="288" t="s">
        <v>224</v>
      </c>
      <c r="G2485" s="288" t="s">
        <v>225</v>
      </c>
      <c r="H2485" s="288" t="s">
        <v>226</v>
      </c>
      <c r="I2485" s="288" t="s">
        <v>227</v>
      </c>
    </row>
    <row r="2486" spans="1:10">
      <c r="A2486" s="289" t="s">
        <v>633</v>
      </c>
      <c r="B2486" s="312">
        <f>IF($B$710,$C2465*$B$46/$B$710/1000,0)</f>
        <v>520445582.70534939</v>
      </c>
      <c r="C2486" s="312">
        <f>IF($B$711,$D2465*$B$47/$B$711/1000,0)</f>
        <v>113179952.30878219</v>
      </c>
      <c r="D2486" s="312">
        <f>IF($B$712,$E2465*$B$48/$B$712/1000,0)</f>
        <v>123717275.5087508</v>
      </c>
      <c r="E2486" s="312">
        <f>IF($B$713,$F2465*$B$49/$B$713/1000,0)</f>
        <v>298511457.3923673</v>
      </c>
      <c r="F2486" s="312">
        <f>IF($B$714,$G2465*$B$50/$B$714/1000,0)</f>
        <v>324220660.54391736</v>
      </c>
      <c r="G2486" s="312">
        <f>IF($B$715,$H2465*$B$51/$B$715/1000,0)</f>
        <v>1905521965.8798482</v>
      </c>
      <c r="H2486" s="312">
        <f>IF($B$716,$I2465*$B$52/$B$716/1000,0)</f>
        <v>608527430.12661624</v>
      </c>
      <c r="I2486" s="312">
        <f>IF($B$717,$J2465*$B$53/$B$717/1000,0)</f>
        <v>1167403497.9467387</v>
      </c>
      <c r="J2486" s="291"/>
    </row>
    <row r="2488" spans="1:10" ht="21" customHeight="1">
      <c r="A2488" s="1" t="s">
        <v>634</v>
      </c>
    </row>
    <row r="2489" spans="1:10">
      <c r="A2489" s="287" t="s">
        <v>255</v>
      </c>
    </row>
    <row r="2490" spans="1:10">
      <c r="A2490" s="301" t="s">
        <v>469</v>
      </c>
    </row>
    <row r="2491" spans="1:10">
      <c r="A2491" s="287" t="s">
        <v>635</v>
      </c>
    </row>
    <row r="2493" spans="1:10" ht="30">
      <c r="B2493" s="288" t="s">
        <v>636</v>
      </c>
    </row>
    <row r="2494" spans="1:10">
      <c r="A2494" s="289" t="s">
        <v>131</v>
      </c>
      <c r="B2494" s="314">
        <f>B$1330</f>
        <v>53785.593323103451</v>
      </c>
      <c r="C2494" s="291"/>
    </row>
    <row r="2495" spans="1:10">
      <c r="A2495" s="289" t="s">
        <v>132</v>
      </c>
      <c r="B2495" s="314">
        <f>B$1331</f>
        <v>16544.661261610447</v>
      </c>
      <c r="C2495" s="291"/>
    </row>
    <row r="2496" spans="1:10">
      <c r="A2496" s="289" t="s">
        <v>133</v>
      </c>
      <c r="B2496" s="314">
        <f>B$1332</f>
        <v>784.36096726958499</v>
      </c>
      <c r="C2496" s="291"/>
    </row>
    <row r="2497" spans="1:3">
      <c r="A2497" s="289" t="s">
        <v>134</v>
      </c>
      <c r="B2497" s="314">
        <f>B$1333</f>
        <v>4817.2532716792102</v>
      </c>
      <c r="C2497" s="291"/>
    </row>
    <row r="2498" spans="1:3">
      <c r="A2498" s="289" t="s">
        <v>135</v>
      </c>
      <c r="B2498" s="314">
        <f>B$1334</f>
        <v>248832.47561034112</v>
      </c>
      <c r="C2498" s="291"/>
    </row>
    <row r="2500" spans="1:3" ht="21" customHeight="1">
      <c r="A2500" s="1" t="s">
        <v>637</v>
      </c>
    </row>
    <row r="2501" spans="1:3">
      <c r="A2501" s="287" t="s">
        <v>255</v>
      </c>
    </row>
    <row r="2502" spans="1:3">
      <c r="A2502" s="301" t="s">
        <v>638</v>
      </c>
    </row>
    <row r="2503" spans="1:3">
      <c r="A2503" s="287" t="s">
        <v>561</v>
      </c>
    </row>
    <row r="2505" spans="1:3">
      <c r="B2505" s="288" t="s">
        <v>639</v>
      </c>
    </row>
    <row r="2506" spans="1:3">
      <c r="A2506" s="289" t="s">
        <v>639</v>
      </c>
      <c r="B2506" s="312">
        <f>SUM(B$2494:B$2498)</f>
        <v>324764.34443400381</v>
      </c>
      <c r="C2506" s="291"/>
    </row>
    <row r="2508" spans="1:3" ht="21" customHeight="1">
      <c r="A2508" s="1" t="s">
        <v>640</v>
      </c>
    </row>
    <row r="2509" spans="1:3">
      <c r="A2509" s="287" t="s">
        <v>255</v>
      </c>
    </row>
    <row r="2510" spans="1:3">
      <c r="A2510" s="301" t="s">
        <v>641</v>
      </c>
    </row>
    <row r="2511" spans="1:3">
      <c r="A2511" s="301" t="s">
        <v>642</v>
      </c>
    </row>
    <row r="2512" spans="1:3">
      <c r="A2512" s="301" t="s">
        <v>1727</v>
      </c>
    </row>
    <row r="2513" spans="1:9">
      <c r="A2513" s="301" t="s">
        <v>643</v>
      </c>
    </row>
    <row r="2514" spans="1:9">
      <c r="A2514" s="301" t="s">
        <v>644</v>
      </c>
    </row>
    <row r="2515" spans="1:9">
      <c r="A2515" s="301" t="s">
        <v>645</v>
      </c>
    </row>
    <row r="2516" spans="1:9">
      <c r="A2516" s="301" t="s">
        <v>646</v>
      </c>
    </row>
    <row r="2517" spans="1:9">
      <c r="A2517" s="302" t="s">
        <v>258</v>
      </c>
      <c r="B2517" s="302" t="s">
        <v>260</v>
      </c>
      <c r="C2517" s="302"/>
      <c r="D2517" s="302" t="s">
        <v>380</v>
      </c>
      <c r="E2517" s="302" t="s">
        <v>314</v>
      </c>
      <c r="F2517" s="302"/>
      <c r="G2517" s="302" t="s">
        <v>380</v>
      </c>
      <c r="H2517" s="302"/>
    </row>
    <row r="2518" spans="1:9">
      <c r="A2518" s="302" t="s">
        <v>261</v>
      </c>
      <c r="B2518" s="302" t="s">
        <v>263</v>
      </c>
      <c r="C2518" s="302"/>
      <c r="D2518" s="302" t="s">
        <v>647</v>
      </c>
      <c r="E2518" s="302" t="s">
        <v>648</v>
      </c>
      <c r="F2518" s="302"/>
      <c r="G2518" s="302" t="s">
        <v>649</v>
      </c>
      <c r="H2518" s="302"/>
    </row>
    <row r="2520" spans="1:9">
      <c r="B2520" s="300" t="s">
        <v>650</v>
      </c>
      <c r="C2520" s="300"/>
      <c r="E2520" s="300" t="s">
        <v>651</v>
      </c>
      <c r="F2520" s="300"/>
      <c r="G2520" s="300" t="s">
        <v>652</v>
      </c>
      <c r="H2520" s="300"/>
    </row>
    <row r="2521" spans="1:9" ht="30">
      <c r="B2521" s="288" t="s">
        <v>364</v>
      </c>
      <c r="C2521" s="288" t="s">
        <v>371</v>
      </c>
      <c r="D2521" s="288" t="s">
        <v>651</v>
      </c>
      <c r="E2521" s="288" t="s">
        <v>364</v>
      </c>
      <c r="F2521" s="288" t="s">
        <v>371</v>
      </c>
      <c r="G2521" s="288" t="s">
        <v>364</v>
      </c>
      <c r="H2521" s="288" t="s">
        <v>371</v>
      </c>
    </row>
    <row r="2522" spans="1:9">
      <c r="A2522" s="289" t="s">
        <v>653</v>
      </c>
      <c r="B2522" s="312">
        <f>SUMPRODUCT(B$801:B$827,$E$1170:$E$1196)</f>
        <v>821826858.81627333</v>
      </c>
      <c r="C2522" s="312">
        <f>SUMPRODUCT(C$801:C$827,$E$1170:$E$1196)</f>
        <v>43143588.932270423</v>
      </c>
      <c r="D2522" s="312">
        <f>B770*$B2506</f>
        <v>87301626.947374746</v>
      </c>
      <c r="E2522" s="314">
        <f>$D2522</f>
        <v>87301626.947374746</v>
      </c>
      <c r="F2522" s="309"/>
      <c r="G2522" s="312">
        <f>B2522+E2522</f>
        <v>909128485.76364803</v>
      </c>
      <c r="H2522" s="312">
        <f>C2522+F2522</f>
        <v>43143588.932270423</v>
      </c>
      <c r="I2522" s="291"/>
    </row>
    <row r="2524" spans="1:9" ht="21" customHeight="1">
      <c r="A2524" s="1" t="s">
        <v>654</v>
      </c>
    </row>
    <row r="2525" spans="1:9">
      <c r="A2525" s="287" t="s">
        <v>255</v>
      </c>
    </row>
    <row r="2526" spans="1:9">
      <c r="A2526" s="301" t="s">
        <v>655</v>
      </c>
    </row>
    <row r="2527" spans="1:9">
      <c r="A2527" s="301" t="s">
        <v>656</v>
      </c>
    </row>
    <row r="2528" spans="1:9">
      <c r="A2528" s="301" t="s">
        <v>657</v>
      </c>
    </row>
    <row r="2529" spans="1:14">
      <c r="A2529" s="302" t="s">
        <v>258</v>
      </c>
      <c r="B2529" s="303" t="s">
        <v>414</v>
      </c>
      <c r="C2529" s="303"/>
      <c r="D2529" s="303"/>
      <c r="E2529" s="303"/>
      <c r="F2529" s="303"/>
      <c r="G2529" s="303"/>
      <c r="H2529" s="303"/>
      <c r="I2529" s="303"/>
      <c r="J2529" s="303"/>
      <c r="K2529" s="303"/>
      <c r="L2529" s="303"/>
      <c r="M2529" s="302" t="s">
        <v>381</v>
      </c>
    </row>
    <row r="2530" spans="1:14">
      <c r="A2530" s="302" t="s">
        <v>261</v>
      </c>
      <c r="B2530" s="303" t="s">
        <v>488</v>
      </c>
      <c r="C2530" s="303"/>
      <c r="D2530" s="303"/>
      <c r="E2530" s="303"/>
      <c r="F2530" s="303"/>
      <c r="G2530" s="303"/>
      <c r="H2530" s="303"/>
      <c r="I2530" s="303"/>
      <c r="J2530" s="303"/>
      <c r="K2530" s="303"/>
      <c r="L2530" s="303"/>
      <c r="M2530" s="302" t="s">
        <v>433</v>
      </c>
    </row>
    <row r="2532" spans="1:14">
      <c r="B2532" s="304" t="s">
        <v>658</v>
      </c>
      <c r="C2532" s="304"/>
      <c r="D2532" s="304"/>
      <c r="E2532" s="304"/>
      <c r="F2532" s="304"/>
      <c r="G2532" s="304"/>
      <c r="H2532" s="304"/>
      <c r="I2532" s="304"/>
      <c r="J2532" s="304"/>
      <c r="K2532" s="304"/>
      <c r="L2532" s="304"/>
    </row>
    <row r="2533" spans="1:14" ht="30">
      <c r="B2533" s="288" t="s">
        <v>60</v>
      </c>
      <c r="C2533" s="288" t="s">
        <v>220</v>
      </c>
      <c r="D2533" s="288" t="s">
        <v>221</v>
      </c>
      <c r="E2533" s="288" t="s">
        <v>222</v>
      </c>
      <c r="F2533" s="288" t="s">
        <v>223</v>
      </c>
      <c r="G2533" s="288" t="s">
        <v>224</v>
      </c>
      <c r="H2533" s="288" t="s">
        <v>225</v>
      </c>
      <c r="I2533" s="288" t="s">
        <v>226</v>
      </c>
      <c r="J2533" s="288" t="s">
        <v>227</v>
      </c>
      <c r="K2533" s="288" t="s">
        <v>364</v>
      </c>
      <c r="L2533" s="288" t="s">
        <v>371</v>
      </c>
      <c r="M2533" s="288" t="s">
        <v>659</v>
      </c>
    </row>
    <row r="2534" spans="1:14">
      <c r="A2534" s="289" t="s">
        <v>660</v>
      </c>
      <c r="B2534" s="309"/>
      <c r="C2534" s="314">
        <f>$B2486</f>
        <v>520445582.70534939</v>
      </c>
      <c r="D2534" s="314">
        <f>$C2486</f>
        <v>113179952.30878219</v>
      </c>
      <c r="E2534" s="314">
        <f>$D2486</f>
        <v>123717275.5087508</v>
      </c>
      <c r="F2534" s="314">
        <f>$E2486</f>
        <v>298511457.3923673</v>
      </c>
      <c r="G2534" s="314">
        <f>$F2486</f>
        <v>324220660.54391736</v>
      </c>
      <c r="H2534" s="314">
        <f>$G2486</f>
        <v>1905521965.8798482</v>
      </c>
      <c r="I2534" s="314">
        <f>$H2486</f>
        <v>608527430.12661624</v>
      </c>
      <c r="J2534" s="314">
        <f>$I2486</f>
        <v>1167403497.9467387</v>
      </c>
      <c r="K2534" s="314">
        <f>$G2522</f>
        <v>909128485.76364803</v>
      </c>
      <c r="L2534" s="314">
        <f>$H2522</f>
        <v>43143588.932270423</v>
      </c>
      <c r="M2534" s="314">
        <f>SUM($B2534:$L2534)</f>
        <v>6013799897.1082888</v>
      </c>
      <c r="N2534" s="291"/>
    </row>
    <row r="2536" spans="1:14" ht="21" customHeight="1">
      <c r="A2536" s="1" t="s">
        <v>661</v>
      </c>
    </row>
    <row r="2537" spans="1:14">
      <c r="A2537" s="287" t="s">
        <v>255</v>
      </c>
    </row>
    <row r="2538" spans="1:14">
      <c r="A2538" s="301" t="s">
        <v>662</v>
      </c>
    </row>
    <row r="2539" spans="1:14">
      <c r="A2539" s="301" t="s">
        <v>663</v>
      </c>
    </row>
    <row r="2540" spans="1:14">
      <c r="A2540" s="301" t="s">
        <v>664</v>
      </c>
    </row>
    <row r="2541" spans="1:14">
      <c r="A2541" s="301" t="s">
        <v>665</v>
      </c>
    </row>
    <row r="2542" spans="1:14">
      <c r="A2542" s="287" t="s">
        <v>666</v>
      </c>
    </row>
    <row r="2544" spans="1:14" ht="45">
      <c r="B2544" s="288" t="s">
        <v>667</v>
      </c>
    </row>
    <row r="2545" spans="1:13">
      <c r="A2545" s="289" t="s">
        <v>215</v>
      </c>
      <c r="B2545" s="312">
        <f>B249+E249+C249*D249</f>
        <v>153948660.6755788</v>
      </c>
      <c r="C2545" s="291"/>
    </row>
    <row r="2547" spans="1:13" ht="21" customHeight="1">
      <c r="A2547" s="1" t="s">
        <v>668</v>
      </c>
    </row>
    <row r="2548" spans="1:13">
      <c r="A2548" s="287" t="s">
        <v>255</v>
      </c>
    </row>
    <row r="2549" spans="1:13">
      <c r="A2549" s="301" t="s">
        <v>669</v>
      </c>
    </row>
    <row r="2550" spans="1:13">
      <c r="A2550" s="301" t="s">
        <v>670</v>
      </c>
    </row>
    <row r="2551" spans="1:13">
      <c r="A2551" s="301" t="s">
        <v>671</v>
      </c>
    </row>
    <row r="2552" spans="1:13">
      <c r="A2552" s="301" t="s">
        <v>672</v>
      </c>
    </row>
    <row r="2553" spans="1:13">
      <c r="A2553" s="287" t="s">
        <v>673</v>
      </c>
    </row>
    <row r="2555" spans="1:13" ht="30">
      <c r="B2555" s="288" t="s">
        <v>208</v>
      </c>
      <c r="C2555" s="288" t="s">
        <v>618</v>
      </c>
      <c r="D2555" s="288" t="s">
        <v>619</v>
      </c>
      <c r="E2555" s="288" t="s">
        <v>620</v>
      </c>
      <c r="F2555" s="288" t="s">
        <v>621</v>
      </c>
      <c r="G2555" s="288" t="s">
        <v>622</v>
      </c>
      <c r="H2555" s="288" t="s">
        <v>623</v>
      </c>
      <c r="I2555" s="288" t="s">
        <v>624</v>
      </c>
      <c r="J2555" s="288" t="s">
        <v>625</v>
      </c>
      <c r="K2555" s="288" t="s">
        <v>626</v>
      </c>
      <c r="L2555" s="288" t="s">
        <v>627</v>
      </c>
    </row>
    <row r="2556" spans="1:13">
      <c r="A2556" s="289" t="s">
        <v>674</v>
      </c>
      <c r="B2556" s="312">
        <f t="shared" ref="B2556:L2556" si="359">B2476+$B2545/$M2534*B2534</f>
        <v>15101978.164566599</v>
      </c>
      <c r="C2556" s="312">
        <f t="shared" si="359"/>
        <v>13323007.380165078</v>
      </c>
      <c r="D2556" s="312">
        <f t="shared" si="359"/>
        <v>2897319.8928087237</v>
      </c>
      <c r="E2556" s="312">
        <f t="shared" si="359"/>
        <v>3167067.2774067554</v>
      </c>
      <c r="F2556" s="312">
        <f t="shared" si="359"/>
        <v>7641664.1471505463</v>
      </c>
      <c r="G2556" s="312">
        <f t="shared" si="359"/>
        <v>8299800.0113186641</v>
      </c>
      <c r="H2556" s="312">
        <f t="shared" si="359"/>
        <v>48779899.490196869</v>
      </c>
      <c r="I2556" s="312">
        <f t="shared" si="359"/>
        <v>15577835.055235382</v>
      </c>
      <c r="J2556" s="312">
        <f t="shared" si="359"/>
        <v>29884633.35191847</v>
      </c>
      <c r="K2556" s="312">
        <f t="shared" si="359"/>
        <v>23272991.313300829</v>
      </c>
      <c r="L2556" s="312">
        <f t="shared" si="359"/>
        <v>1104442.7560774821</v>
      </c>
      <c r="M2556" s="291"/>
    </row>
    <row r="2558" spans="1:13" ht="21" customHeight="1">
      <c r="A2558" s="1" t="s">
        <v>675</v>
      </c>
    </row>
    <row r="2559" spans="1:13">
      <c r="A2559" s="287" t="s">
        <v>255</v>
      </c>
    </row>
    <row r="2560" spans="1:13">
      <c r="A2560" s="301" t="s">
        <v>676</v>
      </c>
    </row>
    <row r="2561" spans="1:13">
      <c r="A2561" s="301" t="s">
        <v>677</v>
      </c>
    </row>
    <row r="2562" spans="1:13">
      <c r="A2562" s="287" t="s">
        <v>678</v>
      </c>
    </row>
    <row r="2564" spans="1:13" ht="30">
      <c r="B2564" s="288" t="s">
        <v>208</v>
      </c>
      <c r="C2564" s="288" t="s">
        <v>618</v>
      </c>
      <c r="D2564" s="288" t="s">
        <v>619</v>
      </c>
      <c r="E2564" s="288" t="s">
        <v>620</v>
      </c>
      <c r="F2564" s="288" t="s">
        <v>621</v>
      </c>
      <c r="G2564" s="288" t="s">
        <v>622</v>
      </c>
      <c r="H2564" s="288" t="s">
        <v>623</v>
      </c>
      <c r="I2564" s="288" t="s">
        <v>624</v>
      </c>
      <c r="J2564" s="288" t="s">
        <v>625</v>
      </c>
      <c r="K2564" s="288" t="s">
        <v>626</v>
      </c>
      <c r="L2564" s="288" t="s">
        <v>627</v>
      </c>
    </row>
    <row r="2565" spans="1:13">
      <c r="A2565" s="289" t="s">
        <v>679</v>
      </c>
      <c r="B2565" s="308" t="str">
        <f t="shared" ref="B2565:L2565" si="360">IF(B2534="","",IF(B2534&gt;0,B2556/B2534,0))</f>
        <v/>
      </c>
      <c r="C2565" s="308">
        <f t="shared" si="360"/>
        <v>2.5599232317258244E-2</v>
      </c>
      <c r="D2565" s="308">
        <f t="shared" si="360"/>
        <v>2.5599232317258244E-2</v>
      </c>
      <c r="E2565" s="308">
        <f t="shared" si="360"/>
        <v>2.5599232317258244E-2</v>
      </c>
      <c r="F2565" s="308">
        <f t="shared" si="360"/>
        <v>2.5599232317258244E-2</v>
      </c>
      <c r="G2565" s="308">
        <f t="shared" si="360"/>
        <v>2.5599232317258244E-2</v>
      </c>
      <c r="H2565" s="308">
        <f t="shared" si="360"/>
        <v>2.5599232317258244E-2</v>
      </c>
      <c r="I2565" s="308">
        <f t="shared" si="360"/>
        <v>2.5599232317258244E-2</v>
      </c>
      <c r="J2565" s="308">
        <f t="shared" si="360"/>
        <v>2.5599232317258244E-2</v>
      </c>
      <c r="K2565" s="308">
        <f t="shared" si="360"/>
        <v>2.5599232317258244E-2</v>
      </c>
      <c r="L2565" s="308">
        <f t="shared" si="360"/>
        <v>2.5599232317258244E-2</v>
      </c>
      <c r="M2565" s="291"/>
    </row>
    <row r="2567" spans="1:13" ht="21" customHeight="1">
      <c r="A2567" s="1" t="s">
        <v>680</v>
      </c>
    </row>
    <row r="2568" spans="1:13">
      <c r="A2568" s="287" t="s">
        <v>255</v>
      </c>
    </row>
    <row r="2569" spans="1:13">
      <c r="A2569" s="301" t="s">
        <v>681</v>
      </c>
    </row>
    <row r="2570" spans="1:13">
      <c r="A2570" s="301" t="s">
        <v>677</v>
      </c>
    </row>
    <row r="2571" spans="1:13">
      <c r="A2571" s="287" t="s">
        <v>682</v>
      </c>
    </row>
    <row r="2573" spans="1:13" ht="30">
      <c r="B2573" s="288" t="s">
        <v>208</v>
      </c>
      <c r="C2573" s="288" t="s">
        <v>618</v>
      </c>
      <c r="D2573" s="288" t="s">
        <v>619</v>
      </c>
      <c r="E2573" s="288" t="s">
        <v>620</v>
      </c>
      <c r="F2573" s="288" t="s">
        <v>621</v>
      </c>
      <c r="G2573" s="288" t="s">
        <v>622</v>
      </c>
      <c r="H2573" s="288" t="s">
        <v>623</v>
      </c>
      <c r="I2573" s="288" t="s">
        <v>624</v>
      </c>
      <c r="J2573" s="288" t="s">
        <v>625</v>
      </c>
    </row>
    <row r="2574" spans="1:13" ht="30">
      <c r="A2574" s="289" t="s">
        <v>683</v>
      </c>
      <c r="B2574" s="306">
        <f>IF(B2465&gt;0,$B2556/B2465,0)</f>
        <v>3.5240001895943331</v>
      </c>
      <c r="C2574" s="306">
        <f>IF(C2465&gt;0,$C2556/C2465,0)</f>
        <v>3.0021630984732783</v>
      </c>
      <c r="D2574" s="306">
        <f>IF(D2465&gt;0,$D2556/D2465,0)</f>
        <v>2.2465480137571658</v>
      </c>
      <c r="E2574" s="306">
        <f>IF(E2465&gt;0,$E2556/E2465,0)</f>
        <v>2.3355904420076787</v>
      </c>
      <c r="F2574" s="306">
        <f>IF(F2465&gt;0,$F2556/F2465,0)</f>
        <v>4.4440034749576549</v>
      </c>
      <c r="G2574" s="306">
        <f>IF(G2465&gt;0,$G2556/G2465,0)</f>
        <v>2.1030269087531717</v>
      </c>
      <c r="H2574" s="306">
        <f>IF(H2465&gt;0,$H2556/H2465,0)</f>
        <v>9.7166425804168206</v>
      </c>
      <c r="I2574" s="306">
        <f>IF(I2465&gt;0,$I2556/I2465,0)</f>
        <v>4.4634952137497175</v>
      </c>
      <c r="J2574" s="306">
        <f>IF(J2465&gt;0,$J2556/J2465,0)</f>
        <v>10.332033190188362</v>
      </c>
      <c r="K2574" s="291"/>
    </row>
    <row r="2576" spans="1:13" ht="21" customHeight="1">
      <c r="A2576" s="1" t="s">
        <v>684</v>
      </c>
    </row>
    <row r="2577" spans="1:5">
      <c r="A2577" s="287" t="s">
        <v>255</v>
      </c>
    </row>
    <row r="2578" spans="1:5">
      <c r="A2578" s="301" t="s">
        <v>376</v>
      </c>
    </row>
    <row r="2579" spans="1:5">
      <c r="A2579" s="301" t="s">
        <v>685</v>
      </c>
    </row>
    <row r="2580" spans="1:5">
      <c r="A2580" s="301" t="s">
        <v>686</v>
      </c>
    </row>
    <row r="2581" spans="1:5">
      <c r="A2581" s="301" t="s">
        <v>687</v>
      </c>
    </row>
    <row r="2582" spans="1:5">
      <c r="A2582" s="302" t="s">
        <v>258</v>
      </c>
      <c r="B2582" s="302" t="s">
        <v>380</v>
      </c>
      <c r="C2582" s="302"/>
      <c r="D2582" s="302" t="s">
        <v>381</v>
      </c>
    </row>
    <row r="2583" spans="1:5">
      <c r="A2583" s="302" t="s">
        <v>261</v>
      </c>
      <c r="B2583" s="302" t="s">
        <v>688</v>
      </c>
      <c r="C2583" s="302"/>
      <c r="D2583" s="302" t="s">
        <v>434</v>
      </c>
    </row>
    <row r="2585" spans="1:5">
      <c r="B2585" s="300" t="s">
        <v>689</v>
      </c>
      <c r="C2585" s="300"/>
    </row>
    <row r="2586" spans="1:5" ht="45">
      <c r="B2586" s="288" t="s">
        <v>626</v>
      </c>
      <c r="C2586" s="288" t="s">
        <v>627</v>
      </c>
      <c r="D2586" s="288" t="s">
        <v>690</v>
      </c>
    </row>
    <row r="2587" spans="1:5">
      <c r="A2587" s="289" t="s">
        <v>92</v>
      </c>
      <c r="B2587" s="306">
        <f t="shared" ref="B2587:B2613" si="361">100/$F$14*$K$2565*$B801</f>
        <v>2.0769072578250394</v>
      </c>
      <c r="C2587" s="306">
        <f t="shared" ref="C2587:C2613" si="362">100/$F$14*$L$2565*$C801</f>
        <v>0</v>
      </c>
      <c r="D2587" s="306">
        <f t="shared" ref="D2587:D2613" si="363">SUM($B2587:$C2587)</f>
        <v>2.0769072578250394</v>
      </c>
      <c r="E2587" s="291"/>
    </row>
    <row r="2588" spans="1:5">
      <c r="A2588" s="289" t="s">
        <v>93</v>
      </c>
      <c r="B2588" s="306">
        <f t="shared" si="361"/>
        <v>2.0769072578250394</v>
      </c>
      <c r="C2588" s="306">
        <f t="shared" si="362"/>
        <v>0</v>
      </c>
      <c r="D2588" s="306">
        <f t="shared" si="363"/>
        <v>2.0769072578250394</v>
      </c>
      <c r="E2588" s="291"/>
    </row>
    <row r="2589" spans="1:5">
      <c r="A2589" s="289" t="s">
        <v>129</v>
      </c>
      <c r="B2589" s="306">
        <f t="shared" si="361"/>
        <v>0</v>
      </c>
      <c r="C2589" s="306">
        <f t="shared" si="362"/>
        <v>0</v>
      </c>
      <c r="D2589" s="306">
        <f t="shared" si="363"/>
        <v>0</v>
      </c>
      <c r="E2589" s="291"/>
    </row>
    <row r="2590" spans="1:5">
      <c r="A2590" s="289" t="s">
        <v>94</v>
      </c>
      <c r="B2590" s="306">
        <f t="shared" si="361"/>
        <v>4.6726260362618319</v>
      </c>
      <c r="C2590" s="306">
        <f t="shared" si="362"/>
        <v>0</v>
      </c>
      <c r="D2590" s="306">
        <f t="shared" si="363"/>
        <v>4.6726260362618319</v>
      </c>
      <c r="E2590" s="291"/>
    </row>
    <row r="2591" spans="1:5">
      <c r="A2591" s="289" t="s">
        <v>95</v>
      </c>
      <c r="B2591" s="306">
        <f t="shared" si="361"/>
        <v>4.6726260362618319</v>
      </c>
      <c r="C2591" s="306">
        <f t="shared" si="362"/>
        <v>0</v>
      </c>
      <c r="D2591" s="306">
        <f t="shared" si="363"/>
        <v>4.6726260362618319</v>
      </c>
      <c r="E2591" s="291"/>
    </row>
    <row r="2592" spans="1:5">
      <c r="A2592" s="289" t="s">
        <v>130</v>
      </c>
      <c r="B2592" s="306">
        <f t="shared" si="361"/>
        <v>0</v>
      </c>
      <c r="C2592" s="306">
        <f t="shared" si="362"/>
        <v>0</v>
      </c>
      <c r="D2592" s="306">
        <f t="shared" si="363"/>
        <v>0</v>
      </c>
      <c r="E2592" s="291"/>
    </row>
    <row r="2593" spans="1:5">
      <c r="A2593" s="289" t="s">
        <v>96</v>
      </c>
      <c r="B2593" s="306">
        <f t="shared" si="361"/>
        <v>5.6888889091662147</v>
      </c>
      <c r="C2593" s="306">
        <f t="shared" si="362"/>
        <v>0</v>
      </c>
      <c r="D2593" s="306">
        <f t="shared" si="363"/>
        <v>5.6888889091662147</v>
      </c>
      <c r="E2593" s="291"/>
    </row>
    <row r="2594" spans="1:5">
      <c r="A2594" s="289" t="s">
        <v>97</v>
      </c>
      <c r="B2594" s="306">
        <f t="shared" si="361"/>
        <v>4.218993607525519</v>
      </c>
      <c r="C2594" s="306">
        <f t="shared" si="362"/>
        <v>0</v>
      </c>
      <c r="D2594" s="306">
        <f t="shared" si="363"/>
        <v>4.218993607525519</v>
      </c>
      <c r="E2594" s="291"/>
    </row>
    <row r="2595" spans="1:5">
      <c r="A2595" s="289" t="s">
        <v>110</v>
      </c>
      <c r="B2595" s="306">
        <f t="shared" si="361"/>
        <v>0</v>
      </c>
      <c r="C2595" s="306">
        <f t="shared" si="362"/>
        <v>73.286534579214916</v>
      </c>
      <c r="D2595" s="306">
        <f t="shared" si="363"/>
        <v>73.286534579214916</v>
      </c>
      <c r="E2595" s="291"/>
    </row>
    <row r="2596" spans="1:5">
      <c r="A2596" s="289" t="s">
        <v>1536</v>
      </c>
      <c r="B2596" s="306">
        <f t="shared" si="361"/>
        <v>2.0769072578250394</v>
      </c>
      <c r="C2596" s="306">
        <f t="shared" si="362"/>
        <v>0</v>
      </c>
      <c r="D2596" s="306">
        <f t="shared" si="363"/>
        <v>2.0769072578250394</v>
      </c>
      <c r="E2596" s="291"/>
    </row>
    <row r="2597" spans="1:5">
      <c r="A2597" s="289" t="s">
        <v>1535</v>
      </c>
      <c r="B2597" s="306">
        <f t="shared" si="361"/>
        <v>4.6726260362618319</v>
      </c>
      <c r="C2597" s="306">
        <f t="shared" si="362"/>
        <v>0</v>
      </c>
      <c r="D2597" s="306">
        <f t="shared" si="363"/>
        <v>4.6726260362618319</v>
      </c>
      <c r="E2597" s="291"/>
    </row>
    <row r="2598" spans="1:5">
      <c r="A2598" s="289" t="s">
        <v>98</v>
      </c>
      <c r="B2598" s="306">
        <f t="shared" si="361"/>
        <v>9.5907113768651691</v>
      </c>
      <c r="C2598" s="306">
        <f t="shared" si="362"/>
        <v>0</v>
      </c>
      <c r="D2598" s="306">
        <f t="shared" si="363"/>
        <v>9.5907113768651691</v>
      </c>
      <c r="E2598" s="291"/>
    </row>
    <row r="2599" spans="1:5">
      <c r="A2599" s="289" t="s">
        <v>99</v>
      </c>
      <c r="B2599" s="306">
        <f t="shared" si="361"/>
        <v>7.3868914397380232</v>
      </c>
      <c r="C2599" s="306">
        <f t="shared" si="362"/>
        <v>0</v>
      </c>
      <c r="D2599" s="306">
        <f t="shared" si="363"/>
        <v>7.3868914397380232</v>
      </c>
      <c r="E2599" s="291"/>
    </row>
    <row r="2600" spans="1:5">
      <c r="A2600" s="289" t="s">
        <v>111</v>
      </c>
      <c r="B2600" s="306">
        <f t="shared" si="361"/>
        <v>0</v>
      </c>
      <c r="C2600" s="306">
        <f t="shared" si="362"/>
        <v>73.286534579214916</v>
      </c>
      <c r="D2600" s="306">
        <f t="shared" si="363"/>
        <v>73.286534579214916</v>
      </c>
      <c r="E2600" s="291"/>
    </row>
    <row r="2601" spans="1:5">
      <c r="A2601" s="289" t="s">
        <v>131</v>
      </c>
      <c r="B2601" s="306">
        <f t="shared" si="361"/>
        <v>0</v>
      </c>
      <c r="C2601" s="306">
        <f t="shared" si="362"/>
        <v>0</v>
      </c>
      <c r="D2601" s="306">
        <f t="shared" si="363"/>
        <v>0</v>
      </c>
      <c r="E2601" s="291"/>
    </row>
    <row r="2602" spans="1:5">
      <c r="A2602" s="289" t="s">
        <v>132</v>
      </c>
      <c r="B2602" s="306">
        <f t="shared" si="361"/>
        <v>0</v>
      </c>
      <c r="C2602" s="306">
        <f t="shared" si="362"/>
        <v>0</v>
      </c>
      <c r="D2602" s="306">
        <f t="shared" si="363"/>
        <v>0</v>
      </c>
      <c r="E2602" s="291"/>
    </row>
    <row r="2603" spans="1:5">
      <c r="A2603" s="289" t="s">
        <v>133</v>
      </c>
      <c r="B2603" s="306">
        <f t="shared" si="361"/>
        <v>0</v>
      </c>
      <c r="C2603" s="306">
        <f t="shared" si="362"/>
        <v>0</v>
      </c>
      <c r="D2603" s="306">
        <f t="shared" si="363"/>
        <v>0</v>
      </c>
      <c r="E2603" s="291"/>
    </row>
    <row r="2604" spans="1:5">
      <c r="A2604" s="289" t="s">
        <v>134</v>
      </c>
      <c r="B2604" s="306">
        <f t="shared" si="361"/>
        <v>0</v>
      </c>
      <c r="C2604" s="306">
        <f t="shared" si="362"/>
        <v>0</v>
      </c>
      <c r="D2604" s="306">
        <f t="shared" si="363"/>
        <v>0</v>
      </c>
      <c r="E2604" s="291"/>
    </row>
    <row r="2605" spans="1:5">
      <c r="A2605" s="289" t="s">
        <v>135</v>
      </c>
      <c r="B2605" s="306">
        <f t="shared" si="361"/>
        <v>0</v>
      </c>
      <c r="C2605" s="306">
        <f t="shared" si="362"/>
        <v>0</v>
      </c>
      <c r="D2605" s="306">
        <f t="shared" si="363"/>
        <v>0</v>
      </c>
      <c r="E2605" s="291"/>
    </row>
    <row r="2606" spans="1:5">
      <c r="A2606" s="289" t="s">
        <v>1534</v>
      </c>
      <c r="B2606" s="306">
        <f t="shared" si="361"/>
        <v>0</v>
      </c>
      <c r="C2606" s="306">
        <f t="shared" si="362"/>
        <v>0</v>
      </c>
      <c r="D2606" s="306">
        <f t="shared" si="363"/>
        <v>0</v>
      </c>
      <c r="E2606" s="291"/>
    </row>
    <row r="2607" spans="1:5">
      <c r="A2607" s="289" t="s">
        <v>100</v>
      </c>
      <c r="B2607" s="306">
        <f t="shared" si="361"/>
        <v>0</v>
      </c>
      <c r="C2607" s="306">
        <f t="shared" si="362"/>
        <v>0</v>
      </c>
      <c r="D2607" s="306">
        <f t="shared" si="363"/>
        <v>0</v>
      </c>
      <c r="E2607" s="291"/>
    </row>
    <row r="2608" spans="1:5">
      <c r="A2608" s="289" t="s">
        <v>101</v>
      </c>
      <c r="B2608" s="306">
        <f t="shared" si="361"/>
        <v>0</v>
      </c>
      <c r="C2608" s="306">
        <f t="shared" si="362"/>
        <v>0</v>
      </c>
      <c r="D2608" s="306">
        <f t="shared" si="363"/>
        <v>0</v>
      </c>
      <c r="E2608" s="291"/>
    </row>
    <row r="2609" spans="1:5">
      <c r="A2609" s="289" t="s">
        <v>102</v>
      </c>
      <c r="B2609" s="306">
        <f t="shared" si="361"/>
        <v>0</v>
      </c>
      <c r="C2609" s="306">
        <f t="shared" si="362"/>
        <v>0</v>
      </c>
      <c r="D2609" s="306">
        <f t="shared" si="363"/>
        <v>0</v>
      </c>
      <c r="E2609" s="291"/>
    </row>
    <row r="2610" spans="1:5">
      <c r="A2610" s="289" t="s">
        <v>103</v>
      </c>
      <c r="B2610" s="306">
        <f t="shared" si="361"/>
        <v>0</v>
      </c>
      <c r="C2610" s="306">
        <f t="shared" si="362"/>
        <v>0</v>
      </c>
      <c r="D2610" s="306">
        <f t="shared" si="363"/>
        <v>0</v>
      </c>
      <c r="E2610" s="291"/>
    </row>
    <row r="2611" spans="1:5">
      <c r="A2611" s="289" t="s">
        <v>104</v>
      </c>
      <c r="B2611" s="306">
        <f t="shared" si="361"/>
        <v>0</v>
      </c>
      <c r="C2611" s="306">
        <f t="shared" si="362"/>
        <v>0</v>
      </c>
      <c r="D2611" s="306">
        <f t="shared" si="363"/>
        <v>0</v>
      </c>
      <c r="E2611" s="291"/>
    </row>
    <row r="2612" spans="1:5">
      <c r="A2612" s="289" t="s">
        <v>112</v>
      </c>
      <c r="B2612" s="306">
        <f t="shared" si="361"/>
        <v>0</v>
      </c>
      <c r="C2612" s="306">
        <f t="shared" si="362"/>
        <v>35.333914022225869</v>
      </c>
      <c r="D2612" s="306">
        <f t="shared" si="363"/>
        <v>35.333914022225869</v>
      </c>
      <c r="E2612" s="291"/>
    </row>
    <row r="2613" spans="1:5">
      <c r="A2613" s="289" t="s">
        <v>113</v>
      </c>
      <c r="B2613" s="306">
        <f t="shared" si="361"/>
        <v>0</v>
      </c>
      <c r="C2613" s="306">
        <f t="shared" si="362"/>
        <v>35.333914022225869</v>
      </c>
      <c r="D2613" s="306">
        <f t="shared" si="363"/>
        <v>35.333914022225869</v>
      </c>
      <c r="E2613" s="291"/>
    </row>
    <row r="2615" spans="1:5" ht="21" customHeight="1">
      <c r="A2615" s="1" t="s">
        <v>691</v>
      </c>
    </row>
    <row r="2616" spans="1:5">
      <c r="A2616" s="287" t="s">
        <v>255</v>
      </c>
    </row>
    <row r="2617" spans="1:5">
      <c r="A2617" s="301" t="s">
        <v>692</v>
      </c>
    </row>
    <row r="2618" spans="1:5">
      <c r="A2618" s="301" t="s">
        <v>1620</v>
      </c>
    </row>
    <row r="2619" spans="1:5">
      <c r="A2619" s="287" t="s">
        <v>693</v>
      </c>
    </row>
    <row r="2621" spans="1:5" ht="30">
      <c r="B2621" s="288" t="s">
        <v>626</v>
      </c>
    </row>
    <row r="2622" spans="1:5">
      <c r="A2622" s="289" t="s">
        <v>131</v>
      </c>
      <c r="B2622" s="306">
        <f>0.1*$K$2565*$B$770</f>
        <v>0.68814654939887021</v>
      </c>
      <c r="C2622" s="291"/>
    </row>
    <row r="2623" spans="1:5">
      <c r="A2623" s="289" t="s">
        <v>132</v>
      </c>
      <c r="B2623" s="306">
        <f>0.1*$K$2565*$B$770</f>
        <v>0.68814654939887021</v>
      </c>
      <c r="C2623" s="291"/>
    </row>
    <row r="2624" spans="1:5">
      <c r="A2624" s="289" t="s">
        <v>133</v>
      </c>
      <c r="B2624" s="306">
        <f>0.1*$K$2565*$B$770</f>
        <v>0.68814654939887021</v>
      </c>
      <c r="C2624" s="291"/>
    </row>
    <row r="2625" spans="1:6">
      <c r="A2625" s="289" t="s">
        <v>134</v>
      </c>
      <c r="B2625" s="306">
        <f>0.1*$K$2565*$B$770</f>
        <v>0.68814654939887021</v>
      </c>
      <c r="C2625" s="291"/>
    </row>
    <row r="2626" spans="1:6">
      <c r="A2626" s="289" t="s">
        <v>135</v>
      </c>
      <c r="B2626" s="306">
        <f>0.1*$K$2565*$B$770</f>
        <v>0.68814654939887021</v>
      </c>
      <c r="C2626" s="291"/>
    </row>
    <row r="2628" spans="1:6" ht="21" customHeight="1">
      <c r="A2628" s="1" t="str">
        <f>"Customer contributions for "&amp;CDCM!B7&amp;" in "&amp;CDCM!C7&amp;" ("&amp;CDCM!D7&amp;")"</f>
        <v>Customer contributions for West Mids in 0 (Forecast)</v>
      </c>
    </row>
    <row r="2629" spans="1:6">
      <c r="A2629" s="287" t="s">
        <v>694</v>
      </c>
    </row>
    <row r="2631" spans="1:6" ht="21" customHeight="1">
      <c r="A2631" s="1" t="s">
        <v>695</v>
      </c>
    </row>
    <row r="2633" spans="1:6">
      <c r="B2633" s="288" t="s">
        <v>228</v>
      </c>
      <c r="C2633" s="288" t="s">
        <v>229</v>
      </c>
      <c r="D2633" s="288" t="s">
        <v>230</v>
      </c>
      <c r="E2633" s="288" t="s">
        <v>231</v>
      </c>
    </row>
    <row r="2634" spans="1:6">
      <c r="A2634" s="289" t="s">
        <v>92</v>
      </c>
      <c r="B2634" s="310">
        <v>1</v>
      </c>
      <c r="C2634" s="310">
        <v>0</v>
      </c>
      <c r="D2634" s="310">
        <v>0</v>
      </c>
      <c r="E2634" s="310">
        <v>0</v>
      </c>
      <c r="F2634" s="291"/>
    </row>
    <row r="2635" spans="1:6">
      <c r="A2635" s="289" t="s">
        <v>93</v>
      </c>
      <c r="B2635" s="310">
        <v>1</v>
      </c>
      <c r="C2635" s="310">
        <v>0</v>
      </c>
      <c r="D2635" s="310">
        <v>0</v>
      </c>
      <c r="E2635" s="310">
        <v>0</v>
      </c>
      <c r="F2635" s="291"/>
    </row>
    <row r="2636" spans="1:6">
      <c r="A2636" s="289" t="s">
        <v>129</v>
      </c>
      <c r="B2636" s="310">
        <v>1</v>
      </c>
      <c r="C2636" s="310">
        <v>0</v>
      </c>
      <c r="D2636" s="310">
        <v>0</v>
      </c>
      <c r="E2636" s="310">
        <v>0</v>
      </c>
      <c r="F2636" s="291"/>
    </row>
    <row r="2637" spans="1:6">
      <c r="A2637" s="289" t="s">
        <v>94</v>
      </c>
      <c r="B2637" s="310">
        <v>1</v>
      </c>
      <c r="C2637" s="310">
        <v>0</v>
      </c>
      <c r="D2637" s="310">
        <v>0</v>
      </c>
      <c r="E2637" s="310">
        <v>0</v>
      </c>
      <c r="F2637" s="291"/>
    </row>
    <row r="2638" spans="1:6">
      <c r="A2638" s="289" t="s">
        <v>95</v>
      </c>
      <c r="B2638" s="310">
        <v>1</v>
      </c>
      <c r="C2638" s="310">
        <v>0</v>
      </c>
      <c r="D2638" s="310">
        <v>0</v>
      </c>
      <c r="E2638" s="310">
        <v>0</v>
      </c>
      <c r="F2638" s="291"/>
    </row>
    <row r="2639" spans="1:6">
      <c r="A2639" s="289" t="s">
        <v>130</v>
      </c>
      <c r="B2639" s="310">
        <v>1</v>
      </c>
      <c r="C2639" s="310">
        <v>0</v>
      </c>
      <c r="D2639" s="310">
        <v>0</v>
      </c>
      <c r="E2639" s="310">
        <v>0</v>
      </c>
      <c r="F2639" s="291"/>
    </row>
    <row r="2640" spans="1:6">
      <c r="A2640" s="289" t="s">
        <v>96</v>
      </c>
      <c r="B2640" s="310">
        <v>1</v>
      </c>
      <c r="C2640" s="310">
        <v>0</v>
      </c>
      <c r="D2640" s="310">
        <v>0</v>
      </c>
      <c r="E2640" s="310">
        <v>0</v>
      </c>
      <c r="F2640" s="291"/>
    </row>
    <row r="2641" spans="1:6">
      <c r="A2641" s="289" t="s">
        <v>97</v>
      </c>
      <c r="B2641" s="310">
        <v>0</v>
      </c>
      <c r="C2641" s="310">
        <v>1</v>
      </c>
      <c r="D2641" s="310">
        <v>0</v>
      </c>
      <c r="E2641" s="310">
        <v>0</v>
      </c>
      <c r="F2641" s="291"/>
    </row>
    <row r="2642" spans="1:6">
      <c r="A2642" s="289" t="s">
        <v>110</v>
      </c>
      <c r="B2642" s="310">
        <v>0</v>
      </c>
      <c r="C2642" s="310">
        <v>0</v>
      </c>
      <c r="D2642" s="310">
        <v>1</v>
      </c>
      <c r="E2642" s="310">
        <v>0</v>
      </c>
      <c r="F2642" s="291"/>
    </row>
    <row r="2643" spans="1:6">
      <c r="A2643" s="289" t="s">
        <v>1536</v>
      </c>
      <c r="B2643" s="310">
        <v>1</v>
      </c>
      <c r="C2643" s="310">
        <v>0</v>
      </c>
      <c r="D2643" s="310">
        <v>0</v>
      </c>
      <c r="E2643" s="310">
        <v>0</v>
      </c>
      <c r="F2643" s="291"/>
    </row>
    <row r="2644" spans="1:6">
      <c r="A2644" s="289" t="s">
        <v>1535</v>
      </c>
      <c r="B2644" s="310">
        <v>1</v>
      </c>
      <c r="C2644" s="310">
        <v>0</v>
      </c>
      <c r="D2644" s="310">
        <v>0</v>
      </c>
      <c r="E2644" s="310">
        <v>0</v>
      </c>
      <c r="F2644" s="291"/>
    </row>
    <row r="2645" spans="1:6">
      <c r="A2645" s="289" t="s">
        <v>98</v>
      </c>
      <c r="B2645" s="310">
        <v>1</v>
      </c>
      <c r="C2645" s="310">
        <v>0</v>
      </c>
      <c r="D2645" s="310">
        <v>0</v>
      </c>
      <c r="E2645" s="310">
        <v>0</v>
      </c>
      <c r="F2645" s="291"/>
    </row>
    <row r="2646" spans="1:6">
      <c r="A2646" s="289" t="s">
        <v>99</v>
      </c>
      <c r="B2646" s="310">
        <v>0</v>
      </c>
      <c r="C2646" s="310">
        <v>1</v>
      </c>
      <c r="D2646" s="310">
        <v>0</v>
      </c>
      <c r="E2646" s="310">
        <v>0</v>
      </c>
      <c r="F2646" s="291"/>
    </row>
    <row r="2647" spans="1:6">
      <c r="A2647" s="289" t="s">
        <v>111</v>
      </c>
      <c r="B2647" s="310">
        <v>0</v>
      </c>
      <c r="C2647" s="310">
        <v>0</v>
      </c>
      <c r="D2647" s="310">
        <v>1</v>
      </c>
      <c r="E2647" s="310">
        <v>0</v>
      </c>
      <c r="F2647" s="291"/>
    </row>
    <row r="2648" spans="1:6">
      <c r="A2648" s="289" t="s">
        <v>131</v>
      </c>
      <c r="B2648" s="310">
        <v>1</v>
      </c>
      <c r="C2648" s="310">
        <v>0</v>
      </c>
      <c r="D2648" s="310">
        <v>0</v>
      </c>
      <c r="E2648" s="310">
        <v>0</v>
      </c>
      <c r="F2648" s="291"/>
    </row>
    <row r="2649" spans="1:6">
      <c r="A2649" s="289" t="s">
        <v>132</v>
      </c>
      <c r="B2649" s="310">
        <v>1</v>
      </c>
      <c r="C2649" s="310">
        <v>0</v>
      </c>
      <c r="D2649" s="310">
        <v>0</v>
      </c>
      <c r="E2649" s="310">
        <v>0</v>
      </c>
      <c r="F2649" s="291"/>
    </row>
    <row r="2650" spans="1:6">
      <c r="A2650" s="289" t="s">
        <v>133</v>
      </c>
      <c r="B2650" s="310">
        <v>1</v>
      </c>
      <c r="C2650" s="310">
        <v>0</v>
      </c>
      <c r="D2650" s="310">
        <v>0</v>
      </c>
      <c r="E2650" s="310">
        <v>0</v>
      </c>
      <c r="F2650" s="291"/>
    </row>
    <row r="2651" spans="1:6">
      <c r="A2651" s="289" t="s">
        <v>134</v>
      </c>
      <c r="B2651" s="310">
        <v>1</v>
      </c>
      <c r="C2651" s="310">
        <v>0</v>
      </c>
      <c r="D2651" s="310">
        <v>0</v>
      </c>
      <c r="E2651" s="310">
        <v>0</v>
      </c>
      <c r="F2651" s="291"/>
    </row>
    <row r="2652" spans="1:6">
      <c r="A2652" s="289" t="s">
        <v>135</v>
      </c>
      <c r="B2652" s="310">
        <v>1</v>
      </c>
      <c r="C2652" s="310">
        <v>0</v>
      </c>
      <c r="D2652" s="310">
        <v>0</v>
      </c>
      <c r="E2652" s="310">
        <v>0</v>
      </c>
      <c r="F2652" s="291"/>
    </row>
    <row r="2653" spans="1:6">
      <c r="A2653" s="289" t="s">
        <v>1534</v>
      </c>
      <c r="B2653" s="310">
        <v>1</v>
      </c>
      <c r="C2653" s="310">
        <v>0</v>
      </c>
      <c r="D2653" s="310">
        <v>0</v>
      </c>
      <c r="E2653" s="310">
        <v>0</v>
      </c>
      <c r="F2653" s="291"/>
    </row>
    <row r="2654" spans="1:6">
      <c r="A2654" s="289" t="s">
        <v>100</v>
      </c>
      <c r="B2654" s="310">
        <v>0</v>
      </c>
      <c r="C2654" s="310">
        <v>1</v>
      </c>
      <c r="D2654" s="310">
        <v>0</v>
      </c>
      <c r="E2654" s="310">
        <v>0</v>
      </c>
      <c r="F2654" s="291"/>
    </row>
    <row r="2655" spans="1:6">
      <c r="A2655" s="289" t="s">
        <v>101</v>
      </c>
      <c r="B2655" s="310">
        <v>1</v>
      </c>
      <c r="C2655" s="310">
        <v>0</v>
      </c>
      <c r="D2655" s="310">
        <v>0</v>
      </c>
      <c r="E2655" s="310">
        <v>0</v>
      </c>
      <c r="F2655" s="291"/>
    </row>
    <row r="2656" spans="1:6">
      <c r="A2656" s="289" t="s">
        <v>102</v>
      </c>
      <c r="B2656" s="310">
        <v>1</v>
      </c>
      <c r="C2656" s="310">
        <v>0</v>
      </c>
      <c r="D2656" s="310">
        <v>0</v>
      </c>
      <c r="E2656" s="310">
        <v>0</v>
      </c>
      <c r="F2656" s="291"/>
    </row>
    <row r="2657" spans="1:6">
      <c r="A2657" s="289" t="s">
        <v>103</v>
      </c>
      <c r="B2657" s="310">
        <v>0</v>
      </c>
      <c r="C2657" s="310">
        <v>1</v>
      </c>
      <c r="D2657" s="310">
        <v>0</v>
      </c>
      <c r="E2657" s="310">
        <v>0</v>
      </c>
      <c r="F2657" s="291"/>
    </row>
    <row r="2658" spans="1:6">
      <c r="A2658" s="289" t="s">
        <v>104</v>
      </c>
      <c r="B2658" s="310">
        <v>0</v>
      </c>
      <c r="C2658" s="310">
        <v>1</v>
      </c>
      <c r="D2658" s="310">
        <v>0</v>
      </c>
      <c r="E2658" s="310">
        <v>0</v>
      </c>
      <c r="F2658" s="291"/>
    </row>
    <row r="2659" spans="1:6">
      <c r="A2659" s="289" t="s">
        <v>112</v>
      </c>
      <c r="B2659" s="310">
        <v>0</v>
      </c>
      <c r="C2659" s="310">
        <v>0</v>
      </c>
      <c r="D2659" s="310">
        <v>1</v>
      </c>
      <c r="E2659" s="310">
        <v>0</v>
      </c>
      <c r="F2659" s="291"/>
    </row>
    <row r="2660" spans="1:6">
      <c r="A2660" s="289" t="s">
        <v>113</v>
      </c>
      <c r="B2660" s="310">
        <v>0</v>
      </c>
      <c r="C2660" s="310">
        <v>0</v>
      </c>
      <c r="D2660" s="310">
        <v>1</v>
      </c>
      <c r="E2660" s="310">
        <v>0</v>
      </c>
      <c r="F2660" s="291"/>
    </row>
    <row r="2662" spans="1:6" ht="21" customHeight="1">
      <c r="A2662" s="1" t="s">
        <v>696</v>
      </c>
    </row>
    <row r="2663" spans="1:6">
      <c r="A2663" s="287" t="s">
        <v>255</v>
      </c>
    </row>
    <row r="2664" spans="1:6">
      <c r="A2664" s="301" t="s">
        <v>697</v>
      </c>
    </row>
    <row r="2665" spans="1:6">
      <c r="A2665" s="301" t="s">
        <v>698</v>
      </c>
    </row>
    <row r="2666" spans="1:6">
      <c r="A2666" s="287" t="s">
        <v>699</v>
      </c>
    </row>
    <row r="2668" spans="1:6">
      <c r="B2668" s="288" t="s">
        <v>228</v>
      </c>
      <c r="C2668" s="288" t="s">
        <v>229</v>
      </c>
      <c r="D2668" s="288" t="s">
        <v>230</v>
      </c>
      <c r="E2668" s="288" t="s">
        <v>231</v>
      </c>
    </row>
    <row r="2669" spans="1:6">
      <c r="A2669" s="289" t="s">
        <v>352</v>
      </c>
      <c r="B2669" s="308">
        <f>$B$257*(1-$D$14)</f>
        <v>0</v>
      </c>
      <c r="C2669" s="308">
        <f>$B$258*(1-$D$14)</f>
        <v>0</v>
      </c>
      <c r="D2669" s="308">
        <f>$B$259*(1-$D$14)</f>
        <v>0</v>
      </c>
      <c r="E2669" s="308">
        <f>$B$260*(1-$D$14)</f>
        <v>0</v>
      </c>
      <c r="F2669" s="291"/>
    </row>
    <row r="2670" spans="1:6">
      <c r="A2670" s="289" t="s">
        <v>353</v>
      </c>
      <c r="B2670" s="308">
        <f>$C$257*(1-$D$14)</f>
        <v>0</v>
      </c>
      <c r="C2670" s="308">
        <f>$C$258*(1-$D$14)</f>
        <v>0</v>
      </c>
      <c r="D2670" s="308">
        <f>$C$259*(1-$D$14)</f>
        <v>0</v>
      </c>
      <c r="E2670" s="308">
        <f>$C$260*(1-$D$14)</f>
        <v>0</v>
      </c>
      <c r="F2670" s="291"/>
    </row>
    <row r="2671" spans="1:6">
      <c r="A2671" s="289" t="s">
        <v>354</v>
      </c>
      <c r="B2671" s="308">
        <f>$D$257*(1-$D$14)</f>
        <v>0</v>
      </c>
      <c r="C2671" s="308">
        <f>$D$258*(1-$D$14)</f>
        <v>0</v>
      </c>
      <c r="D2671" s="308">
        <f>$D$259*(1-$D$14)</f>
        <v>0</v>
      </c>
      <c r="E2671" s="308">
        <f>$D$260*(1-$D$14)</f>
        <v>0</v>
      </c>
      <c r="F2671" s="291"/>
    </row>
    <row r="2672" spans="1:6">
      <c r="A2672" s="289" t="s">
        <v>355</v>
      </c>
      <c r="B2672" s="308">
        <f>$E$257*(1-$D$14)</f>
        <v>0</v>
      </c>
      <c r="C2672" s="308">
        <f>$E$258*(1-$D$14)</f>
        <v>0</v>
      </c>
      <c r="D2672" s="308">
        <f>$E$259*(1-$D$14)</f>
        <v>0.25764106948138837</v>
      </c>
      <c r="E2672" s="308">
        <f>$E$260*(1-$D$14)</f>
        <v>0.25764106948138837</v>
      </c>
      <c r="F2672" s="291"/>
    </row>
    <row r="2673" spans="1:10">
      <c r="A2673" s="289" t="s">
        <v>356</v>
      </c>
      <c r="B2673" s="308">
        <f>$F$257*(1-$D$14)</f>
        <v>0</v>
      </c>
      <c r="C2673" s="308">
        <f>$F$258*(1-$D$14)</f>
        <v>0</v>
      </c>
      <c r="D2673" s="308">
        <f>$F$259*(1-$D$14)</f>
        <v>0.25764106948138837</v>
      </c>
      <c r="E2673" s="308">
        <f>$F$260*(1-$D$14)</f>
        <v>0</v>
      </c>
      <c r="F2673" s="291"/>
    </row>
    <row r="2674" spans="1:10">
      <c r="A2674" s="289" t="s">
        <v>357</v>
      </c>
      <c r="B2674" s="308">
        <f>$G$257*(1-$D$14)</f>
        <v>0.38684969697494365</v>
      </c>
      <c r="C2674" s="308">
        <f>$G$258*(1-$D$14)</f>
        <v>0.38684969697494365</v>
      </c>
      <c r="D2674" s="308">
        <f>$G$259*(1-$D$14)</f>
        <v>0.51528213896277675</v>
      </c>
      <c r="E2674" s="308">
        <f>$G$260*(1-$D$14)</f>
        <v>0</v>
      </c>
      <c r="F2674" s="291"/>
    </row>
    <row r="2675" spans="1:10">
      <c r="A2675" s="289" t="s">
        <v>358</v>
      </c>
      <c r="B2675" s="308">
        <f>$H$257*(1-$D$14)</f>
        <v>0.64124825573068889</v>
      </c>
      <c r="C2675" s="308">
        <f>$H$258*(1-$D$14)</f>
        <v>0.64124825573068889</v>
      </c>
      <c r="D2675" s="308">
        <f>$H$259*(1-$D$14)</f>
        <v>0</v>
      </c>
      <c r="E2675" s="308">
        <f>$H$260*(1-$D$14)</f>
        <v>0</v>
      </c>
      <c r="F2675" s="291"/>
    </row>
    <row r="2676" spans="1:10">
      <c r="A2676" s="289" t="s">
        <v>359</v>
      </c>
      <c r="B2676" s="308">
        <f>$I$257*(1-$D$14)</f>
        <v>0.89564681448643413</v>
      </c>
      <c r="C2676" s="308">
        <f>$I$258*(1-$D$14)</f>
        <v>0</v>
      </c>
      <c r="D2676" s="308">
        <f>$I$259*(1-$D$14)</f>
        <v>0</v>
      </c>
      <c r="E2676" s="308">
        <f>$I$260*(1-$D$14)</f>
        <v>0</v>
      </c>
      <c r="F2676" s="291"/>
    </row>
    <row r="2678" spans="1:10" ht="21" customHeight="1">
      <c r="A2678" s="1" t="s">
        <v>700</v>
      </c>
    </row>
    <row r="2679" spans="1:10">
      <c r="A2679" s="287" t="s">
        <v>255</v>
      </c>
    </row>
    <row r="2680" spans="1:10">
      <c r="A2680" s="301" t="s">
        <v>701</v>
      </c>
    </row>
    <row r="2681" spans="1:10">
      <c r="A2681" s="301" t="s">
        <v>702</v>
      </c>
    </row>
    <row r="2682" spans="1:10">
      <c r="A2682" s="287" t="s">
        <v>268</v>
      </c>
    </row>
    <row r="2684" spans="1:10" ht="30">
      <c r="B2684" s="288" t="s">
        <v>220</v>
      </c>
      <c r="C2684" s="288" t="s">
        <v>221</v>
      </c>
      <c r="D2684" s="288" t="s">
        <v>222</v>
      </c>
      <c r="E2684" s="288" t="s">
        <v>223</v>
      </c>
      <c r="F2684" s="288" t="s">
        <v>224</v>
      </c>
      <c r="G2684" s="288" t="s">
        <v>225</v>
      </c>
      <c r="H2684" s="288" t="s">
        <v>226</v>
      </c>
      <c r="I2684" s="288" t="s">
        <v>227</v>
      </c>
    </row>
    <row r="2685" spans="1:10">
      <c r="A2685" s="289" t="s">
        <v>92</v>
      </c>
      <c r="B2685" s="308">
        <f t="shared" ref="B2685:B2711" si="364">SUMPRODUCT($B2634:$E2634,$B$2669:$E$2669)</f>
        <v>0</v>
      </c>
      <c r="C2685" s="308">
        <f t="shared" ref="C2685:C2711" si="365">SUMPRODUCT($B2634:$E2634,$B$2670:$E$2670)</f>
        <v>0</v>
      </c>
      <c r="D2685" s="308">
        <f t="shared" ref="D2685:D2711" si="366">SUMPRODUCT($B2634:$E2634,$B$2671:$E$2671)</f>
        <v>0</v>
      </c>
      <c r="E2685" s="308">
        <f t="shared" ref="E2685:E2711" si="367">SUMPRODUCT($B2634:$E2634,$B$2672:$E$2672)</f>
        <v>0</v>
      </c>
      <c r="F2685" s="308">
        <f t="shared" ref="F2685:F2711" si="368">SUMPRODUCT($B2634:$E2634,$B$2673:$E$2673)</f>
        <v>0</v>
      </c>
      <c r="G2685" s="308">
        <f t="shared" ref="G2685:G2711" si="369">SUMPRODUCT($B2634:$E2634,$B$2674:$E$2674)</f>
        <v>0.38684969697494365</v>
      </c>
      <c r="H2685" s="308">
        <f t="shared" ref="H2685:H2711" si="370">SUMPRODUCT($B2634:$E2634,$B$2675:$E$2675)</f>
        <v>0.64124825573068889</v>
      </c>
      <c r="I2685" s="308">
        <f t="shared" ref="I2685:I2711" si="371">SUMPRODUCT($B2634:$E2634,$B$2676:$E$2676)</f>
        <v>0.89564681448643413</v>
      </c>
      <c r="J2685" s="291"/>
    </row>
    <row r="2686" spans="1:10">
      <c r="A2686" s="289" t="s">
        <v>93</v>
      </c>
      <c r="B2686" s="308">
        <f t="shared" si="364"/>
        <v>0</v>
      </c>
      <c r="C2686" s="308">
        <f t="shared" si="365"/>
        <v>0</v>
      </c>
      <c r="D2686" s="308">
        <f t="shared" si="366"/>
        <v>0</v>
      </c>
      <c r="E2686" s="308">
        <f t="shared" si="367"/>
        <v>0</v>
      </c>
      <c r="F2686" s="308">
        <f t="shared" si="368"/>
        <v>0</v>
      </c>
      <c r="G2686" s="308">
        <f t="shared" si="369"/>
        <v>0.38684969697494365</v>
      </c>
      <c r="H2686" s="308">
        <f t="shared" si="370"/>
        <v>0.64124825573068889</v>
      </c>
      <c r="I2686" s="308">
        <f t="shared" si="371"/>
        <v>0.89564681448643413</v>
      </c>
      <c r="J2686" s="291"/>
    </row>
    <row r="2687" spans="1:10">
      <c r="A2687" s="289" t="s">
        <v>129</v>
      </c>
      <c r="B2687" s="308">
        <f t="shared" si="364"/>
        <v>0</v>
      </c>
      <c r="C2687" s="308">
        <f t="shared" si="365"/>
        <v>0</v>
      </c>
      <c r="D2687" s="308">
        <f t="shared" si="366"/>
        <v>0</v>
      </c>
      <c r="E2687" s="308">
        <f t="shared" si="367"/>
        <v>0</v>
      </c>
      <c r="F2687" s="308">
        <f t="shared" si="368"/>
        <v>0</v>
      </c>
      <c r="G2687" s="308">
        <f t="shared" si="369"/>
        <v>0.38684969697494365</v>
      </c>
      <c r="H2687" s="308">
        <f t="shared" si="370"/>
        <v>0.64124825573068889</v>
      </c>
      <c r="I2687" s="308">
        <f t="shared" si="371"/>
        <v>0.89564681448643413</v>
      </c>
      <c r="J2687" s="291"/>
    </row>
    <row r="2688" spans="1:10">
      <c r="A2688" s="289" t="s">
        <v>94</v>
      </c>
      <c r="B2688" s="308">
        <f t="shared" si="364"/>
        <v>0</v>
      </c>
      <c r="C2688" s="308">
        <f t="shared" si="365"/>
        <v>0</v>
      </c>
      <c r="D2688" s="308">
        <f t="shared" si="366"/>
        <v>0</v>
      </c>
      <c r="E2688" s="308">
        <f t="shared" si="367"/>
        <v>0</v>
      </c>
      <c r="F2688" s="308">
        <f t="shared" si="368"/>
        <v>0</v>
      </c>
      <c r="G2688" s="308">
        <f t="shared" si="369"/>
        <v>0.38684969697494365</v>
      </c>
      <c r="H2688" s="308">
        <f t="shared" si="370"/>
        <v>0.64124825573068889</v>
      </c>
      <c r="I2688" s="308">
        <f t="shared" si="371"/>
        <v>0.89564681448643413</v>
      </c>
      <c r="J2688" s="291"/>
    </row>
    <row r="2689" spans="1:10">
      <c r="A2689" s="289" t="s">
        <v>95</v>
      </c>
      <c r="B2689" s="308">
        <f t="shared" si="364"/>
        <v>0</v>
      </c>
      <c r="C2689" s="308">
        <f t="shared" si="365"/>
        <v>0</v>
      </c>
      <c r="D2689" s="308">
        <f t="shared" si="366"/>
        <v>0</v>
      </c>
      <c r="E2689" s="308">
        <f t="shared" si="367"/>
        <v>0</v>
      </c>
      <c r="F2689" s="308">
        <f t="shared" si="368"/>
        <v>0</v>
      </c>
      <c r="G2689" s="308">
        <f t="shared" si="369"/>
        <v>0.38684969697494365</v>
      </c>
      <c r="H2689" s="308">
        <f t="shared" si="370"/>
        <v>0.64124825573068889</v>
      </c>
      <c r="I2689" s="308">
        <f t="shared" si="371"/>
        <v>0.89564681448643413</v>
      </c>
      <c r="J2689" s="291"/>
    </row>
    <row r="2690" spans="1:10">
      <c r="A2690" s="289" t="s">
        <v>130</v>
      </c>
      <c r="B2690" s="308">
        <f t="shared" si="364"/>
        <v>0</v>
      </c>
      <c r="C2690" s="308">
        <f t="shared" si="365"/>
        <v>0</v>
      </c>
      <c r="D2690" s="308">
        <f t="shared" si="366"/>
        <v>0</v>
      </c>
      <c r="E2690" s="308">
        <f t="shared" si="367"/>
        <v>0</v>
      </c>
      <c r="F2690" s="308">
        <f t="shared" si="368"/>
        <v>0</v>
      </c>
      <c r="G2690" s="308">
        <f t="shared" si="369"/>
        <v>0.38684969697494365</v>
      </c>
      <c r="H2690" s="308">
        <f t="shared" si="370"/>
        <v>0.64124825573068889</v>
      </c>
      <c r="I2690" s="308">
        <f t="shared" si="371"/>
        <v>0.89564681448643413</v>
      </c>
      <c r="J2690" s="291"/>
    </row>
    <row r="2691" spans="1:10">
      <c r="A2691" s="289" t="s">
        <v>96</v>
      </c>
      <c r="B2691" s="308">
        <f t="shared" si="364"/>
        <v>0</v>
      </c>
      <c r="C2691" s="308">
        <f t="shared" si="365"/>
        <v>0</v>
      </c>
      <c r="D2691" s="308">
        <f t="shared" si="366"/>
        <v>0</v>
      </c>
      <c r="E2691" s="308">
        <f t="shared" si="367"/>
        <v>0</v>
      </c>
      <c r="F2691" s="308">
        <f t="shared" si="368"/>
        <v>0</v>
      </c>
      <c r="G2691" s="308">
        <f t="shared" si="369"/>
        <v>0.38684969697494365</v>
      </c>
      <c r="H2691" s="308">
        <f t="shared" si="370"/>
        <v>0.64124825573068889</v>
      </c>
      <c r="I2691" s="308">
        <f t="shared" si="371"/>
        <v>0.89564681448643413</v>
      </c>
      <c r="J2691" s="291"/>
    </row>
    <row r="2692" spans="1:10">
      <c r="A2692" s="289" t="s">
        <v>97</v>
      </c>
      <c r="B2692" s="308">
        <f t="shared" si="364"/>
        <v>0</v>
      </c>
      <c r="C2692" s="308">
        <f t="shared" si="365"/>
        <v>0</v>
      </c>
      <c r="D2692" s="308">
        <f t="shared" si="366"/>
        <v>0</v>
      </c>
      <c r="E2692" s="308">
        <f t="shared" si="367"/>
        <v>0</v>
      </c>
      <c r="F2692" s="308">
        <f t="shared" si="368"/>
        <v>0</v>
      </c>
      <c r="G2692" s="308">
        <f t="shared" si="369"/>
        <v>0.38684969697494365</v>
      </c>
      <c r="H2692" s="308">
        <f t="shared" si="370"/>
        <v>0.64124825573068889</v>
      </c>
      <c r="I2692" s="308">
        <f t="shared" si="371"/>
        <v>0</v>
      </c>
      <c r="J2692" s="291"/>
    </row>
    <row r="2693" spans="1:10">
      <c r="A2693" s="289" t="s">
        <v>110</v>
      </c>
      <c r="B2693" s="308">
        <f t="shared" si="364"/>
        <v>0</v>
      </c>
      <c r="C2693" s="308">
        <f t="shared" si="365"/>
        <v>0</v>
      </c>
      <c r="D2693" s="308">
        <f t="shared" si="366"/>
        <v>0</v>
      </c>
      <c r="E2693" s="308">
        <f t="shared" si="367"/>
        <v>0.25764106948138837</v>
      </c>
      <c r="F2693" s="308">
        <f t="shared" si="368"/>
        <v>0.25764106948138837</v>
      </c>
      <c r="G2693" s="308">
        <f t="shared" si="369"/>
        <v>0.51528213896277675</v>
      </c>
      <c r="H2693" s="308">
        <f t="shared" si="370"/>
        <v>0</v>
      </c>
      <c r="I2693" s="308">
        <f t="shared" si="371"/>
        <v>0</v>
      </c>
      <c r="J2693" s="291"/>
    </row>
    <row r="2694" spans="1:10">
      <c r="A2694" s="289" t="s">
        <v>1536</v>
      </c>
      <c r="B2694" s="308">
        <f t="shared" si="364"/>
        <v>0</v>
      </c>
      <c r="C2694" s="308">
        <f t="shared" si="365"/>
        <v>0</v>
      </c>
      <c r="D2694" s="308">
        <f t="shared" si="366"/>
        <v>0</v>
      </c>
      <c r="E2694" s="308">
        <f t="shared" si="367"/>
        <v>0</v>
      </c>
      <c r="F2694" s="308">
        <f t="shared" si="368"/>
        <v>0</v>
      </c>
      <c r="G2694" s="308">
        <f t="shared" si="369"/>
        <v>0.38684969697494365</v>
      </c>
      <c r="H2694" s="308">
        <f t="shared" si="370"/>
        <v>0.64124825573068889</v>
      </c>
      <c r="I2694" s="308">
        <f t="shared" si="371"/>
        <v>0.89564681448643413</v>
      </c>
      <c r="J2694" s="291"/>
    </row>
    <row r="2695" spans="1:10">
      <c r="A2695" s="289" t="s">
        <v>1535</v>
      </c>
      <c r="B2695" s="308">
        <f t="shared" si="364"/>
        <v>0</v>
      </c>
      <c r="C2695" s="308">
        <f t="shared" si="365"/>
        <v>0</v>
      </c>
      <c r="D2695" s="308">
        <f t="shared" si="366"/>
        <v>0</v>
      </c>
      <c r="E2695" s="308">
        <f t="shared" si="367"/>
        <v>0</v>
      </c>
      <c r="F2695" s="308">
        <f t="shared" si="368"/>
        <v>0</v>
      </c>
      <c r="G2695" s="308">
        <f t="shared" si="369"/>
        <v>0.38684969697494365</v>
      </c>
      <c r="H2695" s="308">
        <f t="shared" si="370"/>
        <v>0.64124825573068889</v>
      </c>
      <c r="I2695" s="308">
        <f t="shared" si="371"/>
        <v>0.89564681448643413</v>
      </c>
      <c r="J2695" s="291"/>
    </row>
    <row r="2696" spans="1:10">
      <c r="A2696" s="289" t="s">
        <v>98</v>
      </c>
      <c r="B2696" s="308">
        <f t="shared" si="364"/>
        <v>0</v>
      </c>
      <c r="C2696" s="308">
        <f t="shared" si="365"/>
        <v>0</v>
      </c>
      <c r="D2696" s="308">
        <f t="shared" si="366"/>
        <v>0</v>
      </c>
      <c r="E2696" s="308">
        <f t="shared" si="367"/>
        <v>0</v>
      </c>
      <c r="F2696" s="308">
        <f t="shared" si="368"/>
        <v>0</v>
      </c>
      <c r="G2696" s="308">
        <f t="shared" si="369"/>
        <v>0.38684969697494365</v>
      </c>
      <c r="H2696" s="308">
        <f t="shared" si="370"/>
        <v>0.64124825573068889</v>
      </c>
      <c r="I2696" s="308">
        <f t="shared" si="371"/>
        <v>0.89564681448643413</v>
      </c>
      <c r="J2696" s="291"/>
    </row>
    <row r="2697" spans="1:10">
      <c r="A2697" s="289" t="s">
        <v>99</v>
      </c>
      <c r="B2697" s="308">
        <f t="shared" si="364"/>
        <v>0</v>
      </c>
      <c r="C2697" s="308">
        <f t="shared" si="365"/>
        <v>0</v>
      </c>
      <c r="D2697" s="308">
        <f t="shared" si="366"/>
        <v>0</v>
      </c>
      <c r="E2697" s="308">
        <f t="shared" si="367"/>
        <v>0</v>
      </c>
      <c r="F2697" s="308">
        <f t="shared" si="368"/>
        <v>0</v>
      </c>
      <c r="G2697" s="308">
        <f t="shared" si="369"/>
        <v>0.38684969697494365</v>
      </c>
      <c r="H2697" s="308">
        <f t="shared" si="370"/>
        <v>0.64124825573068889</v>
      </c>
      <c r="I2697" s="308">
        <f t="shared" si="371"/>
        <v>0</v>
      </c>
      <c r="J2697" s="291"/>
    </row>
    <row r="2698" spans="1:10">
      <c r="A2698" s="289" t="s">
        <v>111</v>
      </c>
      <c r="B2698" s="308">
        <f t="shared" si="364"/>
        <v>0</v>
      </c>
      <c r="C2698" s="308">
        <f t="shared" si="365"/>
        <v>0</v>
      </c>
      <c r="D2698" s="308">
        <f t="shared" si="366"/>
        <v>0</v>
      </c>
      <c r="E2698" s="308">
        <f t="shared" si="367"/>
        <v>0.25764106948138837</v>
      </c>
      <c r="F2698" s="308">
        <f t="shared" si="368"/>
        <v>0.25764106948138837</v>
      </c>
      <c r="G2698" s="308">
        <f t="shared" si="369"/>
        <v>0.51528213896277675</v>
      </c>
      <c r="H2698" s="308">
        <f t="shared" si="370"/>
        <v>0</v>
      </c>
      <c r="I2698" s="308">
        <f t="shared" si="371"/>
        <v>0</v>
      </c>
      <c r="J2698" s="291"/>
    </row>
    <row r="2699" spans="1:10">
      <c r="A2699" s="289" t="s">
        <v>131</v>
      </c>
      <c r="B2699" s="308">
        <f t="shared" si="364"/>
        <v>0</v>
      </c>
      <c r="C2699" s="308">
        <f t="shared" si="365"/>
        <v>0</v>
      </c>
      <c r="D2699" s="308">
        <f t="shared" si="366"/>
        <v>0</v>
      </c>
      <c r="E2699" s="308">
        <f t="shared" si="367"/>
        <v>0</v>
      </c>
      <c r="F2699" s="308">
        <f t="shared" si="368"/>
        <v>0</v>
      </c>
      <c r="G2699" s="308">
        <f t="shared" si="369"/>
        <v>0.38684969697494365</v>
      </c>
      <c r="H2699" s="308">
        <f t="shared" si="370"/>
        <v>0.64124825573068889</v>
      </c>
      <c r="I2699" s="308">
        <f t="shared" si="371"/>
        <v>0.89564681448643413</v>
      </c>
      <c r="J2699" s="291"/>
    </row>
    <row r="2700" spans="1:10">
      <c r="A2700" s="289" t="s">
        <v>132</v>
      </c>
      <c r="B2700" s="308">
        <f t="shared" si="364"/>
        <v>0</v>
      </c>
      <c r="C2700" s="308">
        <f t="shared" si="365"/>
        <v>0</v>
      </c>
      <c r="D2700" s="308">
        <f t="shared" si="366"/>
        <v>0</v>
      </c>
      <c r="E2700" s="308">
        <f t="shared" si="367"/>
        <v>0</v>
      </c>
      <c r="F2700" s="308">
        <f t="shared" si="368"/>
        <v>0</v>
      </c>
      <c r="G2700" s="308">
        <f t="shared" si="369"/>
        <v>0.38684969697494365</v>
      </c>
      <c r="H2700" s="308">
        <f t="shared" si="370"/>
        <v>0.64124825573068889</v>
      </c>
      <c r="I2700" s="308">
        <f t="shared" si="371"/>
        <v>0.89564681448643413</v>
      </c>
      <c r="J2700" s="291"/>
    </row>
    <row r="2701" spans="1:10">
      <c r="A2701" s="289" t="s">
        <v>133</v>
      </c>
      <c r="B2701" s="308">
        <f t="shared" si="364"/>
        <v>0</v>
      </c>
      <c r="C2701" s="308">
        <f t="shared" si="365"/>
        <v>0</v>
      </c>
      <c r="D2701" s="308">
        <f t="shared" si="366"/>
        <v>0</v>
      </c>
      <c r="E2701" s="308">
        <f t="shared" si="367"/>
        <v>0</v>
      </c>
      <c r="F2701" s="308">
        <f t="shared" si="368"/>
        <v>0</v>
      </c>
      <c r="G2701" s="308">
        <f t="shared" si="369"/>
        <v>0.38684969697494365</v>
      </c>
      <c r="H2701" s="308">
        <f t="shared" si="370"/>
        <v>0.64124825573068889</v>
      </c>
      <c r="I2701" s="308">
        <f t="shared" si="371"/>
        <v>0.89564681448643413</v>
      </c>
      <c r="J2701" s="291"/>
    </row>
    <row r="2702" spans="1:10">
      <c r="A2702" s="289" t="s">
        <v>134</v>
      </c>
      <c r="B2702" s="308">
        <f t="shared" si="364"/>
        <v>0</v>
      </c>
      <c r="C2702" s="308">
        <f t="shared" si="365"/>
        <v>0</v>
      </c>
      <c r="D2702" s="308">
        <f t="shared" si="366"/>
        <v>0</v>
      </c>
      <c r="E2702" s="308">
        <f t="shared" si="367"/>
        <v>0</v>
      </c>
      <c r="F2702" s="308">
        <f t="shared" si="368"/>
        <v>0</v>
      </c>
      <c r="G2702" s="308">
        <f t="shared" si="369"/>
        <v>0.38684969697494365</v>
      </c>
      <c r="H2702" s="308">
        <f t="shared" si="370"/>
        <v>0.64124825573068889</v>
      </c>
      <c r="I2702" s="308">
        <f t="shared" si="371"/>
        <v>0.89564681448643413</v>
      </c>
      <c r="J2702" s="291"/>
    </row>
    <row r="2703" spans="1:10">
      <c r="A2703" s="289" t="s">
        <v>135</v>
      </c>
      <c r="B2703" s="308">
        <f t="shared" si="364"/>
        <v>0</v>
      </c>
      <c r="C2703" s="308">
        <f t="shared" si="365"/>
        <v>0</v>
      </c>
      <c r="D2703" s="308">
        <f t="shared" si="366"/>
        <v>0</v>
      </c>
      <c r="E2703" s="308">
        <f t="shared" si="367"/>
        <v>0</v>
      </c>
      <c r="F2703" s="308">
        <f t="shared" si="368"/>
        <v>0</v>
      </c>
      <c r="G2703" s="308">
        <f t="shared" si="369"/>
        <v>0.38684969697494365</v>
      </c>
      <c r="H2703" s="308">
        <f t="shared" si="370"/>
        <v>0.64124825573068889</v>
      </c>
      <c r="I2703" s="308">
        <f t="shared" si="371"/>
        <v>0.89564681448643413</v>
      </c>
      <c r="J2703" s="291"/>
    </row>
    <row r="2704" spans="1:10">
      <c r="A2704" s="289" t="s">
        <v>1534</v>
      </c>
      <c r="B2704" s="308">
        <f t="shared" si="364"/>
        <v>0</v>
      </c>
      <c r="C2704" s="308">
        <f t="shared" si="365"/>
        <v>0</v>
      </c>
      <c r="D2704" s="308">
        <f t="shared" si="366"/>
        <v>0</v>
      </c>
      <c r="E2704" s="308">
        <f t="shared" si="367"/>
        <v>0</v>
      </c>
      <c r="F2704" s="308">
        <f t="shared" si="368"/>
        <v>0</v>
      </c>
      <c r="G2704" s="308">
        <f t="shared" si="369"/>
        <v>0.38684969697494365</v>
      </c>
      <c r="H2704" s="308">
        <f t="shared" si="370"/>
        <v>0.64124825573068889</v>
      </c>
      <c r="I2704" s="308">
        <f t="shared" si="371"/>
        <v>0.89564681448643413</v>
      </c>
      <c r="J2704" s="291"/>
    </row>
    <row r="2705" spans="1:19">
      <c r="A2705" s="289" t="s">
        <v>100</v>
      </c>
      <c r="B2705" s="308">
        <f t="shared" si="364"/>
        <v>0</v>
      </c>
      <c r="C2705" s="308">
        <f t="shared" si="365"/>
        <v>0</v>
      </c>
      <c r="D2705" s="308">
        <f t="shared" si="366"/>
        <v>0</v>
      </c>
      <c r="E2705" s="308">
        <f t="shared" si="367"/>
        <v>0</v>
      </c>
      <c r="F2705" s="308">
        <f t="shared" si="368"/>
        <v>0</v>
      </c>
      <c r="G2705" s="308">
        <f t="shared" si="369"/>
        <v>0.38684969697494365</v>
      </c>
      <c r="H2705" s="308">
        <f t="shared" si="370"/>
        <v>0.64124825573068889</v>
      </c>
      <c r="I2705" s="308">
        <f t="shared" si="371"/>
        <v>0</v>
      </c>
      <c r="J2705" s="291"/>
    </row>
    <row r="2706" spans="1:19">
      <c r="A2706" s="289" t="s">
        <v>101</v>
      </c>
      <c r="B2706" s="308">
        <f t="shared" si="364"/>
        <v>0</v>
      </c>
      <c r="C2706" s="308">
        <f t="shared" si="365"/>
        <v>0</v>
      </c>
      <c r="D2706" s="308">
        <f t="shared" si="366"/>
        <v>0</v>
      </c>
      <c r="E2706" s="308">
        <f t="shared" si="367"/>
        <v>0</v>
      </c>
      <c r="F2706" s="308">
        <f t="shared" si="368"/>
        <v>0</v>
      </c>
      <c r="G2706" s="308">
        <f t="shared" si="369"/>
        <v>0.38684969697494365</v>
      </c>
      <c r="H2706" s="308">
        <f t="shared" si="370"/>
        <v>0.64124825573068889</v>
      </c>
      <c r="I2706" s="308">
        <f t="shared" si="371"/>
        <v>0.89564681448643413</v>
      </c>
      <c r="J2706" s="291"/>
    </row>
    <row r="2707" spans="1:19">
      <c r="A2707" s="289" t="s">
        <v>102</v>
      </c>
      <c r="B2707" s="308">
        <f t="shared" si="364"/>
        <v>0</v>
      </c>
      <c r="C2707" s="308">
        <f t="shared" si="365"/>
        <v>0</v>
      </c>
      <c r="D2707" s="308">
        <f t="shared" si="366"/>
        <v>0</v>
      </c>
      <c r="E2707" s="308">
        <f t="shared" si="367"/>
        <v>0</v>
      </c>
      <c r="F2707" s="308">
        <f t="shared" si="368"/>
        <v>0</v>
      </c>
      <c r="G2707" s="308">
        <f t="shared" si="369"/>
        <v>0.38684969697494365</v>
      </c>
      <c r="H2707" s="308">
        <f t="shared" si="370"/>
        <v>0.64124825573068889</v>
      </c>
      <c r="I2707" s="308">
        <f t="shared" si="371"/>
        <v>0.89564681448643413</v>
      </c>
      <c r="J2707" s="291"/>
    </row>
    <row r="2708" spans="1:19">
      <c r="A2708" s="289" t="s">
        <v>103</v>
      </c>
      <c r="B2708" s="308">
        <f t="shared" si="364"/>
        <v>0</v>
      </c>
      <c r="C2708" s="308">
        <f t="shared" si="365"/>
        <v>0</v>
      </c>
      <c r="D2708" s="308">
        <f t="shared" si="366"/>
        <v>0</v>
      </c>
      <c r="E2708" s="308">
        <f t="shared" si="367"/>
        <v>0</v>
      </c>
      <c r="F2708" s="308">
        <f t="shared" si="368"/>
        <v>0</v>
      </c>
      <c r="G2708" s="308">
        <f t="shared" si="369"/>
        <v>0.38684969697494365</v>
      </c>
      <c r="H2708" s="308">
        <f t="shared" si="370"/>
        <v>0.64124825573068889</v>
      </c>
      <c r="I2708" s="308">
        <f t="shared" si="371"/>
        <v>0</v>
      </c>
      <c r="J2708" s="291"/>
    </row>
    <row r="2709" spans="1:19">
      <c r="A2709" s="289" t="s">
        <v>104</v>
      </c>
      <c r="B2709" s="308">
        <f t="shared" si="364"/>
        <v>0</v>
      </c>
      <c r="C2709" s="308">
        <f t="shared" si="365"/>
        <v>0</v>
      </c>
      <c r="D2709" s="308">
        <f t="shared" si="366"/>
        <v>0</v>
      </c>
      <c r="E2709" s="308">
        <f t="shared" si="367"/>
        <v>0</v>
      </c>
      <c r="F2709" s="308">
        <f t="shared" si="368"/>
        <v>0</v>
      </c>
      <c r="G2709" s="308">
        <f t="shared" si="369"/>
        <v>0.38684969697494365</v>
      </c>
      <c r="H2709" s="308">
        <f t="shared" si="370"/>
        <v>0.64124825573068889</v>
      </c>
      <c r="I2709" s="308">
        <f t="shared" si="371"/>
        <v>0</v>
      </c>
      <c r="J2709" s="291"/>
    </row>
    <row r="2710" spans="1:19">
      <c r="A2710" s="289" t="s">
        <v>112</v>
      </c>
      <c r="B2710" s="308">
        <f t="shared" si="364"/>
        <v>0</v>
      </c>
      <c r="C2710" s="308">
        <f t="shared" si="365"/>
        <v>0</v>
      </c>
      <c r="D2710" s="308">
        <f t="shared" si="366"/>
        <v>0</v>
      </c>
      <c r="E2710" s="308">
        <f t="shared" si="367"/>
        <v>0.25764106948138837</v>
      </c>
      <c r="F2710" s="308">
        <f t="shared" si="368"/>
        <v>0.25764106948138837</v>
      </c>
      <c r="G2710" s="308">
        <f t="shared" si="369"/>
        <v>0.51528213896277675</v>
      </c>
      <c r="H2710" s="308">
        <f t="shared" si="370"/>
        <v>0</v>
      </c>
      <c r="I2710" s="308">
        <f t="shared" si="371"/>
        <v>0</v>
      </c>
      <c r="J2710" s="291"/>
    </row>
    <row r="2711" spans="1:19">
      <c r="A2711" s="289" t="s">
        <v>113</v>
      </c>
      <c r="B2711" s="308">
        <f t="shared" si="364"/>
        <v>0</v>
      </c>
      <c r="C2711" s="308">
        <f t="shared" si="365"/>
        <v>0</v>
      </c>
      <c r="D2711" s="308">
        <f t="shared" si="366"/>
        <v>0</v>
      </c>
      <c r="E2711" s="308">
        <f t="shared" si="367"/>
        <v>0.25764106948138837</v>
      </c>
      <c r="F2711" s="308">
        <f t="shared" si="368"/>
        <v>0.25764106948138837</v>
      </c>
      <c r="G2711" s="308">
        <f t="shared" si="369"/>
        <v>0.51528213896277675</v>
      </c>
      <c r="H2711" s="308">
        <f t="shared" si="370"/>
        <v>0</v>
      </c>
      <c r="I2711" s="308">
        <f t="shared" si="371"/>
        <v>0</v>
      </c>
      <c r="J2711" s="291"/>
    </row>
    <row r="2713" spans="1:19" ht="21" customHeight="1">
      <c r="A2713" s="1" t="s">
        <v>703</v>
      </c>
    </row>
    <row r="2714" spans="1:19">
      <c r="A2714" s="287" t="s">
        <v>255</v>
      </c>
    </row>
    <row r="2715" spans="1:19">
      <c r="A2715" s="287" t="s">
        <v>704</v>
      </c>
    </row>
    <row r="2716" spans="1:19">
      <c r="A2716" s="287" t="s">
        <v>705</v>
      </c>
    </row>
    <row r="2717" spans="1:19">
      <c r="A2717" s="301" t="s">
        <v>706</v>
      </c>
    </row>
    <row r="2718" spans="1:19">
      <c r="A2718" s="287" t="s">
        <v>295</v>
      </c>
    </row>
    <row r="2720" spans="1:19" ht="30">
      <c r="B2720" s="288" t="s">
        <v>60</v>
      </c>
      <c r="C2720" s="288" t="s">
        <v>220</v>
      </c>
      <c r="D2720" s="288" t="s">
        <v>221</v>
      </c>
      <c r="E2720" s="288" t="s">
        <v>222</v>
      </c>
      <c r="F2720" s="288" t="s">
        <v>223</v>
      </c>
      <c r="G2720" s="288" t="s">
        <v>224</v>
      </c>
      <c r="H2720" s="288" t="s">
        <v>225</v>
      </c>
      <c r="I2720" s="288" t="s">
        <v>226</v>
      </c>
      <c r="J2720" s="288" t="s">
        <v>227</v>
      </c>
      <c r="K2720" s="288" t="s">
        <v>208</v>
      </c>
      <c r="L2720" s="288" t="s">
        <v>618</v>
      </c>
      <c r="M2720" s="288" t="s">
        <v>619</v>
      </c>
      <c r="N2720" s="288" t="s">
        <v>620</v>
      </c>
      <c r="O2720" s="288" t="s">
        <v>621</v>
      </c>
      <c r="P2720" s="288" t="s">
        <v>622</v>
      </c>
      <c r="Q2720" s="288" t="s">
        <v>623</v>
      </c>
      <c r="R2720" s="288" t="s">
        <v>624</v>
      </c>
      <c r="S2720" s="288" t="s">
        <v>625</v>
      </c>
    </row>
    <row r="2721" spans="1:20">
      <c r="A2721" s="289" t="s">
        <v>92</v>
      </c>
      <c r="B2721" s="310">
        <v>0</v>
      </c>
      <c r="C2721" s="311">
        <f t="shared" ref="C2721:C2747" si="372">$B2685</f>
        <v>0</v>
      </c>
      <c r="D2721" s="311">
        <f t="shared" ref="D2721:D2747" si="373">$C2685</f>
        <v>0</v>
      </c>
      <c r="E2721" s="311">
        <f t="shared" ref="E2721:E2747" si="374">$D2685</f>
        <v>0</v>
      </c>
      <c r="F2721" s="311">
        <f t="shared" ref="F2721:F2747" si="375">$E2685</f>
        <v>0</v>
      </c>
      <c r="G2721" s="311">
        <f t="shared" ref="G2721:G2747" si="376">$F2685</f>
        <v>0</v>
      </c>
      <c r="H2721" s="311">
        <f t="shared" ref="H2721:H2747" si="377">$G2685</f>
        <v>0.38684969697494365</v>
      </c>
      <c r="I2721" s="311">
        <f t="shared" ref="I2721:I2747" si="378">$H2685</f>
        <v>0.64124825573068889</v>
      </c>
      <c r="J2721" s="311">
        <f t="shared" ref="J2721:J2747" si="379">$I2685</f>
        <v>0.89564681448643413</v>
      </c>
      <c r="K2721" s="310">
        <v>0</v>
      </c>
      <c r="L2721" s="310">
        <v>0</v>
      </c>
      <c r="M2721" s="310">
        <v>0</v>
      </c>
      <c r="N2721" s="310">
        <v>0</v>
      </c>
      <c r="O2721" s="310">
        <v>0</v>
      </c>
      <c r="P2721" s="310">
        <v>0</v>
      </c>
      <c r="Q2721" s="310">
        <v>0</v>
      </c>
      <c r="R2721" s="310">
        <v>0</v>
      </c>
      <c r="S2721" s="310">
        <v>0</v>
      </c>
      <c r="T2721" s="291"/>
    </row>
    <row r="2722" spans="1:20">
      <c r="A2722" s="289" t="s">
        <v>93</v>
      </c>
      <c r="B2722" s="310">
        <v>0</v>
      </c>
      <c r="C2722" s="311">
        <f t="shared" si="372"/>
        <v>0</v>
      </c>
      <c r="D2722" s="311">
        <f t="shared" si="373"/>
        <v>0</v>
      </c>
      <c r="E2722" s="311">
        <f t="shared" si="374"/>
        <v>0</v>
      </c>
      <c r="F2722" s="311">
        <f t="shared" si="375"/>
        <v>0</v>
      </c>
      <c r="G2722" s="311">
        <f t="shared" si="376"/>
        <v>0</v>
      </c>
      <c r="H2722" s="311">
        <f t="shared" si="377"/>
        <v>0.38684969697494365</v>
      </c>
      <c r="I2722" s="311">
        <f t="shared" si="378"/>
        <v>0.64124825573068889</v>
      </c>
      <c r="J2722" s="311">
        <f t="shared" si="379"/>
        <v>0.89564681448643413</v>
      </c>
      <c r="K2722" s="310">
        <v>0</v>
      </c>
      <c r="L2722" s="310">
        <v>0</v>
      </c>
      <c r="M2722" s="310">
        <v>0</v>
      </c>
      <c r="N2722" s="310">
        <v>0</v>
      </c>
      <c r="O2722" s="310">
        <v>0</v>
      </c>
      <c r="P2722" s="310">
        <v>0</v>
      </c>
      <c r="Q2722" s="310">
        <v>0</v>
      </c>
      <c r="R2722" s="310">
        <v>0</v>
      </c>
      <c r="S2722" s="310">
        <v>0</v>
      </c>
      <c r="T2722" s="291"/>
    </row>
    <row r="2723" spans="1:20">
      <c r="A2723" s="289" t="s">
        <v>129</v>
      </c>
      <c r="B2723" s="310">
        <v>0</v>
      </c>
      <c r="C2723" s="311">
        <f t="shared" si="372"/>
        <v>0</v>
      </c>
      <c r="D2723" s="311">
        <f t="shared" si="373"/>
        <v>0</v>
      </c>
      <c r="E2723" s="311">
        <f t="shared" si="374"/>
        <v>0</v>
      </c>
      <c r="F2723" s="311">
        <f t="shared" si="375"/>
        <v>0</v>
      </c>
      <c r="G2723" s="311">
        <f t="shared" si="376"/>
        <v>0</v>
      </c>
      <c r="H2723" s="311">
        <f t="shared" si="377"/>
        <v>0.38684969697494365</v>
      </c>
      <c r="I2723" s="311">
        <f t="shared" si="378"/>
        <v>0.64124825573068889</v>
      </c>
      <c r="J2723" s="311">
        <f t="shared" si="379"/>
        <v>0.89564681448643413</v>
      </c>
      <c r="K2723" s="310">
        <v>0</v>
      </c>
      <c r="L2723" s="310">
        <v>0</v>
      </c>
      <c r="M2723" s="310">
        <v>0</v>
      </c>
      <c r="N2723" s="310">
        <v>0</v>
      </c>
      <c r="O2723" s="310">
        <v>0</v>
      </c>
      <c r="P2723" s="310">
        <v>0</v>
      </c>
      <c r="Q2723" s="310">
        <v>0</v>
      </c>
      <c r="R2723" s="310">
        <v>0</v>
      </c>
      <c r="S2723" s="310">
        <v>0</v>
      </c>
      <c r="T2723" s="291"/>
    </row>
    <row r="2724" spans="1:20">
      <c r="A2724" s="289" t="s">
        <v>94</v>
      </c>
      <c r="B2724" s="310">
        <v>0</v>
      </c>
      <c r="C2724" s="311">
        <f t="shared" si="372"/>
        <v>0</v>
      </c>
      <c r="D2724" s="311">
        <f t="shared" si="373"/>
        <v>0</v>
      </c>
      <c r="E2724" s="311">
        <f t="shared" si="374"/>
        <v>0</v>
      </c>
      <c r="F2724" s="311">
        <f t="shared" si="375"/>
        <v>0</v>
      </c>
      <c r="G2724" s="311">
        <f t="shared" si="376"/>
        <v>0</v>
      </c>
      <c r="H2724" s="311">
        <f t="shared" si="377"/>
        <v>0.38684969697494365</v>
      </c>
      <c r="I2724" s="311">
        <f t="shared" si="378"/>
        <v>0.64124825573068889</v>
      </c>
      <c r="J2724" s="311">
        <f t="shared" si="379"/>
        <v>0.89564681448643413</v>
      </c>
      <c r="K2724" s="310">
        <v>0</v>
      </c>
      <c r="L2724" s="310">
        <v>0</v>
      </c>
      <c r="M2724" s="310">
        <v>0</v>
      </c>
      <c r="N2724" s="310">
        <v>0</v>
      </c>
      <c r="O2724" s="310">
        <v>0</v>
      </c>
      <c r="P2724" s="310">
        <v>0</v>
      </c>
      <c r="Q2724" s="310">
        <v>0</v>
      </c>
      <c r="R2724" s="310">
        <v>0</v>
      </c>
      <c r="S2724" s="310">
        <v>0</v>
      </c>
      <c r="T2724" s="291"/>
    </row>
    <row r="2725" spans="1:20">
      <c r="A2725" s="289" t="s">
        <v>95</v>
      </c>
      <c r="B2725" s="310">
        <v>0</v>
      </c>
      <c r="C2725" s="311">
        <f t="shared" si="372"/>
        <v>0</v>
      </c>
      <c r="D2725" s="311">
        <f t="shared" si="373"/>
        <v>0</v>
      </c>
      <c r="E2725" s="311">
        <f t="shared" si="374"/>
        <v>0</v>
      </c>
      <c r="F2725" s="311">
        <f t="shared" si="375"/>
        <v>0</v>
      </c>
      <c r="G2725" s="311">
        <f t="shared" si="376"/>
        <v>0</v>
      </c>
      <c r="H2725" s="311">
        <f t="shared" si="377"/>
        <v>0.38684969697494365</v>
      </c>
      <c r="I2725" s="311">
        <f t="shared" si="378"/>
        <v>0.64124825573068889</v>
      </c>
      <c r="J2725" s="311">
        <f t="shared" si="379"/>
        <v>0.89564681448643413</v>
      </c>
      <c r="K2725" s="310">
        <v>0</v>
      </c>
      <c r="L2725" s="310">
        <v>0</v>
      </c>
      <c r="M2725" s="310">
        <v>0</v>
      </c>
      <c r="N2725" s="310">
        <v>0</v>
      </c>
      <c r="O2725" s="310">
        <v>0</v>
      </c>
      <c r="P2725" s="310">
        <v>0</v>
      </c>
      <c r="Q2725" s="310">
        <v>0</v>
      </c>
      <c r="R2725" s="310">
        <v>0</v>
      </c>
      <c r="S2725" s="310">
        <v>0</v>
      </c>
      <c r="T2725" s="291"/>
    </row>
    <row r="2726" spans="1:20">
      <c r="A2726" s="289" t="s">
        <v>130</v>
      </c>
      <c r="B2726" s="310">
        <v>0</v>
      </c>
      <c r="C2726" s="311">
        <f t="shared" si="372"/>
        <v>0</v>
      </c>
      <c r="D2726" s="311">
        <f t="shared" si="373"/>
        <v>0</v>
      </c>
      <c r="E2726" s="311">
        <f t="shared" si="374"/>
        <v>0</v>
      </c>
      <c r="F2726" s="311">
        <f t="shared" si="375"/>
        <v>0</v>
      </c>
      <c r="G2726" s="311">
        <f t="shared" si="376"/>
        <v>0</v>
      </c>
      <c r="H2726" s="311">
        <f t="shared" si="377"/>
        <v>0.38684969697494365</v>
      </c>
      <c r="I2726" s="311">
        <f t="shared" si="378"/>
        <v>0.64124825573068889</v>
      </c>
      <c r="J2726" s="311">
        <f t="shared" si="379"/>
        <v>0.89564681448643413</v>
      </c>
      <c r="K2726" s="310">
        <v>0</v>
      </c>
      <c r="L2726" s="310">
        <v>0</v>
      </c>
      <c r="M2726" s="310">
        <v>0</v>
      </c>
      <c r="N2726" s="310">
        <v>0</v>
      </c>
      <c r="O2726" s="310">
        <v>0</v>
      </c>
      <c r="P2726" s="310">
        <v>0</v>
      </c>
      <c r="Q2726" s="310">
        <v>0</v>
      </c>
      <c r="R2726" s="310">
        <v>0</v>
      </c>
      <c r="S2726" s="310">
        <v>0</v>
      </c>
      <c r="T2726" s="291"/>
    </row>
    <row r="2727" spans="1:20">
      <c r="A2727" s="289" t="s">
        <v>96</v>
      </c>
      <c r="B2727" s="310">
        <v>0</v>
      </c>
      <c r="C2727" s="311">
        <f t="shared" si="372"/>
        <v>0</v>
      </c>
      <c r="D2727" s="311">
        <f t="shared" si="373"/>
        <v>0</v>
      </c>
      <c r="E2727" s="311">
        <f t="shared" si="374"/>
        <v>0</v>
      </c>
      <c r="F2727" s="311">
        <f t="shared" si="375"/>
        <v>0</v>
      </c>
      <c r="G2727" s="311">
        <f t="shared" si="376"/>
        <v>0</v>
      </c>
      <c r="H2727" s="311">
        <f t="shared" si="377"/>
        <v>0.38684969697494365</v>
      </c>
      <c r="I2727" s="311">
        <f t="shared" si="378"/>
        <v>0.64124825573068889</v>
      </c>
      <c r="J2727" s="311">
        <f t="shared" si="379"/>
        <v>0.89564681448643413</v>
      </c>
      <c r="K2727" s="310">
        <v>0</v>
      </c>
      <c r="L2727" s="310">
        <v>0</v>
      </c>
      <c r="M2727" s="310">
        <v>0</v>
      </c>
      <c r="N2727" s="310">
        <v>0</v>
      </c>
      <c r="O2727" s="310">
        <v>0</v>
      </c>
      <c r="P2727" s="310">
        <v>0</v>
      </c>
      <c r="Q2727" s="310">
        <v>0</v>
      </c>
      <c r="R2727" s="310">
        <v>0</v>
      </c>
      <c r="S2727" s="310">
        <v>0</v>
      </c>
      <c r="T2727" s="291"/>
    </row>
    <row r="2728" spans="1:20">
      <c r="A2728" s="289" t="s">
        <v>97</v>
      </c>
      <c r="B2728" s="310">
        <v>0</v>
      </c>
      <c r="C2728" s="311">
        <f t="shared" si="372"/>
        <v>0</v>
      </c>
      <c r="D2728" s="311">
        <f t="shared" si="373"/>
        <v>0</v>
      </c>
      <c r="E2728" s="311">
        <f t="shared" si="374"/>
        <v>0</v>
      </c>
      <c r="F2728" s="311">
        <f t="shared" si="375"/>
        <v>0</v>
      </c>
      <c r="G2728" s="311">
        <f t="shared" si="376"/>
        <v>0</v>
      </c>
      <c r="H2728" s="311">
        <f t="shared" si="377"/>
        <v>0.38684969697494365</v>
      </c>
      <c r="I2728" s="311">
        <f t="shared" si="378"/>
        <v>0.64124825573068889</v>
      </c>
      <c r="J2728" s="311">
        <f t="shared" si="379"/>
        <v>0</v>
      </c>
      <c r="K2728" s="310">
        <v>0</v>
      </c>
      <c r="L2728" s="310">
        <v>0</v>
      </c>
      <c r="M2728" s="310">
        <v>0</v>
      </c>
      <c r="N2728" s="310">
        <v>0</v>
      </c>
      <c r="O2728" s="310">
        <v>0</v>
      </c>
      <c r="P2728" s="310">
        <v>0</v>
      </c>
      <c r="Q2728" s="310">
        <v>0</v>
      </c>
      <c r="R2728" s="310">
        <v>0</v>
      </c>
      <c r="S2728" s="310">
        <v>0</v>
      </c>
      <c r="T2728" s="291"/>
    </row>
    <row r="2729" spans="1:20">
      <c r="A2729" s="289" t="s">
        <v>110</v>
      </c>
      <c r="B2729" s="310">
        <v>0</v>
      </c>
      <c r="C2729" s="311">
        <f t="shared" si="372"/>
        <v>0</v>
      </c>
      <c r="D2729" s="311">
        <f t="shared" si="373"/>
        <v>0</v>
      </c>
      <c r="E2729" s="311">
        <f t="shared" si="374"/>
        <v>0</v>
      </c>
      <c r="F2729" s="311">
        <f t="shared" si="375"/>
        <v>0.25764106948138837</v>
      </c>
      <c r="G2729" s="311">
        <f t="shared" si="376"/>
        <v>0.25764106948138837</v>
      </c>
      <c r="H2729" s="311">
        <f t="shared" si="377"/>
        <v>0.51528213896277675</v>
      </c>
      <c r="I2729" s="311">
        <f t="shared" si="378"/>
        <v>0</v>
      </c>
      <c r="J2729" s="311">
        <f t="shared" si="379"/>
        <v>0</v>
      </c>
      <c r="K2729" s="310">
        <v>0</v>
      </c>
      <c r="L2729" s="310">
        <v>0</v>
      </c>
      <c r="M2729" s="310">
        <v>0</v>
      </c>
      <c r="N2729" s="310">
        <v>0</v>
      </c>
      <c r="O2729" s="310">
        <v>0</v>
      </c>
      <c r="P2729" s="310">
        <v>0</v>
      </c>
      <c r="Q2729" s="310">
        <v>0</v>
      </c>
      <c r="R2729" s="310">
        <v>0</v>
      </c>
      <c r="S2729" s="310">
        <v>0</v>
      </c>
      <c r="T2729" s="291"/>
    </row>
    <row r="2730" spans="1:20">
      <c r="A2730" s="289" t="s">
        <v>1536</v>
      </c>
      <c r="B2730" s="310">
        <v>0</v>
      </c>
      <c r="C2730" s="311">
        <f t="shared" si="372"/>
        <v>0</v>
      </c>
      <c r="D2730" s="311">
        <f t="shared" si="373"/>
        <v>0</v>
      </c>
      <c r="E2730" s="311">
        <f t="shared" si="374"/>
        <v>0</v>
      </c>
      <c r="F2730" s="311">
        <f t="shared" si="375"/>
        <v>0</v>
      </c>
      <c r="G2730" s="311">
        <f t="shared" si="376"/>
        <v>0</v>
      </c>
      <c r="H2730" s="311">
        <f t="shared" si="377"/>
        <v>0.38684969697494365</v>
      </c>
      <c r="I2730" s="311">
        <f t="shared" si="378"/>
        <v>0.64124825573068889</v>
      </c>
      <c r="J2730" s="311">
        <f t="shared" si="379"/>
        <v>0.89564681448643413</v>
      </c>
      <c r="K2730" s="310">
        <v>0</v>
      </c>
      <c r="L2730" s="310">
        <v>0</v>
      </c>
      <c r="M2730" s="310">
        <v>0</v>
      </c>
      <c r="N2730" s="310">
        <v>0</v>
      </c>
      <c r="O2730" s="310">
        <v>0</v>
      </c>
      <c r="P2730" s="310">
        <v>0</v>
      </c>
      <c r="Q2730" s="310">
        <v>0</v>
      </c>
      <c r="R2730" s="310">
        <v>0</v>
      </c>
      <c r="S2730" s="310">
        <v>0</v>
      </c>
      <c r="T2730" s="291"/>
    </row>
    <row r="2731" spans="1:20">
      <c r="A2731" s="289" t="s">
        <v>1535</v>
      </c>
      <c r="B2731" s="310">
        <v>0</v>
      </c>
      <c r="C2731" s="311">
        <f t="shared" si="372"/>
        <v>0</v>
      </c>
      <c r="D2731" s="311">
        <f t="shared" si="373"/>
        <v>0</v>
      </c>
      <c r="E2731" s="311">
        <f t="shared" si="374"/>
        <v>0</v>
      </c>
      <c r="F2731" s="311">
        <f t="shared" si="375"/>
        <v>0</v>
      </c>
      <c r="G2731" s="311">
        <f t="shared" si="376"/>
        <v>0</v>
      </c>
      <c r="H2731" s="311">
        <f t="shared" si="377"/>
        <v>0.38684969697494365</v>
      </c>
      <c r="I2731" s="311">
        <f t="shared" si="378"/>
        <v>0.64124825573068889</v>
      </c>
      <c r="J2731" s="311">
        <f t="shared" si="379"/>
        <v>0.89564681448643413</v>
      </c>
      <c r="K2731" s="310">
        <v>0</v>
      </c>
      <c r="L2731" s="310">
        <v>0</v>
      </c>
      <c r="M2731" s="310">
        <v>0</v>
      </c>
      <c r="N2731" s="310">
        <v>0</v>
      </c>
      <c r="O2731" s="310">
        <v>0</v>
      </c>
      <c r="P2731" s="310">
        <v>0</v>
      </c>
      <c r="Q2731" s="310">
        <v>0</v>
      </c>
      <c r="R2731" s="310">
        <v>0</v>
      </c>
      <c r="S2731" s="310">
        <v>0</v>
      </c>
      <c r="T2731" s="291"/>
    </row>
    <row r="2732" spans="1:20">
      <c r="A2732" s="289" t="s">
        <v>98</v>
      </c>
      <c r="B2732" s="310">
        <v>0</v>
      </c>
      <c r="C2732" s="311">
        <f t="shared" si="372"/>
        <v>0</v>
      </c>
      <c r="D2732" s="311">
        <f t="shared" si="373"/>
        <v>0</v>
      </c>
      <c r="E2732" s="311">
        <f t="shared" si="374"/>
        <v>0</v>
      </c>
      <c r="F2732" s="311">
        <f t="shared" si="375"/>
        <v>0</v>
      </c>
      <c r="G2732" s="311">
        <f t="shared" si="376"/>
        <v>0</v>
      </c>
      <c r="H2732" s="311">
        <f t="shared" si="377"/>
        <v>0.38684969697494365</v>
      </c>
      <c r="I2732" s="311">
        <f t="shared" si="378"/>
        <v>0.64124825573068889</v>
      </c>
      <c r="J2732" s="311">
        <f t="shared" si="379"/>
        <v>0.89564681448643413</v>
      </c>
      <c r="K2732" s="310">
        <v>0</v>
      </c>
      <c r="L2732" s="310">
        <v>0</v>
      </c>
      <c r="M2732" s="310">
        <v>0</v>
      </c>
      <c r="N2732" s="310">
        <v>0</v>
      </c>
      <c r="O2732" s="310">
        <v>0</v>
      </c>
      <c r="P2732" s="310">
        <v>0</v>
      </c>
      <c r="Q2732" s="310">
        <v>0</v>
      </c>
      <c r="R2732" s="310">
        <v>0</v>
      </c>
      <c r="S2732" s="310">
        <v>0</v>
      </c>
      <c r="T2732" s="291"/>
    </row>
    <row r="2733" spans="1:20">
      <c r="A2733" s="289" t="s">
        <v>99</v>
      </c>
      <c r="B2733" s="310">
        <v>0</v>
      </c>
      <c r="C2733" s="311">
        <f t="shared" si="372"/>
        <v>0</v>
      </c>
      <c r="D2733" s="311">
        <f t="shared" si="373"/>
        <v>0</v>
      </c>
      <c r="E2733" s="311">
        <f t="shared" si="374"/>
        <v>0</v>
      </c>
      <c r="F2733" s="311">
        <f t="shared" si="375"/>
        <v>0</v>
      </c>
      <c r="G2733" s="311">
        <f t="shared" si="376"/>
        <v>0</v>
      </c>
      <c r="H2733" s="311">
        <f t="shared" si="377"/>
        <v>0.38684969697494365</v>
      </c>
      <c r="I2733" s="311">
        <f t="shared" si="378"/>
        <v>0.64124825573068889</v>
      </c>
      <c r="J2733" s="311">
        <f t="shared" si="379"/>
        <v>0</v>
      </c>
      <c r="K2733" s="310">
        <v>0</v>
      </c>
      <c r="L2733" s="310">
        <v>0</v>
      </c>
      <c r="M2733" s="310">
        <v>0</v>
      </c>
      <c r="N2733" s="310">
        <v>0</v>
      </c>
      <c r="O2733" s="310">
        <v>0</v>
      </c>
      <c r="P2733" s="310">
        <v>0</v>
      </c>
      <c r="Q2733" s="310">
        <v>0</v>
      </c>
      <c r="R2733" s="310">
        <v>0</v>
      </c>
      <c r="S2733" s="310">
        <v>0</v>
      </c>
      <c r="T2733" s="291"/>
    </row>
    <row r="2734" spans="1:20">
      <c r="A2734" s="289" t="s">
        <v>111</v>
      </c>
      <c r="B2734" s="310">
        <v>0</v>
      </c>
      <c r="C2734" s="311">
        <f t="shared" si="372"/>
        <v>0</v>
      </c>
      <c r="D2734" s="311">
        <f t="shared" si="373"/>
        <v>0</v>
      </c>
      <c r="E2734" s="311">
        <f t="shared" si="374"/>
        <v>0</v>
      </c>
      <c r="F2734" s="311">
        <f t="shared" si="375"/>
        <v>0.25764106948138837</v>
      </c>
      <c r="G2734" s="311">
        <f t="shared" si="376"/>
        <v>0.25764106948138837</v>
      </c>
      <c r="H2734" s="311">
        <f t="shared" si="377"/>
        <v>0.51528213896277675</v>
      </c>
      <c r="I2734" s="311">
        <f t="shared" si="378"/>
        <v>0</v>
      </c>
      <c r="J2734" s="311">
        <f t="shared" si="379"/>
        <v>0</v>
      </c>
      <c r="K2734" s="310">
        <v>0</v>
      </c>
      <c r="L2734" s="310">
        <v>0</v>
      </c>
      <c r="M2734" s="310">
        <v>0</v>
      </c>
      <c r="N2734" s="310">
        <v>0</v>
      </c>
      <c r="O2734" s="310">
        <v>0</v>
      </c>
      <c r="P2734" s="310">
        <v>0</v>
      </c>
      <c r="Q2734" s="310">
        <v>0</v>
      </c>
      <c r="R2734" s="310">
        <v>0</v>
      </c>
      <c r="S2734" s="310">
        <v>0</v>
      </c>
      <c r="T2734" s="291"/>
    </row>
    <row r="2735" spans="1:20">
      <c r="A2735" s="289" t="s">
        <v>131</v>
      </c>
      <c r="B2735" s="310">
        <v>0</v>
      </c>
      <c r="C2735" s="311">
        <f t="shared" si="372"/>
        <v>0</v>
      </c>
      <c r="D2735" s="311">
        <f t="shared" si="373"/>
        <v>0</v>
      </c>
      <c r="E2735" s="311">
        <f t="shared" si="374"/>
        <v>0</v>
      </c>
      <c r="F2735" s="311">
        <f t="shared" si="375"/>
        <v>0</v>
      </c>
      <c r="G2735" s="311">
        <f t="shared" si="376"/>
        <v>0</v>
      </c>
      <c r="H2735" s="311">
        <f t="shared" si="377"/>
        <v>0.38684969697494365</v>
      </c>
      <c r="I2735" s="311">
        <f t="shared" si="378"/>
        <v>0.64124825573068889</v>
      </c>
      <c r="J2735" s="311">
        <f t="shared" si="379"/>
        <v>0.89564681448643413</v>
      </c>
      <c r="K2735" s="310">
        <v>0</v>
      </c>
      <c r="L2735" s="310">
        <v>0</v>
      </c>
      <c r="M2735" s="310">
        <v>0</v>
      </c>
      <c r="N2735" s="310">
        <v>0</v>
      </c>
      <c r="O2735" s="310">
        <v>0</v>
      </c>
      <c r="P2735" s="310">
        <v>0</v>
      </c>
      <c r="Q2735" s="310">
        <v>0</v>
      </c>
      <c r="R2735" s="310">
        <v>0</v>
      </c>
      <c r="S2735" s="310">
        <v>0</v>
      </c>
      <c r="T2735" s="291"/>
    </row>
    <row r="2736" spans="1:20">
      <c r="A2736" s="289" t="s">
        <v>132</v>
      </c>
      <c r="B2736" s="310">
        <v>0</v>
      </c>
      <c r="C2736" s="311">
        <f t="shared" si="372"/>
        <v>0</v>
      </c>
      <c r="D2736" s="311">
        <f t="shared" si="373"/>
        <v>0</v>
      </c>
      <c r="E2736" s="311">
        <f t="shared" si="374"/>
        <v>0</v>
      </c>
      <c r="F2736" s="311">
        <f t="shared" si="375"/>
        <v>0</v>
      </c>
      <c r="G2736" s="311">
        <f t="shared" si="376"/>
        <v>0</v>
      </c>
      <c r="H2736" s="311">
        <f t="shared" si="377"/>
        <v>0.38684969697494365</v>
      </c>
      <c r="I2736" s="311">
        <f t="shared" si="378"/>
        <v>0.64124825573068889</v>
      </c>
      <c r="J2736" s="311">
        <f t="shared" si="379"/>
        <v>0.89564681448643413</v>
      </c>
      <c r="K2736" s="310">
        <v>0</v>
      </c>
      <c r="L2736" s="310">
        <v>0</v>
      </c>
      <c r="M2736" s="310">
        <v>0</v>
      </c>
      <c r="N2736" s="310">
        <v>0</v>
      </c>
      <c r="O2736" s="310">
        <v>0</v>
      </c>
      <c r="P2736" s="310">
        <v>0</v>
      </c>
      <c r="Q2736" s="310">
        <v>0</v>
      </c>
      <c r="R2736" s="310">
        <v>0</v>
      </c>
      <c r="S2736" s="310">
        <v>0</v>
      </c>
      <c r="T2736" s="291"/>
    </row>
    <row r="2737" spans="1:20">
      <c r="A2737" s="289" t="s">
        <v>133</v>
      </c>
      <c r="B2737" s="310">
        <v>0</v>
      </c>
      <c r="C2737" s="311">
        <f t="shared" si="372"/>
        <v>0</v>
      </c>
      <c r="D2737" s="311">
        <f t="shared" si="373"/>
        <v>0</v>
      </c>
      <c r="E2737" s="311">
        <f t="shared" si="374"/>
        <v>0</v>
      </c>
      <c r="F2737" s="311">
        <f t="shared" si="375"/>
        <v>0</v>
      </c>
      <c r="G2737" s="311">
        <f t="shared" si="376"/>
        <v>0</v>
      </c>
      <c r="H2737" s="311">
        <f t="shared" si="377"/>
        <v>0.38684969697494365</v>
      </c>
      <c r="I2737" s="311">
        <f t="shared" si="378"/>
        <v>0.64124825573068889</v>
      </c>
      <c r="J2737" s="311">
        <f t="shared" si="379"/>
        <v>0.89564681448643413</v>
      </c>
      <c r="K2737" s="310">
        <v>0</v>
      </c>
      <c r="L2737" s="310">
        <v>0</v>
      </c>
      <c r="M2737" s="310">
        <v>0</v>
      </c>
      <c r="N2737" s="310">
        <v>0</v>
      </c>
      <c r="O2737" s="310">
        <v>0</v>
      </c>
      <c r="P2737" s="310">
        <v>0</v>
      </c>
      <c r="Q2737" s="310">
        <v>0</v>
      </c>
      <c r="R2737" s="310">
        <v>0</v>
      </c>
      <c r="S2737" s="310">
        <v>0</v>
      </c>
      <c r="T2737" s="291"/>
    </row>
    <row r="2738" spans="1:20">
      <c r="A2738" s="289" t="s">
        <v>134</v>
      </c>
      <c r="B2738" s="310">
        <v>0</v>
      </c>
      <c r="C2738" s="311">
        <f t="shared" si="372"/>
        <v>0</v>
      </c>
      <c r="D2738" s="311">
        <f t="shared" si="373"/>
        <v>0</v>
      </c>
      <c r="E2738" s="311">
        <f t="shared" si="374"/>
        <v>0</v>
      </c>
      <c r="F2738" s="311">
        <f t="shared" si="375"/>
        <v>0</v>
      </c>
      <c r="G2738" s="311">
        <f t="shared" si="376"/>
        <v>0</v>
      </c>
      <c r="H2738" s="311">
        <f t="shared" si="377"/>
        <v>0.38684969697494365</v>
      </c>
      <c r="I2738" s="311">
        <f t="shared" si="378"/>
        <v>0.64124825573068889</v>
      </c>
      <c r="J2738" s="311">
        <f t="shared" si="379"/>
        <v>0.89564681448643413</v>
      </c>
      <c r="K2738" s="310">
        <v>0</v>
      </c>
      <c r="L2738" s="310">
        <v>0</v>
      </c>
      <c r="M2738" s="310">
        <v>0</v>
      </c>
      <c r="N2738" s="310">
        <v>0</v>
      </c>
      <c r="O2738" s="310">
        <v>0</v>
      </c>
      <c r="P2738" s="310">
        <v>0</v>
      </c>
      <c r="Q2738" s="310">
        <v>0</v>
      </c>
      <c r="R2738" s="310">
        <v>0</v>
      </c>
      <c r="S2738" s="310">
        <v>0</v>
      </c>
      <c r="T2738" s="291"/>
    </row>
    <row r="2739" spans="1:20">
      <c r="A2739" s="289" t="s">
        <v>135</v>
      </c>
      <c r="B2739" s="310">
        <v>0</v>
      </c>
      <c r="C2739" s="311">
        <f t="shared" si="372"/>
        <v>0</v>
      </c>
      <c r="D2739" s="311">
        <f t="shared" si="373"/>
        <v>0</v>
      </c>
      <c r="E2739" s="311">
        <f t="shared" si="374"/>
        <v>0</v>
      </c>
      <c r="F2739" s="311">
        <f t="shared" si="375"/>
        <v>0</v>
      </c>
      <c r="G2739" s="311">
        <f t="shared" si="376"/>
        <v>0</v>
      </c>
      <c r="H2739" s="311">
        <f t="shared" si="377"/>
        <v>0.38684969697494365</v>
      </c>
      <c r="I2739" s="311">
        <f t="shared" si="378"/>
        <v>0.64124825573068889</v>
      </c>
      <c r="J2739" s="311">
        <f t="shared" si="379"/>
        <v>0.89564681448643413</v>
      </c>
      <c r="K2739" s="310">
        <v>0</v>
      </c>
      <c r="L2739" s="310">
        <v>0</v>
      </c>
      <c r="M2739" s="310">
        <v>0</v>
      </c>
      <c r="N2739" s="310">
        <v>0</v>
      </c>
      <c r="O2739" s="310">
        <v>0</v>
      </c>
      <c r="P2739" s="310">
        <v>0</v>
      </c>
      <c r="Q2739" s="310">
        <v>0</v>
      </c>
      <c r="R2739" s="310">
        <v>0</v>
      </c>
      <c r="S2739" s="310">
        <v>0</v>
      </c>
      <c r="T2739" s="291"/>
    </row>
    <row r="2740" spans="1:20">
      <c r="A2740" s="289" t="s">
        <v>1534</v>
      </c>
      <c r="B2740" s="310">
        <v>0</v>
      </c>
      <c r="C2740" s="311">
        <f t="shared" si="372"/>
        <v>0</v>
      </c>
      <c r="D2740" s="311">
        <f t="shared" si="373"/>
        <v>0</v>
      </c>
      <c r="E2740" s="311">
        <f t="shared" si="374"/>
        <v>0</v>
      </c>
      <c r="F2740" s="311">
        <f t="shared" si="375"/>
        <v>0</v>
      </c>
      <c r="G2740" s="311">
        <f t="shared" si="376"/>
        <v>0</v>
      </c>
      <c r="H2740" s="311">
        <f t="shared" si="377"/>
        <v>0.38684969697494365</v>
      </c>
      <c r="I2740" s="311">
        <f t="shared" si="378"/>
        <v>0.64124825573068889</v>
      </c>
      <c r="J2740" s="311">
        <f t="shared" si="379"/>
        <v>0.89564681448643413</v>
      </c>
      <c r="K2740" s="310">
        <v>0</v>
      </c>
      <c r="L2740" s="310">
        <v>0</v>
      </c>
      <c r="M2740" s="310">
        <v>0</v>
      </c>
      <c r="N2740" s="310">
        <v>0</v>
      </c>
      <c r="O2740" s="310">
        <v>0</v>
      </c>
      <c r="P2740" s="310">
        <v>0</v>
      </c>
      <c r="Q2740" s="310">
        <v>0</v>
      </c>
      <c r="R2740" s="310">
        <v>0</v>
      </c>
      <c r="S2740" s="310">
        <v>0</v>
      </c>
      <c r="T2740" s="291"/>
    </row>
    <row r="2741" spans="1:20">
      <c r="A2741" s="289" t="s">
        <v>100</v>
      </c>
      <c r="B2741" s="310">
        <v>0</v>
      </c>
      <c r="C2741" s="311">
        <f t="shared" si="372"/>
        <v>0</v>
      </c>
      <c r="D2741" s="311">
        <f t="shared" si="373"/>
        <v>0</v>
      </c>
      <c r="E2741" s="311">
        <f t="shared" si="374"/>
        <v>0</v>
      </c>
      <c r="F2741" s="311">
        <f t="shared" si="375"/>
        <v>0</v>
      </c>
      <c r="G2741" s="311">
        <f t="shared" si="376"/>
        <v>0</v>
      </c>
      <c r="H2741" s="311">
        <f t="shared" si="377"/>
        <v>0.38684969697494365</v>
      </c>
      <c r="I2741" s="311">
        <f t="shared" si="378"/>
        <v>0.64124825573068889</v>
      </c>
      <c r="J2741" s="311">
        <f t="shared" si="379"/>
        <v>0</v>
      </c>
      <c r="K2741" s="310">
        <v>0</v>
      </c>
      <c r="L2741" s="310">
        <v>0</v>
      </c>
      <c r="M2741" s="310">
        <v>0</v>
      </c>
      <c r="N2741" s="310">
        <v>0</v>
      </c>
      <c r="O2741" s="310">
        <v>0</v>
      </c>
      <c r="P2741" s="310">
        <v>0</v>
      </c>
      <c r="Q2741" s="310">
        <v>0</v>
      </c>
      <c r="R2741" s="310">
        <v>0</v>
      </c>
      <c r="S2741" s="310">
        <v>0</v>
      </c>
      <c r="T2741" s="291"/>
    </row>
    <row r="2742" spans="1:20">
      <c r="A2742" s="289" t="s">
        <v>101</v>
      </c>
      <c r="B2742" s="310">
        <v>0</v>
      </c>
      <c r="C2742" s="311">
        <f t="shared" si="372"/>
        <v>0</v>
      </c>
      <c r="D2742" s="311">
        <f t="shared" si="373"/>
        <v>0</v>
      </c>
      <c r="E2742" s="311">
        <f t="shared" si="374"/>
        <v>0</v>
      </c>
      <c r="F2742" s="311">
        <f t="shared" si="375"/>
        <v>0</v>
      </c>
      <c r="G2742" s="311">
        <f t="shared" si="376"/>
        <v>0</v>
      </c>
      <c r="H2742" s="311">
        <f t="shared" si="377"/>
        <v>0.38684969697494365</v>
      </c>
      <c r="I2742" s="311">
        <f t="shared" si="378"/>
        <v>0.64124825573068889</v>
      </c>
      <c r="J2742" s="311">
        <f t="shared" si="379"/>
        <v>0.89564681448643413</v>
      </c>
      <c r="K2742" s="310">
        <v>0</v>
      </c>
      <c r="L2742" s="310">
        <v>0</v>
      </c>
      <c r="M2742" s="310">
        <v>0</v>
      </c>
      <c r="N2742" s="310">
        <v>0</v>
      </c>
      <c r="O2742" s="310">
        <v>0</v>
      </c>
      <c r="P2742" s="310">
        <v>0</v>
      </c>
      <c r="Q2742" s="310">
        <v>0</v>
      </c>
      <c r="R2742" s="310">
        <v>0</v>
      </c>
      <c r="S2742" s="310">
        <v>0</v>
      </c>
      <c r="T2742" s="291"/>
    </row>
    <row r="2743" spans="1:20">
      <c r="A2743" s="289" t="s">
        <v>102</v>
      </c>
      <c r="B2743" s="310">
        <v>0</v>
      </c>
      <c r="C2743" s="311">
        <f t="shared" si="372"/>
        <v>0</v>
      </c>
      <c r="D2743" s="311">
        <f t="shared" si="373"/>
        <v>0</v>
      </c>
      <c r="E2743" s="311">
        <f t="shared" si="374"/>
        <v>0</v>
      </c>
      <c r="F2743" s="311">
        <f t="shared" si="375"/>
        <v>0</v>
      </c>
      <c r="G2743" s="311">
        <f t="shared" si="376"/>
        <v>0</v>
      </c>
      <c r="H2743" s="311">
        <f t="shared" si="377"/>
        <v>0.38684969697494365</v>
      </c>
      <c r="I2743" s="311">
        <f t="shared" si="378"/>
        <v>0.64124825573068889</v>
      </c>
      <c r="J2743" s="311">
        <f t="shared" si="379"/>
        <v>0.89564681448643413</v>
      </c>
      <c r="K2743" s="310">
        <v>0</v>
      </c>
      <c r="L2743" s="310">
        <v>0</v>
      </c>
      <c r="M2743" s="310">
        <v>0</v>
      </c>
      <c r="N2743" s="310">
        <v>0</v>
      </c>
      <c r="O2743" s="310">
        <v>0</v>
      </c>
      <c r="P2743" s="310">
        <v>0</v>
      </c>
      <c r="Q2743" s="310">
        <v>0</v>
      </c>
      <c r="R2743" s="310">
        <v>0</v>
      </c>
      <c r="S2743" s="310">
        <v>0</v>
      </c>
      <c r="T2743" s="291"/>
    </row>
    <row r="2744" spans="1:20">
      <c r="A2744" s="289" t="s">
        <v>103</v>
      </c>
      <c r="B2744" s="310">
        <v>0</v>
      </c>
      <c r="C2744" s="311">
        <f t="shared" si="372"/>
        <v>0</v>
      </c>
      <c r="D2744" s="311">
        <f t="shared" si="373"/>
        <v>0</v>
      </c>
      <c r="E2744" s="311">
        <f t="shared" si="374"/>
        <v>0</v>
      </c>
      <c r="F2744" s="311">
        <f t="shared" si="375"/>
        <v>0</v>
      </c>
      <c r="G2744" s="311">
        <f t="shared" si="376"/>
        <v>0</v>
      </c>
      <c r="H2744" s="311">
        <f t="shared" si="377"/>
        <v>0.38684969697494365</v>
      </c>
      <c r="I2744" s="311">
        <f t="shared" si="378"/>
        <v>0.64124825573068889</v>
      </c>
      <c r="J2744" s="311">
        <f t="shared" si="379"/>
        <v>0</v>
      </c>
      <c r="K2744" s="310">
        <v>0</v>
      </c>
      <c r="L2744" s="310">
        <v>0</v>
      </c>
      <c r="M2744" s="310">
        <v>0</v>
      </c>
      <c r="N2744" s="310">
        <v>0</v>
      </c>
      <c r="O2744" s="310">
        <v>0</v>
      </c>
      <c r="P2744" s="310">
        <v>0</v>
      </c>
      <c r="Q2744" s="310">
        <v>0</v>
      </c>
      <c r="R2744" s="310">
        <v>0</v>
      </c>
      <c r="S2744" s="310">
        <v>0</v>
      </c>
      <c r="T2744" s="291"/>
    </row>
    <row r="2745" spans="1:20">
      <c r="A2745" s="289" t="s">
        <v>104</v>
      </c>
      <c r="B2745" s="310">
        <v>0</v>
      </c>
      <c r="C2745" s="311">
        <f t="shared" si="372"/>
        <v>0</v>
      </c>
      <c r="D2745" s="311">
        <f t="shared" si="373"/>
        <v>0</v>
      </c>
      <c r="E2745" s="311">
        <f t="shared" si="374"/>
        <v>0</v>
      </c>
      <c r="F2745" s="311">
        <f t="shared" si="375"/>
        <v>0</v>
      </c>
      <c r="G2745" s="311">
        <f t="shared" si="376"/>
        <v>0</v>
      </c>
      <c r="H2745" s="311">
        <f t="shared" si="377"/>
        <v>0.38684969697494365</v>
      </c>
      <c r="I2745" s="311">
        <f t="shared" si="378"/>
        <v>0.64124825573068889</v>
      </c>
      <c r="J2745" s="311">
        <f t="shared" si="379"/>
        <v>0</v>
      </c>
      <c r="K2745" s="310">
        <v>0</v>
      </c>
      <c r="L2745" s="310">
        <v>0</v>
      </c>
      <c r="M2745" s="310">
        <v>0</v>
      </c>
      <c r="N2745" s="310">
        <v>0</v>
      </c>
      <c r="O2745" s="310">
        <v>0</v>
      </c>
      <c r="P2745" s="310">
        <v>0</v>
      </c>
      <c r="Q2745" s="310">
        <v>0</v>
      </c>
      <c r="R2745" s="310">
        <v>0</v>
      </c>
      <c r="S2745" s="310">
        <v>0</v>
      </c>
      <c r="T2745" s="291"/>
    </row>
    <row r="2746" spans="1:20">
      <c r="A2746" s="289" t="s">
        <v>112</v>
      </c>
      <c r="B2746" s="310">
        <v>0</v>
      </c>
      <c r="C2746" s="311">
        <f t="shared" si="372"/>
        <v>0</v>
      </c>
      <c r="D2746" s="311">
        <f t="shared" si="373"/>
        <v>0</v>
      </c>
      <c r="E2746" s="311">
        <f t="shared" si="374"/>
        <v>0</v>
      </c>
      <c r="F2746" s="311">
        <f t="shared" si="375"/>
        <v>0.25764106948138837</v>
      </c>
      <c r="G2746" s="311">
        <f t="shared" si="376"/>
        <v>0.25764106948138837</v>
      </c>
      <c r="H2746" s="311">
        <f t="shared" si="377"/>
        <v>0.51528213896277675</v>
      </c>
      <c r="I2746" s="311">
        <f t="shared" si="378"/>
        <v>0</v>
      </c>
      <c r="J2746" s="311">
        <f t="shared" si="379"/>
        <v>0</v>
      </c>
      <c r="K2746" s="310">
        <v>0</v>
      </c>
      <c r="L2746" s="310">
        <v>0</v>
      </c>
      <c r="M2746" s="310">
        <v>0</v>
      </c>
      <c r="N2746" s="310">
        <v>0</v>
      </c>
      <c r="O2746" s="310">
        <v>0</v>
      </c>
      <c r="P2746" s="310">
        <v>0</v>
      </c>
      <c r="Q2746" s="310">
        <v>0</v>
      </c>
      <c r="R2746" s="310">
        <v>0</v>
      </c>
      <c r="S2746" s="310">
        <v>0</v>
      </c>
      <c r="T2746" s="291"/>
    </row>
    <row r="2747" spans="1:20">
      <c r="A2747" s="289" t="s">
        <v>113</v>
      </c>
      <c r="B2747" s="310">
        <v>0</v>
      </c>
      <c r="C2747" s="311">
        <f t="shared" si="372"/>
        <v>0</v>
      </c>
      <c r="D2747" s="311">
        <f t="shared" si="373"/>
        <v>0</v>
      </c>
      <c r="E2747" s="311">
        <f t="shared" si="374"/>
        <v>0</v>
      </c>
      <c r="F2747" s="311">
        <f t="shared" si="375"/>
        <v>0.25764106948138837</v>
      </c>
      <c r="G2747" s="311">
        <f t="shared" si="376"/>
        <v>0.25764106948138837</v>
      </c>
      <c r="H2747" s="311">
        <f t="shared" si="377"/>
        <v>0.51528213896277675</v>
      </c>
      <c r="I2747" s="311">
        <f t="shared" si="378"/>
        <v>0</v>
      </c>
      <c r="J2747" s="311">
        <f t="shared" si="379"/>
        <v>0</v>
      </c>
      <c r="K2747" s="310">
        <v>0</v>
      </c>
      <c r="L2747" s="310">
        <v>0</v>
      </c>
      <c r="M2747" s="310">
        <v>0</v>
      </c>
      <c r="N2747" s="310">
        <v>0</v>
      </c>
      <c r="O2747" s="310">
        <v>0</v>
      </c>
      <c r="P2747" s="310">
        <v>0</v>
      </c>
      <c r="Q2747" s="310">
        <v>0</v>
      </c>
      <c r="R2747" s="310">
        <v>0</v>
      </c>
      <c r="S2747" s="310">
        <v>0</v>
      </c>
      <c r="T2747" s="291"/>
    </row>
    <row r="2749" spans="1:20" ht="21" customHeight="1">
      <c r="A2749" s="1" t="str">
        <f>"Yardsticks for "&amp;CDCM!B7&amp;" in "&amp;CDCM!C7&amp;" ("&amp;CDCM!D7&amp;")"</f>
        <v>Yardsticks for West Mids in 0 (Forecast)</v>
      </c>
    </row>
    <row r="2750" spans="1:20">
      <c r="A2750" s="287" t="s">
        <v>707</v>
      </c>
    </row>
    <row r="2752" spans="1:20" ht="21" customHeight="1">
      <c r="A2752" s="1" t="s">
        <v>708</v>
      </c>
    </row>
    <row r="2753" spans="1:20">
      <c r="A2753" s="287" t="s">
        <v>255</v>
      </c>
    </row>
    <row r="2754" spans="1:20">
      <c r="A2754" s="301" t="s">
        <v>709</v>
      </c>
    </row>
    <row r="2755" spans="1:20">
      <c r="A2755" s="301" t="s">
        <v>710</v>
      </c>
    </row>
    <row r="2756" spans="1:20">
      <c r="A2756" s="287" t="s">
        <v>273</v>
      </c>
    </row>
    <row r="2758" spans="1:20" ht="30">
      <c r="B2758" s="288" t="s">
        <v>60</v>
      </c>
      <c r="C2758" s="288" t="s">
        <v>220</v>
      </c>
      <c r="D2758" s="288" t="s">
        <v>221</v>
      </c>
      <c r="E2758" s="288" t="s">
        <v>222</v>
      </c>
      <c r="F2758" s="288" t="s">
        <v>223</v>
      </c>
      <c r="G2758" s="288" t="s">
        <v>224</v>
      </c>
      <c r="H2758" s="288" t="s">
        <v>225</v>
      </c>
      <c r="I2758" s="288" t="s">
        <v>226</v>
      </c>
      <c r="J2758" s="288" t="s">
        <v>227</v>
      </c>
      <c r="K2758" s="288" t="s">
        <v>208</v>
      </c>
      <c r="L2758" s="288" t="s">
        <v>618</v>
      </c>
      <c r="M2758" s="288" t="s">
        <v>619</v>
      </c>
      <c r="N2758" s="288" t="s">
        <v>620</v>
      </c>
      <c r="O2758" s="288" t="s">
        <v>621</v>
      </c>
      <c r="P2758" s="288" t="s">
        <v>622</v>
      </c>
      <c r="Q2758" s="288" t="s">
        <v>623</v>
      </c>
      <c r="R2758" s="288" t="s">
        <v>624</v>
      </c>
      <c r="S2758" s="288" t="s">
        <v>625</v>
      </c>
    </row>
    <row r="2759" spans="1:20" ht="30">
      <c r="A2759" s="289" t="s">
        <v>711</v>
      </c>
      <c r="B2759" s="309"/>
      <c r="C2759" s="307">
        <f>$B$727</f>
        <v>6.2012530118035896</v>
      </c>
      <c r="D2759" s="307">
        <f>$B$728</f>
        <v>4.6404582894106197</v>
      </c>
      <c r="E2759" s="307">
        <f>$B$729</f>
        <v>4.8243838818101814</v>
      </c>
      <c r="F2759" s="307">
        <f>$B$730</f>
        <v>9.1795112489262607</v>
      </c>
      <c r="G2759" s="307">
        <f>$B$731</f>
        <v>4.3440018160378022</v>
      </c>
      <c r="H2759" s="307">
        <f>$B$732</f>
        <v>20.070648092727239</v>
      </c>
      <c r="I2759" s="307">
        <f>$B$733</f>
        <v>9.2197732866386808</v>
      </c>
      <c r="J2759" s="307">
        <f>$B$734</f>
        <v>21.341795844234184</v>
      </c>
      <c r="K2759" s="307">
        <f>$B2574</f>
        <v>3.5240001895943331</v>
      </c>
      <c r="L2759" s="307">
        <f>$C2574</f>
        <v>3.0021630984732783</v>
      </c>
      <c r="M2759" s="307">
        <f>$D2574</f>
        <v>2.2465480137571658</v>
      </c>
      <c r="N2759" s="307">
        <f>$E2574</f>
        <v>2.3355904420076787</v>
      </c>
      <c r="O2759" s="307">
        <f>$F2574</f>
        <v>4.4440034749576549</v>
      </c>
      <c r="P2759" s="307">
        <f>$G2574</f>
        <v>2.1030269087531717</v>
      </c>
      <c r="Q2759" s="307">
        <f>$H2574</f>
        <v>9.7166425804168206</v>
      </c>
      <c r="R2759" s="307">
        <f>$I2574</f>
        <v>4.4634952137497175</v>
      </c>
      <c r="S2759" s="307">
        <f>$J2574</f>
        <v>10.332033190188362</v>
      </c>
      <c r="T2759" s="291"/>
    </row>
    <row r="2761" spans="1:20" ht="21" customHeight="1">
      <c r="A2761" s="1" t="s">
        <v>712</v>
      </c>
    </row>
    <row r="2762" spans="1:20">
      <c r="A2762" s="287" t="s">
        <v>255</v>
      </c>
    </row>
    <row r="2763" spans="1:20">
      <c r="A2763" s="301" t="s">
        <v>713</v>
      </c>
    </row>
    <row r="2764" spans="1:20">
      <c r="A2764" s="301" t="s">
        <v>551</v>
      </c>
    </row>
    <row r="2765" spans="1:20">
      <c r="A2765" s="301" t="s">
        <v>540</v>
      </c>
    </row>
    <row r="2766" spans="1:20">
      <c r="A2766" s="301" t="s">
        <v>714</v>
      </c>
    </row>
    <row r="2767" spans="1:20">
      <c r="A2767" s="301" t="s">
        <v>520</v>
      </c>
    </row>
    <row r="2768" spans="1:20">
      <c r="A2768" s="287" t="s">
        <v>715</v>
      </c>
    </row>
    <row r="2770" spans="1:20" ht="30">
      <c r="B2770" s="288" t="s">
        <v>60</v>
      </c>
      <c r="C2770" s="288" t="s">
        <v>220</v>
      </c>
      <c r="D2770" s="288" t="s">
        <v>221</v>
      </c>
      <c r="E2770" s="288" t="s">
        <v>222</v>
      </c>
      <c r="F2770" s="288" t="s">
        <v>223</v>
      </c>
      <c r="G2770" s="288" t="s">
        <v>224</v>
      </c>
      <c r="H2770" s="288" t="s">
        <v>225</v>
      </c>
      <c r="I2770" s="288" t="s">
        <v>226</v>
      </c>
      <c r="J2770" s="288" t="s">
        <v>227</v>
      </c>
      <c r="K2770" s="288" t="s">
        <v>208</v>
      </c>
      <c r="L2770" s="288" t="s">
        <v>618</v>
      </c>
      <c r="M2770" s="288" t="s">
        <v>619</v>
      </c>
      <c r="N2770" s="288" t="s">
        <v>620</v>
      </c>
      <c r="O2770" s="288" t="s">
        <v>621</v>
      </c>
      <c r="P2770" s="288" t="s">
        <v>622</v>
      </c>
      <c r="Q2770" s="288" t="s">
        <v>623</v>
      </c>
      <c r="R2770" s="288" t="s">
        <v>624</v>
      </c>
      <c r="S2770" s="288" t="s">
        <v>625</v>
      </c>
    </row>
    <row r="2771" spans="1:20">
      <c r="A2771" s="289" t="s">
        <v>92</v>
      </c>
      <c r="B2771" s="306">
        <f t="shared" ref="B2771:J2771" si="380">B$2759*$B914*B570*(1-B2721)/(24*$F$14)*100</f>
        <v>0</v>
      </c>
      <c r="C2771" s="306">
        <f t="shared" si="380"/>
        <v>0.15875117973141181</v>
      </c>
      <c r="D2771" s="306">
        <f t="shared" si="380"/>
        <v>3.6340345693126844E-2</v>
      </c>
      <c r="E2771" s="306">
        <f t="shared" si="380"/>
        <v>3.7446031761161375E-2</v>
      </c>
      <c r="F2771" s="306">
        <f t="shared" si="380"/>
        <v>7.0762240641634791E-2</v>
      </c>
      <c r="G2771" s="306">
        <f t="shared" si="380"/>
        <v>7.5436326374283796E-2</v>
      </c>
      <c r="H2771" s="306">
        <f t="shared" si="380"/>
        <v>0.30035222909324311</v>
      </c>
      <c r="I2771" s="306">
        <f t="shared" si="380"/>
        <v>7.9293158487920484E-2</v>
      </c>
      <c r="J2771" s="306">
        <f t="shared" si="380"/>
        <v>5.2554796642674248E-2</v>
      </c>
      <c r="K2771" s="306">
        <f t="shared" ref="K2771:K2797" si="381">K$2759*$B914*B570*(1-K2721)/(24*$F$14)*100</f>
        <v>9.0394322692492216E-2</v>
      </c>
      <c r="L2771" s="306">
        <f t="shared" ref="L2771:L2797" si="382">L$2759*$B914*C570*(1-L2721)/(24*$F$14)*100</f>
        <v>7.6854940883976069E-2</v>
      </c>
      <c r="M2771" s="306">
        <f t="shared" ref="M2771:M2797" si="383">M$2759*$B914*D570*(1-M2721)/(24*$F$14)*100</f>
        <v>1.7593161352714572E-2</v>
      </c>
      <c r="N2771" s="306">
        <f t="shared" ref="N2771:N2797" si="384">N$2759*$B914*E570*(1-N2721)/(24*$F$14)*100</f>
        <v>1.8128448319014924E-2</v>
      </c>
      <c r="O2771" s="306">
        <f t="shared" ref="O2771:O2797" si="385">O$2759*$B914*F570*(1-O2721)/(24*$F$14)*100</f>
        <v>3.4257558466851759E-2</v>
      </c>
      <c r="P2771" s="306">
        <f t="shared" ref="P2771:P2797" si="386">P$2759*$B914*G570*(1-P2721)/(24*$F$14)*100</f>
        <v>3.6520386266160998E-2</v>
      </c>
      <c r="Q2771" s="306">
        <f t="shared" ref="Q2771:Q2797" si="387">Q$2759*$B914*H570*(1-Q2721)/(24*$F$14)*100</f>
        <v>0.23714760539578877</v>
      </c>
      <c r="R2771" s="306">
        <f t="shared" ref="R2771:R2797" si="388">R$2759*$B914*I570*(1-R2721)/(24*$F$14)*100</f>
        <v>0.10700314133811248</v>
      </c>
      <c r="S2771" s="306">
        <f t="shared" ref="S2771:S2797" si="389">S$2759*$B914*J570*(1-S2721)/(24*$F$14)*100</f>
        <v>0.24381559489449262</v>
      </c>
      <c r="T2771" s="291"/>
    </row>
    <row r="2772" spans="1:20">
      <c r="A2772" s="289" t="s">
        <v>93</v>
      </c>
      <c r="B2772" s="306">
        <f t="shared" ref="B2772:J2772" si="390">B$2759*$B915*B571*(1-B2722)/(24*$F$14)*100</f>
        <v>0</v>
      </c>
      <c r="C2772" s="306">
        <f t="shared" si="390"/>
        <v>0.10623673815588072</v>
      </c>
      <c r="D2772" s="306">
        <f t="shared" si="390"/>
        <v>2.4319062046825209E-2</v>
      </c>
      <c r="E2772" s="306">
        <f t="shared" si="390"/>
        <v>2.5058990288562538E-2</v>
      </c>
      <c r="F2772" s="306">
        <f t="shared" si="390"/>
        <v>4.7354291433220091E-2</v>
      </c>
      <c r="G2772" s="306">
        <f t="shared" si="390"/>
        <v>5.0482202815911474E-2</v>
      </c>
      <c r="H2772" s="306">
        <f t="shared" si="390"/>
        <v>0.20099656059689935</v>
      </c>
      <c r="I2772" s="306">
        <f t="shared" si="390"/>
        <v>5.3063205766949957E-2</v>
      </c>
      <c r="J2772" s="306">
        <f t="shared" si="390"/>
        <v>3.5169818449283588E-2</v>
      </c>
      <c r="K2772" s="306">
        <f t="shared" si="381"/>
        <v>6.0492136227950903E-2</v>
      </c>
      <c r="L2772" s="306">
        <f t="shared" si="382"/>
        <v>5.1431543655238124E-2</v>
      </c>
      <c r="M2772" s="306">
        <f t="shared" si="383"/>
        <v>1.1773393300917152E-2</v>
      </c>
      <c r="N2772" s="306">
        <f t="shared" si="384"/>
        <v>1.2131608851650813E-2</v>
      </c>
      <c r="O2772" s="306">
        <f t="shared" si="385"/>
        <v>2.2925254948405159E-2</v>
      </c>
      <c r="P2772" s="306">
        <f t="shared" si="386"/>
        <v>2.4439545707149658E-2</v>
      </c>
      <c r="Q2772" s="306">
        <f t="shared" si="387"/>
        <v>0.15869984778287277</v>
      </c>
      <c r="R2772" s="306">
        <f t="shared" si="388"/>
        <v>7.1606804607225572E-2</v>
      </c>
      <c r="S2772" s="306">
        <f t="shared" si="389"/>
        <v>0.16316208520119291</v>
      </c>
      <c r="T2772" s="291"/>
    </row>
    <row r="2773" spans="1:20">
      <c r="A2773" s="289" t="s">
        <v>129</v>
      </c>
      <c r="B2773" s="306">
        <f t="shared" ref="B2773:J2773" si="391">B$2759*$B916*B572*(1-B2723)/(24*$F$14)*100</f>
        <v>0</v>
      </c>
      <c r="C2773" s="306">
        <f t="shared" si="391"/>
        <v>0</v>
      </c>
      <c r="D2773" s="306">
        <f t="shared" si="391"/>
        <v>0</v>
      </c>
      <c r="E2773" s="306">
        <f t="shared" si="391"/>
        <v>0</v>
      </c>
      <c r="F2773" s="306">
        <f t="shared" si="391"/>
        <v>0</v>
      </c>
      <c r="G2773" s="306">
        <f t="shared" si="391"/>
        <v>0</v>
      </c>
      <c r="H2773" s="306">
        <f t="shared" si="391"/>
        <v>0</v>
      </c>
      <c r="I2773" s="306">
        <f t="shared" si="391"/>
        <v>0</v>
      </c>
      <c r="J2773" s="306">
        <f t="shared" si="391"/>
        <v>0</v>
      </c>
      <c r="K2773" s="306">
        <f t="shared" si="381"/>
        <v>0</v>
      </c>
      <c r="L2773" s="306">
        <f t="shared" si="382"/>
        <v>0</v>
      </c>
      <c r="M2773" s="306">
        <f t="shared" si="383"/>
        <v>0</v>
      </c>
      <c r="N2773" s="306">
        <f t="shared" si="384"/>
        <v>0</v>
      </c>
      <c r="O2773" s="306">
        <f t="shared" si="385"/>
        <v>0</v>
      </c>
      <c r="P2773" s="306">
        <f t="shared" si="386"/>
        <v>0</v>
      </c>
      <c r="Q2773" s="306">
        <f t="shared" si="387"/>
        <v>0</v>
      </c>
      <c r="R2773" s="306">
        <f t="shared" si="388"/>
        <v>0</v>
      </c>
      <c r="S2773" s="306">
        <f t="shared" si="389"/>
        <v>0</v>
      </c>
      <c r="T2773" s="291"/>
    </row>
    <row r="2774" spans="1:20">
      <c r="A2774" s="289" t="s">
        <v>94</v>
      </c>
      <c r="B2774" s="306">
        <f t="shared" ref="B2774:J2774" si="392">B$2759*$B917*B573*(1-B2724)/(24*$F$14)*100</f>
        <v>0</v>
      </c>
      <c r="C2774" s="306">
        <f t="shared" si="392"/>
        <v>0.13409639380879618</v>
      </c>
      <c r="D2774" s="306">
        <f t="shared" si="392"/>
        <v>3.069652342400259E-2</v>
      </c>
      <c r="E2774" s="306">
        <f t="shared" si="392"/>
        <v>3.1630491377241811E-2</v>
      </c>
      <c r="F2774" s="306">
        <f t="shared" si="392"/>
        <v>5.9772540298142406E-2</v>
      </c>
      <c r="G2774" s="306">
        <f t="shared" si="392"/>
        <v>6.372071909065162E-2</v>
      </c>
      <c r="H2774" s="306">
        <f t="shared" si="392"/>
        <v>0.25370615111005645</v>
      </c>
      <c r="I2774" s="306">
        <f t="shared" si="392"/>
        <v>6.6978567497445546E-2</v>
      </c>
      <c r="J2774" s="306">
        <f t="shared" si="392"/>
        <v>4.4392795814561029E-2</v>
      </c>
      <c r="K2774" s="306">
        <f t="shared" si="381"/>
        <v>7.6355670013665833E-2</v>
      </c>
      <c r="L2774" s="306">
        <f t="shared" si="382"/>
        <v>6.4919016264105178E-2</v>
      </c>
      <c r="M2774" s="306">
        <f t="shared" si="383"/>
        <v>1.4860862748149392E-2</v>
      </c>
      <c r="N2774" s="306">
        <f t="shared" si="384"/>
        <v>1.5313017194844975E-2</v>
      </c>
      <c r="O2774" s="306">
        <f t="shared" si="385"/>
        <v>2.8937202601398013E-2</v>
      </c>
      <c r="P2774" s="306">
        <f t="shared" si="386"/>
        <v>3.0848602870744316E-2</v>
      </c>
      <c r="Q2774" s="306">
        <f t="shared" si="387"/>
        <v>0.20031749520078901</v>
      </c>
      <c r="R2774" s="306">
        <f t="shared" si="388"/>
        <v>9.0385062989328135E-2</v>
      </c>
      <c r="S2774" s="306">
        <f t="shared" si="389"/>
        <v>0.20594991536449378</v>
      </c>
      <c r="T2774" s="291"/>
    </row>
    <row r="2775" spans="1:20">
      <c r="A2775" s="289" t="s">
        <v>95</v>
      </c>
      <c r="B2775" s="306">
        <f t="shared" ref="B2775:J2775" si="393">B$2759*$B918*B574*(1-B2725)/(24*$F$14)*100</f>
        <v>0</v>
      </c>
      <c r="C2775" s="306">
        <f t="shared" si="393"/>
        <v>0.11048422180282537</v>
      </c>
      <c r="D2775" s="306">
        <f t="shared" si="393"/>
        <v>2.5291369933399799E-2</v>
      </c>
      <c r="E2775" s="306">
        <f t="shared" si="393"/>
        <v>2.6060881473356241E-2</v>
      </c>
      <c r="F2775" s="306">
        <f t="shared" si="393"/>
        <v>4.9247577898586956E-2</v>
      </c>
      <c r="G2775" s="306">
        <f t="shared" si="393"/>
        <v>5.2500547266657954E-2</v>
      </c>
      <c r="H2775" s="306">
        <f t="shared" si="393"/>
        <v>0.20903266579974145</v>
      </c>
      <c r="I2775" s="306">
        <f t="shared" si="393"/>
        <v>5.5184742089148336E-2</v>
      </c>
      <c r="J2775" s="306">
        <f t="shared" si="393"/>
        <v>3.657595375918133E-2</v>
      </c>
      <c r="K2775" s="306">
        <f t="shared" si="381"/>
        <v>6.2910690899875818E-2</v>
      </c>
      <c r="L2775" s="306">
        <f t="shared" si="382"/>
        <v>5.3487843993565584E-2</v>
      </c>
      <c r="M2775" s="306">
        <f t="shared" si="383"/>
        <v>1.2244108953362332E-2</v>
      </c>
      <c r="N2775" s="306">
        <f t="shared" si="384"/>
        <v>1.2616646430015725E-2</v>
      </c>
      <c r="O2775" s="306">
        <f t="shared" si="385"/>
        <v>2.3841836605425826E-2</v>
      </c>
      <c r="P2775" s="306">
        <f t="shared" si="386"/>
        <v>2.5416670687940762E-2</v>
      </c>
      <c r="Q2775" s="306">
        <f t="shared" si="387"/>
        <v>0.16504487512399171</v>
      </c>
      <c r="R2775" s="306">
        <f t="shared" si="388"/>
        <v>7.4469738248249776E-2</v>
      </c>
      <c r="S2775" s="306">
        <f t="shared" si="389"/>
        <v>0.16968551862661094</v>
      </c>
      <c r="T2775" s="291"/>
    </row>
    <row r="2776" spans="1:20">
      <c r="A2776" s="289" t="s">
        <v>130</v>
      </c>
      <c r="B2776" s="306">
        <f t="shared" ref="B2776:J2776" si="394">B$2759*$B919*B575*(1-B2726)/(24*$F$14)*100</f>
        <v>0</v>
      </c>
      <c r="C2776" s="306">
        <f t="shared" si="394"/>
        <v>0</v>
      </c>
      <c r="D2776" s="306">
        <f t="shared" si="394"/>
        <v>0</v>
      </c>
      <c r="E2776" s="306">
        <f t="shared" si="394"/>
        <v>0</v>
      </c>
      <c r="F2776" s="306">
        <f t="shared" si="394"/>
        <v>0</v>
      </c>
      <c r="G2776" s="306">
        <f t="shared" si="394"/>
        <v>0</v>
      </c>
      <c r="H2776" s="306">
        <f t="shared" si="394"/>
        <v>0</v>
      </c>
      <c r="I2776" s="306">
        <f t="shared" si="394"/>
        <v>0</v>
      </c>
      <c r="J2776" s="306">
        <f t="shared" si="394"/>
        <v>0</v>
      </c>
      <c r="K2776" s="306">
        <f t="shared" si="381"/>
        <v>0</v>
      </c>
      <c r="L2776" s="306">
        <f t="shared" si="382"/>
        <v>0</v>
      </c>
      <c r="M2776" s="306">
        <f t="shared" si="383"/>
        <v>0</v>
      </c>
      <c r="N2776" s="306">
        <f t="shared" si="384"/>
        <v>0</v>
      </c>
      <c r="O2776" s="306">
        <f t="shared" si="385"/>
        <v>0</v>
      </c>
      <c r="P2776" s="306">
        <f t="shared" si="386"/>
        <v>0</v>
      </c>
      <c r="Q2776" s="306">
        <f t="shared" si="387"/>
        <v>0</v>
      </c>
      <c r="R2776" s="306">
        <f t="shared" si="388"/>
        <v>0</v>
      </c>
      <c r="S2776" s="306">
        <f t="shared" si="389"/>
        <v>0</v>
      </c>
      <c r="T2776" s="291"/>
    </row>
    <row r="2777" spans="1:20">
      <c r="A2777" s="289" t="s">
        <v>96</v>
      </c>
      <c r="B2777" s="306">
        <f t="shared" ref="B2777:J2777" si="395">B$2759*$B920*B576*(1-B2727)/(24*$F$14)*100</f>
        <v>0</v>
      </c>
      <c r="C2777" s="306">
        <f t="shared" si="395"/>
        <v>0.12012377724137048</v>
      </c>
      <c r="D2777" s="306">
        <f t="shared" si="395"/>
        <v>2.7497997799457011E-2</v>
      </c>
      <c r="E2777" s="306">
        <f t="shared" si="395"/>
        <v>2.8334647877649694E-2</v>
      </c>
      <c r="F2777" s="306">
        <f t="shared" si="395"/>
        <v>5.3544343080267925E-2</v>
      </c>
      <c r="G2777" s="306">
        <f t="shared" si="395"/>
        <v>5.7081128345774203E-2</v>
      </c>
      <c r="H2777" s="306">
        <f t="shared" si="395"/>
        <v>0.22727040090403083</v>
      </c>
      <c r="I2777" s="306">
        <f t="shared" si="395"/>
        <v>5.9999514479721079E-2</v>
      </c>
      <c r="J2777" s="306">
        <f t="shared" si="395"/>
        <v>3.9767141860306859E-2</v>
      </c>
      <c r="K2777" s="306">
        <f t="shared" si="381"/>
        <v>6.8399538834097495E-2</v>
      </c>
      <c r="L2777" s="306">
        <f t="shared" si="382"/>
        <v>5.8154564988210283E-2</v>
      </c>
      <c r="M2777" s="306">
        <f t="shared" si="383"/>
        <v>1.3312386080409119E-2</v>
      </c>
      <c r="N2777" s="306">
        <f t="shared" si="384"/>
        <v>1.3717426801422104E-2</v>
      </c>
      <c r="O2777" s="306">
        <f t="shared" si="385"/>
        <v>2.5921995219611395E-2</v>
      </c>
      <c r="P2777" s="306">
        <f t="shared" si="386"/>
        <v>2.7634230826047136E-2</v>
      </c>
      <c r="Q2777" s="306">
        <f t="shared" si="387"/>
        <v>0.17944475229780901</v>
      </c>
      <c r="R2777" s="306">
        <f t="shared" si="388"/>
        <v>8.0967092880652042E-2</v>
      </c>
      <c r="S2777" s="306">
        <f t="shared" si="389"/>
        <v>0.18449028384311955</v>
      </c>
      <c r="T2777" s="291"/>
    </row>
    <row r="2778" spans="1:20">
      <c r="A2778" s="289" t="s">
        <v>97</v>
      </c>
      <c r="B2778" s="306">
        <f t="shared" ref="B2778:J2778" si="396">B$2759*$B921*B577*(1-B2728)/(24*$F$14)*100</f>
        <v>0</v>
      </c>
      <c r="C2778" s="306">
        <f t="shared" si="396"/>
        <v>0.11824511651174462</v>
      </c>
      <c r="D2778" s="306">
        <f t="shared" si="396"/>
        <v>2.7067946315932845E-2</v>
      </c>
      <c r="E2778" s="306">
        <f t="shared" si="396"/>
        <v>2.7891511710289949E-2</v>
      </c>
      <c r="F2778" s="306">
        <f t="shared" si="396"/>
        <v>5.270694305049374E-2</v>
      </c>
      <c r="G2778" s="306">
        <f t="shared" si="396"/>
        <v>5.6188415206971848E-2</v>
      </c>
      <c r="H2778" s="306">
        <f t="shared" si="396"/>
        <v>0.2237160340085676</v>
      </c>
      <c r="I2778" s="306">
        <f t="shared" si="396"/>
        <v>5.9061159607453131E-2</v>
      </c>
      <c r="J2778" s="306">
        <f t="shared" si="396"/>
        <v>0</v>
      </c>
      <c r="K2778" s="306">
        <f t="shared" si="381"/>
        <v>6.7329812835772163E-2</v>
      </c>
      <c r="L2778" s="306">
        <f t="shared" si="382"/>
        <v>5.7245063971835333E-2</v>
      </c>
      <c r="M2778" s="306">
        <f t="shared" si="383"/>
        <v>1.3104188690007141E-2</v>
      </c>
      <c r="N2778" s="306">
        <f t="shared" si="384"/>
        <v>1.3502894827526819E-2</v>
      </c>
      <c r="O2778" s="306">
        <f t="shared" si="385"/>
        <v>2.5516591430528233E-2</v>
      </c>
      <c r="P2778" s="306">
        <f t="shared" si="386"/>
        <v>2.7202048743211079E-2</v>
      </c>
      <c r="Q2778" s="306">
        <f t="shared" si="387"/>
        <v>0.17663834862801811</v>
      </c>
      <c r="R2778" s="306">
        <f t="shared" si="388"/>
        <v>7.9700818198985904E-2</v>
      </c>
      <c r="S2778" s="306">
        <f t="shared" si="389"/>
        <v>0</v>
      </c>
      <c r="T2778" s="291"/>
    </row>
    <row r="2779" spans="1:20">
      <c r="A2779" s="289" t="s">
        <v>110</v>
      </c>
      <c r="B2779" s="306">
        <f t="shared" ref="B2779:J2779" si="397">B$2759*$B922*B578*(1-B2729)/(24*$F$14)*100</f>
        <v>0</v>
      </c>
      <c r="C2779" s="306">
        <f t="shared" si="397"/>
        <v>0.10945403068842102</v>
      </c>
      <c r="D2779" s="306">
        <f t="shared" si="397"/>
        <v>2.5055544906519494E-2</v>
      </c>
      <c r="E2779" s="306">
        <f t="shared" si="397"/>
        <v>2.5817881268536867E-2</v>
      </c>
      <c r="F2779" s="306">
        <f t="shared" si="397"/>
        <v>3.621848761855169E-2</v>
      </c>
      <c r="G2779" s="306">
        <f t="shared" si="397"/>
        <v>3.8610841431842222E-2</v>
      </c>
      <c r="H2779" s="306">
        <f t="shared" si="397"/>
        <v>0.16370718215043203</v>
      </c>
      <c r="I2779" s="306">
        <f t="shared" si="397"/>
        <v>0</v>
      </c>
      <c r="J2779" s="306">
        <f t="shared" si="397"/>
        <v>0</v>
      </c>
      <c r="K2779" s="306">
        <f t="shared" si="381"/>
        <v>6.2324090988064407E-2</v>
      </c>
      <c r="L2779" s="306">
        <f t="shared" si="382"/>
        <v>5.2989105796276609E-2</v>
      </c>
      <c r="M2779" s="306">
        <f t="shared" si="383"/>
        <v>1.2129940866356539E-2</v>
      </c>
      <c r="N2779" s="306">
        <f t="shared" si="384"/>
        <v>1.2499004681414017E-2</v>
      </c>
      <c r="O2779" s="306">
        <f t="shared" si="385"/>
        <v>2.3619527502630831E-2</v>
      </c>
      <c r="P2779" s="306">
        <f t="shared" si="386"/>
        <v>2.5179677315736115E-2</v>
      </c>
      <c r="Q2779" s="306">
        <f t="shared" si="387"/>
        <v>0.16350594258632908</v>
      </c>
      <c r="R2779" s="306">
        <f t="shared" si="388"/>
        <v>0</v>
      </c>
      <c r="S2779" s="306">
        <f t="shared" si="389"/>
        <v>0</v>
      </c>
      <c r="T2779" s="291"/>
    </row>
    <row r="2780" spans="1:20">
      <c r="A2780" s="289" t="s">
        <v>1536</v>
      </c>
      <c r="B2780" s="306">
        <f t="shared" ref="B2780:J2780" si="398">B$2759*$B923*B579*(1-B2730)/(24*$F$14)*100</f>
        <v>0</v>
      </c>
      <c r="C2780" s="306">
        <f t="shared" si="398"/>
        <v>0.15405714552300978</v>
      </c>
      <c r="D2780" s="306">
        <f t="shared" si="398"/>
        <v>3.5265816192827711E-2</v>
      </c>
      <c r="E2780" s="306">
        <f t="shared" si="398"/>
        <v>3.6338808782704228E-2</v>
      </c>
      <c r="F2780" s="306">
        <f t="shared" si="398"/>
        <v>6.8669907351280757E-2</v>
      </c>
      <c r="G2780" s="306">
        <f t="shared" si="398"/>
        <v>7.3205787381400947E-2</v>
      </c>
      <c r="H2780" s="306">
        <f t="shared" si="398"/>
        <v>0.29147126430092601</v>
      </c>
      <c r="I2780" s="306">
        <f t="shared" si="398"/>
        <v>7.6948578755887842E-2</v>
      </c>
      <c r="J2780" s="306">
        <f t="shared" si="398"/>
        <v>5.1000830154527804E-2</v>
      </c>
      <c r="K2780" s="306">
        <f t="shared" si="381"/>
        <v>8.7721498190137165E-2</v>
      </c>
      <c r="L2780" s="306">
        <f t="shared" si="382"/>
        <v>7.4582455588405608E-2</v>
      </c>
      <c r="M2780" s="306">
        <f t="shared" si="383"/>
        <v>1.7072957966741006E-2</v>
      </c>
      <c r="N2780" s="306">
        <f t="shared" si="384"/>
        <v>1.7592417300545168E-2</v>
      </c>
      <c r="O2780" s="306">
        <f t="shared" si="385"/>
        <v>3.3244613860003491E-2</v>
      </c>
      <c r="P2780" s="306">
        <f t="shared" si="386"/>
        <v>3.5440533236234223E-2</v>
      </c>
      <c r="Q2780" s="306">
        <f t="shared" si="387"/>
        <v>0.23013550649956749</v>
      </c>
      <c r="R2780" s="306">
        <f t="shared" si="388"/>
        <v>0.10383921898681175</v>
      </c>
      <c r="S2780" s="306">
        <f t="shared" si="389"/>
        <v>0.23660633355285748</v>
      </c>
      <c r="T2780" s="291"/>
    </row>
    <row r="2781" spans="1:20">
      <c r="A2781" s="289" t="s">
        <v>1535</v>
      </c>
      <c r="B2781" s="306">
        <f t="shared" ref="B2781:J2781" si="399">B$2759*$B924*B580*(1-B2731)/(24*$F$14)*100</f>
        <v>0</v>
      </c>
      <c r="C2781" s="306">
        <f t="shared" si="399"/>
        <v>0.128718523798006</v>
      </c>
      <c r="D2781" s="306">
        <f t="shared" si="399"/>
        <v>2.9465454429016442E-2</v>
      </c>
      <c r="E2781" s="306">
        <f t="shared" si="399"/>
        <v>3.0361966056219585E-2</v>
      </c>
      <c r="F2781" s="306">
        <f t="shared" si="399"/>
        <v>5.7375391927422831E-2</v>
      </c>
      <c r="G2781" s="306">
        <f t="shared" si="399"/>
        <v>6.1165230948649674E-2</v>
      </c>
      <c r="H2781" s="306">
        <f t="shared" si="399"/>
        <v>0.24353139053034079</v>
      </c>
      <c r="I2781" s="306">
        <f t="shared" si="399"/>
        <v>6.4292424945217058E-2</v>
      </c>
      <c r="J2781" s="306">
        <f t="shared" si="399"/>
        <v>4.2612444542425632E-2</v>
      </c>
      <c r="K2781" s="306">
        <f t="shared" si="381"/>
        <v>7.329346337069087E-2</v>
      </c>
      <c r="L2781" s="306">
        <f t="shared" si="382"/>
        <v>6.2315471002518663E-2</v>
      </c>
      <c r="M2781" s="306">
        <f t="shared" si="383"/>
        <v>1.4264875146710265E-2</v>
      </c>
      <c r="N2781" s="306">
        <f t="shared" si="384"/>
        <v>1.4698896161401725E-2</v>
      </c>
      <c r="O2781" s="306">
        <f t="shared" si="385"/>
        <v>2.7776690303892741E-2</v>
      </c>
      <c r="P2781" s="306">
        <f t="shared" si="386"/>
        <v>2.9611434804242078E-2</v>
      </c>
      <c r="Q2781" s="306">
        <f t="shared" si="387"/>
        <v>0.19228386044389181</v>
      </c>
      <c r="R2781" s="306">
        <f t="shared" si="388"/>
        <v>8.6760214431754162E-2</v>
      </c>
      <c r="S2781" s="306">
        <f t="shared" si="389"/>
        <v>0.19769039516335593</v>
      </c>
      <c r="T2781" s="291"/>
    </row>
    <row r="2782" spans="1:20">
      <c r="A2782" s="289" t="s">
        <v>98</v>
      </c>
      <c r="B2782" s="306">
        <f t="shared" ref="B2782:J2782" si="400">B$2759*$B925*B581*(1-B2732)/(24*$F$14)*100</f>
        <v>0</v>
      </c>
      <c r="C2782" s="306">
        <f t="shared" si="400"/>
        <v>0.11345152215649146</v>
      </c>
      <c r="D2782" s="306">
        <f t="shared" si="400"/>
        <v>2.5970626117889282E-2</v>
      </c>
      <c r="E2782" s="306">
        <f t="shared" si="400"/>
        <v>2.6760804607636426E-2</v>
      </c>
      <c r="F2782" s="306">
        <f t="shared" si="400"/>
        <v>5.0570231513113649E-2</v>
      </c>
      <c r="G2782" s="306">
        <f t="shared" si="400"/>
        <v>5.391056663349602E-2</v>
      </c>
      <c r="H2782" s="306">
        <f t="shared" si="400"/>
        <v>0.21464670455599291</v>
      </c>
      <c r="I2782" s="306">
        <f t="shared" si="400"/>
        <v>5.6666851498493098E-2</v>
      </c>
      <c r="J2782" s="306">
        <f t="shared" si="400"/>
        <v>3.7558282627089587E-2</v>
      </c>
      <c r="K2782" s="306">
        <f t="shared" si="381"/>
        <v>6.4600297907197887E-2</v>
      </c>
      <c r="L2782" s="306">
        <f t="shared" si="382"/>
        <v>5.4924379417439884E-2</v>
      </c>
      <c r="M2782" s="306">
        <f t="shared" si="383"/>
        <v>1.2572951825537125E-2</v>
      </c>
      <c r="N2782" s="306">
        <f t="shared" si="384"/>
        <v>1.2955494627550013E-2</v>
      </c>
      <c r="O2782" s="306">
        <f t="shared" si="385"/>
        <v>2.4482162337344231E-2</v>
      </c>
      <c r="P2782" s="306">
        <f t="shared" si="386"/>
        <v>2.6099292103837927E-2</v>
      </c>
      <c r="Q2782" s="306">
        <f t="shared" si="387"/>
        <v>0.1694775235903058</v>
      </c>
      <c r="R2782" s="306">
        <f t="shared" si="388"/>
        <v>7.6469789269433708E-2</v>
      </c>
      <c r="S2782" s="306">
        <f t="shared" si="389"/>
        <v>0.17424280193111152</v>
      </c>
      <c r="T2782" s="291"/>
    </row>
    <row r="2783" spans="1:20">
      <c r="A2783" s="289" t="s">
        <v>99</v>
      </c>
      <c r="B2783" s="306">
        <f t="shared" ref="B2783:J2783" si="401">B$2759*$B926*B582*(1-B2733)/(24*$F$14)*100</f>
        <v>0</v>
      </c>
      <c r="C2783" s="306">
        <f t="shared" si="401"/>
        <v>0.11588811295940778</v>
      </c>
      <c r="D2783" s="306">
        <f t="shared" si="401"/>
        <v>2.6528395529370082E-2</v>
      </c>
      <c r="E2783" s="306">
        <f t="shared" si="401"/>
        <v>2.733554463003705E-2</v>
      </c>
      <c r="F2783" s="306">
        <f t="shared" si="401"/>
        <v>5.1656325015113892E-2</v>
      </c>
      <c r="G2783" s="306">
        <f t="shared" si="401"/>
        <v>5.5068400290923664E-2</v>
      </c>
      <c r="H2783" s="306">
        <f t="shared" si="401"/>
        <v>0.2192566575672536</v>
      </c>
      <c r="I2783" s="306">
        <f t="shared" si="401"/>
        <v>5.7883881702821237E-2</v>
      </c>
      <c r="J2783" s="306">
        <f t="shared" si="401"/>
        <v>0</v>
      </c>
      <c r="K2783" s="306">
        <f t="shared" si="381"/>
        <v>6.5987714212897286E-2</v>
      </c>
      <c r="L2783" s="306">
        <f t="shared" si="382"/>
        <v>5.6103986664664131E-2</v>
      </c>
      <c r="M2783" s="306">
        <f t="shared" si="383"/>
        <v>1.284298027646753E-2</v>
      </c>
      <c r="N2783" s="306">
        <f t="shared" si="384"/>
        <v>1.3233738924820678E-2</v>
      </c>
      <c r="O2783" s="306">
        <f t="shared" si="385"/>
        <v>2.5007964111113234E-2</v>
      </c>
      <c r="P2783" s="306">
        <f t="shared" si="386"/>
        <v>2.6659824866149557E-2</v>
      </c>
      <c r="Q2783" s="306">
        <f t="shared" si="387"/>
        <v>0.17311738110329328</v>
      </c>
      <c r="R2783" s="306">
        <f t="shared" si="388"/>
        <v>7.8112125852435557E-2</v>
      </c>
      <c r="S2783" s="306">
        <f t="shared" si="389"/>
        <v>0</v>
      </c>
      <c r="T2783" s="291"/>
    </row>
    <row r="2784" spans="1:20">
      <c r="A2784" s="289" t="s">
        <v>111</v>
      </c>
      <c r="B2784" s="306">
        <f t="shared" ref="B2784:J2784" si="402">B$2759*$B927*B583*(1-B2734)/(24*$F$14)*100</f>
        <v>0</v>
      </c>
      <c r="C2784" s="306">
        <f t="shared" si="402"/>
        <v>8.8545038151929989E-2</v>
      </c>
      <c r="D2784" s="306">
        <f t="shared" si="402"/>
        <v>2.0269186668699445E-2</v>
      </c>
      <c r="E2784" s="306">
        <f t="shared" si="402"/>
        <v>2.0885893991717863E-2</v>
      </c>
      <c r="F2784" s="306">
        <f t="shared" si="402"/>
        <v>2.9299673550798926E-2</v>
      </c>
      <c r="G2784" s="306">
        <f t="shared" si="402"/>
        <v>3.1235016254383206E-2</v>
      </c>
      <c r="H2784" s="306">
        <f t="shared" si="402"/>
        <v>0.13243421551572343</v>
      </c>
      <c r="I2784" s="306">
        <f t="shared" si="402"/>
        <v>0</v>
      </c>
      <c r="J2784" s="306">
        <f t="shared" si="402"/>
        <v>0</v>
      </c>
      <c r="K2784" s="306">
        <f t="shared" si="381"/>
        <v>5.0418326119316799E-2</v>
      </c>
      <c r="L2784" s="306">
        <f t="shared" si="382"/>
        <v>4.2866602215173778E-2</v>
      </c>
      <c r="M2784" s="306">
        <f t="shared" si="383"/>
        <v>9.812759475707606E-3</v>
      </c>
      <c r="N2784" s="306">
        <f t="shared" si="384"/>
        <v>1.0111321067082773E-2</v>
      </c>
      <c r="O2784" s="306">
        <f t="shared" si="385"/>
        <v>1.9107491525867139E-2</v>
      </c>
      <c r="P2784" s="306">
        <f t="shared" si="386"/>
        <v>2.0369606076197241E-2</v>
      </c>
      <c r="Q2784" s="306">
        <f t="shared" si="387"/>
        <v>0.13227141872542617</v>
      </c>
      <c r="R2784" s="306">
        <f t="shared" si="388"/>
        <v>0</v>
      </c>
      <c r="S2784" s="306">
        <f t="shared" si="389"/>
        <v>0</v>
      </c>
      <c r="T2784" s="291"/>
    </row>
    <row r="2785" spans="1:20">
      <c r="A2785" s="289" t="s">
        <v>131</v>
      </c>
      <c r="B2785" s="306">
        <f t="shared" ref="B2785:J2785" si="403">B$2759*$B928*B584*(1-B2735)/(24*$F$14)*100</f>
        <v>0</v>
      </c>
      <c r="C2785" s="306">
        <f t="shared" si="403"/>
        <v>7.6795746678224613E-2</v>
      </c>
      <c r="D2785" s="306">
        <f t="shared" si="403"/>
        <v>1.7579610978451662E-2</v>
      </c>
      <c r="E2785" s="306">
        <f t="shared" si="403"/>
        <v>1.8114485663037212E-2</v>
      </c>
      <c r="F2785" s="306">
        <f t="shared" si="403"/>
        <v>3.4231173058950778E-2</v>
      </c>
      <c r="G2785" s="306">
        <f t="shared" si="403"/>
        <v>3.6492258012675957E-2</v>
      </c>
      <c r="H2785" s="306">
        <f t="shared" si="403"/>
        <v>0.1452951325382863</v>
      </c>
      <c r="I2785" s="306">
        <f t="shared" si="403"/>
        <v>3.8357997230994839E-2</v>
      </c>
      <c r="J2785" s="306">
        <f t="shared" si="403"/>
        <v>2.5423337681803868E-2</v>
      </c>
      <c r="K2785" s="306">
        <f t="shared" si="381"/>
        <v>4.3728175868596349E-2</v>
      </c>
      <c r="L2785" s="306">
        <f t="shared" si="382"/>
        <v>3.7178511561813052E-2</v>
      </c>
      <c r="M2785" s="306">
        <f t="shared" si="383"/>
        <v>8.5106766752730111E-3</v>
      </c>
      <c r="N2785" s="306">
        <f t="shared" si="384"/>
        <v>8.7696212849049295E-3</v>
      </c>
      <c r="O2785" s="306">
        <f t="shared" si="385"/>
        <v>1.6572064448817817E-2</v>
      </c>
      <c r="P2785" s="306">
        <f t="shared" si="386"/>
        <v>1.7666705450832442E-2</v>
      </c>
      <c r="Q2785" s="306">
        <f t="shared" si="387"/>
        <v>0.1147199501769687</v>
      </c>
      <c r="R2785" s="306">
        <f t="shared" si="388"/>
        <v>5.1762677605790369E-2</v>
      </c>
      <c r="S2785" s="306">
        <f t="shared" si="389"/>
        <v>0.11794558436288083</v>
      </c>
      <c r="T2785" s="291"/>
    </row>
    <row r="2786" spans="1:20">
      <c r="A2786" s="289" t="s">
        <v>132</v>
      </c>
      <c r="B2786" s="306">
        <f t="shared" ref="B2786:J2786" si="404">B$2759*$B929*B585*(1-B2736)/(24*$F$14)*100</f>
        <v>0</v>
      </c>
      <c r="C2786" s="306">
        <f t="shared" si="404"/>
        <v>0.16239168704187845</v>
      </c>
      <c r="D2786" s="306">
        <f t="shared" si="404"/>
        <v>3.7173708282208361E-2</v>
      </c>
      <c r="E2786" s="306">
        <f t="shared" si="404"/>
        <v>3.8304750119066595E-2</v>
      </c>
      <c r="F2786" s="306">
        <f t="shared" si="404"/>
        <v>7.2384971602102111E-2</v>
      </c>
      <c r="G2786" s="306">
        <f t="shared" si="404"/>
        <v>7.7166244212406115E-2</v>
      </c>
      <c r="H2786" s="306">
        <f t="shared" si="404"/>
        <v>0.30723995419600375</v>
      </c>
      <c r="I2786" s="306">
        <f t="shared" si="404"/>
        <v>8.1111521813683835E-2</v>
      </c>
      <c r="J2786" s="306">
        <f t="shared" si="404"/>
        <v>5.3759991600604289E-2</v>
      </c>
      <c r="K2786" s="306">
        <f t="shared" si="381"/>
        <v>9.2467259681958791E-2</v>
      </c>
      <c r="L2786" s="306">
        <f t="shared" si="382"/>
        <v>7.8617390615732224E-2</v>
      </c>
      <c r="M2786" s="306">
        <f t="shared" si="383"/>
        <v>1.7996610527877481E-2</v>
      </c>
      <c r="N2786" s="306">
        <f t="shared" si="384"/>
        <v>1.8544172780051681E-2</v>
      </c>
      <c r="O2786" s="306">
        <f t="shared" si="385"/>
        <v>3.5043158247894751E-2</v>
      </c>
      <c r="P2786" s="306">
        <f t="shared" si="386"/>
        <v>3.7357877574307287E-2</v>
      </c>
      <c r="Q2786" s="306">
        <f t="shared" si="387"/>
        <v>0.24258591201224158</v>
      </c>
      <c r="R2786" s="306">
        <f t="shared" si="388"/>
        <v>0.10945695439917673</v>
      </c>
      <c r="S2786" s="306">
        <f t="shared" si="389"/>
        <v>0.2494068129069881</v>
      </c>
      <c r="T2786" s="291"/>
    </row>
    <row r="2787" spans="1:20">
      <c r="A2787" s="289" t="s">
        <v>133</v>
      </c>
      <c r="B2787" s="306">
        <f t="shared" ref="B2787:J2787" si="405">B$2759*$B930*B586*(1-B2737)/(24*$F$14)*100</f>
        <v>0</v>
      </c>
      <c r="C2787" s="306">
        <f t="shared" si="405"/>
        <v>0.28768063900720631</v>
      </c>
      <c r="D2787" s="306">
        <f t="shared" si="405"/>
        <v>6.5854086177054821E-2</v>
      </c>
      <c r="E2787" s="306">
        <f t="shared" si="405"/>
        <v>6.7857753016770272E-2</v>
      </c>
      <c r="F2787" s="306">
        <f t="shared" si="405"/>
        <v>0.12823165559971719</v>
      </c>
      <c r="G2787" s="306">
        <f t="shared" si="405"/>
        <v>0.13670179089331258</v>
      </c>
      <c r="H2787" s="306">
        <f t="shared" si="405"/>
        <v>0.54428270290004099</v>
      </c>
      <c r="I2787" s="306">
        <f t="shared" si="405"/>
        <v>0.14369094164401389</v>
      </c>
      <c r="J2787" s="306">
        <f t="shared" si="405"/>
        <v>9.5237071665469575E-2</v>
      </c>
      <c r="K2787" s="306">
        <f t="shared" si="381"/>
        <v>0.1638078945857073</v>
      </c>
      <c r="L2787" s="306">
        <f t="shared" si="382"/>
        <v>0.1392725303948624</v>
      </c>
      <c r="M2787" s="306">
        <f t="shared" si="383"/>
        <v>3.1881412841585091E-2</v>
      </c>
      <c r="N2787" s="306">
        <f t="shared" si="384"/>
        <v>3.2851432067760603E-2</v>
      </c>
      <c r="O2787" s="306">
        <f t="shared" si="385"/>
        <v>6.2079767389726107E-2</v>
      </c>
      <c r="P2787" s="306">
        <f t="shared" si="386"/>
        <v>6.6180346348382796E-2</v>
      </c>
      <c r="Q2787" s="306">
        <f t="shared" si="387"/>
        <v>0.42974656802370959</v>
      </c>
      <c r="R2787" s="306">
        <f t="shared" si="388"/>
        <v>0.19390553272112596</v>
      </c>
      <c r="S2787" s="306">
        <f t="shared" si="389"/>
        <v>0.44182995211651405</v>
      </c>
      <c r="T2787" s="291"/>
    </row>
    <row r="2788" spans="1:20">
      <c r="A2788" s="289" t="s">
        <v>134</v>
      </c>
      <c r="B2788" s="306">
        <f t="shared" ref="B2788:J2788" si="406">B$2759*$B931*B587*(1-B2738)/(24*$F$14)*100</f>
        <v>0</v>
      </c>
      <c r="C2788" s="306">
        <f t="shared" si="406"/>
        <v>0</v>
      </c>
      <c r="D2788" s="306">
        <f t="shared" si="406"/>
        <v>0</v>
      </c>
      <c r="E2788" s="306">
        <f t="shared" si="406"/>
        <v>0</v>
      </c>
      <c r="F2788" s="306">
        <f t="shared" si="406"/>
        <v>0</v>
      </c>
      <c r="G2788" s="306">
        <f t="shared" si="406"/>
        <v>0</v>
      </c>
      <c r="H2788" s="306">
        <f t="shared" si="406"/>
        <v>0</v>
      </c>
      <c r="I2788" s="306">
        <f t="shared" si="406"/>
        <v>0</v>
      </c>
      <c r="J2788" s="306">
        <f t="shared" si="406"/>
        <v>0</v>
      </c>
      <c r="K2788" s="306">
        <f t="shared" si="381"/>
        <v>0</v>
      </c>
      <c r="L2788" s="306">
        <f t="shared" si="382"/>
        <v>0</v>
      </c>
      <c r="M2788" s="306">
        <f t="shared" si="383"/>
        <v>0</v>
      </c>
      <c r="N2788" s="306">
        <f t="shared" si="384"/>
        <v>0</v>
      </c>
      <c r="O2788" s="306">
        <f t="shared" si="385"/>
        <v>0</v>
      </c>
      <c r="P2788" s="306">
        <f t="shared" si="386"/>
        <v>0</v>
      </c>
      <c r="Q2788" s="306">
        <f t="shared" si="387"/>
        <v>0</v>
      </c>
      <c r="R2788" s="306">
        <f t="shared" si="388"/>
        <v>0</v>
      </c>
      <c r="S2788" s="306">
        <f t="shared" si="389"/>
        <v>0</v>
      </c>
      <c r="T2788" s="291"/>
    </row>
    <row r="2789" spans="1:20">
      <c r="A2789" s="289" t="s">
        <v>135</v>
      </c>
      <c r="B2789" s="306">
        <f t="shared" ref="B2789:J2789" si="407">B$2759*$B932*B588*(1-B2739)/(24*$F$14)*100</f>
        <v>0</v>
      </c>
      <c r="C2789" s="306">
        <f t="shared" si="407"/>
        <v>0.15220134552304992</v>
      </c>
      <c r="D2789" s="306">
        <f t="shared" si="407"/>
        <v>3.484099784722583E-2</v>
      </c>
      <c r="E2789" s="306">
        <f t="shared" si="407"/>
        <v>3.59010649759594E-2</v>
      </c>
      <c r="F2789" s="306">
        <f t="shared" si="407"/>
        <v>6.7842697333679106E-2</v>
      </c>
      <c r="G2789" s="306">
        <f t="shared" si="407"/>
        <v>7.2323937339598285E-2</v>
      </c>
      <c r="H2789" s="306">
        <f t="shared" si="407"/>
        <v>0.28796014918554713</v>
      </c>
      <c r="I2789" s="306">
        <f t="shared" si="407"/>
        <v>7.6021642378043819E-2</v>
      </c>
      <c r="J2789" s="306">
        <f t="shared" si="407"/>
        <v>5.038646500919549E-2</v>
      </c>
      <c r="K2789" s="306">
        <f t="shared" si="381"/>
        <v>8.6664789293025846E-2</v>
      </c>
      <c r="L2789" s="306">
        <f t="shared" si="382"/>
        <v>7.3684021954522033E-2</v>
      </c>
      <c r="M2789" s="306">
        <f t="shared" si="383"/>
        <v>1.6867294053610409E-2</v>
      </c>
      <c r="N2789" s="306">
        <f t="shared" si="384"/>
        <v>1.738049588713193E-2</v>
      </c>
      <c r="O2789" s="306">
        <f t="shared" si="385"/>
        <v>3.2844143280137753E-2</v>
      </c>
      <c r="P2789" s="306">
        <f t="shared" si="386"/>
        <v>3.5013610217797815E-2</v>
      </c>
      <c r="Q2789" s="306">
        <f t="shared" si="387"/>
        <v>0.22736325292117784</v>
      </c>
      <c r="R2789" s="306">
        <f t="shared" si="388"/>
        <v>0.10258835313481027</v>
      </c>
      <c r="S2789" s="306">
        <f t="shared" si="389"/>
        <v>0.2337561312314578</v>
      </c>
      <c r="T2789" s="291"/>
    </row>
    <row r="2790" spans="1:20">
      <c r="A2790" s="289" t="s">
        <v>1534</v>
      </c>
      <c r="B2790" s="306">
        <f t="shared" ref="B2790:J2790" si="408">B$2759*$B933*B589*(1-B2740)/(24*$F$14)*100</f>
        <v>0</v>
      </c>
      <c r="C2790" s="306">
        <f t="shared" si="408"/>
        <v>-7.6795746678224613E-2</v>
      </c>
      <c r="D2790" s="306">
        <f t="shared" si="408"/>
        <v>-1.7579610978451662E-2</v>
      </c>
      <c r="E2790" s="306">
        <f t="shared" si="408"/>
        <v>-1.8114485663037212E-2</v>
      </c>
      <c r="F2790" s="306">
        <f t="shared" si="408"/>
        <v>-3.4231173058950778E-2</v>
      </c>
      <c r="G2790" s="306">
        <f t="shared" si="408"/>
        <v>-3.6492258012675957E-2</v>
      </c>
      <c r="H2790" s="306">
        <f t="shared" si="408"/>
        <v>-0.1452951325382863</v>
      </c>
      <c r="I2790" s="306">
        <f t="shared" si="408"/>
        <v>-3.8357997230994839E-2</v>
      </c>
      <c r="J2790" s="306">
        <f t="shared" si="408"/>
        <v>0</v>
      </c>
      <c r="K2790" s="306">
        <f t="shared" si="381"/>
        <v>-4.3728175868596349E-2</v>
      </c>
      <c r="L2790" s="306">
        <f t="shared" si="382"/>
        <v>-3.7178511561813052E-2</v>
      </c>
      <c r="M2790" s="306">
        <f t="shared" si="383"/>
        <v>-8.5106766752730111E-3</v>
      </c>
      <c r="N2790" s="306">
        <f t="shared" si="384"/>
        <v>-8.7696212849049295E-3</v>
      </c>
      <c r="O2790" s="306">
        <f t="shared" si="385"/>
        <v>-1.6572064448817817E-2</v>
      </c>
      <c r="P2790" s="306">
        <f t="shared" si="386"/>
        <v>-1.7666705450832442E-2</v>
      </c>
      <c r="Q2790" s="306">
        <f t="shared" si="387"/>
        <v>-0.1147199501769687</v>
      </c>
      <c r="R2790" s="306">
        <f t="shared" si="388"/>
        <v>-5.1762677605790369E-2</v>
      </c>
      <c r="S2790" s="306">
        <f t="shared" si="389"/>
        <v>0</v>
      </c>
      <c r="T2790" s="291"/>
    </row>
    <row r="2791" spans="1:20">
      <c r="A2791" s="289" t="s">
        <v>100</v>
      </c>
      <c r="B2791" s="306">
        <f t="shared" ref="B2791:J2791" si="409">B$2759*$B934*B590*(1-B2741)/(24*$F$14)*100</f>
        <v>0</v>
      </c>
      <c r="C2791" s="306">
        <f t="shared" si="409"/>
        <v>-7.5594709241674649E-2</v>
      </c>
      <c r="D2791" s="306">
        <f t="shared" si="409"/>
        <v>-1.7304676860113416E-2</v>
      </c>
      <c r="E2791" s="306">
        <f t="shared" si="409"/>
        <v>-1.7831186439236261E-2</v>
      </c>
      <c r="F2791" s="306">
        <f t="shared" si="409"/>
        <v>-3.3695818926474094E-2</v>
      </c>
      <c r="G2791" s="306">
        <f t="shared" si="409"/>
        <v>-3.5921541926001166E-2</v>
      </c>
      <c r="H2791" s="306">
        <f t="shared" si="409"/>
        <v>-0.14302280755838673</v>
      </c>
      <c r="I2791" s="306">
        <f t="shared" si="409"/>
        <v>0</v>
      </c>
      <c r="J2791" s="306">
        <f t="shared" si="409"/>
        <v>0</v>
      </c>
      <c r="K2791" s="306">
        <f t="shared" si="381"/>
        <v>-4.3044294553264119E-2</v>
      </c>
      <c r="L2791" s="306">
        <f t="shared" si="382"/>
        <v>-3.6597062898932817E-2</v>
      </c>
      <c r="M2791" s="306">
        <f t="shared" si="383"/>
        <v>-8.3775750161381064E-3</v>
      </c>
      <c r="N2791" s="306">
        <f t="shared" si="384"/>
        <v>-8.6324698940646507E-3</v>
      </c>
      <c r="O2791" s="306">
        <f t="shared" si="385"/>
        <v>-1.6312887727907142E-2</v>
      </c>
      <c r="P2791" s="306">
        <f t="shared" si="386"/>
        <v>-1.7390409229430283E-2</v>
      </c>
      <c r="Q2791" s="306">
        <f t="shared" si="387"/>
        <v>-0.11292580192213111</v>
      </c>
      <c r="R2791" s="306">
        <f t="shared" si="388"/>
        <v>0</v>
      </c>
      <c r="S2791" s="306">
        <f t="shared" si="389"/>
        <v>0</v>
      </c>
      <c r="T2791" s="291"/>
    </row>
    <row r="2792" spans="1:20">
      <c r="A2792" s="289" t="s">
        <v>101</v>
      </c>
      <c r="B2792" s="306">
        <f t="shared" ref="B2792:J2792" si="410">B$2759*$B935*B591*(1-B2742)/(24*$F$14)*100</f>
        <v>0</v>
      </c>
      <c r="C2792" s="306">
        <f t="shared" si="410"/>
        <v>-7.6795746678224613E-2</v>
      </c>
      <c r="D2792" s="306">
        <f t="shared" si="410"/>
        <v>-1.7579610978451662E-2</v>
      </c>
      <c r="E2792" s="306">
        <f t="shared" si="410"/>
        <v>-1.8114485663037212E-2</v>
      </c>
      <c r="F2792" s="306">
        <f t="shared" si="410"/>
        <v>-3.4231173058950778E-2</v>
      </c>
      <c r="G2792" s="306">
        <f t="shared" si="410"/>
        <v>-3.6492258012675957E-2</v>
      </c>
      <c r="H2792" s="306">
        <f t="shared" si="410"/>
        <v>-0.1452951325382863</v>
      </c>
      <c r="I2792" s="306">
        <f t="shared" si="410"/>
        <v>-3.8357997230994839E-2</v>
      </c>
      <c r="J2792" s="306">
        <f t="shared" si="410"/>
        <v>0</v>
      </c>
      <c r="K2792" s="306">
        <f t="shared" si="381"/>
        <v>-4.3728175868596349E-2</v>
      </c>
      <c r="L2792" s="306">
        <f t="shared" si="382"/>
        <v>-3.7178511561813052E-2</v>
      </c>
      <c r="M2792" s="306">
        <f t="shared" si="383"/>
        <v>-8.5106766752730111E-3</v>
      </c>
      <c r="N2792" s="306">
        <f t="shared" si="384"/>
        <v>-8.7696212849049295E-3</v>
      </c>
      <c r="O2792" s="306">
        <f t="shared" si="385"/>
        <v>-1.6572064448817817E-2</v>
      </c>
      <c r="P2792" s="306">
        <f t="shared" si="386"/>
        <v>-1.7666705450832442E-2</v>
      </c>
      <c r="Q2792" s="306">
        <f t="shared" si="387"/>
        <v>-0.1147199501769687</v>
      </c>
      <c r="R2792" s="306">
        <f t="shared" si="388"/>
        <v>-5.1762677605790369E-2</v>
      </c>
      <c r="S2792" s="306">
        <f t="shared" si="389"/>
        <v>0</v>
      </c>
      <c r="T2792" s="291"/>
    </row>
    <row r="2793" spans="1:20">
      <c r="A2793" s="289" t="s">
        <v>102</v>
      </c>
      <c r="B2793" s="306">
        <f t="shared" ref="B2793:J2793" si="411">B$2759*$B936*B592*(1-B2743)/(24*$F$14)*100</f>
        <v>0</v>
      </c>
      <c r="C2793" s="306">
        <f t="shared" si="411"/>
        <v>-7.6795746678224613E-2</v>
      </c>
      <c r="D2793" s="306">
        <f t="shared" si="411"/>
        <v>-1.7579610978451662E-2</v>
      </c>
      <c r="E2793" s="306">
        <f t="shared" si="411"/>
        <v>-1.8114485663037212E-2</v>
      </c>
      <c r="F2793" s="306">
        <f t="shared" si="411"/>
        <v>-3.4231173058950778E-2</v>
      </c>
      <c r="G2793" s="306">
        <f t="shared" si="411"/>
        <v>-3.6492258012675957E-2</v>
      </c>
      <c r="H2793" s="306">
        <f t="shared" si="411"/>
        <v>-0.1452951325382863</v>
      </c>
      <c r="I2793" s="306">
        <f t="shared" si="411"/>
        <v>-3.8357997230994839E-2</v>
      </c>
      <c r="J2793" s="306">
        <f t="shared" si="411"/>
        <v>0</v>
      </c>
      <c r="K2793" s="306">
        <f t="shared" si="381"/>
        <v>-4.3728175868596349E-2</v>
      </c>
      <c r="L2793" s="306">
        <f t="shared" si="382"/>
        <v>-3.7178511561813052E-2</v>
      </c>
      <c r="M2793" s="306">
        <f t="shared" si="383"/>
        <v>-8.5106766752730111E-3</v>
      </c>
      <c r="N2793" s="306">
        <f t="shared" si="384"/>
        <v>-8.7696212849049295E-3</v>
      </c>
      <c r="O2793" s="306">
        <f t="shared" si="385"/>
        <v>-1.6572064448817817E-2</v>
      </c>
      <c r="P2793" s="306">
        <f t="shared" si="386"/>
        <v>-1.7666705450832442E-2</v>
      </c>
      <c r="Q2793" s="306">
        <f t="shared" si="387"/>
        <v>-0.1147199501769687</v>
      </c>
      <c r="R2793" s="306">
        <f t="shared" si="388"/>
        <v>-5.1762677605790369E-2</v>
      </c>
      <c r="S2793" s="306">
        <f t="shared" si="389"/>
        <v>0</v>
      </c>
      <c r="T2793" s="291"/>
    </row>
    <row r="2794" spans="1:20">
      <c r="A2794" s="289" t="s">
        <v>103</v>
      </c>
      <c r="B2794" s="306">
        <f t="shared" ref="B2794:J2794" si="412">B$2759*$B937*B593*(1-B2744)/(24*$F$14)*100</f>
        <v>0</v>
      </c>
      <c r="C2794" s="306">
        <f t="shared" si="412"/>
        <v>-7.5594709241674649E-2</v>
      </c>
      <c r="D2794" s="306">
        <f t="shared" si="412"/>
        <v>-1.7304676860113416E-2</v>
      </c>
      <c r="E2794" s="306">
        <f t="shared" si="412"/>
        <v>-1.7831186439236261E-2</v>
      </c>
      <c r="F2794" s="306">
        <f t="shared" si="412"/>
        <v>-3.3695818926474094E-2</v>
      </c>
      <c r="G2794" s="306">
        <f t="shared" si="412"/>
        <v>-3.5921541926001166E-2</v>
      </c>
      <c r="H2794" s="306">
        <f t="shared" si="412"/>
        <v>-0.14302280755838673</v>
      </c>
      <c r="I2794" s="306">
        <f t="shared" si="412"/>
        <v>0</v>
      </c>
      <c r="J2794" s="306">
        <f t="shared" si="412"/>
        <v>0</v>
      </c>
      <c r="K2794" s="306">
        <f t="shared" si="381"/>
        <v>-4.3044294553264119E-2</v>
      </c>
      <c r="L2794" s="306">
        <f t="shared" si="382"/>
        <v>-3.6597062898932817E-2</v>
      </c>
      <c r="M2794" s="306">
        <f t="shared" si="383"/>
        <v>-8.3775750161381064E-3</v>
      </c>
      <c r="N2794" s="306">
        <f t="shared" si="384"/>
        <v>-8.6324698940646507E-3</v>
      </c>
      <c r="O2794" s="306">
        <f t="shared" si="385"/>
        <v>-1.6312887727907142E-2</v>
      </c>
      <c r="P2794" s="306">
        <f t="shared" si="386"/>
        <v>-1.7390409229430283E-2</v>
      </c>
      <c r="Q2794" s="306">
        <f t="shared" si="387"/>
        <v>-0.11292580192213111</v>
      </c>
      <c r="R2794" s="306">
        <f t="shared" si="388"/>
        <v>0</v>
      </c>
      <c r="S2794" s="306">
        <f t="shared" si="389"/>
        <v>0</v>
      </c>
      <c r="T2794" s="291"/>
    </row>
    <row r="2795" spans="1:20">
      <c r="A2795" s="289" t="s">
        <v>104</v>
      </c>
      <c r="B2795" s="306">
        <f t="shared" ref="B2795:J2795" si="413">B$2759*$B938*B594*(1-B2745)/(24*$F$14)*100</f>
        <v>0</v>
      </c>
      <c r="C2795" s="306">
        <f t="shared" si="413"/>
        <v>-7.5594709241674649E-2</v>
      </c>
      <c r="D2795" s="306">
        <f t="shared" si="413"/>
        <v>-1.7304676860113416E-2</v>
      </c>
      <c r="E2795" s="306">
        <f t="shared" si="413"/>
        <v>-1.7831186439236261E-2</v>
      </c>
      <c r="F2795" s="306">
        <f t="shared" si="413"/>
        <v>-3.3695818926474094E-2</v>
      </c>
      <c r="G2795" s="306">
        <f t="shared" si="413"/>
        <v>-3.5921541926001166E-2</v>
      </c>
      <c r="H2795" s="306">
        <f t="shared" si="413"/>
        <v>-0.14302280755838673</v>
      </c>
      <c r="I2795" s="306">
        <f t="shared" si="413"/>
        <v>0</v>
      </c>
      <c r="J2795" s="306">
        <f t="shared" si="413"/>
        <v>0</v>
      </c>
      <c r="K2795" s="306">
        <f t="shared" si="381"/>
        <v>-4.3044294553264119E-2</v>
      </c>
      <c r="L2795" s="306">
        <f t="shared" si="382"/>
        <v>-3.6597062898932817E-2</v>
      </c>
      <c r="M2795" s="306">
        <f t="shared" si="383"/>
        <v>-8.3775750161381064E-3</v>
      </c>
      <c r="N2795" s="306">
        <f t="shared" si="384"/>
        <v>-8.6324698940646507E-3</v>
      </c>
      <c r="O2795" s="306">
        <f t="shared" si="385"/>
        <v>-1.6312887727907142E-2</v>
      </c>
      <c r="P2795" s="306">
        <f t="shared" si="386"/>
        <v>-1.7390409229430283E-2</v>
      </c>
      <c r="Q2795" s="306">
        <f t="shared" si="387"/>
        <v>-0.11292580192213111</v>
      </c>
      <c r="R2795" s="306">
        <f t="shared" si="388"/>
        <v>0</v>
      </c>
      <c r="S2795" s="306">
        <f t="shared" si="389"/>
        <v>0</v>
      </c>
      <c r="T2795" s="291"/>
    </row>
    <row r="2796" spans="1:20">
      <c r="A2796" s="289" t="s">
        <v>112</v>
      </c>
      <c r="B2796" s="306">
        <f t="shared" ref="B2796:J2796" si="414">B$2759*$B939*B595*(1-B2746)/(24*$F$14)*100</f>
        <v>0</v>
      </c>
      <c r="C2796" s="306">
        <f t="shared" si="414"/>
        <v>-7.4252373283177603E-2</v>
      </c>
      <c r="D2796" s="306">
        <f t="shared" si="414"/>
        <v>-1.6997397551382427E-2</v>
      </c>
      <c r="E2796" s="306">
        <f t="shared" si="414"/>
        <v>-1.7514557894988136E-2</v>
      </c>
      <c r="F2796" s="306">
        <f t="shared" si="414"/>
        <v>-2.4570211306885612E-2</v>
      </c>
      <c r="G2796" s="306">
        <f t="shared" si="414"/>
        <v>-2.6193157006122188E-2</v>
      </c>
      <c r="H2796" s="306">
        <f t="shared" si="414"/>
        <v>0</v>
      </c>
      <c r="I2796" s="306">
        <f t="shared" si="414"/>
        <v>0</v>
      </c>
      <c r="J2796" s="306">
        <f t="shared" si="414"/>
        <v>0</v>
      </c>
      <c r="K2796" s="306">
        <f t="shared" si="381"/>
        <v>-4.2279956612598674E-2</v>
      </c>
      <c r="L2796" s="306">
        <f t="shared" si="382"/>
        <v>-3.5947208511007835E-2</v>
      </c>
      <c r="M2796" s="306">
        <f t="shared" si="383"/>
        <v>-8.228814338281449E-3</v>
      </c>
      <c r="N2796" s="306">
        <f t="shared" si="384"/>
        <v>-8.4791830454784556E-3</v>
      </c>
      <c r="O2796" s="306">
        <f t="shared" si="385"/>
        <v>-1.6023219628065799E-2</v>
      </c>
      <c r="P2796" s="306">
        <f t="shared" si="386"/>
        <v>-1.7081607570216095E-2</v>
      </c>
      <c r="Q2796" s="306">
        <f t="shared" si="387"/>
        <v>0</v>
      </c>
      <c r="R2796" s="306">
        <f t="shared" si="388"/>
        <v>0</v>
      </c>
      <c r="S2796" s="306">
        <f t="shared" si="389"/>
        <v>0</v>
      </c>
      <c r="T2796" s="291"/>
    </row>
    <row r="2797" spans="1:20">
      <c r="A2797" s="289" t="s">
        <v>113</v>
      </c>
      <c r="B2797" s="306">
        <f t="shared" ref="B2797:J2797" si="415">B$2759*$B940*B596*(1-B2747)/(24*$F$14)*100</f>
        <v>0</v>
      </c>
      <c r="C2797" s="306">
        <f t="shared" si="415"/>
        <v>-7.4252373283177603E-2</v>
      </c>
      <c r="D2797" s="306">
        <f t="shared" si="415"/>
        <v>-1.6997397551382427E-2</v>
      </c>
      <c r="E2797" s="306">
        <f t="shared" si="415"/>
        <v>-1.7514557894988136E-2</v>
      </c>
      <c r="F2797" s="306">
        <f t="shared" si="415"/>
        <v>-2.4570211306885612E-2</v>
      </c>
      <c r="G2797" s="306">
        <f t="shared" si="415"/>
        <v>-2.6193157006122188E-2</v>
      </c>
      <c r="H2797" s="306">
        <f t="shared" si="415"/>
        <v>0</v>
      </c>
      <c r="I2797" s="306">
        <f t="shared" si="415"/>
        <v>0</v>
      </c>
      <c r="J2797" s="306">
        <f t="shared" si="415"/>
        <v>0</v>
      </c>
      <c r="K2797" s="306">
        <f t="shared" si="381"/>
        <v>-4.2279956612598674E-2</v>
      </c>
      <c r="L2797" s="306">
        <f t="shared" si="382"/>
        <v>-3.5947208511007835E-2</v>
      </c>
      <c r="M2797" s="306">
        <f t="shared" si="383"/>
        <v>-8.228814338281449E-3</v>
      </c>
      <c r="N2797" s="306">
        <f t="shared" si="384"/>
        <v>-8.4791830454784556E-3</v>
      </c>
      <c r="O2797" s="306">
        <f t="shared" si="385"/>
        <v>-1.6023219628065799E-2</v>
      </c>
      <c r="P2797" s="306">
        <f t="shared" si="386"/>
        <v>-1.7081607570216095E-2</v>
      </c>
      <c r="Q2797" s="306">
        <f t="shared" si="387"/>
        <v>0</v>
      </c>
      <c r="R2797" s="306">
        <f t="shared" si="388"/>
        <v>0</v>
      </c>
      <c r="S2797" s="306">
        <f t="shared" si="389"/>
        <v>0</v>
      </c>
      <c r="T2797" s="291"/>
    </row>
    <row r="2799" spans="1:20" ht="21" customHeight="1">
      <c r="A2799" s="1" t="s">
        <v>1510</v>
      </c>
    </row>
    <row r="2800" spans="1:20">
      <c r="A2800" s="287" t="s">
        <v>255</v>
      </c>
    </row>
    <row r="2801" spans="1:20">
      <c r="A2801" s="301" t="s">
        <v>1728</v>
      </c>
    </row>
    <row r="2802" spans="1:20">
      <c r="A2802" s="301" t="s">
        <v>716</v>
      </c>
    </row>
    <row r="2803" spans="1:20">
      <c r="A2803" s="301" t="s">
        <v>540</v>
      </c>
    </row>
    <row r="2804" spans="1:20">
      <c r="A2804" s="301" t="s">
        <v>714</v>
      </c>
    </row>
    <row r="2805" spans="1:20">
      <c r="A2805" s="301" t="s">
        <v>520</v>
      </c>
    </row>
    <row r="2806" spans="1:20">
      <c r="A2806" s="287" t="s">
        <v>1507</v>
      </c>
    </row>
    <row r="2808" spans="1:20" ht="30">
      <c r="B2808" s="288" t="s">
        <v>60</v>
      </c>
      <c r="C2808" s="288" t="s">
        <v>220</v>
      </c>
      <c r="D2808" s="288" t="s">
        <v>221</v>
      </c>
      <c r="E2808" s="288" t="s">
        <v>222</v>
      </c>
      <c r="F2808" s="288" t="s">
        <v>223</v>
      </c>
      <c r="G2808" s="288" t="s">
        <v>224</v>
      </c>
      <c r="H2808" s="288" t="s">
        <v>225</v>
      </c>
      <c r="I2808" s="288" t="s">
        <v>226</v>
      </c>
      <c r="J2808" s="288" t="s">
        <v>227</v>
      </c>
      <c r="K2808" s="288" t="s">
        <v>208</v>
      </c>
      <c r="L2808" s="288" t="s">
        <v>618</v>
      </c>
      <c r="M2808" s="288" t="s">
        <v>619</v>
      </c>
      <c r="N2808" s="288" t="s">
        <v>620</v>
      </c>
      <c r="O2808" s="288" t="s">
        <v>621</v>
      </c>
      <c r="P2808" s="288" t="s">
        <v>622</v>
      </c>
      <c r="Q2808" s="288" t="s">
        <v>623</v>
      </c>
      <c r="R2808" s="288" t="s">
        <v>624</v>
      </c>
      <c r="S2808" s="288" t="s">
        <v>625</v>
      </c>
    </row>
    <row r="2809" spans="1:20">
      <c r="A2809" s="289" t="s">
        <v>92</v>
      </c>
      <c r="B2809" s="306">
        <f t="shared" ref="B2809:J2809" si="416">B2049*B$2759*B$570*(1-B$2721)*100/(24*$F$14)</f>
        <v>0</v>
      </c>
      <c r="C2809" s="306">
        <f t="shared" si="416"/>
        <v>0.148183510636441</v>
      </c>
      <c r="D2809" s="306">
        <f t="shared" si="416"/>
        <v>3.3921259745346495E-2</v>
      </c>
      <c r="E2809" s="306">
        <f t="shared" si="416"/>
        <v>3.4595768761972172E-2</v>
      </c>
      <c r="F2809" s="306">
        <f t="shared" si="416"/>
        <v>6.5376062540654645E-2</v>
      </c>
      <c r="G2809" s="306">
        <f t="shared" si="416"/>
        <v>7.0414718747730129E-2</v>
      </c>
      <c r="H2809" s="306">
        <f t="shared" si="416"/>
        <v>0.27749045162190128</v>
      </c>
      <c r="I2809" s="306">
        <f t="shared" si="416"/>
        <v>7.3257636295115627E-2</v>
      </c>
      <c r="J2809" s="306">
        <f t="shared" si="416"/>
        <v>4.8554506484935991E-2</v>
      </c>
      <c r="K2809" s="306">
        <f t="shared" ref="K2809:S2809" si="417">B2049*K$2759*B$570*(1-K$2721)*100/(24*$F$14)</f>
        <v>8.7631638038358411E-2</v>
      </c>
      <c r="L2809" s="306">
        <f t="shared" si="417"/>
        <v>7.1738899636600739E-2</v>
      </c>
      <c r="M2809" s="306">
        <f t="shared" si="417"/>
        <v>1.6422028591216553E-2</v>
      </c>
      <c r="N2809" s="306">
        <f t="shared" si="417"/>
        <v>1.6748573254923498E-2</v>
      </c>
      <c r="O2809" s="306">
        <f t="shared" si="417"/>
        <v>3.1649991075908546E-2</v>
      </c>
      <c r="P2809" s="306">
        <f t="shared" si="417"/>
        <v>3.4089315467605283E-2</v>
      </c>
      <c r="Q2809" s="306">
        <f t="shared" si="417"/>
        <v>0.21909674624688927</v>
      </c>
      <c r="R2809" s="306">
        <f t="shared" si="417"/>
        <v>9.8858430664941405E-2</v>
      </c>
      <c r="S2809" s="306">
        <f t="shared" si="417"/>
        <v>0.22525719134493785</v>
      </c>
      <c r="T2809" s="291"/>
    </row>
    <row r="2810" spans="1:20">
      <c r="A2810" s="289" t="s">
        <v>93</v>
      </c>
      <c r="B2810" s="306">
        <f t="shared" ref="B2810:J2810" si="418">B2050*B$2759*B$571*(1-B$2722)*100/(24*$F$14)</f>
        <v>0</v>
      </c>
      <c r="C2810" s="306">
        <f t="shared" si="418"/>
        <v>0.17630134436125311</v>
      </c>
      <c r="D2810" s="306">
        <f t="shared" si="418"/>
        <v>4.03578216621166E-2</v>
      </c>
      <c r="E2810" s="306">
        <f t="shared" si="418"/>
        <v>4.1158993474312872E-2</v>
      </c>
      <c r="F2810" s="306">
        <f t="shared" si="418"/>
        <v>7.7778671432352398E-2</v>
      </c>
      <c r="G2810" s="306">
        <f t="shared" si="418"/>
        <v>8.377591760868619E-2</v>
      </c>
      <c r="H2810" s="306">
        <f t="shared" si="418"/>
        <v>0.33013365784905557</v>
      </c>
      <c r="I2810" s="306">
        <f t="shared" si="418"/>
        <v>8.7155472536531206E-2</v>
      </c>
      <c r="J2810" s="306">
        <f t="shared" si="418"/>
        <v>5.77658681127119E-2</v>
      </c>
      <c r="K2810" s="306">
        <f t="shared" ref="K2810:S2810" si="419">B2050*K$2759*B$571*(1-K$2722)*100/(24*$F$14)</f>
        <v>0.10405587485625574</v>
      </c>
      <c r="L2810" s="306">
        <f t="shared" si="419"/>
        <v>8.5351361933649797E-2</v>
      </c>
      <c r="M2810" s="306">
        <f t="shared" si="419"/>
        <v>1.9538109910715164E-2</v>
      </c>
      <c r="N2810" s="306">
        <f t="shared" si="419"/>
        <v>1.9925974822134578E-2</v>
      </c>
      <c r="O2810" s="306">
        <f t="shared" si="419"/>
        <v>3.765436707356231E-2</v>
      </c>
      <c r="P2810" s="306">
        <f t="shared" si="419"/>
        <v>4.05577659719428E-2</v>
      </c>
      <c r="Q2810" s="306">
        <f t="shared" si="419"/>
        <v>0.26066197895655113</v>
      </c>
      <c r="R2810" s="306">
        <f t="shared" si="419"/>
        <v>0.11761303905729947</v>
      </c>
      <c r="S2810" s="306">
        <f t="shared" si="419"/>
        <v>0.26799113303125854</v>
      </c>
      <c r="T2810" s="291"/>
    </row>
    <row r="2811" spans="1:20">
      <c r="A2811" s="289" t="s">
        <v>129</v>
      </c>
      <c r="B2811" s="306">
        <f t="shared" ref="B2811:J2811" si="420">B2051*B$2759*B$572*(1-B$2723)*100/(24*$F$14)</f>
        <v>0</v>
      </c>
      <c r="C2811" s="306">
        <f t="shared" si="420"/>
        <v>1.688776752082715E-2</v>
      </c>
      <c r="D2811" s="306">
        <f t="shared" si="420"/>
        <v>3.8658440884051276E-3</v>
      </c>
      <c r="E2811" s="306">
        <f t="shared" si="420"/>
        <v>4.2187789768743508E-3</v>
      </c>
      <c r="F2811" s="306">
        <f t="shared" si="420"/>
        <v>7.9722800824274555E-3</v>
      </c>
      <c r="G2811" s="306">
        <f t="shared" si="420"/>
        <v>8.0248294506505141E-3</v>
      </c>
      <c r="H2811" s="306">
        <f t="shared" si="420"/>
        <v>3.3838556721787698E-2</v>
      </c>
      <c r="I2811" s="306">
        <f t="shared" si="420"/>
        <v>8.9333981280698971E-3</v>
      </c>
      <c r="J2811" s="306">
        <f t="shared" si="420"/>
        <v>5.9209764234613351E-3</v>
      </c>
      <c r="K2811" s="306">
        <f t="shared" ref="K2811:S2811" si="421">B2051*K$2759*B$572*(1-K$2723)*100/(24*$F$14)</f>
        <v>5.4255738745255522E-3</v>
      </c>
      <c r="L2811" s="306">
        <f t="shared" si="421"/>
        <v>8.1757400270751311E-3</v>
      </c>
      <c r="M2811" s="306">
        <f t="shared" si="421"/>
        <v>1.8715402265590602E-3</v>
      </c>
      <c r="N2811" s="306">
        <f t="shared" si="421"/>
        <v>2.0424037756368481E-3</v>
      </c>
      <c r="O2811" s="306">
        <f t="shared" si="421"/>
        <v>3.8595562910593369E-3</v>
      </c>
      <c r="P2811" s="306">
        <f t="shared" si="421"/>
        <v>3.8849965970470255E-3</v>
      </c>
      <c r="Q2811" s="306">
        <f t="shared" si="421"/>
        <v>2.6717739771227995E-2</v>
      </c>
      <c r="R2811" s="306">
        <f t="shared" si="421"/>
        <v>1.205528548434749E-2</v>
      </c>
      <c r="S2811" s="306">
        <f t="shared" si="421"/>
        <v>2.7468974884592601E-2</v>
      </c>
      <c r="T2811" s="291"/>
    </row>
    <row r="2812" spans="1:20">
      <c r="A2812" s="289" t="s">
        <v>94</v>
      </c>
      <c r="B2812" s="306">
        <f t="shared" ref="B2812:J2812" si="422">B2052*B$2759*B$573*(1-B$2724)*100/(24*$F$14)</f>
        <v>0</v>
      </c>
      <c r="C2812" s="306">
        <f t="shared" si="422"/>
        <v>0.1426888397457399</v>
      </c>
      <c r="D2812" s="306">
        <f t="shared" si="422"/>
        <v>3.266345340982274E-2</v>
      </c>
      <c r="E2812" s="306">
        <f t="shared" si="422"/>
        <v>3.2473341305914859E-2</v>
      </c>
      <c r="F2812" s="306">
        <f t="shared" si="422"/>
        <v>6.1365284486844605E-2</v>
      </c>
      <c r="G2812" s="306">
        <f t="shared" si="422"/>
        <v>6.7803728471428015E-2</v>
      </c>
      <c r="H2812" s="306">
        <f t="shared" si="422"/>
        <v>0.26046659655545612</v>
      </c>
      <c r="I2812" s="306">
        <f t="shared" si="422"/>
        <v>6.8763328921621944E-2</v>
      </c>
      <c r="J2812" s="306">
        <f t="shared" si="422"/>
        <v>4.5575719732487308E-2</v>
      </c>
      <c r="K2812" s="306">
        <f t="shared" ref="K2812:S2812" si="423">B2052*K$2759*B$573*(1-K$2724)*100/(24*$F$14)</f>
        <v>8.0844950787526376E-2</v>
      </c>
      <c r="L2812" s="306">
        <f t="shared" si="423"/>
        <v>6.9078808497774508E-2</v>
      </c>
      <c r="M2812" s="306">
        <f t="shared" si="423"/>
        <v>1.5813096854622719E-2</v>
      </c>
      <c r="N2812" s="306">
        <f t="shared" si="423"/>
        <v>1.5721059399960088E-2</v>
      </c>
      <c r="O2812" s="306">
        <f t="shared" si="423"/>
        <v>2.970828512609551E-2</v>
      </c>
      <c r="P2812" s="306">
        <f t="shared" si="423"/>
        <v>3.2825277596054719E-2</v>
      </c>
      <c r="Q2812" s="306">
        <f t="shared" si="423"/>
        <v>0.20565530625558123</v>
      </c>
      <c r="R2812" s="306">
        <f t="shared" si="423"/>
        <v>9.279353154535179E-2</v>
      </c>
      <c r="S2812" s="306">
        <f t="shared" si="423"/>
        <v>0.21143781213488913</v>
      </c>
      <c r="T2812" s="291"/>
    </row>
    <row r="2813" spans="1:20">
      <c r="A2813" s="289" t="s">
        <v>95</v>
      </c>
      <c r="B2813" s="306">
        <f t="shared" ref="B2813:J2813" si="424">B2053*B$2759*B$574*(1-B$2725)*100/(24*$F$14)</f>
        <v>0</v>
      </c>
      <c r="C2813" s="306">
        <f t="shared" si="424"/>
        <v>0.16255521572602891</v>
      </c>
      <c r="D2813" s="306">
        <f t="shared" si="424"/>
        <v>3.7211142264890085E-2</v>
      </c>
      <c r="E2813" s="306">
        <f t="shared" si="424"/>
        <v>3.7222782505991842E-2</v>
      </c>
      <c r="F2813" s="306">
        <f t="shared" si="424"/>
        <v>7.0340363695684055E-2</v>
      </c>
      <c r="G2813" s="306">
        <f t="shared" si="424"/>
        <v>7.7243950741642614E-2</v>
      </c>
      <c r="H2813" s="306">
        <f t="shared" si="424"/>
        <v>0.29856156107636866</v>
      </c>
      <c r="I2813" s="306">
        <f t="shared" si="424"/>
        <v>7.8820421117900163E-2</v>
      </c>
      <c r="J2813" s="306">
        <f t="shared" si="424"/>
        <v>5.2241470539633524E-2</v>
      </c>
      <c r="K2813" s="306">
        <f t="shared" ref="K2813:S2813" si="425">B2053*K$2759*B$574*(1-K$2725)*100/(24*$F$14)</f>
        <v>9.27623205933885E-2</v>
      </c>
      <c r="L2813" s="306">
        <f t="shared" si="425"/>
        <v>7.8696558451678278E-2</v>
      </c>
      <c r="M2813" s="306">
        <f t="shared" si="425"/>
        <v>1.8014733142971896E-2</v>
      </c>
      <c r="N2813" s="306">
        <f t="shared" si="425"/>
        <v>1.8020368439939535E-2</v>
      </c>
      <c r="O2813" s="306">
        <f t="shared" si="425"/>
        <v>3.4053318550044773E-2</v>
      </c>
      <c r="P2813" s="306">
        <f t="shared" si="425"/>
        <v>3.7395497015755695E-2</v>
      </c>
      <c r="Q2813" s="306">
        <f t="shared" si="425"/>
        <v>0.23573375661716431</v>
      </c>
      <c r="R2813" s="306">
        <f t="shared" si="425"/>
        <v>0.10636520000011172</v>
      </c>
      <c r="S2813" s="306">
        <f t="shared" si="425"/>
        <v>0.24236199227229513</v>
      </c>
      <c r="T2813" s="291"/>
    </row>
    <row r="2814" spans="1:20">
      <c r="A2814" s="289" t="s">
        <v>130</v>
      </c>
      <c r="B2814" s="306">
        <f t="shared" ref="B2814:J2814" si="426">B2054*B$2759*B$575*(1-B$2726)*100/(24*$F$14)</f>
        <v>0</v>
      </c>
      <c r="C2814" s="306">
        <f t="shared" si="426"/>
        <v>2.700876150633915E-2</v>
      </c>
      <c r="D2814" s="306">
        <f t="shared" si="426"/>
        <v>6.1826799116968898E-3</v>
      </c>
      <c r="E2814" s="306">
        <f t="shared" si="426"/>
        <v>6.7862070971168682E-3</v>
      </c>
      <c r="F2814" s="306">
        <f t="shared" si="426"/>
        <v>1.282398152928502E-2</v>
      </c>
      <c r="G2814" s="306">
        <f t="shared" si="426"/>
        <v>1.2834183351610386E-2</v>
      </c>
      <c r="H2814" s="306">
        <f t="shared" si="426"/>
        <v>5.4431733693648461E-2</v>
      </c>
      <c r="I2814" s="306">
        <f t="shared" si="426"/>
        <v>1.4370008504923879E-2</v>
      </c>
      <c r="J2814" s="306">
        <f t="shared" si="426"/>
        <v>9.5243131832719562E-3</v>
      </c>
      <c r="K2814" s="306">
        <f t="shared" ref="K2814:S2814" si="427">B2054*K$2759*B$575*(1-K$2726)*100/(24*$F$14)</f>
        <v>1.2640418759035042E-2</v>
      </c>
      <c r="L2814" s="306">
        <f t="shared" si="427"/>
        <v>1.3075536020778171E-2</v>
      </c>
      <c r="M2814" s="306">
        <f t="shared" si="427"/>
        <v>2.9931714518401788E-3</v>
      </c>
      <c r="N2814" s="306">
        <f t="shared" si="427"/>
        <v>3.2853522484541067E-3</v>
      </c>
      <c r="O2814" s="306">
        <f t="shared" si="427"/>
        <v>6.2083717676800695E-3</v>
      </c>
      <c r="P2814" s="306">
        <f t="shared" si="427"/>
        <v>6.2133106944524657E-3</v>
      </c>
      <c r="Q2814" s="306">
        <f t="shared" si="427"/>
        <v>4.2977391384642114E-2</v>
      </c>
      <c r="R2814" s="306">
        <f t="shared" si="427"/>
        <v>1.9391787140330543E-2</v>
      </c>
      <c r="S2814" s="306">
        <f t="shared" si="427"/>
        <v>4.41858066834439E-2</v>
      </c>
      <c r="T2814" s="291"/>
    </row>
    <row r="2815" spans="1:20">
      <c r="A2815" s="289" t="s">
        <v>96</v>
      </c>
      <c r="B2815" s="306">
        <f t="shared" ref="B2815:J2815" si="428">B2055*B$2759*B$576*(1-B$2727)*100/(24*$F$14)</f>
        <v>0</v>
      </c>
      <c r="C2815" s="306">
        <f t="shared" si="428"/>
        <v>0.11815962415020724</v>
      </c>
      <c r="D2815" s="306">
        <f t="shared" si="428"/>
        <v>2.7048375929258253E-2</v>
      </c>
      <c r="E2815" s="306">
        <f t="shared" si="428"/>
        <v>2.712650357376881E-2</v>
      </c>
      <c r="F2815" s="306">
        <f t="shared" si="428"/>
        <v>5.126129748263774E-2</v>
      </c>
      <c r="G2815" s="306">
        <f t="shared" si="428"/>
        <v>5.614779043997261E-2</v>
      </c>
      <c r="H2815" s="306">
        <f t="shared" si="428"/>
        <v>0.21757995260629442</v>
      </c>
      <c r="I2815" s="306">
        <f t="shared" si="428"/>
        <v>5.7441230644068676E-2</v>
      </c>
      <c r="J2815" s="306">
        <f t="shared" si="428"/>
        <v>3.80715342025865E-2</v>
      </c>
      <c r="K2815" s="306">
        <f t="shared" ref="K2815:S2815" si="429">B2055*K$2759*B$576*(1-K$2727)*100/(24*$F$14)</f>
        <v>6.787480918901366E-2</v>
      </c>
      <c r="L2815" s="306">
        <f t="shared" si="429"/>
        <v>5.7203675237571416E-2</v>
      </c>
      <c r="M2815" s="306">
        <f t="shared" si="429"/>
        <v>1.3094714234992085E-2</v>
      </c>
      <c r="N2815" s="306">
        <f t="shared" si="429"/>
        <v>1.3132537547615156E-2</v>
      </c>
      <c r="O2815" s="306">
        <f t="shared" si="429"/>
        <v>2.4816722586436933E-2</v>
      </c>
      <c r="P2815" s="306">
        <f t="shared" si="429"/>
        <v>2.7182381399186072E-2</v>
      </c>
      <c r="Q2815" s="306">
        <f t="shared" si="429"/>
        <v>0.17179351356401404</v>
      </c>
      <c r="R2815" s="306">
        <f t="shared" si="429"/>
        <v>7.7514784862287203E-2</v>
      </c>
      <c r="S2815" s="306">
        <f t="shared" si="429"/>
        <v>0.17662391167188646</v>
      </c>
      <c r="T2815" s="291"/>
    </row>
    <row r="2816" spans="1:20">
      <c r="A2816" s="289" t="s">
        <v>97</v>
      </c>
      <c r="B2816" s="306">
        <f t="shared" ref="B2816:J2816" si="430">B2056*B$2759*B$577*(1-B$2728)*100/(24*$F$14)</f>
        <v>0</v>
      </c>
      <c r="C2816" s="306">
        <f t="shared" si="430"/>
        <v>0.11449858570769508</v>
      </c>
      <c r="D2816" s="306">
        <f t="shared" si="430"/>
        <v>2.6210313479443321E-2</v>
      </c>
      <c r="E2816" s="306">
        <f t="shared" si="430"/>
        <v>2.6206350403355411E-2</v>
      </c>
      <c r="F2816" s="306">
        <f t="shared" si="430"/>
        <v>4.9522472378625261E-2</v>
      </c>
      <c r="G2816" s="306">
        <f t="shared" si="430"/>
        <v>5.4408116496853572E-2</v>
      </c>
      <c r="H2816" s="306">
        <f t="shared" si="430"/>
        <v>0.21019946279622259</v>
      </c>
      <c r="I2816" s="306">
        <f t="shared" si="430"/>
        <v>5.5492777156657291E-2</v>
      </c>
      <c r="J2816" s="306">
        <f t="shared" si="430"/>
        <v>0</v>
      </c>
      <c r="K2816" s="306">
        <f t="shared" ref="K2816:S2816" si="431">B2056*K$2759*B$577*(1-K$2728)*100/(24*$F$14)</f>
        <v>6.5356481501040981E-2</v>
      </c>
      <c r="L2816" s="306">
        <f t="shared" si="431"/>
        <v>5.5431285932816154E-2</v>
      </c>
      <c r="M2816" s="306">
        <f t="shared" si="431"/>
        <v>1.2688989753784576E-2</v>
      </c>
      <c r="N2816" s="306">
        <f t="shared" si="431"/>
        <v>1.2687071141406573E-2</v>
      </c>
      <c r="O2816" s="306">
        <f t="shared" si="431"/>
        <v>2.3974919074787118E-2</v>
      </c>
      <c r="P2816" s="306">
        <f t="shared" si="431"/>
        <v>2.6340166945838288E-2</v>
      </c>
      <c r="Q2816" s="306">
        <f t="shared" si="431"/>
        <v>0.16596613718531839</v>
      </c>
      <c r="R2816" s="306">
        <f t="shared" si="431"/>
        <v>7.4885420010640122E-2</v>
      </c>
      <c r="S2816" s="306">
        <f t="shared" si="431"/>
        <v>0</v>
      </c>
      <c r="T2816" s="291"/>
    </row>
    <row r="2817" spans="1:20">
      <c r="A2817" s="289" t="s">
        <v>110</v>
      </c>
      <c r="B2817" s="306">
        <f t="shared" ref="B2817:J2817" si="432">B2057*B$2759*B$578*(1-B$2729)*100/(24*$F$14)</f>
        <v>0</v>
      </c>
      <c r="C2817" s="306">
        <f t="shared" si="432"/>
        <v>0.11200634943064168</v>
      </c>
      <c r="D2817" s="306">
        <f t="shared" si="432"/>
        <v>2.5639806047559641E-2</v>
      </c>
      <c r="E2817" s="306">
        <f t="shared" si="432"/>
        <v>2.5584237033799157E-2</v>
      </c>
      <c r="F2817" s="306">
        <f t="shared" si="432"/>
        <v>3.5890720954239612E-2</v>
      </c>
      <c r="G2817" s="306">
        <f t="shared" si="432"/>
        <v>3.9511193603613132E-2</v>
      </c>
      <c r="H2817" s="306">
        <f t="shared" si="432"/>
        <v>0.16222568028369219</v>
      </c>
      <c r="I2817" s="306">
        <f t="shared" si="432"/>
        <v>0</v>
      </c>
      <c r="J2817" s="306">
        <f t="shared" si="432"/>
        <v>0</v>
      </c>
      <c r="K2817" s="306">
        <f t="shared" ref="K2817:S2817" si="433">B2057*K$2759*B$578*(1-K$2729)*100/(24*$F$14)</f>
        <v>6.3703872949850207E-2</v>
      </c>
      <c r="L2817" s="306">
        <f t="shared" si="433"/>
        <v>5.4224739486573019E-2</v>
      </c>
      <c r="M2817" s="306">
        <f t="shared" si="433"/>
        <v>1.2412794546760152E-2</v>
      </c>
      <c r="N2817" s="306">
        <f t="shared" si="433"/>
        <v>1.2385892363892793E-2</v>
      </c>
      <c r="O2817" s="306">
        <f t="shared" si="433"/>
        <v>2.340577772313426E-2</v>
      </c>
      <c r="P2817" s="306">
        <f t="shared" si="433"/>
        <v>2.5766833055290071E-2</v>
      </c>
      <c r="Q2817" s="306">
        <f t="shared" si="433"/>
        <v>0.16202626187847771</v>
      </c>
      <c r="R2817" s="306">
        <f t="shared" si="433"/>
        <v>0</v>
      </c>
      <c r="S2817" s="306">
        <f t="shared" si="433"/>
        <v>0</v>
      </c>
      <c r="T2817" s="291"/>
    </row>
    <row r="2818" spans="1:20">
      <c r="A2818" s="289" t="s">
        <v>1536</v>
      </c>
      <c r="B2818" s="306">
        <f t="shared" ref="B2818:J2818" si="434">B2058*B$2759*B$579*(1-B$2730)*100/(24*$F$14)</f>
        <v>0</v>
      </c>
      <c r="C2818" s="306">
        <f t="shared" si="434"/>
        <v>0.78711539203300873</v>
      </c>
      <c r="D2818" s="306">
        <f t="shared" si="434"/>
        <v>0.18018162444685612</v>
      </c>
      <c r="E2818" s="306">
        <f t="shared" si="434"/>
        <v>0.18958020168977646</v>
      </c>
      <c r="F2818" s="306">
        <f t="shared" si="434"/>
        <v>0.35825210901988402</v>
      </c>
      <c r="G2818" s="306">
        <f t="shared" si="434"/>
        <v>0.37402615658090482</v>
      </c>
      <c r="H2818" s="306">
        <f t="shared" si="434"/>
        <v>1.5206106893422395</v>
      </c>
      <c r="I2818" s="306">
        <f t="shared" si="434"/>
        <v>0.40144208269221304</v>
      </c>
      <c r="J2818" s="306">
        <f t="shared" si="434"/>
        <v>0.26607222390964402</v>
      </c>
      <c r="K2818" s="306">
        <f t="shared" ref="K2818:S2818" si="435">B2058*K$2759*B$579*(1-K$2730)*100/(24*$F$14)</f>
        <v>0.52201153802627698</v>
      </c>
      <c r="L2818" s="306">
        <f t="shared" si="435"/>
        <v>0.38105988897791332</v>
      </c>
      <c r="M2818" s="306">
        <f t="shared" si="435"/>
        <v>8.7229890944248906E-2</v>
      </c>
      <c r="N2818" s="306">
        <f t="shared" si="435"/>
        <v>9.1779949089455887E-2</v>
      </c>
      <c r="O2818" s="306">
        <f t="shared" si="435"/>
        <v>0.17343773260057826</v>
      </c>
      <c r="P2818" s="306">
        <f t="shared" si="435"/>
        <v>0.18107429627748683</v>
      </c>
      <c r="Q2818" s="306">
        <f t="shared" si="435"/>
        <v>1.2006209669407915</v>
      </c>
      <c r="R2818" s="306">
        <f t="shared" si="435"/>
        <v>0.54173102361567493</v>
      </c>
      <c r="S2818" s="306">
        <f t="shared" si="435"/>
        <v>1.2343793849780458</v>
      </c>
      <c r="T2818" s="291"/>
    </row>
    <row r="2819" spans="1:20">
      <c r="A2819" s="289" t="s">
        <v>1535</v>
      </c>
      <c r="B2819" s="306">
        <f t="shared" ref="B2819:J2819" si="436">B2059*B$2759*B$580*(1-B$2731)*100/(24*$F$14)</f>
        <v>0</v>
      </c>
      <c r="C2819" s="306">
        <f t="shared" si="436"/>
        <v>0.7914505099919199</v>
      </c>
      <c r="D2819" s="306">
        <f t="shared" si="436"/>
        <v>0.18117399304225082</v>
      </c>
      <c r="E2819" s="306">
        <f t="shared" si="436"/>
        <v>0.19064498967482635</v>
      </c>
      <c r="F2819" s="306">
        <f t="shared" si="436"/>
        <v>0.36026425236556608</v>
      </c>
      <c r="G2819" s="306">
        <f t="shared" si="436"/>
        <v>0.37608614362334897</v>
      </c>
      <c r="H2819" s="306">
        <f t="shared" si="436"/>
        <v>1.5291512857627427</v>
      </c>
      <c r="I2819" s="306">
        <f t="shared" si="436"/>
        <v>0.40369680498142924</v>
      </c>
      <c r="J2819" s="306">
        <f t="shared" si="436"/>
        <v>0.26756663368792921</v>
      </c>
      <c r="K2819" s="306">
        <f t="shared" ref="K2819:S2819" si="437">B2059*K$2759*B$580*(1-K$2731)*100/(24*$F$14)</f>
        <v>0.52515214314204606</v>
      </c>
      <c r="L2819" s="306">
        <f t="shared" si="437"/>
        <v>0.38315861501586079</v>
      </c>
      <c r="M2819" s="306">
        <f t="shared" si="437"/>
        <v>8.7710318427453832E-2</v>
      </c>
      <c r="N2819" s="306">
        <f t="shared" si="437"/>
        <v>9.2295436393445854E-2</v>
      </c>
      <c r="O2819" s="306">
        <f t="shared" si="437"/>
        <v>0.17441185548989549</v>
      </c>
      <c r="P2819" s="306">
        <f t="shared" si="437"/>
        <v>0.18207158135364607</v>
      </c>
      <c r="Q2819" s="306">
        <f t="shared" si="437"/>
        <v>1.2073643228862054</v>
      </c>
      <c r="R2819" s="306">
        <f t="shared" si="437"/>
        <v>0.54477368672043647</v>
      </c>
      <c r="S2819" s="306">
        <f t="shared" si="437"/>
        <v>1.2413123469983556</v>
      </c>
      <c r="T2819" s="291"/>
    </row>
    <row r="2820" spans="1:20">
      <c r="A2820" s="289" t="s">
        <v>98</v>
      </c>
      <c r="B2820" s="306">
        <f t="shared" ref="B2820:J2820" si="438">B2060*B$2759*B$581*(1-B$2732)*100/(24*$F$14)</f>
        <v>0</v>
      </c>
      <c r="C2820" s="306">
        <f t="shared" si="438"/>
        <v>0.76123771367510851</v>
      </c>
      <c r="D2820" s="306">
        <f t="shared" si="438"/>
        <v>0.17425786514722325</v>
      </c>
      <c r="E2820" s="306">
        <f t="shared" si="438"/>
        <v>0.18323559687750593</v>
      </c>
      <c r="F2820" s="306">
        <f t="shared" si="438"/>
        <v>0.34626262892315401</v>
      </c>
      <c r="G2820" s="306">
        <f t="shared" si="438"/>
        <v>0.36172944802278229</v>
      </c>
      <c r="H2820" s="306">
        <f t="shared" si="438"/>
        <v>1.4697210193703825</v>
      </c>
      <c r="I2820" s="306">
        <f t="shared" si="438"/>
        <v>0.3880071810147438</v>
      </c>
      <c r="J2820" s="306">
        <f t="shared" si="438"/>
        <v>0.25716769117267052</v>
      </c>
      <c r="K2820" s="306">
        <f t="shared" ref="K2820:S2820" si="439">B2060*K$2759*B$581*(1-K$2732)*100/(24*$F$14)</f>
        <v>0.50509735479478512</v>
      </c>
      <c r="L2820" s="306">
        <f t="shared" si="439"/>
        <v>0.36853193520915511</v>
      </c>
      <c r="M2820" s="306">
        <f t="shared" si="439"/>
        <v>8.4362068660632172E-2</v>
      </c>
      <c r="N2820" s="306">
        <f t="shared" si="439"/>
        <v>8.8708386228605149E-2</v>
      </c>
      <c r="O2820" s="306">
        <f t="shared" si="439"/>
        <v>0.16763336134725734</v>
      </c>
      <c r="P2820" s="306">
        <f t="shared" si="439"/>
        <v>0.17512118896262518</v>
      </c>
      <c r="Q2820" s="306">
        <f t="shared" si="439"/>
        <v>1.1604402650707171</v>
      </c>
      <c r="R2820" s="306">
        <f t="shared" si="439"/>
        <v>0.52360112804244108</v>
      </c>
      <c r="S2820" s="306">
        <f t="shared" si="439"/>
        <v>1.1930689036287605</v>
      </c>
      <c r="T2820" s="291"/>
    </row>
    <row r="2821" spans="1:20">
      <c r="A2821" s="289" t="s">
        <v>99</v>
      </c>
      <c r="B2821" s="306">
        <f t="shared" ref="B2821:J2821" si="440">B2061*B$2759*B$582*(1-B$2733)*100/(24*$F$14)</f>
        <v>0</v>
      </c>
      <c r="C2821" s="306">
        <f t="shared" si="440"/>
        <v>0.80321506531868769</v>
      </c>
      <c r="D2821" s="306">
        <f t="shared" si="440"/>
        <v>0.18386706284005633</v>
      </c>
      <c r="E2821" s="306">
        <f t="shared" si="440"/>
        <v>0.1933398585891517</v>
      </c>
      <c r="F2821" s="306">
        <f t="shared" si="440"/>
        <v>0.3653567802956133</v>
      </c>
      <c r="G2821" s="306">
        <f t="shared" si="440"/>
        <v>0.38167649474250209</v>
      </c>
      <c r="H2821" s="306">
        <f t="shared" si="440"/>
        <v>1.5507666572043493</v>
      </c>
      <c r="I2821" s="306">
        <f t="shared" si="440"/>
        <v>0.4094032752768853</v>
      </c>
      <c r="J2821" s="306">
        <f t="shared" si="440"/>
        <v>0</v>
      </c>
      <c r="K2821" s="306">
        <f t="shared" ref="K2821:S2821" si="441">B2061*K$2759*B$582*(1-K$2733)*100/(24*$F$14)</f>
        <v>0.53295021717347635</v>
      </c>
      <c r="L2821" s="306">
        <f t="shared" si="441"/>
        <v>0.38885409523651004</v>
      </c>
      <c r="M2821" s="306">
        <f t="shared" si="441"/>
        <v>8.9014092802276998E-2</v>
      </c>
      <c r="N2821" s="306">
        <f t="shared" si="441"/>
        <v>9.3600081760182349E-2</v>
      </c>
      <c r="O2821" s="306">
        <f t="shared" si="441"/>
        <v>0.17687726036862428</v>
      </c>
      <c r="P2821" s="306">
        <f t="shared" si="441"/>
        <v>0.18477799339738701</v>
      </c>
      <c r="Q2821" s="306">
        <f t="shared" si="441"/>
        <v>1.2244310634680642</v>
      </c>
      <c r="R2821" s="306">
        <f t="shared" si="441"/>
        <v>0.55247435420815449</v>
      </c>
      <c r="S2821" s="306">
        <f t="shared" si="441"/>
        <v>0</v>
      </c>
      <c r="T2821" s="291"/>
    </row>
    <row r="2822" spans="1:20">
      <c r="A2822" s="289" t="s">
        <v>111</v>
      </c>
      <c r="B2822" s="306">
        <f t="shared" ref="B2822:J2822" si="442">B2062*B$2759*B$583*(1-B$2734)*100/(24*$F$14)</f>
        <v>0</v>
      </c>
      <c r="C2822" s="306">
        <f t="shared" si="442"/>
        <v>0.66313391266554544</v>
      </c>
      <c r="D2822" s="306">
        <f t="shared" si="442"/>
        <v>0.15180054515420635</v>
      </c>
      <c r="E2822" s="306">
        <f t="shared" si="442"/>
        <v>0.15962128007342352</v>
      </c>
      <c r="F2822" s="306">
        <f t="shared" si="442"/>
        <v>0.22392392682671489</v>
      </c>
      <c r="G2822" s="306">
        <f t="shared" si="442"/>
        <v>0.23392613491679398</v>
      </c>
      <c r="H2822" s="306">
        <f t="shared" si="442"/>
        <v>1.0121337882171597</v>
      </c>
      <c r="I2822" s="306">
        <f t="shared" si="442"/>
        <v>0</v>
      </c>
      <c r="J2822" s="306">
        <f t="shared" si="442"/>
        <v>0</v>
      </c>
      <c r="K2822" s="306">
        <f t="shared" ref="K2822:S2822" si="443">B2062*K$2759*B$583*(1-K$2734)*100/(24*$F$14)</f>
        <v>0.44000340385793923</v>
      </c>
      <c r="L2822" s="306">
        <f t="shared" si="443"/>
        <v>0.32103772546633791</v>
      </c>
      <c r="M2822" s="306">
        <f t="shared" si="443"/>
        <v>7.3489985672676075E-2</v>
      </c>
      <c r="N2822" s="306">
        <f t="shared" si="443"/>
        <v>7.7276175614083772E-2</v>
      </c>
      <c r="O2822" s="306">
        <f t="shared" si="443"/>
        <v>0.1460297681085829</v>
      </c>
      <c r="P2822" s="306">
        <f t="shared" si="443"/>
        <v>0.15255260891736505</v>
      </c>
      <c r="Q2822" s="306">
        <f t="shared" si="443"/>
        <v>1.0108896072369538</v>
      </c>
      <c r="R2822" s="306">
        <f t="shared" si="443"/>
        <v>0</v>
      </c>
      <c r="S2822" s="306">
        <f t="shared" si="443"/>
        <v>0</v>
      </c>
      <c r="T2822" s="291"/>
    </row>
    <row r="2823" spans="1:20">
      <c r="A2823" s="289" t="s">
        <v>131</v>
      </c>
      <c r="B2823" s="306">
        <f t="shared" ref="B2823:J2823" si="444">B2063*B$2759*B$584*(1-B$2735)*100/(24*$F$14)</f>
        <v>0</v>
      </c>
      <c r="C2823" s="306">
        <f t="shared" si="444"/>
        <v>8.685720289211539E-2</v>
      </c>
      <c r="D2823" s="306">
        <f t="shared" si="444"/>
        <v>1.9882817780490329E-2</v>
      </c>
      <c r="E2823" s="306">
        <f t="shared" si="444"/>
        <v>2.0487779373387225E-2</v>
      </c>
      <c r="F2823" s="306">
        <f t="shared" si="444"/>
        <v>3.8716016251848215E-2</v>
      </c>
      <c r="G2823" s="306">
        <f t="shared" si="444"/>
        <v>4.1273320402484763E-2</v>
      </c>
      <c r="H2823" s="306">
        <f t="shared" si="444"/>
        <v>0.16433116980768619</v>
      </c>
      <c r="I2823" s="306">
        <f t="shared" si="444"/>
        <v>4.3383521845016905E-2</v>
      </c>
      <c r="J2823" s="306">
        <f t="shared" si="444"/>
        <v>2.8754210472713298E-2</v>
      </c>
      <c r="K2823" s="306">
        <f t="shared" ref="K2823:S2823" si="445">B2063*K$2759*B$584*(1-K$2735)*100/(24*$F$14)</f>
        <v>4.943685129551164E-2</v>
      </c>
      <c r="L2823" s="306">
        <f t="shared" si="445"/>
        <v>4.204948400959943E-2</v>
      </c>
      <c r="M2823" s="306">
        <f t="shared" si="445"/>
        <v>9.6257097913338679E-3</v>
      </c>
      <c r="N2823" s="306">
        <f t="shared" si="445"/>
        <v>9.9185850161846636E-3</v>
      </c>
      <c r="O2823" s="306">
        <f t="shared" si="445"/>
        <v>1.8743275768615231E-2</v>
      </c>
      <c r="P2823" s="306">
        <f t="shared" si="445"/>
        <v>1.9981323004875415E-2</v>
      </c>
      <c r="Q2823" s="306">
        <f t="shared" si="445"/>
        <v>0.12975013879348704</v>
      </c>
      <c r="R2823" s="306">
        <f t="shared" si="445"/>
        <v>5.8544434453757094E-2</v>
      </c>
      <c r="S2823" s="306">
        <f t="shared" si="445"/>
        <v>0.13339838378203081</v>
      </c>
      <c r="T2823" s="291"/>
    </row>
    <row r="2824" spans="1:20">
      <c r="A2824" s="289" t="s">
        <v>132</v>
      </c>
      <c r="B2824" s="306">
        <f t="shared" ref="B2824:J2824" si="446">B2064*B$2759*B$585*(1-B$2736)*100/(24*$F$14)</f>
        <v>0</v>
      </c>
      <c r="C2824" s="306">
        <f t="shared" si="446"/>
        <v>0.11313075655146068</v>
      </c>
      <c r="D2824" s="306">
        <f t="shared" si="446"/>
        <v>2.5897198424356522E-2</v>
      </c>
      <c r="E2824" s="306">
        <f t="shared" si="446"/>
        <v>2.8237640354945415E-2</v>
      </c>
      <c r="F2824" s="306">
        <f t="shared" si="446"/>
        <v>5.3361026735576668E-2</v>
      </c>
      <c r="G2824" s="306">
        <f t="shared" si="446"/>
        <v>5.3758143332379875E-2</v>
      </c>
      <c r="H2824" s="306">
        <f t="shared" si="446"/>
        <v>0.22649230976025134</v>
      </c>
      <c r="I2824" s="306">
        <f t="shared" si="446"/>
        <v>5.9794097977343121E-2</v>
      </c>
      <c r="J2824" s="306">
        <f t="shared" si="446"/>
        <v>3.9630993638752957E-2</v>
      </c>
      <c r="K2824" s="306">
        <f t="shared" ref="K2824:S2824" si="447">B2064*K$2759*B$585*(1-K$2736)*100/(24*$F$14)</f>
        <v>7.166538602028763E-2</v>
      </c>
      <c r="L2824" s="306">
        <f t="shared" si="447"/>
        <v>5.4769089726654847E-2</v>
      </c>
      <c r="M2824" s="306">
        <f t="shared" si="447"/>
        <v>1.2537403862647938E-2</v>
      </c>
      <c r="N2824" s="306">
        <f t="shared" si="447"/>
        <v>1.3670463324140533E-2</v>
      </c>
      <c r="O2824" s="306">
        <f t="shared" si="447"/>
        <v>2.5833247741588551E-2</v>
      </c>
      <c r="P2824" s="306">
        <f t="shared" si="447"/>
        <v>2.6025500628294614E-2</v>
      </c>
      <c r="Q2824" s="306">
        <f t="shared" si="447"/>
        <v>0.17883039877000587</v>
      </c>
      <c r="R2824" s="306">
        <f t="shared" si="447"/>
        <v>8.0689891020412394E-2</v>
      </c>
      <c r="S2824" s="306">
        <f t="shared" si="447"/>
        <v>0.18385865625149003</v>
      </c>
      <c r="T2824" s="291"/>
    </row>
    <row r="2825" spans="1:20">
      <c r="A2825" s="289" t="s">
        <v>133</v>
      </c>
      <c r="B2825" s="306">
        <f t="shared" ref="B2825:J2825" si="448">B2065*B$2759*B$586*(1-B$2737)*100/(24*$F$14)</f>
        <v>0</v>
      </c>
      <c r="C2825" s="306">
        <f t="shared" si="448"/>
        <v>0.20266785546710711</v>
      </c>
      <c r="D2825" s="306">
        <f t="shared" si="448"/>
        <v>4.6393481554090385E-2</v>
      </c>
      <c r="E2825" s="306">
        <f t="shared" si="448"/>
        <v>4.9702937904175661E-2</v>
      </c>
      <c r="F2825" s="306">
        <f t="shared" si="448"/>
        <v>9.3924271468983758E-2</v>
      </c>
      <c r="G2825" s="306">
        <f t="shared" si="448"/>
        <v>9.6304912608896717E-2</v>
      </c>
      <c r="H2825" s="306">
        <f t="shared" si="448"/>
        <v>0.39866409042268053</v>
      </c>
      <c r="I2825" s="306">
        <f t="shared" si="448"/>
        <v>0.10524754552600527</v>
      </c>
      <c r="J2825" s="306">
        <f t="shared" si="448"/>
        <v>6.9757132364735311E-2</v>
      </c>
      <c r="K2825" s="306">
        <f t="shared" ref="K2825:S2825" si="449">B2065*K$2759*B$586*(1-K$2737)*100/(24*$F$14)</f>
        <v>0.13072736427001849</v>
      </c>
      <c r="L2825" s="306">
        <f t="shared" si="449"/>
        <v>9.8115970396941421E-2</v>
      </c>
      <c r="M2825" s="306">
        <f t="shared" si="449"/>
        <v>2.2460105734483177E-2</v>
      </c>
      <c r="N2825" s="306">
        <f t="shared" si="449"/>
        <v>2.406228640850544E-2</v>
      </c>
      <c r="O2825" s="306">
        <f t="shared" si="449"/>
        <v>4.5470807483334555E-2</v>
      </c>
      <c r="P2825" s="306">
        <f t="shared" si="449"/>
        <v>4.6623328267013313E-2</v>
      </c>
      <c r="Q2825" s="306">
        <f t="shared" si="449"/>
        <v>0.31477120941119641</v>
      </c>
      <c r="R2825" s="306">
        <f t="shared" si="449"/>
        <v>0.14202761252251281</v>
      </c>
      <c r="S2825" s="306">
        <f t="shared" si="449"/>
        <v>0.32362177788033702</v>
      </c>
      <c r="T2825" s="291"/>
    </row>
    <row r="2826" spans="1:20">
      <c r="A2826" s="289" t="s">
        <v>134</v>
      </c>
      <c r="B2826" s="306">
        <f t="shared" ref="B2826:J2826" si="450">B2066*B$2759*B$587*(1-B$2738)*100/(24*$F$14)</f>
        <v>0</v>
      </c>
      <c r="C2826" s="306">
        <f t="shared" si="450"/>
        <v>5.9673497996067033E-2</v>
      </c>
      <c r="D2826" s="306">
        <f t="shared" si="450"/>
        <v>1.3660090901775515E-2</v>
      </c>
      <c r="E2826" s="306">
        <f t="shared" si="450"/>
        <v>1.2616786795226107E-2</v>
      </c>
      <c r="F2826" s="306">
        <f t="shared" si="450"/>
        <v>2.3842101855342239E-2</v>
      </c>
      <c r="G2826" s="306">
        <f t="shared" si="450"/>
        <v>2.8356006414204736E-2</v>
      </c>
      <c r="H2826" s="306">
        <f t="shared" si="450"/>
        <v>0.10119844105539549</v>
      </c>
      <c r="I2826" s="306">
        <f t="shared" si="450"/>
        <v>2.6716445719618179E-2</v>
      </c>
      <c r="J2826" s="306">
        <f t="shared" si="450"/>
        <v>1.7707421404123722E-2</v>
      </c>
      <c r="K2826" s="306">
        <f t="shared" ref="K2826:S2826" si="451">B2066*K$2759*B$587*(1-K$2738)*100/(24*$F$14)</f>
        <v>2.6935537169242952E-2</v>
      </c>
      <c r="L2826" s="306">
        <f t="shared" si="451"/>
        <v>2.888925404262891E-2</v>
      </c>
      <c r="M2826" s="306">
        <f t="shared" si="451"/>
        <v>6.6131507211594351E-3</v>
      </c>
      <c r="N2826" s="306">
        <f t="shared" si="451"/>
        <v>6.1080642357013437E-3</v>
      </c>
      <c r="O2826" s="306">
        <f t="shared" si="451"/>
        <v>1.1542486372335879E-2</v>
      </c>
      <c r="P2826" s="306">
        <f t="shared" si="451"/>
        <v>1.372776693915893E-2</v>
      </c>
      <c r="Q2826" s="306">
        <f t="shared" si="451"/>
        <v>7.9902746313973677E-2</v>
      </c>
      <c r="R2826" s="306">
        <f t="shared" si="451"/>
        <v>3.6052840773442195E-2</v>
      </c>
      <c r="S2826" s="306">
        <f t="shared" si="451"/>
        <v>8.2149408988260328E-2</v>
      </c>
      <c r="T2826" s="291"/>
    </row>
    <row r="2827" spans="1:20">
      <c r="A2827" s="289" t="s">
        <v>135</v>
      </c>
      <c r="B2827" s="306">
        <f t="shared" ref="B2827:J2827" si="452">B2067*B$2759*B$588*(1-B$2739)*100/(24*$F$14)</f>
        <v>0</v>
      </c>
      <c r="C2827" s="306">
        <f t="shared" si="452"/>
        <v>2.1332360134172821</v>
      </c>
      <c r="D2827" s="306">
        <f t="shared" si="452"/>
        <v>0.48832729497677285</v>
      </c>
      <c r="E2827" s="306">
        <f t="shared" si="452"/>
        <v>0.51973357274532406</v>
      </c>
      <c r="F2827" s="306">
        <f t="shared" si="452"/>
        <v>0.98214711718229264</v>
      </c>
      <c r="G2827" s="306">
        <f t="shared" si="452"/>
        <v>1.0136837308156428</v>
      </c>
      <c r="H2827" s="306">
        <f t="shared" si="452"/>
        <v>4.1687497918153724</v>
      </c>
      <c r="I2827" s="306">
        <f t="shared" si="452"/>
        <v>1.1005523046618808</v>
      </c>
      <c r="J2827" s="306">
        <f t="shared" si="452"/>
        <v>0.72943622967097244</v>
      </c>
      <c r="K2827" s="306">
        <f t="shared" ref="K2827:S2827" si="453">B2067*K$2759*B$588*(1-K$2739)*100/(24*$F$14)</f>
        <v>1.4285122025287096</v>
      </c>
      <c r="L2827" s="306">
        <f t="shared" si="453"/>
        <v>1.0327465155228299</v>
      </c>
      <c r="M2827" s="306">
        <f t="shared" si="453"/>
        <v>0.2364099936200082</v>
      </c>
      <c r="N2827" s="306">
        <f t="shared" si="453"/>
        <v>0.25161446407100868</v>
      </c>
      <c r="O2827" s="306">
        <f t="shared" si="453"/>
        <v>0.47547904058489959</v>
      </c>
      <c r="P2827" s="306">
        <f t="shared" si="453"/>
        <v>0.49074660949728577</v>
      </c>
      <c r="Q2827" s="306">
        <f t="shared" si="453"/>
        <v>3.291498896504939</v>
      </c>
      <c r="R2827" s="306">
        <f t="shared" si="453"/>
        <v>1.4851540290662095</v>
      </c>
      <c r="S2827" s="306">
        <f t="shared" si="453"/>
        <v>3.3840475015826104</v>
      </c>
      <c r="T2827" s="291"/>
    </row>
    <row r="2828" spans="1:20">
      <c r="A2828" s="289" t="s">
        <v>102</v>
      </c>
      <c r="B2828" s="306">
        <f t="shared" ref="B2828:J2828" si="454">B2068*B$2759*B$592*(1-B$2743)*100/(24*$F$14)</f>
        <v>0</v>
      </c>
      <c r="C2828" s="306">
        <f t="shared" si="454"/>
        <v>-0.63018294935284425</v>
      </c>
      <c r="D2828" s="306">
        <f t="shared" si="454"/>
        <v>-0.14425761287659403</v>
      </c>
      <c r="E2828" s="306">
        <f t="shared" si="454"/>
        <v>-0.15168973737417613</v>
      </c>
      <c r="F2828" s="306">
        <f t="shared" si="454"/>
        <v>-0.28665001854938671</v>
      </c>
      <c r="G2828" s="306">
        <f t="shared" si="454"/>
        <v>-0.29945406845681238</v>
      </c>
      <c r="H2828" s="306">
        <f t="shared" si="454"/>
        <v>-1.2166936951155698</v>
      </c>
      <c r="I2828" s="306">
        <f t="shared" si="454"/>
        <v>-0.32120782419131666</v>
      </c>
      <c r="J2828" s="306">
        <f t="shared" si="454"/>
        <v>0</v>
      </c>
      <c r="K2828" s="306">
        <f t="shared" ref="K2828:S2828" si="455">B2068*K$2759*B$592*(1-K$2743)*100/(24*$F$14)</f>
        <v>-0.41813974141952143</v>
      </c>
      <c r="L2828" s="306">
        <f t="shared" si="455"/>
        <v>-0.30508543873843885</v>
      </c>
      <c r="M2828" s="306">
        <f t="shared" si="455"/>
        <v>-6.983828610566474E-2</v>
      </c>
      <c r="N2828" s="306">
        <f t="shared" si="455"/>
        <v>-7.3436341187021706E-2</v>
      </c>
      <c r="O2828" s="306">
        <f t="shared" si="455"/>
        <v>-0.1387735843429744</v>
      </c>
      <c r="P2828" s="306">
        <f t="shared" si="455"/>
        <v>-0.14497230677373421</v>
      </c>
      <c r="Q2828" s="306">
        <f t="shared" si="455"/>
        <v>-0.96065874779053639</v>
      </c>
      <c r="R2828" s="306">
        <f t="shared" si="455"/>
        <v>-0.43345790313154181</v>
      </c>
      <c r="S2828" s="306">
        <f t="shared" si="455"/>
        <v>0</v>
      </c>
      <c r="T2828" s="291"/>
    </row>
    <row r="2829" spans="1:20">
      <c r="A2829" s="289" t="s">
        <v>104</v>
      </c>
      <c r="B2829" s="306">
        <f t="shared" ref="B2829:J2829" si="456">B2069*B$2759*B$594*(1-B$2745)*100/(24*$F$14)</f>
        <v>0</v>
      </c>
      <c r="C2829" s="306">
        <f t="shared" si="456"/>
        <v>-0.6203272822516499</v>
      </c>
      <c r="D2829" s="306">
        <f t="shared" si="456"/>
        <v>-0.14200151405515693</v>
      </c>
      <c r="E2829" s="306">
        <f t="shared" si="456"/>
        <v>-0.14931740477494798</v>
      </c>
      <c r="F2829" s="306">
        <f t="shared" si="456"/>
        <v>-0.28216699158035308</v>
      </c>
      <c r="G2829" s="306">
        <f t="shared" si="456"/>
        <v>-0.29477079415711976</v>
      </c>
      <c r="H2829" s="306">
        <f t="shared" si="456"/>
        <v>-1.1976653668570929</v>
      </c>
      <c r="I2829" s="306">
        <f t="shared" si="456"/>
        <v>0</v>
      </c>
      <c r="J2829" s="306">
        <f t="shared" si="456"/>
        <v>0</v>
      </c>
      <c r="K2829" s="306">
        <f t="shared" ref="K2829:S2829" si="457">B2069*K$2759*B$594*(1-K$2745)*100/(24*$F$14)</f>
        <v>-0.41160029744147925</v>
      </c>
      <c r="L2829" s="306">
        <f t="shared" si="457"/>
        <v>-0.300314093330386</v>
      </c>
      <c r="M2829" s="306">
        <f t="shared" si="457"/>
        <v>-6.8746059000056356E-2</v>
      </c>
      <c r="N2829" s="306">
        <f t="shared" si="457"/>
        <v>-7.228784275079414E-2</v>
      </c>
      <c r="O2829" s="306">
        <f t="shared" si="457"/>
        <v>-0.13660325229713216</v>
      </c>
      <c r="P2829" s="306">
        <f t="shared" si="457"/>
        <v>-0.14270503058684045</v>
      </c>
      <c r="Q2829" s="306">
        <f t="shared" si="457"/>
        <v>-0.94563464593916668</v>
      </c>
      <c r="R2829" s="306">
        <f t="shared" si="457"/>
        <v>0</v>
      </c>
      <c r="S2829" s="306">
        <f t="shared" si="457"/>
        <v>0</v>
      </c>
      <c r="T2829" s="291"/>
    </row>
    <row r="2830" spans="1:20">
      <c r="A2830" s="289" t="s">
        <v>113</v>
      </c>
      <c r="B2830" s="306">
        <f t="shared" ref="B2830:J2830" si="458">B2070*B$2759*B$596*(1-B$2747)*100/(24*$F$14)</f>
        <v>0</v>
      </c>
      <c r="C2830" s="306">
        <f t="shared" si="458"/>
        <v>-0.60931212490325604</v>
      </c>
      <c r="D2830" s="306">
        <f t="shared" si="458"/>
        <v>-0.13947999184296259</v>
      </c>
      <c r="E2830" s="306">
        <f t="shared" si="458"/>
        <v>-0.14666597422286945</v>
      </c>
      <c r="F2830" s="306">
        <f t="shared" si="458"/>
        <v>-0.20574963980206029</v>
      </c>
      <c r="G2830" s="306">
        <f t="shared" si="458"/>
        <v>-0.21494004093928029</v>
      </c>
      <c r="H2830" s="306">
        <f t="shared" si="458"/>
        <v>0</v>
      </c>
      <c r="I2830" s="306">
        <f t="shared" si="458"/>
        <v>0</v>
      </c>
      <c r="J2830" s="306">
        <f t="shared" si="458"/>
        <v>0</v>
      </c>
      <c r="K2830" s="306">
        <f t="shared" ref="K2830:S2830" si="459">B2070*K$2759*B$596*(1-K$2747)*100/(24*$F$14)</f>
        <v>-0.4042915071130791</v>
      </c>
      <c r="L2830" s="306">
        <f t="shared" si="459"/>
        <v>-0.29498141316844456</v>
      </c>
      <c r="M2830" s="306">
        <f t="shared" si="459"/>
        <v>-6.7525334587905841E-2</v>
      </c>
      <c r="N2830" s="306">
        <f t="shared" si="459"/>
        <v>-7.1004226851480959E-2</v>
      </c>
      <c r="O2830" s="306">
        <f t="shared" si="459"/>
        <v>-0.13417758706942606</v>
      </c>
      <c r="P2830" s="306">
        <f t="shared" si="459"/>
        <v>-0.14017101602501805</v>
      </c>
      <c r="Q2830" s="306">
        <f t="shared" si="459"/>
        <v>0</v>
      </c>
      <c r="R2830" s="306">
        <f t="shared" si="459"/>
        <v>0</v>
      </c>
      <c r="S2830" s="306">
        <f t="shared" si="459"/>
        <v>0</v>
      </c>
      <c r="T2830" s="291"/>
    </row>
    <row r="2832" spans="1:20" ht="21" customHeight="1">
      <c r="A2832" s="1" t="s">
        <v>1509</v>
      </c>
    </row>
    <row r="2833" spans="1:20">
      <c r="A2833" s="287" t="s">
        <v>255</v>
      </c>
    </row>
    <row r="2834" spans="1:20">
      <c r="A2834" s="301" t="s">
        <v>1729</v>
      </c>
    </row>
    <row r="2835" spans="1:20">
      <c r="A2835" s="301" t="s">
        <v>716</v>
      </c>
    </row>
    <row r="2836" spans="1:20">
      <c r="A2836" s="301" t="s">
        <v>540</v>
      </c>
    </row>
    <row r="2837" spans="1:20">
      <c r="A2837" s="301" t="s">
        <v>714</v>
      </c>
    </row>
    <row r="2838" spans="1:20">
      <c r="A2838" s="301" t="s">
        <v>520</v>
      </c>
    </row>
    <row r="2839" spans="1:20">
      <c r="A2839" s="287" t="s">
        <v>1507</v>
      </c>
    </row>
    <row r="2841" spans="1:20" ht="30">
      <c r="B2841" s="288" t="s">
        <v>60</v>
      </c>
      <c r="C2841" s="288" t="s">
        <v>220</v>
      </c>
      <c r="D2841" s="288" t="s">
        <v>221</v>
      </c>
      <c r="E2841" s="288" t="s">
        <v>222</v>
      </c>
      <c r="F2841" s="288" t="s">
        <v>223</v>
      </c>
      <c r="G2841" s="288" t="s">
        <v>224</v>
      </c>
      <c r="H2841" s="288" t="s">
        <v>225</v>
      </c>
      <c r="I2841" s="288" t="s">
        <v>226</v>
      </c>
      <c r="J2841" s="288" t="s">
        <v>227</v>
      </c>
      <c r="K2841" s="288" t="s">
        <v>208</v>
      </c>
      <c r="L2841" s="288" t="s">
        <v>618</v>
      </c>
      <c r="M2841" s="288" t="s">
        <v>619</v>
      </c>
      <c r="N2841" s="288" t="s">
        <v>620</v>
      </c>
      <c r="O2841" s="288" t="s">
        <v>621</v>
      </c>
      <c r="P2841" s="288" t="s">
        <v>622</v>
      </c>
      <c r="Q2841" s="288" t="s">
        <v>623</v>
      </c>
      <c r="R2841" s="288" t="s">
        <v>624</v>
      </c>
      <c r="S2841" s="288" t="s">
        <v>625</v>
      </c>
    </row>
    <row r="2842" spans="1:20">
      <c r="A2842" s="289" t="s">
        <v>93</v>
      </c>
      <c r="B2842" s="306">
        <f t="shared" ref="B2842:J2842" si="460">B2079*B$2759*B$571*(1-B$2722)*100/(24*$F$14)</f>
        <v>0</v>
      </c>
      <c r="C2842" s="306">
        <f t="shared" si="460"/>
        <v>5.4515058449766153E-3</v>
      </c>
      <c r="D2842" s="306">
        <f t="shared" si="460"/>
        <v>1.2479252581916545E-3</v>
      </c>
      <c r="E2842" s="306">
        <f t="shared" si="460"/>
        <v>2.8415632263661386E-3</v>
      </c>
      <c r="F2842" s="306">
        <f t="shared" si="460"/>
        <v>5.3697380300546053E-3</v>
      </c>
      <c r="G2842" s="306">
        <f t="shared" si="460"/>
        <v>2.5904788540705259E-3</v>
      </c>
      <c r="H2842" s="306">
        <f t="shared" si="460"/>
        <v>2.2791997149179032E-2</v>
      </c>
      <c r="I2842" s="306">
        <f t="shared" si="460"/>
        <v>6.0171001482563708E-3</v>
      </c>
      <c r="J2842" s="306">
        <f t="shared" si="460"/>
        <v>3.9880801912865246E-3</v>
      </c>
      <c r="K2842" s="306">
        <f t="shared" ref="K2842:S2842" si="461">B2079*K$2759*B$571*(1-K$2722)*100/(24*$F$14)</f>
        <v>0</v>
      </c>
      <c r="L2842" s="306">
        <f t="shared" si="461"/>
        <v>2.6391939899481961E-3</v>
      </c>
      <c r="M2842" s="306">
        <f t="shared" si="461"/>
        <v>6.041480895336164E-4</v>
      </c>
      <c r="N2842" s="306">
        <f t="shared" si="461"/>
        <v>1.3756633125494681E-3</v>
      </c>
      <c r="O2842" s="306">
        <f t="shared" si="461"/>
        <v>2.5996083906935944E-3</v>
      </c>
      <c r="P2842" s="306">
        <f t="shared" si="461"/>
        <v>1.2541078405062501E-3</v>
      </c>
      <c r="Q2842" s="306">
        <f t="shared" si="461"/>
        <v>1.7995763049381164E-2</v>
      </c>
      <c r="R2842" s="306">
        <f t="shared" si="461"/>
        <v>8.119850815471525E-3</v>
      </c>
      <c r="S2842" s="306">
        <f t="shared" si="461"/>
        <v>1.8501758287385654E-2</v>
      </c>
      <c r="T2842" s="291"/>
    </row>
    <row r="2843" spans="1:20">
      <c r="A2843" s="289" t="s">
        <v>95</v>
      </c>
      <c r="B2843" s="306">
        <f t="shared" ref="B2843:J2843" si="462">B2080*B$2759*B$574*(1-B$2725)*100/(24*$F$14)</f>
        <v>0</v>
      </c>
      <c r="C2843" s="306">
        <f t="shared" si="462"/>
        <v>5.203377144163337E-3</v>
      </c>
      <c r="D2843" s="306">
        <f t="shared" si="462"/>
        <v>1.1911251589470577E-3</v>
      </c>
      <c r="E2843" s="306">
        <f t="shared" si="462"/>
        <v>2.7124034747345875E-3</v>
      </c>
      <c r="F2843" s="306">
        <f t="shared" si="462"/>
        <v>5.1256632110067519E-3</v>
      </c>
      <c r="G2843" s="306">
        <f t="shared" si="462"/>
        <v>2.4725715875604688E-3</v>
      </c>
      <c r="H2843" s="306">
        <f t="shared" si="462"/>
        <v>2.1756015030723903E-2</v>
      </c>
      <c r="I2843" s="306">
        <f t="shared" si="462"/>
        <v>5.7436002825909426E-3</v>
      </c>
      <c r="J2843" s="306">
        <f t="shared" si="462"/>
        <v>3.8068069251442111E-3</v>
      </c>
      <c r="K2843" s="306">
        <f t="shared" ref="K2843:S2843" si="463">B2080*K$2759*B$574*(1-K$2725)*100/(24*$F$14)</f>
        <v>0</v>
      </c>
      <c r="L2843" s="306">
        <f t="shared" si="463"/>
        <v>2.51906942353624E-3</v>
      </c>
      <c r="M2843" s="306">
        <f t="shared" si="463"/>
        <v>5.7664991108207267E-4</v>
      </c>
      <c r="N2843" s="306">
        <f t="shared" si="463"/>
        <v>1.313134233439464E-3</v>
      </c>
      <c r="O2843" s="306">
        <f t="shared" si="463"/>
        <v>2.4814463976871367E-3</v>
      </c>
      <c r="P2843" s="306">
        <f t="shared" si="463"/>
        <v>1.1970263371577203E-3</v>
      </c>
      <c r="Q2843" s="306">
        <f t="shared" si="463"/>
        <v>1.7177787836191651E-2</v>
      </c>
      <c r="R2843" s="306">
        <f t="shared" si="463"/>
        <v>7.7507730117892439E-3</v>
      </c>
      <c r="S2843" s="306">
        <f t="shared" si="463"/>
        <v>1.766078368475409E-2</v>
      </c>
      <c r="T2843" s="291"/>
    </row>
    <row r="2844" spans="1:20">
      <c r="A2844" s="289" t="s">
        <v>96</v>
      </c>
      <c r="B2844" s="306">
        <f t="shared" ref="B2844:J2844" si="464">B2081*B$2759*B$576*(1-B$2727)*100/(24*$F$14)</f>
        <v>0</v>
      </c>
      <c r="C2844" s="306">
        <f t="shared" si="464"/>
        <v>3.683458002616219E-3</v>
      </c>
      <c r="D2844" s="306">
        <f t="shared" si="464"/>
        <v>8.4319459790887889E-4</v>
      </c>
      <c r="E2844" s="306">
        <f t="shared" si="464"/>
        <v>1.9199793788615515E-3</v>
      </c>
      <c r="F2844" s="306">
        <f t="shared" si="464"/>
        <v>3.6282093574169388E-3</v>
      </c>
      <c r="G2844" s="306">
        <f t="shared" si="464"/>
        <v>1.7503274025518544E-3</v>
      </c>
      <c r="H2844" s="306">
        <f t="shared" si="464"/>
        <v>1.5400031969535516E-2</v>
      </c>
      <c r="I2844" s="306">
        <f t="shared" si="464"/>
        <v>4.0656171567827141E-3</v>
      </c>
      <c r="J2844" s="306">
        <f t="shared" si="464"/>
        <v>2.6946547088830255E-3</v>
      </c>
      <c r="K2844" s="306">
        <f t="shared" ref="K2844:S2844" si="465">B2081*K$2759*B$576*(1-K$2727)*100/(24*$F$14)</f>
        <v>0</v>
      </c>
      <c r="L2844" s="306">
        <f t="shared" si="465"/>
        <v>1.7832431073497295E-3</v>
      </c>
      <c r="M2844" s="306">
        <f t="shared" si="465"/>
        <v>4.0820906707978496E-4</v>
      </c>
      <c r="N2844" s="306">
        <f t="shared" si="465"/>
        <v>9.2950428406586669E-4</v>
      </c>
      <c r="O2844" s="306">
        <f t="shared" si="465"/>
        <v>1.7564960219555018E-3</v>
      </c>
      <c r="P2844" s="306">
        <f t="shared" si="465"/>
        <v>8.4737202758631679E-4</v>
      </c>
      <c r="Q2844" s="306">
        <f t="shared" si="465"/>
        <v>1.2159326120600106E-2</v>
      </c>
      <c r="R2844" s="306">
        <f t="shared" si="465"/>
        <v>5.4863977617961683E-3</v>
      </c>
      <c r="S2844" s="306">
        <f t="shared" si="465"/>
        <v>1.2501215547432653E-2</v>
      </c>
      <c r="T2844" s="291"/>
    </row>
    <row r="2845" spans="1:20">
      <c r="A2845" s="289" t="s">
        <v>97</v>
      </c>
      <c r="B2845" s="306">
        <f t="shared" ref="B2845:J2845" si="466">B2082*B$2759*B$577*(1-B$2728)*100/(24*$F$14)</f>
        <v>0</v>
      </c>
      <c r="C2845" s="306">
        <f t="shared" si="466"/>
        <v>3.6258510237344569E-3</v>
      </c>
      <c r="D2845" s="306">
        <f t="shared" si="466"/>
        <v>8.300075618790252E-4</v>
      </c>
      <c r="E2845" s="306">
        <f t="shared" si="466"/>
        <v>1.8899521024672127E-3</v>
      </c>
      <c r="F2845" s="306">
        <f t="shared" si="466"/>
        <v>3.5714664327839234E-3</v>
      </c>
      <c r="G2845" s="306">
        <f t="shared" si="466"/>
        <v>1.7229533769369679E-3</v>
      </c>
      <c r="H2845" s="306">
        <f t="shared" si="466"/>
        <v>1.5159185103406622E-2</v>
      </c>
      <c r="I2845" s="306">
        <f t="shared" si="466"/>
        <v>4.0020334477989927E-3</v>
      </c>
      <c r="J2845" s="306">
        <f t="shared" si="466"/>
        <v>0</v>
      </c>
      <c r="K2845" s="306">
        <f t="shared" ref="K2845:S2845" si="467">B2082*K$2759*B$577*(1-K$2728)*100/(24*$F$14)</f>
        <v>0</v>
      </c>
      <c r="L2845" s="306">
        <f t="shared" si="467"/>
        <v>1.7553543007030458E-3</v>
      </c>
      <c r="M2845" s="306">
        <f t="shared" si="467"/>
        <v>4.0182493263603492E-4</v>
      </c>
      <c r="N2845" s="306">
        <f t="shared" si="467"/>
        <v>9.1496741853769759E-4</v>
      </c>
      <c r="O2845" s="306">
        <f t="shared" si="467"/>
        <v>1.7290255229920762E-3</v>
      </c>
      <c r="P2845" s="306">
        <f t="shared" si="467"/>
        <v>8.3411965916960337E-4</v>
      </c>
      <c r="Q2845" s="306">
        <f t="shared" si="467"/>
        <v>1.1969161866644082E-2</v>
      </c>
      <c r="R2845" s="306">
        <f t="shared" si="467"/>
        <v>5.4005939329548301E-3</v>
      </c>
      <c r="S2845" s="306">
        <f t="shared" si="467"/>
        <v>0</v>
      </c>
      <c r="T2845" s="291"/>
    </row>
    <row r="2846" spans="1:20">
      <c r="A2846" s="289" t="s">
        <v>110</v>
      </c>
      <c r="B2846" s="306">
        <f t="shared" ref="B2846:J2846" si="468">B2083*B$2759*B$578*(1-B$2729)*100/(24*$F$14)</f>
        <v>0</v>
      </c>
      <c r="C2846" s="306">
        <f t="shared" si="468"/>
        <v>3.5614667532195454E-3</v>
      </c>
      <c r="D2846" s="306">
        <f t="shared" si="468"/>
        <v>8.1526910984565935E-4</v>
      </c>
      <c r="E2846" s="306">
        <f t="shared" si="468"/>
        <v>1.8563922053205981E-3</v>
      </c>
      <c r="F2846" s="306">
        <f t="shared" si="468"/>
        <v>2.604230664950699E-3</v>
      </c>
      <c r="G2846" s="306">
        <f t="shared" si="468"/>
        <v>1.2563377265181418E-3</v>
      </c>
      <c r="H2846" s="306">
        <f t="shared" si="468"/>
        <v>1.1771095146735256E-2</v>
      </c>
      <c r="I2846" s="306">
        <f t="shared" si="468"/>
        <v>0</v>
      </c>
      <c r="J2846" s="306">
        <f t="shared" si="468"/>
        <v>0</v>
      </c>
      <c r="K2846" s="306">
        <f t="shared" ref="K2846:S2846" si="469">B2083*K$2759*B$578*(1-K$2729)*100/(24*$F$14)</f>
        <v>0</v>
      </c>
      <c r="L2846" s="306">
        <f t="shared" si="469"/>
        <v>1.7241844579802812E-3</v>
      </c>
      <c r="M2846" s="306">
        <f t="shared" si="469"/>
        <v>3.9468972355184365E-4</v>
      </c>
      <c r="N2846" s="306">
        <f t="shared" si="469"/>
        <v>8.987203335356263E-4</v>
      </c>
      <c r="O2846" s="306">
        <f t="shared" si="469"/>
        <v>1.698323200621189E-3</v>
      </c>
      <c r="P2846" s="306">
        <f t="shared" si="469"/>
        <v>8.1930818858621786E-4</v>
      </c>
      <c r="Q2846" s="306">
        <f t="shared" si="469"/>
        <v>1.1756625347516755E-2</v>
      </c>
      <c r="R2846" s="306">
        <f t="shared" si="469"/>
        <v>0</v>
      </c>
      <c r="S2846" s="306">
        <f t="shared" si="469"/>
        <v>0</v>
      </c>
      <c r="T2846" s="291"/>
    </row>
    <row r="2847" spans="1:20">
      <c r="A2847" s="289" t="s">
        <v>1536</v>
      </c>
      <c r="B2847" s="306">
        <f t="shared" ref="B2847:J2847" si="470">B2084*B$2759*B$579*(1-B$2730)*100/(24*$F$14)</f>
        <v>0</v>
      </c>
      <c r="C2847" s="306">
        <f t="shared" si="470"/>
        <v>7.2926695377830308E-2</v>
      </c>
      <c r="D2847" s="306">
        <f t="shared" si="470"/>
        <v>1.6693931501935932E-2</v>
      </c>
      <c r="E2847" s="306">
        <f t="shared" si="470"/>
        <v>1.3615592093699671E-2</v>
      </c>
      <c r="F2847" s="306">
        <f t="shared" si="470"/>
        <v>2.5729556882233294E-2</v>
      </c>
      <c r="G2847" s="306">
        <f t="shared" si="470"/>
        <v>3.4653739287024928E-2</v>
      </c>
      <c r="H2847" s="306">
        <f t="shared" si="470"/>
        <v>0.10920979456115805</v>
      </c>
      <c r="I2847" s="306">
        <f t="shared" si="470"/>
        <v>2.8831447579777437E-2</v>
      </c>
      <c r="J2847" s="306">
        <f t="shared" si="470"/>
        <v>1.9109225730993617E-2</v>
      </c>
      <c r="K2847" s="306">
        <f t="shared" ref="K2847:S2847" si="471">B2084*K$2759*B$579*(1-K$2730)*100/(24*$F$14)</f>
        <v>2.535339846302858E-2</v>
      </c>
      <c r="L2847" s="306">
        <f t="shared" si="471"/>
        <v>3.5305418653325905E-2</v>
      </c>
      <c r="M2847" s="306">
        <f t="shared" si="471"/>
        <v>8.081899743190164E-3</v>
      </c>
      <c r="N2847" s="306">
        <f t="shared" si="471"/>
        <v>6.5916078685654385E-3</v>
      </c>
      <c r="O2847" s="306">
        <f t="shared" si="471"/>
        <v>1.2456244901616101E-2</v>
      </c>
      <c r="P2847" s="306">
        <f t="shared" si="471"/>
        <v>1.6776638062274737E-2</v>
      </c>
      <c r="Q2847" s="306">
        <f t="shared" si="471"/>
        <v>8.622823058158316E-2</v>
      </c>
      <c r="R2847" s="306">
        <f t="shared" si="471"/>
        <v>3.8906956403196906E-2</v>
      </c>
      <c r="S2847" s="306">
        <f t="shared" si="471"/>
        <v>8.8652749838483189E-2</v>
      </c>
      <c r="T2847" s="291"/>
    </row>
    <row r="2848" spans="1:20">
      <c r="A2848" s="289" t="s">
        <v>1535</v>
      </c>
      <c r="B2848" s="306">
        <f t="shared" ref="B2848:J2848" si="472">B2085*B$2759*B$580*(1-B$2731)*100/(24*$F$14)</f>
        <v>0</v>
      </c>
      <c r="C2848" s="306">
        <f t="shared" si="472"/>
        <v>7.3328346558859697E-2</v>
      </c>
      <c r="D2848" s="306">
        <f t="shared" si="472"/>
        <v>1.6785875025072935E-2</v>
      </c>
      <c r="E2848" s="306">
        <f t="shared" si="472"/>
        <v>1.3692064841072495E-2</v>
      </c>
      <c r="F2848" s="306">
        <f t="shared" si="472"/>
        <v>2.5874068401815338E-2</v>
      </c>
      <c r="G2848" s="306">
        <f t="shared" si="472"/>
        <v>3.4844598275487332E-2</v>
      </c>
      <c r="H2848" s="306">
        <f t="shared" si="472"/>
        <v>0.10982317758355178</v>
      </c>
      <c r="I2848" s="306">
        <f t="shared" si="472"/>
        <v>2.899338104488039E-2</v>
      </c>
      <c r="J2848" s="306">
        <f t="shared" si="472"/>
        <v>1.9216553784137398E-2</v>
      </c>
      <c r="K2848" s="306">
        <f t="shared" ref="K2848:S2848" si="473">B2085*K$2759*B$580*(1-K$2731)*100/(24*$F$14)</f>
        <v>2.5505933430389972E-2</v>
      </c>
      <c r="L2848" s="306">
        <f t="shared" si="473"/>
        <v>3.5499866832080992E-2</v>
      </c>
      <c r="M2848" s="306">
        <f t="shared" si="473"/>
        <v>8.1264116268014493E-3</v>
      </c>
      <c r="N2848" s="306">
        <f t="shared" si="473"/>
        <v>6.628630009052945E-3</v>
      </c>
      <c r="O2848" s="306">
        <f t="shared" si="473"/>
        <v>1.252620610954742E-2</v>
      </c>
      <c r="P2848" s="306">
        <f t="shared" si="473"/>
        <v>1.6869037100192257E-2</v>
      </c>
      <c r="Q2848" s="306">
        <f t="shared" si="473"/>
        <v>8.6712536342823082E-2</v>
      </c>
      <c r="R2848" s="306">
        <f t="shared" si="473"/>
        <v>3.9125479536645073E-2</v>
      </c>
      <c r="S2848" s="306">
        <f t="shared" si="473"/>
        <v>8.9150673050022514E-2</v>
      </c>
      <c r="T2848" s="291"/>
    </row>
    <row r="2849" spans="1:20">
      <c r="A2849" s="289" t="s">
        <v>98</v>
      </c>
      <c r="B2849" s="306">
        <f t="shared" ref="B2849:J2849" si="474">B2086*B$2759*B$581*(1-B$2732)*100/(24*$F$14)</f>
        <v>0</v>
      </c>
      <c r="C2849" s="306">
        <f t="shared" si="474"/>
        <v>7.0529113541934849E-2</v>
      </c>
      <c r="D2849" s="306">
        <f t="shared" si="474"/>
        <v>1.6145091783759259E-2</v>
      </c>
      <c r="E2849" s="306">
        <f t="shared" si="474"/>
        <v>1.3159924516866098E-2</v>
      </c>
      <c r="F2849" s="306">
        <f t="shared" si="474"/>
        <v>2.4868476089209689E-2</v>
      </c>
      <c r="G2849" s="306">
        <f t="shared" si="474"/>
        <v>3.3514442141720772E-2</v>
      </c>
      <c r="H2849" s="306">
        <f t="shared" si="474"/>
        <v>0.10555491403068137</v>
      </c>
      <c r="I2849" s="306">
        <f t="shared" si="474"/>
        <v>2.786655705097256E-2</v>
      </c>
      <c r="J2849" s="306">
        <f t="shared" si="474"/>
        <v>1.8469704913677356E-2</v>
      </c>
      <c r="K2849" s="306">
        <f t="shared" ref="K2849:S2849" si="475">B2086*K$2759*B$581*(1-K$2732)*100/(24*$F$14)</f>
        <v>2.4531899327652949E-2</v>
      </c>
      <c r="L2849" s="306">
        <f t="shared" si="475"/>
        <v>3.4144696505786623E-2</v>
      </c>
      <c r="M2849" s="306">
        <f t="shared" si="475"/>
        <v>7.8161943533681076E-3</v>
      </c>
      <c r="N2849" s="306">
        <f t="shared" si="475"/>
        <v>6.3710091634752511E-3</v>
      </c>
      <c r="O2849" s="306">
        <f t="shared" si="475"/>
        <v>1.2039376733731479E-2</v>
      </c>
      <c r="P2849" s="306">
        <f t="shared" si="475"/>
        <v>1.6225079233548073E-2</v>
      </c>
      <c r="Q2849" s="306">
        <f t="shared" si="475"/>
        <v>8.3342464864355342E-2</v>
      </c>
      <c r="R2849" s="306">
        <f t="shared" si="475"/>
        <v>3.7604872848973972E-2</v>
      </c>
      <c r="S2849" s="306">
        <f t="shared" si="475"/>
        <v>8.5685843704652459E-2</v>
      </c>
      <c r="T2849" s="291"/>
    </row>
    <row r="2850" spans="1:20">
      <c r="A2850" s="289" t="s">
        <v>99</v>
      </c>
      <c r="B2850" s="306">
        <f t="shared" ref="B2850:J2850" si="476">B2087*B$2759*B$582*(1-B$2733)*100/(24*$F$14)</f>
        <v>0</v>
      </c>
      <c r="C2850" s="306">
        <f t="shared" si="476"/>
        <v>7.4418339400131497E-2</v>
      </c>
      <c r="D2850" s="306">
        <f t="shared" si="476"/>
        <v>1.7035389496221225E-2</v>
      </c>
      <c r="E2850" s="306">
        <f t="shared" si="476"/>
        <v>1.388560950215207E-2</v>
      </c>
      <c r="F2850" s="306">
        <f t="shared" si="476"/>
        <v>2.6239812199971842E-2</v>
      </c>
      <c r="G2850" s="306">
        <f t="shared" si="476"/>
        <v>3.536254753330656E-2</v>
      </c>
      <c r="H2850" s="306">
        <f t="shared" si="476"/>
        <v>0.11137558694845115</v>
      </c>
      <c r="I2850" s="306">
        <f t="shared" si="476"/>
        <v>2.9403217995918572E-2</v>
      </c>
      <c r="J2850" s="306">
        <f t="shared" si="476"/>
        <v>0</v>
      </c>
      <c r="K2850" s="306">
        <f t="shared" ref="K2850:S2850" si="477">B2087*K$2759*B$582*(1-K$2733)*100/(24*$F$14)</f>
        <v>2.5884675400175909E-2</v>
      </c>
      <c r="L2850" s="306">
        <f t="shared" si="477"/>
        <v>3.6027556361832094E-2</v>
      </c>
      <c r="M2850" s="306">
        <f t="shared" si="477"/>
        <v>8.2472070751391704E-3</v>
      </c>
      <c r="N2850" s="306">
        <f t="shared" si="477"/>
        <v>6.7223292402072985E-3</v>
      </c>
      <c r="O2850" s="306">
        <f t="shared" si="477"/>
        <v>1.2703270733782379E-2</v>
      </c>
      <c r="P2850" s="306">
        <f t="shared" si="477"/>
        <v>1.7119787738127321E-2</v>
      </c>
      <c r="Q2850" s="306">
        <f t="shared" si="477"/>
        <v>8.79382644307794E-2</v>
      </c>
      <c r="R2850" s="306">
        <f t="shared" si="477"/>
        <v>3.9678539120016329E-2</v>
      </c>
      <c r="S2850" s="306">
        <f t="shared" si="477"/>
        <v>0</v>
      </c>
      <c r="T2850" s="291"/>
    </row>
    <row r="2851" spans="1:20">
      <c r="A2851" s="289" t="s">
        <v>111</v>
      </c>
      <c r="B2851" s="306">
        <f t="shared" ref="B2851:J2851" si="478">B2088*B$2759*B$583*(1-B$2734)*100/(24*$F$14)</f>
        <v>0</v>
      </c>
      <c r="C2851" s="306">
        <f t="shared" si="478"/>
        <v>6.1439739755007716E-2</v>
      </c>
      <c r="D2851" s="306">
        <f t="shared" si="478"/>
        <v>1.4064408124527096E-2</v>
      </c>
      <c r="E2851" s="306">
        <f t="shared" si="478"/>
        <v>1.1463951507501364E-2</v>
      </c>
      <c r="F2851" s="306">
        <f t="shared" si="478"/>
        <v>1.6082147927456384E-2</v>
      </c>
      <c r="G2851" s="306">
        <f t="shared" si="478"/>
        <v>2.1673391417144146E-2</v>
      </c>
      <c r="H2851" s="306">
        <f t="shared" si="478"/>
        <v>7.2691139062961624E-2</v>
      </c>
      <c r="I2851" s="306">
        <f t="shared" si="478"/>
        <v>0</v>
      </c>
      <c r="J2851" s="306">
        <f t="shared" si="478"/>
        <v>0</v>
      </c>
      <c r="K2851" s="306">
        <f t="shared" ref="K2851:S2851" si="479">B2088*K$2759*B$583*(1-K$2734)*100/(24*$F$14)</f>
        <v>2.1370373661238246E-2</v>
      </c>
      <c r="L2851" s="306">
        <f t="shared" si="479"/>
        <v>2.9744330560484464E-2</v>
      </c>
      <c r="M2851" s="306">
        <f t="shared" si="479"/>
        <v>6.8088895894029304E-3</v>
      </c>
      <c r="N2851" s="306">
        <f t="shared" si="479"/>
        <v>5.5499512941978588E-3</v>
      </c>
      <c r="O2851" s="306">
        <f t="shared" si="479"/>
        <v>1.0487813275763806E-2</v>
      </c>
      <c r="P2851" s="306">
        <f t="shared" si="479"/>
        <v>1.4134087266258678E-2</v>
      </c>
      <c r="Q2851" s="306">
        <f t="shared" si="479"/>
        <v>7.2601782365552148E-2</v>
      </c>
      <c r="R2851" s="306">
        <f t="shared" si="479"/>
        <v>0</v>
      </c>
      <c r="S2851" s="306">
        <f t="shared" si="479"/>
        <v>0</v>
      </c>
      <c r="T2851" s="291"/>
    </row>
    <row r="2852" spans="1:20">
      <c r="A2852" s="289" t="s">
        <v>135</v>
      </c>
      <c r="B2852" s="306">
        <f t="shared" ref="B2852:J2852" si="480">B2089*B$2759*B$588*(1-B$2739)*100/(24*$F$14)</f>
        <v>0</v>
      </c>
      <c r="C2852" s="306">
        <f t="shared" si="480"/>
        <v>5.8469230155898215E-2</v>
      </c>
      <c r="D2852" s="306">
        <f t="shared" si="480"/>
        <v>1.3384417299268165E-2</v>
      </c>
      <c r="E2852" s="306">
        <f t="shared" si="480"/>
        <v>1.0571967398339054E-2</v>
      </c>
      <c r="F2852" s="306">
        <f t="shared" si="480"/>
        <v>1.9977980734201671E-2</v>
      </c>
      <c r="G2852" s="306">
        <f t="shared" si="480"/>
        <v>2.7783755285194368E-2</v>
      </c>
      <c r="H2852" s="306">
        <f t="shared" si="480"/>
        <v>8.4797075274759326E-2</v>
      </c>
      <c r="I2852" s="306">
        <f t="shared" si="480"/>
        <v>2.2386475869923476E-2</v>
      </c>
      <c r="J2852" s="306">
        <f t="shared" si="480"/>
        <v>1.4837556093432605E-2</v>
      </c>
      <c r="K2852" s="306">
        <f t="shared" ref="K2852:S2852" si="481">B2089*K$2759*B$588*(1-K$2739)*100/(24*$F$14)</f>
        <v>2.0214341293318106E-2</v>
      </c>
      <c r="L2852" s="306">
        <f t="shared" si="481"/>
        <v>2.8306241470242126E-2</v>
      </c>
      <c r="M2852" s="306">
        <f t="shared" si="481"/>
        <v>6.4796910614591374E-3</v>
      </c>
      <c r="N2852" s="306">
        <f t="shared" si="481"/>
        <v>5.1181221506595275E-3</v>
      </c>
      <c r="O2852" s="306">
        <f t="shared" si="481"/>
        <v>9.6717802721592912E-3</v>
      </c>
      <c r="P2852" s="306">
        <f t="shared" si="481"/>
        <v>1.3450727569969425E-2</v>
      </c>
      <c r="Q2852" s="306">
        <f t="shared" si="481"/>
        <v>6.695280207070721E-2</v>
      </c>
      <c r="R2852" s="306">
        <f t="shared" si="481"/>
        <v>3.0209708974281619E-2</v>
      </c>
      <c r="S2852" s="306">
        <f t="shared" si="481"/>
        <v>6.8835345140755011E-2</v>
      </c>
      <c r="T2852" s="291"/>
    </row>
    <row r="2853" spans="1:20">
      <c r="A2853" s="289" t="s">
        <v>102</v>
      </c>
      <c r="B2853" s="306">
        <f t="shared" ref="B2853:J2853" si="482">B2090*B$2759*B$592*(1-B$2743)*100/(24*$F$14)</f>
        <v>0</v>
      </c>
      <c r="C2853" s="306">
        <f t="shared" si="482"/>
        <v>-5.8386813985502974E-2</v>
      </c>
      <c r="D2853" s="306">
        <f t="shared" si="482"/>
        <v>-1.3365551095389025E-2</v>
      </c>
      <c r="E2853" s="306">
        <f t="shared" si="482"/>
        <v>-1.0894310537061682E-2</v>
      </c>
      <c r="F2853" s="306">
        <f t="shared" si="482"/>
        <v>-2.0587116647372814E-2</v>
      </c>
      <c r="G2853" s="306">
        <f t="shared" si="482"/>
        <v>-2.7744592280932144E-2</v>
      </c>
      <c r="H2853" s="306">
        <f t="shared" si="482"/>
        <v>-8.7382569002526514E-2</v>
      </c>
      <c r="I2853" s="306">
        <f t="shared" si="482"/>
        <v>-2.3069047677511837E-2</v>
      </c>
      <c r="J2853" s="306">
        <f t="shared" si="482"/>
        <v>0</v>
      </c>
      <c r="K2853" s="306">
        <f t="shared" ref="K2853:S2853" si="483">B2090*K$2759*B$592*(1-K$2743)*100/(24*$F$14)</f>
        <v>-2.0308484976252029E-2</v>
      </c>
      <c r="L2853" s="306">
        <f t="shared" si="483"/>
        <v>-2.8266341987829922E-2</v>
      </c>
      <c r="M2853" s="306">
        <f t="shared" si="483"/>
        <v>-6.470557516837362E-3</v>
      </c>
      <c r="N2853" s="306">
        <f t="shared" si="483"/>
        <v>-5.2741755602329051E-3</v>
      </c>
      <c r="O2853" s="306">
        <f t="shared" si="483"/>
        <v>-9.9666763773490642E-3</v>
      </c>
      <c r="P2853" s="306">
        <f t="shared" si="483"/>
        <v>-1.3431767897464917E-2</v>
      </c>
      <c r="Q2853" s="306">
        <f t="shared" si="483"/>
        <v>-6.8994217405485614E-2</v>
      </c>
      <c r="R2853" s="306">
        <f t="shared" si="483"/>
        <v>-3.1130814010246539E-2</v>
      </c>
      <c r="S2853" s="306">
        <f t="shared" si="483"/>
        <v>0</v>
      </c>
      <c r="T2853" s="291"/>
    </row>
    <row r="2854" spans="1:20">
      <c r="A2854" s="289" t="s">
        <v>104</v>
      </c>
      <c r="B2854" s="306">
        <f t="shared" ref="B2854:J2854" si="484">B2091*B$2759*B$594*(1-B$2745)*100/(24*$F$14)</f>
        <v>0</v>
      </c>
      <c r="C2854" s="306">
        <f t="shared" si="484"/>
        <v>-5.7473680740099536E-2</v>
      </c>
      <c r="D2854" s="306">
        <f t="shared" si="484"/>
        <v>-1.3156522237411461E-2</v>
      </c>
      <c r="E2854" s="306">
        <f t="shared" si="484"/>
        <v>-1.0723930335470103E-2</v>
      </c>
      <c r="F2854" s="306">
        <f t="shared" si="484"/>
        <v>-2.0265147021792926E-2</v>
      </c>
      <c r="G2854" s="306">
        <f t="shared" si="484"/>
        <v>-2.7310684213981046E-2</v>
      </c>
      <c r="H2854" s="306">
        <f t="shared" si="484"/>
        <v>-8.6015960287675608E-2</v>
      </c>
      <c r="I2854" s="306">
        <f t="shared" si="484"/>
        <v>0</v>
      </c>
      <c r="J2854" s="306">
        <f t="shared" si="484"/>
        <v>0</v>
      </c>
      <c r="K2854" s="306">
        <f t="shared" ref="K2854:S2854" si="485">B2091*K$2759*B$594*(1-K$2745)*100/(24*$F$14)</f>
        <v>-1.9990872975703473E-2</v>
      </c>
      <c r="L2854" s="306">
        <f t="shared" si="485"/>
        <v>-2.7824274081856504E-2</v>
      </c>
      <c r="M2854" s="306">
        <f t="shared" si="485"/>
        <v>-6.3693620450928955E-3</v>
      </c>
      <c r="N2854" s="306">
        <f t="shared" si="485"/>
        <v>-5.1916907538631174E-3</v>
      </c>
      <c r="O2854" s="306">
        <f t="shared" si="485"/>
        <v>-9.81080379371067E-3</v>
      </c>
      <c r="P2854" s="306">
        <f t="shared" si="485"/>
        <v>-1.3221703450126458E-2</v>
      </c>
      <c r="Q2854" s="306">
        <f t="shared" si="485"/>
        <v>-6.7915191006319792E-2</v>
      </c>
      <c r="R2854" s="306">
        <f t="shared" si="485"/>
        <v>0</v>
      </c>
      <c r="S2854" s="306">
        <f t="shared" si="485"/>
        <v>0</v>
      </c>
      <c r="T2854" s="291"/>
    </row>
    <row r="2855" spans="1:20">
      <c r="A2855" s="289" t="s">
        <v>113</v>
      </c>
      <c r="B2855" s="306">
        <f t="shared" ref="B2855:J2855" si="486">B2092*B$2759*B$596*(1-B$2747)*100/(24*$F$14)</f>
        <v>0</v>
      </c>
      <c r="C2855" s="306">
        <f t="shared" si="486"/>
        <v>-5.6453120054060377E-2</v>
      </c>
      <c r="D2855" s="306">
        <f t="shared" si="486"/>
        <v>-1.2922901749083593E-2</v>
      </c>
      <c r="E2855" s="306">
        <f t="shared" si="486"/>
        <v>-1.0533505404279511E-2</v>
      </c>
      <c r="F2855" s="306">
        <f t="shared" si="486"/>
        <v>-1.4776876192771543E-2</v>
      </c>
      <c r="G2855" s="306">
        <f t="shared" si="486"/>
        <v>-1.9914318851764898E-2</v>
      </c>
      <c r="H2855" s="306">
        <f t="shared" si="486"/>
        <v>0</v>
      </c>
      <c r="I2855" s="306">
        <f t="shared" si="486"/>
        <v>0</v>
      </c>
      <c r="J2855" s="306">
        <f t="shared" si="486"/>
        <v>0</v>
      </c>
      <c r="K2855" s="306">
        <f t="shared" ref="K2855:S2855" si="487">B2092*K$2759*B$596*(1-K$2747)*100/(24*$F$14)</f>
        <v>-1.9635894857443312E-2</v>
      </c>
      <c r="L2855" s="306">
        <f t="shared" si="487"/>
        <v>-2.7330198186945025E-2</v>
      </c>
      <c r="M2855" s="306">
        <f t="shared" si="487"/>
        <v>-6.2562612237314318E-3</v>
      </c>
      <c r="N2855" s="306">
        <f t="shared" si="487"/>
        <v>-5.0995018526262953E-3</v>
      </c>
      <c r="O2855" s="306">
        <f t="shared" si="487"/>
        <v>-9.6365932590559943E-3</v>
      </c>
      <c r="P2855" s="306">
        <f t="shared" si="487"/>
        <v>-1.298692553839524E-2</v>
      </c>
      <c r="Q2855" s="306">
        <f t="shared" si="487"/>
        <v>0</v>
      </c>
      <c r="R2855" s="306">
        <f t="shared" si="487"/>
        <v>0</v>
      </c>
      <c r="S2855" s="306">
        <f t="shared" si="487"/>
        <v>0</v>
      </c>
      <c r="T2855" s="291"/>
    </row>
    <row r="2857" spans="1:20" ht="21" customHeight="1">
      <c r="A2857" s="1" t="s">
        <v>1508</v>
      </c>
    </row>
    <row r="2858" spans="1:20">
      <c r="A2858" s="287" t="s">
        <v>255</v>
      </c>
    </row>
    <row r="2859" spans="1:20">
      <c r="A2859" s="301" t="s">
        <v>1730</v>
      </c>
    </row>
    <row r="2860" spans="1:20">
      <c r="A2860" s="301" t="s">
        <v>716</v>
      </c>
    </row>
    <row r="2861" spans="1:20">
      <c r="A2861" s="301" t="s">
        <v>540</v>
      </c>
    </row>
    <row r="2862" spans="1:20">
      <c r="A2862" s="301" t="s">
        <v>714</v>
      </c>
    </row>
    <row r="2863" spans="1:20">
      <c r="A2863" s="301" t="s">
        <v>520</v>
      </c>
    </row>
    <row r="2864" spans="1:20">
      <c r="A2864" s="287" t="s">
        <v>1507</v>
      </c>
    </row>
    <row r="2866" spans="1:20" ht="30">
      <c r="B2866" s="288" t="s">
        <v>60</v>
      </c>
      <c r="C2866" s="288" t="s">
        <v>220</v>
      </c>
      <c r="D2866" s="288" t="s">
        <v>221</v>
      </c>
      <c r="E2866" s="288" t="s">
        <v>222</v>
      </c>
      <c r="F2866" s="288" t="s">
        <v>223</v>
      </c>
      <c r="G2866" s="288" t="s">
        <v>224</v>
      </c>
      <c r="H2866" s="288" t="s">
        <v>225</v>
      </c>
      <c r="I2866" s="288" t="s">
        <v>226</v>
      </c>
      <c r="J2866" s="288" t="s">
        <v>227</v>
      </c>
      <c r="K2866" s="288" t="s">
        <v>208</v>
      </c>
      <c r="L2866" s="288" t="s">
        <v>618</v>
      </c>
      <c r="M2866" s="288" t="s">
        <v>619</v>
      </c>
      <c r="N2866" s="288" t="s">
        <v>620</v>
      </c>
      <c r="O2866" s="288" t="s">
        <v>621</v>
      </c>
      <c r="P2866" s="288" t="s">
        <v>622</v>
      </c>
      <c r="Q2866" s="288" t="s">
        <v>623</v>
      </c>
      <c r="R2866" s="288" t="s">
        <v>624</v>
      </c>
      <c r="S2866" s="288" t="s">
        <v>625</v>
      </c>
    </row>
    <row r="2867" spans="1:20">
      <c r="A2867" s="289" t="s">
        <v>1536</v>
      </c>
      <c r="B2867" s="306">
        <f t="shared" ref="B2867:J2867" si="488">B2101*B$2759*B$579*(1-B$2730)*100/(24*$F$14)</f>
        <v>0</v>
      </c>
      <c r="C2867" s="306">
        <f t="shared" si="488"/>
        <v>4.6007377583664917E-3</v>
      </c>
      <c r="D2867" s="306">
        <f t="shared" si="488"/>
        <v>1.0531726495849008E-3</v>
      </c>
      <c r="E2867" s="306">
        <f t="shared" si="488"/>
        <v>2.3995695700027696E-3</v>
      </c>
      <c r="F2867" s="306">
        <f t="shared" si="488"/>
        <v>4.5344970177853055E-3</v>
      </c>
      <c r="G2867" s="306">
        <f t="shared" si="488"/>
        <v>2.1862058328625624E-3</v>
      </c>
      <c r="H2867" s="306">
        <f t="shared" si="488"/>
        <v>1.9246794261446036E-2</v>
      </c>
      <c r="I2867" s="306">
        <f t="shared" si="488"/>
        <v>5.0811645792162756E-3</v>
      </c>
      <c r="J2867" s="306">
        <f t="shared" si="488"/>
        <v>3.3677504624733986E-3</v>
      </c>
      <c r="K2867" s="306">
        <f t="shared" ref="K2867:S2867" si="489">B2101*K$2759*B$579*(1-K$2730)*100/(24*$F$14)</f>
        <v>0</v>
      </c>
      <c r="L2867" s="306">
        <f t="shared" si="489"/>
        <v>2.2273184302640447E-3</v>
      </c>
      <c r="M2867" s="306">
        <f t="shared" si="489"/>
        <v>5.0986406438938918E-4</v>
      </c>
      <c r="N2867" s="306">
        <f t="shared" si="489"/>
        <v>1.1616844533789638E-3</v>
      </c>
      <c r="O2867" s="306">
        <f t="shared" si="489"/>
        <v>2.1952498295135427E-3</v>
      </c>
      <c r="P2867" s="306">
        <f t="shared" si="489"/>
        <v>1.0583903712030811E-3</v>
      </c>
      <c r="Q2867" s="306">
        <f t="shared" si="489"/>
        <v>1.5196594959281481E-2</v>
      </c>
      <c r="R2867" s="306">
        <f t="shared" si="489"/>
        <v>6.8568408927097693E-3</v>
      </c>
      <c r="S2867" s="306">
        <f t="shared" si="489"/>
        <v>1.5623884686434445E-2</v>
      </c>
      <c r="T2867" s="291"/>
    </row>
    <row r="2868" spans="1:20">
      <c r="A2868" s="289" t="s">
        <v>1535</v>
      </c>
      <c r="B2868" s="306">
        <f t="shared" ref="B2868:J2868" si="490">B2102*B$2759*B$580*(1-B$2731)*100/(24*$F$14)</f>
        <v>0</v>
      </c>
      <c r="C2868" s="306">
        <f t="shared" si="490"/>
        <v>4.6260767888090561E-3</v>
      </c>
      <c r="D2868" s="306">
        <f t="shared" si="490"/>
        <v>1.0589731049098275E-3</v>
      </c>
      <c r="E2868" s="306">
        <f t="shared" si="490"/>
        <v>2.4130468889667573E-3</v>
      </c>
      <c r="F2868" s="306">
        <f t="shared" si="490"/>
        <v>4.559965278182471E-3</v>
      </c>
      <c r="G2868" s="306">
        <f t="shared" si="490"/>
        <v>2.1982465835121462E-3</v>
      </c>
      <c r="H2868" s="306">
        <f t="shared" si="490"/>
        <v>1.9354894976065226E-2</v>
      </c>
      <c r="I2868" s="306">
        <f t="shared" si="490"/>
        <v>5.1097032290636051E-3</v>
      </c>
      <c r="J2868" s="306">
        <f t="shared" si="490"/>
        <v>3.3866656244846503E-3</v>
      </c>
      <c r="K2868" s="306">
        <f t="shared" ref="K2868:S2868" si="491">B2102*K$2759*B$580*(1-K$2731)*100/(24*$F$14)</f>
        <v>0</v>
      </c>
      <c r="L2868" s="306">
        <f t="shared" si="491"/>
        <v>2.2395856127191008E-3</v>
      </c>
      <c r="M2868" s="306">
        <f t="shared" si="491"/>
        <v>5.1267219250441555E-4</v>
      </c>
      <c r="N2868" s="306">
        <f t="shared" si="491"/>
        <v>1.1682091201814671E-3</v>
      </c>
      <c r="O2868" s="306">
        <f t="shared" si="491"/>
        <v>2.2075795750345112E-3</v>
      </c>
      <c r="P2868" s="306">
        <f t="shared" si="491"/>
        <v>1.0642195636597174E-3</v>
      </c>
      <c r="Q2868" s="306">
        <f t="shared" si="491"/>
        <v>1.5281947499167427E-2</v>
      </c>
      <c r="R2868" s="306">
        <f t="shared" si="491"/>
        <v>6.8953527295623511E-3</v>
      </c>
      <c r="S2868" s="306">
        <f t="shared" si="491"/>
        <v>1.5711637123374794E-2</v>
      </c>
      <c r="T2868" s="291"/>
    </row>
    <row r="2869" spans="1:20">
      <c r="A2869" s="289" t="s">
        <v>98</v>
      </c>
      <c r="B2869" s="306">
        <f t="shared" ref="B2869:J2869" si="492">B2103*B$2759*B$581*(1-B$2732)*100/(24*$F$14)</f>
        <v>0</v>
      </c>
      <c r="C2869" s="306">
        <f t="shared" si="492"/>
        <v>4.4494811406899553E-3</v>
      </c>
      <c r="D2869" s="306">
        <f t="shared" si="492"/>
        <v>1.0185479130378195E-3</v>
      </c>
      <c r="E2869" s="306">
        <f t="shared" si="492"/>
        <v>2.3192641345959109E-3</v>
      </c>
      <c r="F2869" s="306">
        <f t="shared" si="492"/>
        <v>4.3827428190671034E-3</v>
      </c>
      <c r="G2869" s="306">
        <f t="shared" si="492"/>
        <v>2.1143308168997061E-3</v>
      </c>
      <c r="H2869" s="306">
        <f t="shared" si="492"/>
        <v>1.8602669493123582E-2</v>
      </c>
      <c r="I2869" s="306">
        <f t="shared" si="492"/>
        <v>4.9111152757874933E-3</v>
      </c>
      <c r="J2869" s="306">
        <f t="shared" si="492"/>
        <v>3.2550433042349055E-3</v>
      </c>
      <c r="K2869" s="306">
        <f t="shared" ref="K2869:S2869" si="493">B2103*K$2759*B$581*(1-K$2732)*100/(24*$F$14)</f>
        <v>0</v>
      </c>
      <c r="L2869" s="306">
        <f t="shared" si="493"/>
        <v>2.1540917718574225E-3</v>
      </c>
      <c r="M2869" s="306">
        <f t="shared" si="493"/>
        <v>4.9310146719199247E-4</v>
      </c>
      <c r="N2869" s="306">
        <f t="shared" si="493"/>
        <v>1.1228068242407228E-3</v>
      </c>
      <c r="O2869" s="306">
        <f t="shared" si="493"/>
        <v>2.1217822811708145E-3</v>
      </c>
      <c r="P2869" s="306">
        <f t="shared" si="493"/>
        <v>1.0235940937063969E-3</v>
      </c>
      <c r="Q2869" s="306">
        <f t="shared" si="493"/>
        <v>1.4688016591659756E-2</v>
      </c>
      <c r="R2869" s="306">
        <f t="shared" si="493"/>
        <v>6.6273657400456295E-3</v>
      </c>
      <c r="S2869" s="306">
        <f t="shared" si="493"/>
        <v>1.5101006384352451E-2</v>
      </c>
      <c r="T2869" s="291"/>
    </row>
    <row r="2870" spans="1:20">
      <c r="A2870" s="289" t="s">
        <v>99</v>
      </c>
      <c r="B2870" s="306">
        <f t="shared" ref="B2870:J2870" si="494">B2104*B$2759*B$582*(1-B$2733)*100/(24*$F$14)</f>
        <v>0</v>
      </c>
      <c r="C2870" s="306">
        <f t="shared" si="494"/>
        <v>4.6948413364854193E-3</v>
      </c>
      <c r="D2870" s="306">
        <f t="shared" si="494"/>
        <v>1.0747142631060589E-3</v>
      </c>
      <c r="E2870" s="306">
        <f t="shared" si="494"/>
        <v>2.4471565975983738E-3</v>
      </c>
      <c r="F2870" s="306">
        <f t="shared" si="494"/>
        <v>4.6244228267366535E-3</v>
      </c>
      <c r="G2870" s="306">
        <f t="shared" si="494"/>
        <v>2.2309225287887135E-3</v>
      </c>
      <c r="H2870" s="306">
        <f t="shared" si="494"/>
        <v>1.9628486770426015E-2</v>
      </c>
      <c r="I2870" s="306">
        <f t="shared" si="494"/>
        <v>5.1819316176350428E-3</v>
      </c>
      <c r="J2870" s="306">
        <f t="shared" si="494"/>
        <v>0</v>
      </c>
      <c r="K2870" s="306">
        <f t="shared" ref="K2870:S2870" si="495">B2104*K$2759*B$582*(1-K$2733)*100/(24*$F$14)</f>
        <v>0</v>
      </c>
      <c r="L2870" s="306">
        <f t="shared" si="495"/>
        <v>2.2728760440439049E-3</v>
      </c>
      <c r="M2870" s="306">
        <f t="shared" si="495"/>
        <v>5.2029283371579735E-4</v>
      </c>
      <c r="N2870" s="306">
        <f t="shared" si="495"/>
        <v>1.1847223810270736E-3</v>
      </c>
      <c r="O2870" s="306">
        <f t="shared" si="495"/>
        <v>2.2387848932692422E-3</v>
      </c>
      <c r="P2870" s="306">
        <f t="shared" si="495"/>
        <v>1.0800387081020292E-3</v>
      </c>
      <c r="Q2870" s="306">
        <f t="shared" si="495"/>
        <v>1.5497966002124689E-2</v>
      </c>
      <c r="R2870" s="306">
        <f t="shared" si="495"/>
        <v>6.9928222290540519E-3</v>
      </c>
      <c r="S2870" s="306">
        <f t="shared" si="495"/>
        <v>0</v>
      </c>
      <c r="T2870" s="291"/>
    </row>
    <row r="2871" spans="1:20">
      <c r="A2871" s="289" t="s">
        <v>111</v>
      </c>
      <c r="B2871" s="306">
        <f t="shared" ref="B2871:J2871" si="496">B2105*B$2759*B$583*(1-B$2734)*100/(24*$F$14)</f>
        <v>0</v>
      </c>
      <c r="C2871" s="306">
        <f t="shared" si="496"/>
        <v>3.8760584048212073E-3</v>
      </c>
      <c r="D2871" s="306">
        <f t="shared" si="496"/>
        <v>8.8728349985345832E-4</v>
      </c>
      <c r="E2871" s="306">
        <f t="shared" si="496"/>
        <v>2.020371130398115E-3</v>
      </c>
      <c r="F2871" s="306">
        <f t="shared" si="496"/>
        <v>2.8342676926157522E-3</v>
      </c>
      <c r="G2871" s="306">
        <f t="shared" si="496"/>
        <v>1.3673126106715685E-3</v>
      </c>
      <c r="H2871" s="306">
        <f t="shared" si="496"/>
        <v>1.2810860086285559E-2</v>
      </c>
      <c r="I2871" s="306">
        <f t="shared" si="496"/>
        <v>0</v>
      </c>
      <c r="J2871" s="306">
        <f t="shared" si="496"/>
        <v>0</v>
      </c>
      <c r="K2871" s="306">
        <f t="shared" ref="K2871:S2871" si="497">B2105*K$2759*B$583*(1-K$2734)*100/(24*$F$14)</f>
        <v>0</v>
      </c>
      <c r="L2871" s="306">
        <f t="shared" si="497"/>
        <v>1.8764852019958168E-3</v>
      </c>
      <c r="M2871" s="306">
        <f t="shared" si="497"/>
        <v>4.2955347509188879E-4</v>
      </c>
      <c r="N2871" s="306">
        <f t="shared" si="497"/>
        <v>9.7810614102614439E-4</v>
      </c>
      <c r="O2871" s="306">
        <f t="shared" si="497"/>
        <v>1.8483395668146547E-3</v>
      </c>
      <c r="P2871" s="306">
        <f t="shared" si="497"/>
        <v>8.916793586905299E-4</v>
      </c>
      <c r="Q2871" s="306">
        <f t="shared" si="497"/>
        <v>1.279511214007035E-2</v>
      </c>
      <c r="R2871" s="306">
        <f t="shared" si="497"/>
        <v>0</v>
      </c>
      <c r="S2871" s="306">
        <f t="shared" si="497"/>
        <v>0</v>
      </c>
      <c r="T2871" s="291"/>
    </row>
    <row r="2872" spans="1:20">
      <c r="A2872" s="289" t="s">
        <v>135</v>
      </c>
      <c r="B2872" s="306">
        <f t="shared" ref="B2872:J2872" si="498">B2106*B$2759*B$588*(1-B$2739)*100/(24*$F$14)</f>
        <v>0</v>
      </c>
      <c r="C2872" s="306">
        <f t="shared" si="498"/>
        <v>4.178747017391583E-3</v>
      </c>
      <c r="D2872" s="306">
        <f t="shared" si="498"/>
        <v>9.5657311922378824E-4</v>
      </c>
      <c r="E2872" s="306">
        <f t="shared" si="498"/>
        <v>2.1781456710440418E-3</v>
      </c>
      <c r="F2872" s="306">
        <f t="shared" si="498"/>
        <v>4.1160694705925033E-3</v>
      </c>
      <c r="G2872" s="306">
        <f t="shared" si="498"/>
        <v>1.9856817717691742E-3</v>
      </c>
      <c r="H2872" s="306">
        <f t="shared" si="498"/>
        <v>1.7470767310153713E-2</v>
      </c>
      <c r="I2872" s="306">
        <f t="shared" si="498"/>
        <v>4.6122924587968812E-3</v>
      </c>
      <c r="J2872" s="306">
        <f t="shared" si="498"/>
        <v>3.0569862123166268E-3</v>
      </c>
      <c r="K2872" s="306">
        <f t="shared" ref="K2872:S2872" si="499">B2106*K$2759*B$588*(1-K$2739)*100/(24*$F$14)</f>
        <v>0</v>
      </c>
      <c r="L2872" s="306">
        <f t="shared" si="499"/>
        <v>2.0230234227807424E-3</v>
      </c>
      <c r="M2872" s="306">
        <f t="shared" si="499"/>
        <v>4.6309810518276192E-4</v>
      </c>
      <c r="N2872" s="306">
        <f t="shared" si="499"/>
        <v>1.054488269428935E-3</v>
      </c>
      <c r="O2872" s="306">
        <f t="shared" si="499"/>
        <v>1.9926798425809241E-3</v>
      </c>
      <c r="P2872" s="306">
        <f t="shared" si="499"/>
        <v>9.6131225885631797E-4</v>
      </c>
      <c r="Q2872" s="306">
        <f t="shared" si="499"/>
        <v>1.3794306253487978E-2</v>
      </c>
      <c r="R2872" s="306">
        <f t="shared" si="499"/>
        <v>6.224115563974379E-3</v>
      </c>
      <c r="S2872" s="306">
        <f t="shared" si="499"/>
        <v>1.4182167177011335E-2</v>
      </c>
      <c r="T2872" s="291"/>
    </row>
    <row r="2873" spans="1:20">
      <c r="A2873" s="289" t="s">
        <v>102</v>
      </c>
      <c r="B2873" s="306">
        <f t="shared" ref="B2873:J2873" si="500">B2107*B$2759*B$592*(1-B$2743)*100/(24*$F$14)</f>
        <v>0</v>
      </c>
      <c r="C2873" s="306">
        <f t="shared" si="500"/>
        <v>-3.683458002616219E-3</v>
      </c>
      <c r="D2873" s="306">
        <f t="shared" si="500"/>
        <v>-8.4319459790887889E-4</v>
      </c>
      <c r="E2873" s="306">
        <f t="shared" si="500"/>
        <v>-1.9199793788615515E-3</v>
      </c>
      <c r="F2873" s="306">
        <f t="shared" si="500"/>
        <v>-3.6282093574169388E-3</v>
      </c>
      <c r="G2873" s="306">
        <f t="shared" si="500"/>
        <v>-1.7503274025518544E-3</v>
      </c>
      <c r="H2873" s="306">
        <f t="shared" si="500"/>
        <v>-1.5400031969535516E-2</v>
      </c>
      <c r="I2873" s="306">
        <f t="shared" si="500"/>
        <v>-4.0656171567827141E-3</v>
      </c>
      <c r="J2873" s="306">
        <f t="shared" si="500"/>
        <v>0</v>
      </c>
      <c r="K2873" s="306">
        <f t="shared" ref="K2873:S2873" si="501">B2107*K$2759*B$592*(1-K$2743)*100/(24*$F$14)</f>
        <v>0</v>
      </c>
      <c r="L2873" s="306">
        <f t="shared" si="501"/>
        <v>-1.7832431073497295E-3</v>
      </c>
      <c r="M2873" s="306">
        <f t="shared" si="501"/>
        <v>-4.0820906707978496E-4</v>
      </c>
      <c r="N2873" s="306">
        <f t="shared" si="501"/>
        <v>-9.2950428406586669E-4</v>
      </c>
      <c r="O2873" s="306">
        <f t="shared" si="501"/>
        <v>-1.7564960219555018E-3</v>
      </c>
      <c r="P2873" s="306">
        <f t="shared" si="501"/>
        <v>-8.4737202758631679E-4</v>
      </c>
      <c r="Q2873" s="306">
        <f t="shared" si="501"/>
        <v>-1.2159326120600106E-2</v>
      </c>
      <c r="R2873" s="306">
        <f t="shared" si="501"/>
        <v>-5.4863977617961683E-3</v>
      </c>
      <c r="S2873" s="306">
        <f t="shared" si="501"/>
        <v>0</v>
      </c>
      <c r="T2873" s="291"/>
    </row>
    <row r="2874" spans="1:20">
      <c r="A2874" s="289" t="s">
        <v>104</v>
      </c>
      <c r="B2874" s="306">
        <f t="shared" ref="B2874:J2874" si="502">B2108*B$2759*B$594*(1-B$2745)*100/(24*$F$14)</f>
        <v>0</v>
      </c>
      <c r="C2874" s="306">
        <f t="shared" si="502"/>
        <v>-3.6258510237344569E-3</v>
      </c>
      <c r="D2874" s="306">
        <f t="shared" si="502"/>
        <v>-8.300075618790252E-4</v>
      </c>
      <c r="E2874" s="306">
        <f t="shared" si="502"/>
        <v>-1.8899521024672127E-3</v>
      </c>
      <c r="F2874" s="306">
        <f t="shared" si="502"/>
        <v>-3.5714664327839234E-3</v>
      </c>
      <c r="G2874" s="306">
        <f t="shared" si="502"/>
        <v>-1.7229533769369679E-3</v>
      </c>
      <c r="H2874" s="306">
        <f t="shared" si="502"/>
        <v>-1.5159185103406622E-2</v>
      </c>
      <c r="I2874" s="306">
        <f t="shared" si="502"/>
        <v>0</v>
      </c>
      <c r="J2874" s="306">
        <f t="shared" si="502"/>
        <v>0</v>
      </c>
      <c r="K2874" s="306">
        <f t="shared" ref="K2874:S2874" si="503">B2108*K$2759*B$594*(1-K$2745)*100/(24*$F$14)</f>
        <v>0</v>
      </c>
      <c r="L2874" s="306">
        <f t="shared" si="503"/>
        <v>-1.7553543007030458E-3</v>
      </c>
      <c r="M2874" s="306">
        <f t="shared" si="503"/>
        <v>-4.0182493263603492E-4</v>
      </c>
      <c r="N2874" s="306">
        <f t="shared" si="503"/>
        <v>-9.1496741853769759E-4</v>
      </c>
      <c r="O2874" s="306">
        <f t="shared" si="503"/>
        <v>-1.7290255229920762E-3</v>
      </c>
      <c r="P2874" s="306">
        <f t="shared" si="503"/>
        <v>-8.3411965916960337E-4</v>
      </c>
      <c r="Q2874" s="306">
        <f t="shared" si="503"/>
        <v>-1.1969161866644082E-2</v>
      </c>
      <c r="R2874" s="306">
        <f t="shared" si="503"/>
        <v>0</v>
      </c>
      <c r="S2874" s="306">
        <f t="shared" si="503"/>
        <v>0</v>
      </c>
      <c r="T2874" s="291"/>
    </row>
    <row r="2875" spans="1:20">
      <c r="A2875" s="289" t="s">
        <v>113</v>
      </c>
      <c r="B2875" s="306">
        <f t="shared" ref="B2875:J2875" si="504">B2109*B$2759*B$596*(1-B$2747)*100/(24*$F$14)</f>
        <v>0</v>
      </c>
      <c r="C2875" s="306">
        <f t="shared" si="504"/>
        <v>-3.5614667532195454E-3</v>
      </c>
      <c r="D2875" s="306">
        <f t="shared" si="504"/>
        <v>-8.1526910984565935E-4</v>
      </c>
      <c r="E2875" s="306">
        <f t="shared" si="504"/>
        <v>-1.8563922053205981E-3</v>
      </c>
      <c r="F2875" s="306">
        <f t="shared" si="504"/>
        <v>-2.604230664950699E-3</v>
      </c>
      <c r="G2875" s="306">
        <f t="shared" si="504"/>
        <v>-1.2563377265181418E-3</v>
      </c>
      <c r="H2875" s="306">
        <f t="shared" si="504"/>
        <v>0</v>
      </c>
      <c r="I2875" s="306">
        <f t="shared" si="504"/>
        <v>0</v>
      </c>
      <c r="J2875" s="306">
        <f t="shared" si="504"/>
        <v>0</v>
      </c>
      <c r="K2875" s="306">
        <f t="shared" ref="K2875:S2875" si="505">B2109*K$2759*B$596*(1-K$2747)*100/(24*$F$14)</f>
        <v>0</v>
      </c>
      <c r="L2875" s="306">
        <f t="shared" si="505"/>
        <v>-1.7241844579802812E-3</v>
      </c>
      <c r="M2875" s="306">
        <f t="shared" si="505"/>
        <v>-3.9468972355184365E-4</v>
      </c>
      <c r="N2875" s="306">
        <f t="shared" si="505"/>
        <v>-8.987203335356263E-4</v>
      </c>
      <c r="O2875" s="306">
        <f t="shared" si="505"/>
        <v>-1.698323200621189E-3</v>
      </c>
      <c r="P2875" s="306">
        <f t="shared" si="505"/>
        <v>-8.1930818858621786E-4</v>
      </c>
      <c r="Q2875" s="306">
        <f t="shared" si="505"/>
        <v>0</v>
      </c>
      <c r="R2875" s="306">
        <f t="shared" si="505"/>
        <v>0</v>
      </c>
      <c r="S2875" s="306">
        <f t="shared" si="505"/>
        <v>0</v>
      </c>
      <c r="T2875" s="291"/>
    </row>
    <row r="2877" spans="1:20" ht="21" customHeight="1">
      <c r="A2877" s="1" t="str">
        <f>"Allocation to standing charges for "&amp;CDCM!B7&amp;" in "&amp;CDCM!C7&amp;" ("&amp;CDCM!D7&amp;")"</f>
        <v>Allocation to standing charges for West Mids in 0 (Forecast)</v>
      </c>
    </row>
    <row r="2878" spans="1:20">
      <c r="A2878" s="287" t="s">
        <v>717</v>
      </c>
    </row>
    <row r="2880" spans="1:20" ht="21" customHeight="1">
      <c r="A2880" s="1" t="s">
        <v>718</v>
      </c>
    </row>
    <row r="2881" spans="1:20">
      <c r="A2881" s="287" t="s">
        <v>255</v>
      </c>
    </row>
    <row r="2882" spans="1:20">
      <c r="A2882" s="301" t="s">
        <v>713</v>
      </c>
    </row>
    <row r="2883" spans="1:20">
      <c r="A2883" s="301" t="s">
        <v>719</v>
      </c>
    </row>
    <row r="2884" spans="1:20">
      <c r="A2884" s="287" t="s">
        <v>720</v>
      </c>
    </row>
    <row r="2886" spans="1:20" ht="30">
      <c r="B2886" s="288" t="s">
        <v>60</v>
      </c>
      <c r="C2886" s="288" t="s">
        <v>220</v>
      </c>
      <c r="D2886" s="288" t="s">
        <v>221</v>
      </c>
      <c r="E2886" s="288" t="s">
        <v>222</v>
      </c>
      <c r="F2886" s="288" t="s">
        <v>223</v>
      </c>
      <c r="G2886" s="288" t="s">
        <v>224</v>
      </c>
      <c r="H2886" s="288" t="s">
        <v>225</v>
      </c>
      <c r="I2886" s="288" t="s">
        <v>226</v>
      </c>
      <c r="J2886" s="288" t="s">
        <v>227</v>
      </c>
      <c r="K2886" s="288" t="s">
        <v>208</v>
      </c>
      <c r="L2886" s="288" t="s">
        <v>618</v>
      </c>
      <c r="M2886" s="288" t="s">
        <v>619</v>
      </c>
      <c r="N2886" s="288" t="s">
        <v>620</v>
      </c>
      <c r="O2886" s="288" t="s">
        <v>621</v>
      </c>
      <c r="P2886" s="288" t="s">
        <v>622</v>
      </c>
      <c r="Q2886" s="288" t="s">
        <v>623</v>
      </c>
      <c r="R2886" s="288" t="s">
        <v>624</v>
      </c>
      <c r="S2886" s="288" t="s">
        <v>625</v>
      </c>
    </row>
    <row r="2887" spans="1:20">
      <c r="A2887" s="289" t="s">
        <v>721</v>
      </c>
      <c r="B2887" s="306">
        <f t="shared" ref="B2887:J2887" si="506">B2759/(1+B2454)</f>
        <v>0</v>
      </c>
      <c r="C2887" s="306">
        <f t="shared" si="506"/>
        <v>5.7233346716690772</v>
      </c>
      <c r="D2887" s="306">
        <f t="shared" si="506"/>
        <v>4.2828273204891403</v>
      </c>
      <c r="E2887" s="306">
        <f t="shared" si="506"/>
        <v>4.3370749007322189</v>
      </c>
      <c r="F2887" s="306">
        <f t="shared" si="506"/>
        <v>8.2522926893970556</v>
      </c>
      <c r="G2887" s="306">
        <f t="shared" si="506"/>
        <v>4.0092181628776355</v>
      </c>
      <c r="H2887" s="306">
        <f t="shared" si="506"/>
        <v>13.465164473327029</v>
      </c>
      <c r="I2887" s="306">
        <f t="shared" si="506"/>
        <v>6.1854387131804653</v>
      </c>
      <c r="J2887" s="306">
        <f t="shared" si="506"/>
        <v>12.738645561531628</v>
      </c>
      <c r="K2887" s="306">
        <f t="shared" ref="K2887:S2887" si="507">K2759/(1+B2454)</f>
        <v>3.3355723458042514</v>
      </c>
      <c r="L2887" s="306">
        <f t="shared" si="507"/>
        <v>2.7707923090369455</v>
      </c>
      <c r="M2887" s="306">
        <f t="shared" si="507"/>
        <v>2.0734109887521108</v>
      </c>
      <c r="N2887" s="306">
        <f t="shared" si="507"/>
        <v>2.0996734365634233</v>
      </c>
      <c r="O2887" s="306">
        <f t="shared" si="507"/>
        <v>3.9951165583394084</v>
      </c>
      <c r="P2887" s="306">
        <f t="shared" si="507"/>
        <v>1.9409507722729393</v>
      </c>
      <c r="Q2887" s="306">
        <f t="shared" si="507"/>
        <v>6.5187825460033242</v>
      </c>
      <c r="R2887" s="306">
        <f t="shared" si="507"/>
        <v>2.9945070483711116</v>
      </c>
      <c r="S2887" s="306">
        <f t="shared" si="507"/>
        <v>6.1670587470898601</v>
      </c>
      <c r="T2887" s="291"/>
    </row>
    <row r="2889" spans="1:20" ht="21" customHeight="1">
      <c r="A2889" s="1" t="s">
        <v>722</v>
      </c>
    </row>
    <row r="2890" spans="1:20">
      <c r="A2890" s="287" t="s">
        <v>723</v>
      </c>
    </row>
    <row r="2891" spans="1:20">
      <c r="A2891" s="287" t="s">
        <v>255</v>
      </c>
    </row>
    <row r="2892" spans="1:20">
      <c r="A2892" s="301" t="s">
        <v>724</v>
      </c>
    </row>
    <row r="2893" spans="1:20">
      <c r="A2893" s="301" t="s">
        <v>725</v>
      </c>
    </row>
    <row r="2894" spans="1:20">
      <c r="A2894" s="301" t="s">
        <v>726</v>
      </c>
    </row>
    <row r="2895" spans="1:20">
      <c r="A2895" s="301" t="s">
        <v>727</v>
      </c>
    </row>
    <row r="2896" spans="1:20">
      <c r="A2896" s="301" t="s">
        <v>520</v>
      </c>
    </row>
    <row r="2897" spans="1:20">
      <c r="A2897" s="301" t="s">
        <v>728</v>
      </c>
    </row>
    <row r="2898" spans="1:20">
      <c r="A2898" s="287" t="s">
        <v>729</v>
      </c>
    </row>
    <row r="2900" spans="1:20" ht="30">
      <c r="B2900" s="288" t="s">
        <v>60</v>
      </c>
      <c r="C2900" s="288" t="s">
        <v>220</v>
      </c>
      <c r="D2900" s="288" t="s">
        <v>221</v>
      </c>
      <c r="E2900" s="288" t="s">
        <v>222</v>
      </c>
      <c r="F2900" s="288" t="s">
        <v>223</v>
      </c>
      <c r="G2900" s="288" t="s">
        <v>224</v>
      </c>
      <c r="H2900" s="288" t="s">
        <v>225</v>
      </c>
      <c r="I2900" s="288" t="s">
        <v>226</v>
      </c>
      <c r="J2900" s="288" t="s">
        <v>227</v>
      </c>
      <c r="K2900" s="288" t="s">
        <v>208</v>
      </c>
      <c r="L2900" s="288" t="s">
        <v>618</v>
      </c>
      <c r="M2900" s="288" t="s">
        <v>619</v>
      </c>
      <c r="N2900" s="288" t="s">
        <v>620</v>
      </c>
      <c r="O2900" s="288" t="s">
        <v>621</v>
      </c>
      <c r="P2900" s="288" t="s">
        <v>622</v>
      </c>
      <c r="Q2900" s="288" t="s">
        <v>623</v>
      </c>
      <c r="R2900" s="288" t="s">
        <v>624</v>
      </c>
      <c r="S2900" s="288" t="s">
        <v>625</v>
      </c>
    </row>
    <row r="2901" spans="1:20">
      <c r="A2901" s="289" t="s">
        <v>92</v>
      </c>
      <c r="B2901" s="306">
        <f t="shared" ref="B2901:J2901" si="508">100*B2293*B$570*B$2887*$E$14/$F$14*(1-B$2721)</f>
        <v>0</v>
      </c>
      <c r="C2901" s="306">
        <f t="shared" si="508"/>
        <v>0</v>
      </c>
      <c r="D2901" s="306">
        <f t="shared" si="508"/>
        <v>0</v>
      </c>
      <c r="E2901" s="306">
        <f t="shared" si="508"/>
        <v>0</v>
      </c>
      <c r="F2901" s="306">
        <f t="shared" si="508"/>
        <v>0</v>
      </c>
      <c r="G2901" s="306">
        <f t="shared" si="508"/>
        <v>0</v>
      </c>
      <c r="H2901" s="306">
        <f t="shared" si="508"/>
        <v>0</v>
      </c>
      <c r="I2901" s="306">
        <f t="shared" si="508"/>
        <v>0</v>
      </c>
      <c r="J2901" s="306">
        <f t="shared" si="508"/>
        <v>0.3459869400822928</v>
      </c>
      <c r="K2901" s="306">
        <f t="shared" ref="K2901:S2901" si="509">100*B2293*B$570*K$2887*$E$14/$F$14*(1-K$2721)</f>
        <v>0</v>
      </c>
      <c r="L2901" s="306">
        <f t="shared" si="509"/>
        <v>0</v>
      </c>
      <c r="M2901" s="306">
        <f t="shared" si="509"/>
        <v>0</v>
      </c>
      <c r="N2901" s="306">
        <f t="shared" si="509"/>
        <v>0</v>
      </c>
      <c r="O2901" s="306">
        <f t="shared" si="509"/>
        <v>0</v>
      </c>
      <c r="P2901" s="306">
        <f t="shared" si="509"/>
        <v>0</v>
      </c>
      <c r="Q2901" s="306">
        <f t="shared" si="509"/>
        <v>0</v>
      </c>
      <c r="R2901" s="306">
        <f t="shared" si="509"/>
        <v>0</v>
      </c>
      <c r="S2901" s="306">
        <f t="shared" si="509"/>
        <v>1.6051248793795525</v>
      </c>
      <c r="T2901" s="291"/>
    </row>
    <row r="2902" spans="1:20">
      <c r="A2902" s="289" t="s">
        <v>93</v>
      </c>
      <c r="B2902" s="306">
        <f t="shared" ref="B2902:J2902" si="510">100*B2294*B$571*B$2887*$E$14/$F$14*(1-B$2722)</f>
        <v>0</v>
      </c>
      <c r="C2902" s="306">
        <f t="shared" si="510"/>
        <v>0</v>
      </c>
      <c r="D2902" s="306">
        <f t="shared" si="510"/>
        <v>0</v>
      </c>
      <c r="E2902" s="306">
        <f t="shared" si="510"/>
        <v>0</v>
      </c>
      <c r="F2902" s="306">
        <f t="shared" si="510"/>
        <v>0</v>
      </c>
      <c r="G2902" s="306">
        <f t="shared" si="510"/>
        <v>0</v>
      </c>
      <c r="H2902" s="306">
        <f t="shared" si="510"/>
        <v>0</v>
      </c>
      <c r="I2902" s="306">
        <f t="shared" si="510"/>
        <v>0</v>
      </c>
      <c r="J2902" s="306">
        <f t="shared" si="510"/>
        <v>0.3459869400822928</v>
      </c>
      <c r="K2902" s="306">
        <f t="shared" ref="K2902:S2902" si="511">100*B2294*B$571*K$2887*$E$14/$F$14*(1-K$2722)</f>
        <v>0</v>
      </c>
      <c r="L2902" s="306">
        <f t="shared" si="511"/>
        <v>0</v>
      </c>
      <c r="M2902" s="306">
        <f t="shared" si="511"/>
        <v>0</v>
      </c>
      <c r="N2902" s="306">
        <f t="shared" si="511"/>
        <v>0</v>
      </c>
      <c r="O2902" s="306">
        <f t="shared" si="511"/>
        <v>0</v>
      </c>
      <c r="P2902" s="306">
        <f t="shared" si="511"/>
        <v>0</v>
      </c>
      <c r="Q2902" s="306">
        <f t="shared" si="511"/>
        <v>0</v>
      </c>
      <c r="R2902" s="306">
        <f t="shared" si="511"/>
        <v>0</v>
      </c>
      <c r="S2902" s="306">
        <f t="shared" si="511"/>
        <v>1.6051248793795525</v>
      </c>
      <c r="T2902" s="291"/>
    </row>
    <row r="2903" spans="1:20">
      <c r="A2903" s="289" t="s">
        <v>129</v>
      </c>
      <c r="B2903" s="306">
        <f t="shared" ref="B2903:J2903" si="512">100*B2295*B$572*B$2887*$E$14/$F$14*(1-B$2723)</f>
        <v>0</v>
      </c>
      <c r="C2903" s="306">
        <f t="shared" si="512"/>
        <v>0</v>
      </c>
      <c r="D2903" s="306">
        <f t="shared" si="512"/>
        <v>0</v>
      </c>
      <c r="E2903" s="306">
        <f t="shared" si="512"/>
        <v>0</v>
      </c>
      <c r="F2903" s="306">
        <f t="shared" si="512"/>
        <v>0</v>
      </c>
      <c r="G2903" s="306">
        <f t="shared" si="512"/>
        <v>0</v>
      </c>
      <c r="H2903" s="306">
        <f t="shared" si="512"/>
        <v>0</v>
      </c>
      <c r="I2903" s="306">
        <f t="shared" si="512"/>
        <v>0</v>
      </c>
      <c r="J2903" s="306">
        <f t="shared" si="512"/>
        <v>0.3459869400822928</v>
      </c>
      <c r="K2903" s="306">
        <f t="shared" ref="K2903:S2903" si="513">100*B2295*B$572*K$2887*$E$14/$F$14*(1-K$2723)</f>
        <v>0</v>
      </c>
      <c r="L2903" s="306">
        <f t="shared" si="513"/>
        <v>0</v>
      </c>
      <c r="M2903" s="306">
        <f t="shared" si="513"/>
        <v>0</v>
      </c>
      <c r="N2903" s="306">
        <f t="shared" si="513"/>
        <v>0</v>
      </c>
      <c r="O2903" s="306">
        <f t="shared" si="513"/>
        <v>0</v>
      </c>
      <c r="P2903" s="306">
        <f t="shared" si="513"/>
        <v>0</v>
      </c>
      <c r="Q2903" s="306">
        <f t="shared" si="513"/>
        <v>0</v>
      </c>
      <c r="R2903" s="306">
        <f t="shared" si="513"/>
        <v>0</v>
      </c>
      <c r="S2903" s="306">
        <f t="shared" si="513"/>
        <v>1.6051248793795525</v>
      </c>
      <c r="T2903" s="291"/>
    </row>
    <row r="2904" spans="1:20">
      <c r="A2904" s="289" t="s">
        <v>94</v>
      </c>
      <c r="B2904" s="306">
        <f t="shared" ref="B2904:J2904" si="514">100*B2296*B$573*B$2887*$E$14/$F$14*(1-B$2724)</f>
        <v>0</v>
      </c>
      <c r="C2904" s="306">
        <f t="shared" si="514"/>
        <v>0</v>
      </c>
      <c r="D2904" s="306">
        <f t="shared" si="514"/>
        <v>0</v>
      </c>
      <c r="E2904" s="306">
        <f t="shared" si="514"/>
        <v>0</v>
      </c>
      <c r="F2904" s="306">
        <f t="shared" si="514"/>
        <v>0</v>
      </c>
      <c r="G2904" s="306">
        <f t="shared" si="514"/>
        <v>0</v>
      </c>
      <c r="H2904" s="306">
        <f t="shared" si="514"/>
        <v>0</v>
      </c>
      <c r="I2904" s="306">
        <f t="shared" si="514"/>
        <v>0</v>
      </c>
      <c r="J2904" s="306">
        <f t="shared" si="514"/>
        <v>0.3459869400822928</v>
      </c>
      <c r="K2904" s="306">
        <f t="shared" ref="K2904:S2904" si="515">100*B2296*B$573*K$2887*$E$14/$F$14*(1-K$2724)</f>
        <v>0</v>
      </c>
      <c r="L2904" s="306">
        <f t="shared" si="515"/>
        <v>0</v>
      </c>
      <c r="M2904" s="306">
        <f t="shared" si="515"/>
        <v>0</v>
      </c>
      <c r="N2904" s="306">
        <f t="shared" si="515"/>
        <v>0</v>
      </c>
      <c r="O2904" s="306">
        <f t="shared" si="515"/>
        <v>0</v>
      </c>
      <c r="P2904" s="306">
        <f t="shared" si="515"/>
        <v>0</v>
      </c>
      <c r="Q2904" s="306">
        <f t="shared" si="515"/>
        <v>0</v>
      </c>
      <c r="R2904" s="306">
        <f t="shared" si="515"/>
        <v>0</v>
      </c>
      <c r="S2904" s="306">
        <f t="shared" si="515"/>
        <v>1.6051248793795525</v>
      </c>
      <c r="T2904" s="291"/>
    </row>
    <row r="2905" spans="1:20">
      <c r="A2905" s="289" t="s">
        <v>95</v>
      </c>
      <c r="B2905" s="306">
        <f t="shared" ref="B2905:J2905" si="516">100*B2297*B$574*B$2887*$E$14/$F$14*(1-B$2725)</f>
        <v>0</v>
      </c>
      <c r="C2905" s="306">
        <f t="shared" si="516"/>
        <v>0</v>
      </c>
      <c r="D2905" s="306">
        <f t="shared" si="516"/>
        <v>0</v>
      </c>
      <c r="E2905" s="306">
        <f t="shared" si="516"/>
        <v>0</v>
      </c>
      <c r="F2905" s="306">
        <f t="shared" si="516"/>
        <v>0</v>
      </c>
      <c r="G2905" s="306">
        <f t="shared" si="516"/>
        <v>0</v>
      </c>
      <c r="H2905" s="306">
        <f t="shared" si="516"/>
        <v>0</v>
      </c>
      <c r="I2905" s="306">
        <f t="shared" si="516"/>
        <v>0</v>
      </c>
      <c r="J2905" s="306">
        <f t="shared" si="516"/>
        <v>0.3459869400822928</v>
      </c>
      <c r="K2905" s="306">
        <f t="shared" ref="K2905:S2905" si="517">100*B2297*B$574*K$2887*$E$14/$F$14*(1-K$2725)</f>
        <v>0</v>
      </c>
      <c r="L2905" s="306">
        <f t="shared" si="517"/>
        <v>0</v>
      </c>
      <c r="M2905" s="306">
        <f t="shared" si="517"/>
        <v>0</v>
      </c>
      <c r="N2905" s="306">
        <f t="shared" si="517"/>
        <v>0</v>
      </c>
      <c r="O2905" s="306">
        <f t="shared" si="517"/>
        <v>0</v>
      </c>
      <c r="P2905" s="306">
        <f t="shared" si="517"/>
        <v>0</v>
      </c>
      <c r="Q2905" s="306">
        <f t="shared" si="517"/>
        <v>0</v>
      </c>
      <c r="R2905" s="306">
        <f t="shared" si="517"/>
        <v>0</v>
      </c>
      <c r="S2905" s="306">
        <f t="shared" si="517"/>
        <v>1.6051248793795525</v>
      </c>
      <c r="T2905" s="291"/>
    </row>
    <row r="2906" spans="1:20">
      <c r="A2906" s="289" t="s">
        <v>130</v>
      </c>
      <c r="B2906" s="306">
        <f t="shared" ref="B2906:J2906" si="518">100*B2298*B$575*B$2887*$E$14/$F$14*(1-B$2726)</f>
        <v>0</v>
      </c>
      <c r="C2906" s="306">
        <f t="shared" si="518"/>
        <v>0</v>
      </c>
      <c r="D2906" s="306">
        <f t="shared" si="518"/>
        <v>0</v>
      </c>
      <c r="E2906" s="306">
        <f t="shared" si="518"/>
        <v>0</v>
      </c>
      <c r="F2906" s="306">
        <f t="shared" si="518"/>
        <v>0</v>
      </c>
      <c r="G2906" s="306">
        <f t="shared" si="518"/>
        <v>0</v>
      </c>
      <c r="H2906" s="306">
        <f t="shared" si="518"/>
        <v>0</v>
      </c>
      <c r="I2906" s="306">
        <f t="shared" si="518"/>
        <v>0</v>
      </c>
      <c r="J2906" s="306">
        <f t="shared" si="518"/>
        <v>0.3459869400822928</v>
      </c>
      <c r="K2906" s="306">
        <f t="shared" ref="K2906:S2906" si="519">100*B2298*B$575*K$2887*$E$14/$F$14*(1-K$2726)</f>
        <v>0</v>
      </c>
      <c r="L2906" s="306">
        <f t="shared" si="519"/>
        <v>0</v>
      </c>
      <c r="M2906" s="306">
        <f t="shared" si="519"/>
        <v>0</v>
      </c>
      <c r="N2906" s="306">
        <f t="shared" si="519"/>
        <v>0</v>
      </c>
      <c r="O2906" s="306">
        <f t="shared" si="519"/>
        <v>0</v>
      </c>
      <c r="P2906" s="306">
        <f t="shared" si="519"/>
        <v>0</v>
      </c>
      <c r="Q2906" s="306">
        <f t="shared" si="519"/>
        <v>0</v>
      </c>
      <c r="R2906" s="306">
        <f t="shared" si="519"/>
        <v>0</v>
      </c>
      <c r="S2906" s="306">
        <f t="shared" si="519"/>
        <v>1.6051248793795525</v>
      </c>
      <c r="T2906" s="291"/>
    </row>
    <row r="2907" spans="1:20">
      <c r="A2907" s="289" t="s">
        <v>96</v>
      </c>
      <c r="B2907" s="306">
        <f t="shared" ref="B2907:J2907" si="520">100*B2299*B$576*B$2887*$E$14/$F$14*(1-B$2727)</f>
        <v>0</v>
      </c>
      <c r="C2907" s="306">
        <f t="shared" si="520"/>
        <v>0</v>
      </c>
      <c r="D2907" s="306">
        <f t="shared" si="520"/>
        <v>0</v>
      </c>
      <c r="E2907" s="306">
        <f t="shared" si="520"/>
        <v>0</v>
      </c>
      <c r="F2907" s="306">
        <f t="shared" si="520"/>
        <v>0</v>
      </c>
      <c r="G2907" s="306">
        <f t="shared" si="520"/>
        <v>0</v>
      </c>
      <c r="H2907" s="306">
        <f t="shared" si="520"/>
        <v>0</v>
      </c>
      <c r="I2907" s="306">
        <f t="shared" si="520"/>
        <v>0</v>
      </c>
      <c r="J2907" s="306">
        <f t="shared" si="520"/>
        <v>0.3459869400822928</v>
      </c>
      <c r="K2907" s="306">
        <f t="shared" ref="K2907:S2907" si="521">100*B2299*B$576*K$2887*$E$14/$F$14*(1-K$2727)</f>
        <v>0</v>
      </c>
      <c r="L2907" s="306">
        <f t="shared" si="521"/>
        <v>0</v>
      </c>
      <c r="M2907" s="306">
        <f t="shared" si="521"/>
        <v>0</v>
      </c>
      <c r="N2907" s="306">
        <f t="shared" si="521"/>
        <v>0</v>
      </c>
      <c r="O2907" s="306">
        <f t="shared" si="521"/>
        <v>0</v>
      </c>
      <c r="P2907" s="306">
        <f t="shared" si="521"/>
        <v>0</v>
      </c>
      <c r="Q2907" s="306">
        <f t="shared" si="521"/>
        <v>0</v>
      </c>
      <c r="R2907" s="306">
        <f t="shared" si="521"/>
        <v>0</v>
      </c>
      <c r="S2907" s="306">
        <f t="shared" si="521"/>
        <v>1.6051248793795525</v>
      </c>
      <c r="T2907" s="291"/>
    </row>
    <row r="2908" spans="1:20">
      <c r="A2908" s="289" t="s">
        <v>97</v>
      </c>
      <c r="B2908" s="306">
        <f t="shared" ref="B2908:J2908" si="522">100*B2300*B$577*B$2887*$E$14/$F$14*(1-B$2728)</f>
        <v>0</v>
      </c>
      <c r="C2908" s="306">
        <f t="shared" si="522"/>
        <v>0</v>
      </c>
      <c r="D2908" s="306">
        <f t="shared" si="522"/>
        <v>0</v>
      </c>
      <c r="E2908" s="306">
        <f t="shared" si="522"/>
        <v>0</v>
      </c>
      <c r="F2908" s="306">
        <f t="shared" si="522"/>
        <v>0</v>
      </c>
      <c r="G2908" s="306">
        <f t="shared" si="522"/>
        <v>0</v>
      </c>
      <c r="H2908" s="306">
        <f t="shared" si="522"/>
        <v>0</v>
      </c>
      <c r="I2908" s="306">
        <f t="shared" si="522"/>
        <v>0.57755755645292994</v>
      </c>
      <c r="J2908" s="306">
        <f t="shared" si="522"/>
        <v>0</v>
      </c>
      <c r="K2908" s="306">
        <f t="shared" ref="K2908:S2908" si="523">100*B2300*B$577*K$2887*$E$14/$F$14*(1-K$2728)</f>
        <v>0</v>
      </c>
      <c r="L2908" s="306">
        <f t="shared" si="523"/>
        <v>0</v>
      </c>
      <c r="M2908" s="306">
        <f t="shared" si="523"/>
        <v>0</v>
      </c>
      <c r="N2908" s="306">
        <f t="shared" si="523"/>
        <v>0</v>
      </c>
      <c r="O2908" s="306">
        <f t="shared" si="523"/>
        <v>0</v>
      </c>
      <c r="P2908" s="306">
        <f t="shared" si="523"/>
        <v>0</v>
      </c>
      <c r="Q2908" s="306">
        <f t="shared" si="523"/>
        <v>0</v>
      </c>
      <c r="R2908" s="306">
        <f t="shared" si="523"/>
        <v>0.7793922454664538</v>
      </c>
      <c r="S2908" s="306">
        <f t="shared" si="523"/>
        <v>0</v>
      </c>
      <c r="T2908" s="291"/>
    </row>
    <row r="2909" spans="1:20">
      <c r="A2909" s="289" t="s">
        <v>110</v>
      </c>
      <c r="B2909" s="306">
        <f t="shared" ref="B2909:J2909" si="524">100*B2301*B$578*B$2887*$E$14/$F$14*(1-B$2729)</f>
        <v>0</v>
      </c>
      <c r="C2909" s="306">
        <f t="shared" si="524"/>
        <v>0.21642419332644136</v>
      </c>
      <c r="D2909" s="306">
        <f t="shared" si="524"/>
        <v>0</v>
      </c>
      <c r="E2909" s="306">
        <f t="shared" si="524"/>
        <v>7.1799114239151654E-2</v>
      </c>
      <c r="F2909" s="306">
        <f t="shared" si="524"/>
        <v>0.50361516947224383</v>
      </c>
      <c r="G2909" s="306">
        <f t="shared" si="524"/>
        <v>0.55117864676645878</v>
      </c>
      <c r="H2909" s="306">
        <f t="shared" si="524"/>
        <v>1.6987576536778661</v>
      </c>
      <c r="I2909" s="306">
        <f t="shared" si="524"/>
        <v>0</v>
      </c>
      <c r="J2909" s="306">
        <f t="shared" si="524"/>
        <v>0</v>
      </c>
      <c r="K2909" s="306">
        <f t="shared" ref="K2909:S2909" si="525">100*B2301*B$578*K$2887*$E$14/$F$14*(1-K$2729)</f>
        <v>0</v>
      </c>
      <c r="L2909" s="306">
        <f t="shared" si="525"/>
        <v>0.10477571638905227</v>
      </c>
      <c r="M2909" s="306">
        <f t="shared" si="525"/>
        <v>0</v>
      </c>
      <c r="N2909" s="306">
        <f t="shared" si="525"/>
        <v>3.475953180132485E-2</v>
      </c>
      <c r="O2909" s="306">
        <f t="shared" si="525"/>
        <v>0.32842763815457776</v>
      </c>
      <c r="P2909" s="306">
        <f t="shared" si="525"/>
        <v>0.35944568815995759</v>
      </c>
      <c r="Q2909" s="306">
        <f t="shared" si="525"/>
        <v>1.6966694297816871</v>
      </c>
      <c r="R2909" s="306">
        <f t="shared" si="525"/>
        <v>0</v>
      </c>
      <c r="S2909" s="306">
        <f t="shared" si="525"/>
        <v>0</v>
      </c>
      <c r="T2909" s="291"/>
    </row>
    <row r="2910" spans="1:20">
      <c r="A2910" s="289" t="s">
        <v>1536</v>
      </c>
      <c r="B2910" s="306">
        <f t="shared" ref="B2910:J2910" si="526">100*B2302*B$579*B$2887*$E$14/$F$14*(1-B$2730)</f>
        <v>0</v>
      </c>
      <c r="C2910" s="306">
        <f t="shared" si="526"/>
        <v>0</v>
      </c>
      <c r="D2910" s="306">
        <f t="shared" si="526"/>
        <v>0</v>
      </c>
      <c r="E2910" s="306">
        <f t="shared" si="526"/>
        <v>0</v>
      </c>
      <c r="F2910" s="306">
        <f t="shared" si="526"/>
        <v>0</v>
      </c>
      <c r="G2910" s="306">
        <f t="shared" si="526"/>
        <v>0</v>
      </c>
      <c r="H2910" s="306">
        <f t="shared" si="526"/>
        <v>0</v>
      </c>
      <c r="I2910" s="306">
        <f t="shared" si="526"/>
        <v>0</v>
      </c>
      <c r="J2910" s="306">
        <f t="shared" si="526"/>
        <v>0.3459869400822928</v>
      </c>
      <c r="K2910" s="306">
        <f t="shared" ref="K2910:S2910" si="527">100*B2302*B$579*K$2887*$E$14/$F$14*(1-K$2730)</f>
        <v>0</v>
      </c>
      <c r="L2910" s="306">
        <f t="shared" si="527"/>
        <v>0</v>
      </c>
      <c r="M2910" s="306">
        <f t="shared" si="527"/>
        <v>0</v>
      </c>
      <c r="N2910" s="306">
        <f t="shared" si="527"/>
        <v>0</v>
      </c>
      <c r="O2910" s="306">
        <f t="shared" si="527"/>
        <v>0</v>
      </c>
      <c r="P2910" s="306">
        <f t="shared" si="527"/>
        <v>0</v>
      </c>
      <c r="Q2910" s="306">
        <f t="shared" si="527"/>
        <v>0</v>
      </c>
      <c r="R2910" s="306">
        <f t="shared" si="527"/>
        <v>0</v>
      </c>
      <c r="S2910" s="306">
        <f t="shared" si="527"/>
        <v>1.6051248793795525</v>
      </c>
      <c r="T2910" s="291"/>
    </row>
    <row r="2911" spans="1:20">
      <c r="A2911" s="289" t="s">
        <v>1535</v>
      </c>
      <c r="B2911" s="306">
        <f t="shared" ref="B2911:J2911" si="528">100*B2303*B$580*B$2887*$E$14/$F$14*(1-B$2731)</f>
        <v>0</v>
      </c>
      <c r="C2911" s="306">
        <f t="shared" si="528"/>
        <v>0</v>
      </c>
      <c r="D2911" s="306">
        <f t="shared" si="528"/>
        <v>0</v>
      </c>
      <c r="E2911" s="306">
        <f t="shared" si="528"/>
        <v>0</v>
      </c>
      <c r="F2911" s="306">
        <f t="shared" si="528"/>
        <v>0</v>
      </c>
      <c r="G2911" s="306">
        <f t="shared" si="528"/>
        <v>0</v>
      </c>
      <c r="H2911" s="306">
        <f t="shared" si="528"/>
        <v>0</v>
      </c>
      <c r="I2911" s="306">
        <f t="shared" si="528"/>
        <v>0</v>
      </c>
      <c r="J2911" s="306">
        <f t="shared" si="528"/>
        <v>0.3459869400822928</v>
      </c>
      <c r="K2911" s="306">
        <f t="shared" ref="K2911:S2911" si="529">100*B2303*B$580*K$2887*$E$14/$F$14*(1-K$2731)</f>
        <v>0</v>
      </c>
      <c r="L2911" s="306">
        <f t="shared" si="529"/>
        <v>0</v>
      </c>
      <c r="M2911" s="306">
        <f t="shared" si="529"/>
        <v>0</v>
      </c>
      <c r="N2911" s="306">
        <f t="shared" si="529"/>
        <v>0</v>
      </c>
      <c r="O2911" s="306">
        <f t="shared" si="529"/>
        <v>0</v>
      </c>
      <c r="P2911" s="306">
        <f t="shared" si="529"/>
        <v>0</v>
      </c>
      <c r="Q2911" s="306">
        <f t="shared" si="529"/>
        <v>0</v>
      </c>
      <c r="R2911" s="306">
        <f t="shared" si="529"/>
        <v>0</v>
      </c>
      <c r="S2911" s="306">
        <f t="shared" si="529"/>
        <v>1.6051248793795525</v>
      </c>
      <c r="T2911" s="291"/>
    </row>
    <row r="2912" spans="1:20">
      <c r="A2912" s="289" t="s">
        <v>98</v>
      </c>
      <c r="B2912" s="306">
        <f t="shared" ref="B2912:J2912" si="530">100*B2304*B$581*B$2887*$E$14/$F$14*(1-B$2732)</f>
        <v>0</v>
      </c>
      <c r="C2912" s="306">
        <f t="shared" si="530"/>
        <v>0</v>
      </c>
      <c r="D2912" s="306">
        <f t="shared" si="530"/>
        <v>0</v>
      </c>
      <c r="E2912" s="306">
        <f t="shared" si="530"/>
        <v>0</v>
      </c>
      <c r="F2912" s="306">
        <f t="shared" si="530"/>
        <v>0</v>
      </c>
      <c r="G2912" s="306">
        <f t="shared" si="530"/>
        <v>0</v>
      </c>
      <c r="H2912" s="306">
        <f t="shared" si="530"/>
        <v>0.44449427770343153</v>
      </c>
      <c r="I2912" s="306">
        <f t="shared" si="530"/>
        <v>0.58673370454610729</v>
      </c>
      <c r="J2912" s="306">
        <f t="shared" si="530"/>
        <v>0.3459869400822928</v>
      </c>
      <c r="K2912" s="306">
        <f t="shared" ref="K2912:S2912" si="531">100*B2304*B$581*K$2887*$E$14/$F$14*(1-K$2732)</f>
        <v>0</v>
      </c>
      <c r="L2912" s="306">
        <f t="shared" si="531"/>
        <v>0</v>
      </c>
      <c r="M2912" s="306">
        <f t="shared" si="531"/>
        <v>0</v>
      </c>
      <c r="N2912" s="306">
        <f t="shared" si="531"/>
        <v>0</v>
      </c>
      <c r="O2912" s="306">
        <f t="shared" si="531"/>
        <v>0</v>
      </c>
      <c r="P2912" s="306">
        <f t="shared" si="531"/>
        <v>0</v>
      </c>
      <c r="Q2912" s="306">
        <f t="shared" si="531"/>
        <v>0.35095712087016057</v>
      </c>
      <c r="R2912" s="306">
        <f t="shared" si="531"/>
        <v>0.79177511291778979</v>
      </c>
      <c r="S2912" s="306">
        <f t="shared" si="531"/>
        <v>1.6051248793795525</v>
      </c>
      <c r="T2912" s="291"/>
    </row>
    <row r="2913" spans="1:20">
      <c r="A2913" s="289" t="s">
        <v>99</v>
      </c>
      <c r="B2913" s="306">
        <f t="shared" ref="B2913:J2913" si="532">100*B2305*B$582*B$2887*$E$14/$F$14*(1-B$2733)</f>
        <v>0</v>
      </c>
      <c r="C2913" s="306">
        <f t="shared" si="532"/>
        <v>0</v>
      </c>
      <c r="D2913" s="306">
        <f t="shared" si="532"/>
        <v>0</v>
      </c>
      <c r="E2913" s="306">
        <f t="shared" si="532"/>
        <v>0</v>
      </c>
      <c r="F2913" s="306">
        <f t="shared" si="532"/>
        <v>0</v>
      </c>
      <c r="G2913" s="306">
        <f t="shared" si="532"/>
        <v>0</v>
      </c>
      <c r="H2913" s="306">
        <f t="shared" si="532"/>
        <v>2.1877133263232369</v>
      </c>
      <c r="I2913" s="306">
        <f t="shared" si="532"/>
        <v>0.57755755645292994</v>
      </c>
      <c r="J2913" s="306">
        <f t="shared" si="532"/>
        <v>0</v>
      </c>
      <c r="K2913" s="306">
        <f t="shared" ref="K2913:S2913" si="533">100*B2305*B$582*K$2887*$E$14/$F$14*(1-K$2733)</f>
        <v>0</v>
      </c>
      <c r="L2913" s="306">
        <f t="shared" si="533"/>
        <v>0</v>
      </c>
      <c r="M2913" s="306">
        <f t="shared" si="533"/>
        <v>0</v>
      </c>
      <c r="N2913" s="306">
        <f t="shared" si="533"/>
        <v>0</v>
      </c>
      <c r="O2913" s="306">
        <f t="shared" si="533"/>
        <v>0</v>
      </c>
      <c r="P2913" s="306">
        <f t="shared" si="533"/>
        <v>0</v>
      </c>
      <c r="Q2913" s="306">
        <f t="shared" si="533"/>
        <v>1.7273418552487203</v>
      </c>
      <c r="R2913" s="306">
        <f t="shared" si="533"/>
        <v>0.7793922454664538</v>
      </c>
      <c r="S2913" s="306">
        <f t="shared" si="533"/>
        <v>0</v>
      </c>
      <c r="T2913" s="291"/>
    </row>
    <row r="2914" spans="1:20">
      <c r="A2914" s="289" t="s">
        <v>111</v>
      </c>
      <c r="B2914" s="306">
        <f t="shared" ref="B2914:J2914" si="534">100*B2306*B$583*B$2887*$E$14/$F$14*(1-B$2734)</f>
        <v>0</v>
      </c>
      <c r="C2914" s="306">
        <f t="shared" si="534"/>
        <v>0.21642419332644136</v>
      </c>
      <c r="D2914" s="306">
        <f t="shared" si="534"/>
        <v>0</v>
      </c>
      <c r="E2914" s="306">
        <f t="shared" si="534"/>
        <v>7.1799114239151654E-2</v>
      </c>
      <c r="F2914" s="306">
        <f t="shared" si="534"/>
        <v>0.50361516947224383</v>
      </c>
      <c r="G2914" s="306">
        <f t="shared" si="534"/>
        <v>0.55117864676645878</v>
      </c>
      <c r="H2914" s="306">
        <f t="shared" si="534"/>
        <v>1.6987576536778661</v>
      </c>
      <c r="I2914" s="306">
        <f t="shared" si="534"/>
        <v>0</v>
      </c>
      <c r="J2914" s="306">
        <f t="shared" si="534"/>
        <v>0</v>
      </c>
      <c r="K2914" s="306">
        <f t="shared" ref="K2914:S2914" si="535">100*B2306*B$583*K$2887*$E$14/$F$14*(1-K$2734)</f>
        <v>0</v>
      </c>
      <c r="L2914" s="306">
        <f t="shared" si="535"/>
        <v>0.10477571638905227</v>
      </c>
      <c r="M2914" s="306">
        <f t="shared" si="535"/>
        <v>0</v>
      </c>
      <c r="N2914" s="306">
        <f t="shared" si="535"/>
        <v>3.475953180132485E-2</v>
      </c>
      <c r="O2914" s="306">
        <f t="shared" si="535"/>
        <v>0.32842763815457776</v>
      </c>
      <c r="P2914" s="306">
        <f t="shared" si="535"/>
        <v>0.35944568815995759</v>
      </c>
      <c r="Q2914" s="306">
        <f t="shared" si="535"/>
        <v>1.6966694297816871</v>
      </c>
      <c r="R2914" s="306">
        <f t="shared" si="535"/>
        <v>0</v>
      </c>
      <c r="S2914" s="306">
        <f t="shared" si="535"/>
        <v>0</v>
      </c>
      <c r="T2914" s="291"/>
    </row>
    <row r="2915" spans="1:20">
      <c r="A2915" s="289" t="s">
        <v>131</v>
      </c>
      <c r="B2915" s="306">
        <f t="shared" ref="B2915:J2915" si="536">100*B2307*B$584*B$2887*$E$14/$F$14*(1-B$2735)</f>
        <v>0</v>
      </c>
      <c r="C2915" s="306">
        <f t="shared" si="536"/>
        <v>0</v>
      </c>
      <c r="D2915" s="306">
        <f t="shared" si="536"/>
        <v>0</v>
      </c>
      <c r="E2915" s="306">
        <f t="shared" si="536"/>
        <v>0</v>
      </c>
      <c r="F2915" s="306">
        <f t="shared" si="536"/>
        <v>0</v>
      </c>
      <c r="G2915" s="306">
        <f t="shared" si="536"/>
        <v>0</v>
      </c>
      <c r="H2915" s="306">
        <f t="shared" si="536"/>
        <v>0</v>
      </c>
      <c r="I2915" s="306">
        <f t="shared" si="536"/>
        <v>0</v>
      </c>
      <c r="J2915" s="306">
        <f t="shared" si="536"/>
        <v>0</v>
      </c>
      <c r="K2915" s="306">
        <f t="shared" ref="K2915:S2915" si="537">100*B2307*B$584*K$2887*$E$14/$F$14*(1-K$2735)</f>
        <v>0</v>
      </c>
      <c r="L2915" s="306">
        <f t="shared" si="537"/>
        <v>0</v>
      </c>
      <c r="M2915" s="306">
        <f t="shared" si="537"/>
        <v>0</v>
      </c>
      <c r="N2915" s="306">
        <f t="shared" si="537"/>
        <v>0</v>
      </c>
      <c r="O2915" s="306">
        <f t="shared" si="537"/>
        <v>0</v>
      </c>
      <c r="P2915" s="306">
        <f t="shared" si="537"/>
        <v>0</v>
      </c>
      <c r="Q2915" s="306">
        <f t="shared" si="537"/>
        <v>0</v>
      </c>
      <c r="R2915" s="306">
        <f t="shared" si="537"/>
        <v>0</v>
      </c>
      <c r="S2915" s="306">
        <f t="shared" si="537"/>
        <v>0</v>
      </c>
      <c r="T2915" s="291"/>
    </row>
    <row r="2916" spans="1:20">
      <c r="A2916" s="289" t="s">
        <v>132</v>
      </c>
      <c r="B2916" s="306">
        <f t="shared" ref="B2916:J2916" si="538">100*B2308*B$585*B$2887*$E$14/$F$14*(1-B$2736)</f>
        <v>0</v>
      </c>
      <c r="C2916" s="306">
        <f t="shared" si="538"/>
        <v>0</v>
      </c>
      <c r="D2916" s="306">
        <f t="shared" si="538"/>
        <v>0</v>
      </c>
      <c r="E2916" s="306">
        <f t="shared" si="538"/>
        <v>0</v>
      </c>
      <c r="F2916" s="306">
        <f t="shared" si="538"/>
        <v>0</v>
      </c>
      <c r="G2916" s="306">
        <f t="shared" si="538"/>
        <v>0</v>
      </c>
      <c r="H2916" s="306">
        <f t="shared" si="538"/>
        <v>0</v>
      </c>
      <c r="I2916" s="306">
        <f t="shared" si="538"/>
        <v>0</v>
      </c>
      <c r="J2916" s="306">
        <f t="shared" si="538"/>
        <v>0</v>
      </c>
      <c r="K2916" s="306">
        <f t="shared" ref="K2916:S2916" si="539">100*B2308*B$585*K$2887*$E$14/$F$14*(1-K$2736)</f>
        <v>0</v>
      </c>
      <c r="L2916" s="306">
        <f t="shared" si="539"/>
        <v>0</v>
      </c>
      <c r="M2916" s="306">
        <f t="shared" si="539"/>
        <v>0</v>
      </c>
      <c r="N2916" s="306">
        <f t="shared" si="539"/>
        <v>0</v>
      </c>
      <c r="O2916" s="306">
        <f t="shared" si="539"/>
        <v>0</v>
      </c>
      <c r="P2916" s="306">
        <f t="shared" si="539"/>
        <v>0</v>
      </c>
      <c r="Q2916" s="306">
        <f t="shared" si="539"/>
        <v>0</v>
      </c>
      <c r="R2916" s="306">
        <f t="shared" si="539"/>
        <v>0</v>
      </c>
      <c r="S2916" s="306">
        <f t="shared" si="539"/>
        <v>0</v>
      </c>
      <c r="T2916" s="291"/>
    </row>
    <row r="2917" spans="1:20">
      <c r="A2917" s="289" t="s">
        <v>133</v>
      </c>
      <c r="B2917" s="306">
        <f t="shared" ref="B2917:J2917" si="540">100*B2309*B$586*B$2887*$E$14/$F$14*(1-B$2737)</f>
        <v>0</v>
      </c>
      <c r="C2917" s="306">
        <f t="shared" si="540"/>
        <v>0</v>
      </c>
      <c r="D2917" s="306">
        <f t="shared" si="540"/>
        <v>0</v>
      </c>
      <c r="E2917" s="306">
        <f t="shared" si="540"/>
        <v>0</v>
      </c>
      <c r="F2917" s="306">
        <f t="shared" si="540"/>
        <v>0</v>
      </c>
      <c r="G2917" s="306">
        <f t="shared" si="540"/>
        <v>0</v>
      </c>
      <c r="H2917" s="306">
        <f t="shared" si="540"/>
        <v>0</v>
      </c>
      <c r="I2917" s="306">
        <f t="shared" si="540"/>
        <v>0</v>
      </c>
      <c r="J2917" s="306">
        <f t="shared" si="540"/>
        <v>0</v>
      </c>
      <c r="K2917" s="306">
        <f t="shared" ref="K2917:S2917" si="541">100*B2309*B$586*K$2887*$E$14/$F$14*(1-K$2737)</f>
        <v>0</v>
      </c>
      <c r="L2917" s="306">
        <f t="shared" si="541"/>
        <v>0</v>
      </c>
      <c r="M2917" s="306">
        <f t="shared" si="541"/>
        <v>0</v>
      </c>
      <c r="N2917" s="306">
        <f t="shared" si="541"/>
        <v>0</v>
      </c>
      <c r="O2917" s="306">
        <f t="shared" si="541"/>
        <v>0</v>
      </c>
      <c r="P2917" s="306">
        <f t="shared" si="541"/>
        <v>0</v>
      </c>
      <c r="Q2917" s="306">
        <f t="shared" si="541"/>
        <v>0</v>
      </c>
      <c r="R2917" s="306">
        <f t="shared" si="541"/>
        <v>0</v>
      </c>
      <c r="S2917" s="306">
        <f t="shared" si="541"/>
        <v>0</v>
      </c>
      <c r="T2917" s="291"/>
    </row>
    <row r="2918" spans="1:20">
      <c r="A2918" s="289" t="s">
        <v>134</v>
      </c>
      <c r="B2918" s="306">
        <f t="shared" ref="B2918:J2918" si="542">100*B2310*B$587*B$2887*$E$14/$F$14*(1-B$2738)</f>
        <v>0</v>
      </c>
      <c r="C2918" s="306">
        <f t="shared" si="542"/>
        <v>0</v>
      </c>
      <c r="D2918" s="306">
        <f t="shared" si="542"/>
        <v>0</v>
      </c>
      <c r="E2918" s="306">
        <f t="shared" si="542"/>
        <v>0</v>
      </c>
      <c r="F2918" s="306">
        <f t="shared" si="542"/>
        <v>0</v>
      </c>
      <c r="G2918" s="306">
        <f t="shared" si="542"/>
        <v>0</v>
      </c>
      <c r="H2918" s="306">
        <f t="shared" si="542"/>
        <v>0</v>
      </c>
      <c r="I2918" s="306">
        <f t="shared" si="542"/>
        <v>0</v>
      </c>
      <c r="J2918" s="306">
        <f t="shared" si="542"/>
        <v>0</v>
      </c>
      <c r="K2918" s="306">
        <f t="shared" ref="K2918:S2918" si="543">100*B2310*B$587*K$2887*$E$14/$F$14*(1-K$2738)</f>
        <v>0</v>
      </c>
      <c r="L2918" s="306">
        <f t="shared" si="543"/>
        <v>0</v>
      </c>
      <c r="M2918" s="306">
        <f t="shared" si="543"/>
        <v>0</v>
      </c>
      <c r="N2918" s="306">
        <f t="shared" si="543"/>
        <v>0</v>
      </c>
      <c r="O2918" s="306">
        <f t="shared" si="543"/>
        <v>0</v>
      </c>
      <c r="P2918" s="306">
        <f t="shared" si="543"/>
        <v>0</v>
      </c>
      <c r="Q2918" s="306">
        <f t="shared" si="543"/>
        <v>0</v>
      </c>
      <c r="R2918" s="306">
        <f t="shared" si="543"/>
        <v>0</v>
      </c>
      <c r="S2918" s="306">
        <f t="shared" si="543"/>
        <v>0</v>
      </c>
      <c r="T2918" s="291"/>
    </row>
    <row r="2919" spans="1:20">
      <c r="A2919" s="289" t="s">
        <v>135</v>
      </c>
      <c r="B2919" s="306">
        <f t="shared" ref="B2919:J2919" si="544">100*B2311*B$588*B$2887*$E$14/$F$14*(1-B$2739)</f>
        <v>0</v>
      </c>
      <c r="C2919" s="306">
        <f t="shared" si="544"/>
        <v>0</v>
      </c>
      <c r="D2919" s="306">
        <f t="shared" si="544"/>
        <v>0</v>
      </c>
      <c r="E2919" s="306">
        <f t="shared" si="544"/>
        <v>0</v>
      </c>
      <c r="F2919" s="306">
        <f t="shared" si="544"/>
        <v>0</v>
      </c>
      <c r="G2919" s="306">
        <f t="shared" si="544"/>
        <v>0</v>
      </c>
      <c r="H2919" s="306">
        <f t="shared" si="544"/>
        <v>0</v>
      </c>
      <c r="I2919" s="306">
        <f t="shared" si="544"/>
        <v>0</v>
      </c>
      <c r="J2919" s="306">
        <f t="shared" si="544"/>
        <v>0</v>
      </c>
      <c r="K2919" s="306">
        <f t="shared" ref="K2919:S2919" si="545">100*B2311*B$588*K$2887*$E$14/$F$14*(1-K$2739)</f>
        <v>0</v>
      </c>
      <c r="L2919" s="306">
        <f t="shared" si="545"/>
        <v>0</v>
      </c>
      <c r="M2919" s="306">
        <f t="shared" si="545"/>
        <v>0</v>
      </c>
      <c r="N2919" s="306">
        <f t="shared" si="545"/>
        <v>0</v>
      </c>
      <c r="O2919" s="306">
        <f t="shared" si="545"/>
        <v>0</v>
      </c>
      <c r="P2919" s="306">
        <f t="shared" si="545"/>
        <v>0</v>
      </c>
      <c r="Q2919" s="306">
        <f t="shared" si="545"/>
        <v>0</v>
      </c>
      <c r="R2919" s="306">
        <f t="shared" si="545"/>
        <v>0</v>
      </c>
      <c r="S2919" s="306">
        <f t="shared" si="545"/>
        <v>0</v>
      </c>
      <c r="T2919" s="291"/>
    </row>
    <row r="2921" spans="1:20" ht="21" customHeight="1">
      <c r="A2921" s="1" t="s">
        <v>1506</v>
      </c>
    </row>
    <row r="2922" spans="1:20">
      <c r="A2922" s="287" t="s">
        <v>255</v>
      </c>
    </row>
    <row r="2923" spans="1:20">
      <c r="A2923" s="301" t="s">
        <v>724</v>
      </c>
    </row>
    <row r="2924" spans="1:20">
      <c r="A2924" s="301" t="s">
        <v>730</v>
      </c>
    </row>
    <row r="2925" spans="1:20">
      <c r="A2925" s="287" t="s">
        <v>1499</v>
      </c>
    </row>
    <row r="2927" spans="1:20" ht="30">
      <c r="B2927" s="288" t="s">
        <v>60</v>
      </c>
      <c r="C2927" s="288" t="s">
        <v>220</v>
      </c>
      <c r="D2927" s="288" t="s">
        <v>221</v>
      </c>
      <c r="E2927" s="288" t="s">
        <v>222</v>
      </c>
      <c r="F2927" s="288" t="s">
        <v>223</v>
      </c>
      <c r="G2927" s="288" t="s">
        <v>224</v>
      </c>
      <c r="H2927" s="288" t="s">
        <v>225</v>
      </c>
      <c r="I2927" s="288" t="s">
        <v>226</v>
      </c>
      <c r="J2927" s="288" t="s">
        <v>227</v>
      </c>
      <c r="K2927" s="288" t="s">
        <v>208</v>
      </c>
      <c r="L2927" s="288" t="s">
        <v>618</v>
      </c>
      <c r="M2927" s="288" t="s">
        <v>619</v>
      </c>
      <c r="N2927" s="288" t="s">
        <v>620</v>
      </c>
      <c r="O2927" s="288" t="s">
        <v>621</v>
      </c>
      <c r="P2927" s="288" t="s">
        <v>622</v>
      </c>
      <c r="Q2927" s="288" t="s">
        <v>623</v>
      </c>
      <c r="R2927" s="288" t="s">
        <v>624</v>
      </c>
      <c r="S2927" s="288" t="s">
        <v>625</v>
      </c>
    </row>
    <row r="2928" spans="1:20">
      <c r="A2928" s="289" t="s">
        <v>92</v>
      </c>
      <c r="B2928" s="306">
        <f t="shared" ref="B2928:J2928" si="546">(1-B2293)*B$2771</f>
        <v>0</v>
      </c>
      <c r="C2928" s="306">
        <f t="shared" si="546"/>
        <v>0.15875117973141181</v>
      </c>
      <c r="D2928" s="306">
        <f t="shared" si="546"/>
        <v>3.6340345693126844E-2</v>
      </c>
      <c r="E2928" s="306">
        <f t="shared" si="546"/>
        <v>3.7446031761161375E-2</v>
      </c>
      <c r="F2928" s="306">
        <f t="shared" si="546"/>
        <v>7.0762240641634791E-2</v>
      </c>
      <c r="G2928" s="306">
        <f t="shared" si="546"/>
        <v>7.5436326374283796E-2</v>
      </c>
      <c r="H2928" s="306">
        <f t="shared" si="546"/>
        <v>0.30035222909324311</v>
      </c>
      <c r="I2928" s="306">
        <f t="shared" si="546"/>
        <v>7.9293158487920484E-2</v>
      </c>
      <c r="J2928" s="306">
        <f t="shared" si="546"/>
        <v>0</v>
      </c>
      <c r="K2928" s="306">
        <f t="shared" ref="K2928:S2928" si="547">(1-B2293)*K$2771</f>
        <v>9.0394322692492216E-2</v>
      </c>
      <c r="L2928" s="306">
        <f t="shared" si="547"/>
        <v>7.6854940883976069E-2</v>
      </c>
      <c r="M2928" s="306">
        <f t="shared" si="547"/>
        <v>1.7593161352714572E-2</v>
      </c>
      <c r="N2928" s="306">
        <f t="shared" si="547"/>
        <v>1.8128448319014924E-2</v>
      </c>
      <c r="O2928" s="306">
        <f t="shared" si="547"/>
        <v>3.4257558466851759E-2</v>
      </c>
      <c r="P2928" s="306">
        <f t="shared" si="547"/>
        <v>3.6520386266160998E-2</v>
      </c>
      <c r="Q2928" s="306">
        <f t="shared" si="547"/>
        <v>0.23714760539578877</v>
      </c>
      <c r="R2928" s="306">
        <f t="shared" si="547"/>
        <v>0.10700314133811248</v>
      </c>
      <c r="S2928" s="306">
        <f t="shared" si="547"/>
        <v>0</v>
      </c>
      <c r="T2928" s="291"/>
    </row>
    <row r="2929" spans="1:20">
      <c r="A2929" s="289" t="s">
        <v>93</v>
      </c>
      <c r="B2929" s="306">
        <f t="shared" ref="B2929:J2929" si="548">(1-B2294)*B$2772</f>
        <v>0</v>
      </c>
      <c r="C2929" s="306">
        <f t="shared" si="548"/>
        <v>0.10623673815588072</v>
      </c>
      <c r="D2929" s="306">
        <f t="shared" si="548"/>
        <v>2.4319062046825209E-2</v>
      </c>
      <c r="E2929" s="306">
        <f t="shared" si="548"/>
        <v>2.5058990288562538E-2</v>
      </c>
      <c r="F2929" s="306">
        <f t="shared" si="548"/>
        <v>4.7354291433220091E-2</v>
      </c>
      <c r="G2929" s="306">
        <f t="shared" si="548"/>
        <v>5.0482202815911474E-2</v>
      </c>
      <c r="H2929" s="306">
        <f t="shared" si="548"/>
        <v>0.20099656059689935</v>
      </c>
      <c r="I2929" s="306">
        <f t="shared" si="548"/>
        <v>5.3063205766949957E-2</v>
      </c>
      <c r="J2929" s="306">
        <f t="shared" si="548"/>
        <v>0</v>
      </c>
      <c r="K2929" s="306">
        <f t="shared" ref="K2929:S2929" si="549">(1-B2294)*K$2772</f>
        <v>6.0492136227950903E-2</v>
      </c>
      <c r="L2929" s="306">
        <f t="shared" si="549"/>
        <v>5.1431543655238124E-2</v>
      </c>
      <c r="M2929" s="306">
        <f t="shared" si="549"/>
        <v>1.1773393300917152E-2</v>
      </c>
      <c r="N2929" s="306">
        <f t="shared" si="549"/>
        <v>1.2131608851650813E-2</v>
      </c>
      <c r="O2929" s="306">
        <f t="shared" si="549"/>
        <v>2.2925254948405159E-2</v>
      </c>
      <c r="P2929" s="306">
        <f t="shared" si="549"/>
        <v>2.4439545707149658E-2</v>
      </c>
      <c r="Q2929" s="306">
        <f t="shared" si="549"/>
        <v>0.15869984778287277</v>
      </c>
      <c r="R2929" s="306">
        <f t="shared" si="549"/>
        <v>7.1606804607225572E-2</v>
      </c>
      <c r="S2929" s="306">
        <f t="shared" si="549"/>
        <v>0</v>
      </c>
      <c r="T2929" s="291"/>
    </row>
    <row r="2930" spans="1:20">
      <c r="A2930" s="289" t="s">
        <v>129</v>
      </c>
      <c r="B2930" s="306">
        <f t="shared" ref="B2930:J2930" si="550">(1-B2295)*B$2773</f>
        <v>0</v>
      </c>
      <c r="C2930" s="306">
        <f t="shared" si="550"/>
        <v>0</v>
      </c>
      <c r="D2930" s="306">
        <f t="shared" si="550"/>
        <v>0</v>
      </c>
      <c r="E2930" s="306">
        <f t="shared" si="550"/>
        <v>0</v>
      </c>
      <c r="F2930" s="306">
        <f t="shared" si="550"/>
        <v>0</v>
      </c>
      <c r="G2930" s="306">
        <f t="shared" si="550"/>
        <v>0</v>
      </c>
      <c r="H2930" s="306">
        <f t="shared" si="550"/>
        <v>0</v>
      </c>
      <c r="I2930" s="306">
        <f t="shared" si="550"/>
        <v>0</v>
      </c>
      <c r="J2930" s="306">
        <f t="shared" si="550"/>
        <v>0</v>
      </c>
      <c r="K2930" s="306">
        <f t="shared" ref="K2930:S2930" si="551">(1-B2295)*K$2773</f>
        <v>0</v>
      </c>
      <c r="L2930" s="306">
        <f t="shared" si="551"/>
        <v>0</v>
      </c>
      <c r="M2930" s="306">
        <f t="shared" si="551"/>
        <v>0</v>
      </c>
      <c r="N2930" s="306">
        <f t="shared" si="551"/>
        <v>0</v>
      </c>
      <c r="O2930" s="306">
        <f t="shared" si="551"/>
        <v>0</v>
      </c>
      <c r="P2930" s="306">
        <f t="shared" si="551"/>
        <v>0</v>
      </c>
      <c r="Q2930" s="306">
        <f t="shared" si="551"/>
        <v>0</v>
      </c>
      <c r="R2930" s="306">
        <f t="shared" si="551"/>
        <v>0</v>
      </c>
      <c r="S2930" s="306">
        <f t="shared" si="551"/>
        <v>0</v>
      </c>
      <c r="T2930" s="291"/>
    </row>
    <row r="2931" spans="1:20">
      <c r="A2931" s="289" t="s">
        <v>94</v>
      </c>
      <c r="B2931" s="306">
        <f t="shared" ref="B2931:J2931" si="552">(1-B2296)*B$2774</f>
        <v>0</v>
      </c>
      <c r="C2931" s="306">
        <f t="shared" si="552"/>
        <v>0.13409639380879618</v>
      </c>
      <c r="D2931" s="306">
        <f t="shared" si="552"/>
        <v>3.069652342400259E-2</v>
      </c>
      <c r="E2931" s="306">
        <f t="shared" si="552"/>
        <v>3.1630491377241811E-2</v>
      </c>
      <c r="F2931" s="306">
        <f t="shared" si="552"/>
        <v>5.9772540298142406E-2</v>
      </c>
      <c r="G2931" s="306">
        <f t="shared" si="552"/>
        <v>6.372071909065162E-2</v>
      </c>
      <c r="H2931" s="306">
        <f t="shared" si="552"/>
        <v>0.25370615111005645</v>
      </c>
      <c r="I2931" s="306">
        <f t="shared" si="552"/>
        <v>6.6978567497445546E-2</v>
      </c>
      <c r="J2931" s="306">
        <f t="shared" si="552"/>
        <v>0</v>
      </c>
      <c r="K2931" s="306">
        <f t="shared" ref="K2931:S2931" si="553">(1-B2296)*K$2774</f>
        <v>7.6355670013665833E-2</v>
      </c>
      <c r="L2931" s="306">
        <f t="shared" si="553"/>
        <v>6.4919016264105178E-2</v>
      </c>
      <c r="M2931" s="306">
        <f t="shared" si="553"/>
        <v>1.4860862748149392E-2</v>
      </c>
      <c r="N2931" s="306">
        <f t="shared" si="553"/>
        <v>1.5313017194844975E-2</v>
      </c>
      <c r="O2931" s="306">
        <f t="shared" si="553"/>
        <v>2.8937202601398013E-2</v>
      </c>
      <c r="P2931" s="306">
        <f t="shared" si="553"/>
        <v>3.0848602870744316E-2</v>
      </c>
      <c r="Q2931" s="306">
        <f t="shared" si="553"/>
        <v>0.20031749520078901</v>
      </c>
      <c r="R2931" s="306">
        <f t="shared" si="553"/>
        <v>9.0385062989328135E-2</v>
      </c>
      <c r="S2931" s="306">
        <f t="shared" si="553"/>
        <v>0</v>
      </c>
      <c r="T2931" s="291"/>
    </row>
    <row r="2932" spans="1:20">
      <c r="A2932" s="289" t="s">
        <v>95</v>
      </c>
      <c r="B2932" s="306">
        <f t="shared" ref="B2932:J2932" si="554">(1-B2297)*B$2775</f>
        <v>0</v>
      </c>
      <c r="C2932" s="306">
        <f t="shared" si="554"/>
        <v>0.11048422180282537</v>
      </c>
      <c r="D2932" s="306">
        <f t="shared" si="554"/>
        <v>2.5291369933399799E-2</v>
      </c>
      <c r="E2932" s="306">
        <f t="shared" si="554"/>
        <v>2.6060881473356241E-2</v>
      </c>
      <c r="F2932" s="306">
        <f t="shared" si="554"/>
        <v>4.9247577898586956E-2</v>
      </c>
      <c r="G2932" s="306">
        <f t="shared" si="554"/>
        <v>5.2500547266657954E-2</v>
      </c>
      <c r="H2932" s="306">
        <f t="shared" si="554"/>
        <v>0.20903266579974145</v>
      </c>
      <c r="I2932" s="306">
        <f t="shared" si="554"/>
        <v>5.5184742089148336E-2</v>
      </c>
      <c r="J2932" s="306">
        <f t="shared" si="554"/>
        <v>0</v>
      </c>
      <c r="K2932" s="306">
        <f t="shared" ref="K2932:S2932" si="555">(1-B2297)*K$2775</f>
        <v>6.2910690899875818E-2</v>
      </c>
      <c r="L2932" s="306">
        <f t="shared" si="555"/>
        <v>5.3487843993565584E-2</v>
      </c>
      <c r="M2932" s="306">
        <f t="shared" si="555"/>
        <v>1.2244108953362332E-2</v>
      </c>
      <c r="N2932" s="306">
        <f t="shared" si="555"/>
        <v>1.2616646430015725E-2</v>
      </c>
      <c r="O2932" s="306">
        <f t="shared" si="555"/>
        <v>2.3841836605425826E-2</v>
      </c>
      <c r="P2932" s="306">
        <f t="shared" si="555"/>
        <v>2.5416670687940762E-2</v>
      </c>
      <c r="Q2932" s="306">
        <f t="shared" si="555"/>
        <v>0.16504487512399171</v>
      </c>
      <c r="R2932" s="306">
        <f t="shared" si="555"/>
        <v>7.4469738248249776E-2</v>
      </c>
      <c r="S2932" s="306">
        <f t="shared" si="555"/>
        <v>0</v>
      </c>
      <c r="T2932" s="291"/>
    </row>
    <row r="2933" spans="1:20">
      <c r="A2933" s="289" t="s">
        <v>130</v>
      </c>
      <c r="B2933" s="306">
        <f t="shared" ref="B2933:J2933" si="556">(1-B2298)*B$2776</f>
        <v>0</v>
      </c>
      <c r="C2933" s="306">
        <f t="shared" si="556"/>
        <v>0</v>
      </c>
      <c r="D2933" s="306">
        <f t="shared" si="556"/>
        <v>0</v>
      </c>
      <c r="E2933" s="306">
        <f t="shared" si="556"/>
        <v>0</v>
      </c>
      <c r="F2933" s="306">
        <f t="shared" si="556"/>
        <v>0</v>
      </c>
      <c r="G2933" s="306">
        <f t="shared" si="556"/>
        <v>0</v>
      </c>
      <c r="H2933" s="306">
        <f t="shared" si="556"/>
        <v>0</v>
      </c>
      <c r="I2933" s="306">
        <f t="shared" si="556"/>
        <v>0</v>
      </c>
      <c r="J2933" s="306">
        <f t="shared" si="556"/>
        <v>0</v>
      </c>
      <c r="K2933" s="306">
        <f t="shared" ref="K2933:S2933" si="557">(1-B2298)*K$2776</f>
        <v>0</v>
      </c>
      <c r="L2933" s="306">
        <f t="shared" si="557"/>
        <v>0</v>
      </c>
      <c r="M2933" s="306">
        <f t="shared" si="557"/>
        <v>0</v>
      </c>
      <c r="N2933" s="306">
        <f t="shared" si="557"/>
        <v>0</v>
      </c>
      <c r="O2933" s="306">
        <f t="shared" si="557"/>
        <v>0</v>
      </c>
      <c r="P2933" s="306">
        <f t="shared" si="557"/>
        <v>0</v>
      </c>
      <c r="Q2933" s="306">
        <f t="shared" si="557"/>
        <v>0</v>
      </c>
      <c r="R2933" s="306">
        <f t="shared" si="557"/>
        <v>0</v>
      </c>
      <c r="S2933" s="306">
        <f t="shared" si="557"/>
        <v>0</v>
      </c>
      <c r="T2933" s="291"/>
    </row>
    <row r="2934" spans="1:20">
      <c r="A2934" s="289" t="s">
        <v>96</v>
      </c>
      <c r="B2934" s="306">
        <f t="shared" ref="B2934:J2934" si="558">(1-B2299)*B$2777</f>
        <v>0</v>
      </c>
      <c r="C2934" s="306">
        <f t="shared" si="558"/>
        <v>0.12012377724137048</v>
      </c>
      <c r="D2934" s="306">
        <f t="shared" si="558"/>
        <v>2.7497997799457011E-2</v>
      </c>
      <c r="E2934" s="306">
        <f t="shared" si="558"/>
        <v>2.8334647877649694E-2</v>
      </c>
      <c r="F2934" s="306">
        <f t="shared" si="558"/>
        <v>5.3544343080267925E-2</v>
      </c>
      <c r="G2934" s="306">
        <f t="shared" si="558"/>
        <v>5.7081128345774203E-2</v>
      </c>
      <c r="H2934" s="306">
        <f t="shared" si="558"/>
        <v>0.22727040090403083</v>
      </c>
      <c r="I2934" s="306">
        <f t="shared" si="558"/>
        <v>5.9999514479721079E-2</v>
      </c>
      <c r="J2934" s="306">
        <f t="shared" si="558"/>
        <v>0</v>
      </c>
      <c r="K2934" s="306">
        <f t="shared" ref="K2934:S2934" si="559">(1-B2299)*K$2777</f>
        <v>6.8399538834097495E-2</v>
      </c>
      <c r="L2934" s="306">
        <f t="shared" si="559"/>
        <v>5.8154564988210283E-2</v>
      </c>
      <c r="M2934" s="306">
        <f t="shared" si="559"/>
        <v>1.3312386080409119E-2</v>
      </c>
      <c r="N2934" s="306">
        <f t="shared" si="559"/>
        <v>1.3717426801422104E-2</v>
      </c>
      <c r="O2934" s="306">
        <f t="shared" si="559"/>
        <v>2.5921995219611395E-2</v>
      </c>
      <c r="P2934" s="306">
        <f t="shared" si="559"/>
        <v>2.7634230826047136E-2</v>
      </c>
      <c r="Q2934" s="306">
        <f t="shared" si="559"/>
        <v>0.17944475229780901</v>
      </c>
      <c r="R2934" s="306">
        <f t="shared" si="559"/>
        <v>8.0967092880652042E-2</v>
      </c>
      <c r="S2934" s="306">
        <f t="shared" si="559"/>
        <v>0</v>
      </c>
      <c r="T2934" s="291"/>
    </row>
    <row r="2935" spans="1:20">
      <c r="A2935" s="289" t="s">
        <v>97</v>
      </c>
      <c r="B2935" s="306">
        <f t="shared" ref="B2935:J2935" si="560">(1-B2300)*B$2778</f>
        <v>0</v>
      </c>
      <c r="C2935" s="306">
        <f t="shared" si="560"/>
        <v>0.11824511651174462</v>
      </c>
      <c r="D2935" s="306">
        <f t="shared" si="560"/>
        <v>2.7067946315932845E-2</v>
      </c>
      <c r="E2935" s="306">
        <f t="shared" si="560"/>
        <v>2.7891511710289949E-2</v>
      </c>
      <c r="F2935" s="306">
        <f t="shared" si="560"/>
        <v>5.270694305049374E-2</v>
      </c>
      <c r="G2935" s="306">
        <f t="shared" si="560"/>
        <v>5.6188415206971848E-2</v>
      </c>
      <c r="H2935" s="306">
        <f t="shared" si="560"/>
        <v>0.2237160340085676</v>
      </c>
      <c r="I2935" s="306">
        <f t="shared" si="560"/>
        <v>0</v>
      </c>
      <c r="J2935" s="306">
        <f t="shared" si="560"/>
        <v>0</v>
      </c>
      <c r="K2935" s="306">
        <f t="shared" ref="K2935:S2935" si="561">(1-B2300)*K$2778</f>
        <v>6.7329812835772163E-2</v>
      </c>
      <c r="L2935" s="306">
        <f t="shared" si="561"/>
        <v>5.7245063971835333E-2</v>
      </c>
      <c r="M2935" s="306">
        <f t="shared" si="561"/>
        <v>1.3104188690007141E-2</v>
      </c>
      <c r="N2935" s="306">
        <f t="shared" si="561"/>
        <v>1.3502894827526819E-2</v>
      </c>
      <c r="O2935" s="306">
        <f t="shared" si="561"/>
        <v>2.5516591430528233E-2</v>
      </c>
      <c r="P2935" s="306">
        <f t="shared" si="561"/>
        <v>2.7202048743211079E-2</v>
      </c>
      <c r="Q2935" s="306">
        <f t="shared" si="561"/>
        <v>0.17663834862801811</v>
      </c>
      <c r="R2935" s="306">
        <f t="shared" si="561"/>
        <v>0</v>
      </c>
      <c r="S2935" s="306">
        <f t="shared" si="561"/>
        <v>0</v>
      </c>
      <c r="T2935" s="291"/>
    </row>
    <row r="2936" spans="1:20">
      <c r="A2936" s="289" t="s">
        <v>110</v>
      </c>
      <c r="B2936" s="306">
        <f t="shared" ref="B2936:J2936" si="562">(1-B2301)*B$2779</f>
        <v>0</v>
      </c>
      <c r="C2936" s="306">
        <f t="shared" si="562"/>
        <v>9.4293210762676924E-2</v>
      </c>
      <c r="D2936" s="306">
        <f t="shared" si="562"/>
        <v>2.5055544906519494E-2</v>
      </c>
      <c r="E2936" s="306">
        <f t="shared" si="562"/>
        <v>2.0654305014829497E-2</v>
      </c>
      <c r="F2936" s="306">
        <f t="shared" si="562"/>
        <v>0</v>
      </c>
      <c r="G2936" s="306">
        <f t="shared" si="562"/>
        <v>0</v>
      </c>
      <c r="H2936" s="306">
        <f t="shared" si="562"/>
        <v>0</v>
      </c>
      <c r="I2936" s="306">
        <f t="shared" si="562"/>
        <v>0</v>
      </c>
      <c r="J2936" s="306">
        <f t="shared" si="562"/>
        <v>0</v>
      </c>
      <c r="K2936" s="306">
        <f t="shared" ref="K2936:S2936" si="563">(1-B2301)*K$2779</f>
        <v>6.2324090988064407E-2</v>
      </c>
      <c r="L2936" s="306">
        <f t="shared" si="563"/>
        <v>4.564941911730501E-2</v>
      </c>
      <c r="M2936" s="306">
        <f t="shared" si="563"/>
        <v>1.2129940866356539E-2</v>
      </c>
      <c r="N2936" s="306">
        <f t="shared" si="563"/>
        <v>9.9992037451312136E-3</v>
      </c>
      <c r="O2936" s="306">
        <f t="shared" si="563"/>
        <v>0</v>
      </c>
      <c r="P2936" s="306">
        <f t="shared" si="563"/>
        <v>0</v>
      </c>
      <c r="Q2936" s="306">
        <f t="shared" si="563"/>
        <v>0</v>
      </c>
      <c r="R2936" s="306">
        <f t="shared" si="563"/>
        <v>0</v>
      </c>
      <c r="S2936" s="306">
        <f t="shared" si="563"/>
        <v>0</v>
      </c>
      <c r="T2936" s="291"/>
    </row>
    <row r="2937" spans="1:20">
      <c r="A2937" s="289" t="s">
        <v>1536</v>
      </c>
      <c r="B2937" s="306">
        <f t="shared" ref="B2937:J2937" si="564">(1-B2302)*B$2780</f>
        <v>0</v>
      </c>
      <c r="C2937" s="306">
        <f t="shared" si="564"/>
        <v>0.15405714552300978</v>
      </c>
      <c r="D2937" s="306">
        <f t="shared" si="564"/>
        <v>3.5265816192827711E-2</v>
      </c>
      <c r="E2937" s="306">
        <f t="shared" si="564"/>
        <v>3.6338808782704228E-2</v>
      </c>
      <c r="F2937" s="306">
        <f t="shared" si="564"/>
        <v>6.8669907351280757E-2</v>
      </c>
      <c r="G2937" s="306">
        <f t="shared" si="564"/>
        <v>7.3205787381400947E-2</v>
      </c>
      <c r="H2937" s="306">
        <f t="shared" si="564"/>
        <v>0.29147126430092601</v>
      </c>
      <c r="I2937" s="306">
        <f t="shared" si="564"/>
        <v>7.6948578755887842E-2</v>
      </c>
      <c r="J2937" s="306">
        <f t="shared" si="564"/>
        <v>0</v>
      </c>
      <c r="K2937" s="306">
        <f t="shared" ref="K2937:S2937" si="565">(1-B2302)*K$2780</f>
        <v>8.7721498190137165E-2</v>
      </c>
      <c r="L2937" s="306">
        <f t="shared" si="565"/>
        <v>7.4582455588405608E-2</v>
      </c>
      <c r="M2937" s="306">
        <f t="shared" si="565"/>
        <v>1.7072957966741006E-2</v>
      </c>
      <c r="N2937" s="306">
        <f t="shared" si="565"/>
        <v>1.7592417300545168E-2</v>
      </c>
      <c r="O2937" s="306">
        <f t="shared" si="565"/>
        <v>3.3244613860003491E-2</v>
      </c>
      <c r="P2937" s="306">
        <f t="shared" si="565"/>
        <v>3.5440533236234223E-2</v>
      </c>
      <c r="Q2937" s="306">
        <f t="shared" si="565"/>
        <v>0.23013550649956749</v>
      </c>
      <c r="R2937" s="306">
        <f t="shared" si="565"/>
        <v>0.10383921898681175</v>
      </c>
      <c r="S2937" s="306">
        <f t="shared" si="565"/>
        <v>0</v>
      </c>
      <c r="T2937" s="291"/>
    </row>
    <row r="2938" spans="1:20">
      <c r="A2938" s="289" t="s">
        <v>1535</v>
      </c>
      <c r="B2938" s="306">
        <f t="shared" ref="B2938:J2938" si="566">(1-B2303)*B$2781</f>
        <v>0</v>
      </c>
      <c r="C2938" s="306">
        <f t="shared" si="566"/>
        <v>0.128718523798006</v>
      </c>
      <c r="D2938" s="306">
        <f t="shared" si="566"/>
        <v>2.9465454429016442E-2</v>
      </c>
      <c r="E2938" s="306">
        <f t="shared" si="566"/>
        <v>3.0361966056219585E-2</v>
      </c>
      <c r="F2938" s="306">
        <f t="shared" si="566"/>
        <v>5.7375391927422831E-2</v>
      </c>
      <c r="G2938" s="306">
        <f t="shared" si="566"/>
        <v>6.1165230948649674E-2</v>
      </c>
      <c r="H2938" s="306">
        <f t="shared" si="566"/>
        <v>0.24353139053034079</v>
      </c>
      <c r="I2938" s="306">
        <f t="shared" si="566"/>
        <v>6.4292424945217058E-2</v>
      </c>
      <c r="J2938" s="306">
        <f t="shared" si="566"/>
        <v>0</v>
      </c>
      <c r="K2938" s="306">
        <f t="shared" ref="K2938:S2938" si="567">(1-B2303)*K$2781</f>
        <v>7.329346337069087E-2</v>
      </c>
      <c r="L2938" s="306">
        <f t="shared" si="567"/>
        <v>6.2315471002518663E-2</v>
      </c>
      <c r="M2938" s="306">
        <f t="shared" si="567"/>
        <v>1.4264875146710265E-2</v>
      </c>
      <c r="N2938" s="306">
        <f t="shared" si="567"/>
        <v>1.4698896161401725E-2</v>
      </c>
      <c r="O2938" s="306">
        <f t="shared" si="567"/>
        <v>2.7776690303892741E-2</v>
      </c>
      <c r="P2938" s="306">
        <f t="shared" si="567"/>
        <v>2.9611434804242078E-2</v>
      </c>
      <c r="Q2938" s="306">
        <f t="shared" si="567"/>
        <v>0.19228386044389181</v>
      </c>
      <c r="R2938" s="306">
        <f t="shared" si="567"/>
        <v>8.6760214431754162E-2</v>
      </c>
      <c r="S2938" s="306">
        <f t="shared" si="567"/>
        <v>0</v>
      </c>
      <c r="T2938" s="291"/>
    </row>
    <row r="2939" spans="1:20">
      <c r="A2939" s="289" t="s">
        <v>98</v>
      </c>
      <c r="B2939" s="306">
        <f t="shared" ref="B2939:J2939" si="568">(1-B2304)*B$2782</f>
        <v>0</v>
      </c>
      <c r="C2939" s="306">
        <f t="shared" si="568"/>
        <v>0.11345152215649146</v>
      </c>
      <c r="D2939" s="306">
        <f t="shared" si="568"/>
        <v>2.5970626117889282E-2</v>
      </c>
      <c r="E2939" s="306">
        <f t="shared" si="568"/>
        <v>2.6760804607636426E-2</v>
      </c>
      <c r="F2939" s="306">
        <f t="shared" si="568"/>
        <v>5.0570231513113649E-2</v>
      </c>
      <c r="G2939" s="306">
        <f t="shared" si="568"/>
        <v>5.391056663349602E-2</v>
      </c>
      <c r="H2939" s="306">
        <f t="shared" si="568"/>
        <v>0.17171736364479434</v>
      </c>
      <c r="I2939" s="306">
        <f t="shared" si="568"/>
        <v>0</v>
      </c>
      <c r="J2939" s="306">
        <f t="shared" si="568"/>
        <v>0</v>
      </c>
      <c r="K2939" s="306">
        <f t="shared" ref="K2939:S2939" si="569">(1-B2304)*K$2782</f>
        <v>6.4600297907197887E-2</v>
      </c>
      <c r="L2939" s="306">
        <f t="shared" si="569"/>
        <v>5.4924379417439884E-2</v>
      </c>
      <c r="M2939" s="306">
        <f t="shared" si="569"/>
        <v>1.2572951825537125E-2</v>
      </c>
      <c r="N2939" s="306">
        <f t="shared" si="569"/>
        <v>1.2955494627550013E-2</v>
      </c>
      <c r="O2939" s="306">
        <f t="shared" si="569"/>
        <v>2.4482162337344231E-2</v>
      </c>
      <c r="P2939" s="306">
        <f t="shared" si="569"/>
        <v>2.6099292103837927E-2</v>
      </c>
      <c r="Q2939" s="306">
        <f t="shared" si="569"/>
        <v>0.13558201887224464</v>
      </c>
      <c r="R2939" s="306">
        <f t="shared" si="569"/>
        <v>0</v>
      </c>
      <c r="S2939" s="306">
        <f t="shared" si="569"/>
        <v>0</v>
      </c>
      <c r="T2939" s="291"/>
    </row>
    <row r="2940" spans="1:20">
      <c r="A2940" s="289" t="s">
        <v>99</v>
      </c>
      <c r="B2940" s="306">
        <f t="shared" ref="B2940:J2940" si="570">(1-B2305)*B$2783</f>
        <v>0</v>
      </c>
      <c r="C2940" s="306">
        <f t="shared" si="570"/>
        <v>0.11588811295940778</v>
      </c>
      <c r="D2940" s="306">
        <f t="shared" si="570"/>
        <v>2.6528395529370082E-2</v>
      </c>
      <c r="E2940" s="306">
        <f t="shared" si="570"/>
        <v>2.733554463003705E-2</v>
      </c>
      <c r="F2940" s="306">
        <f t="shared" si="570"/>
        <v>5.1656325015113892E-2</v>
      </c>
      <c r="G2940" s="306">
        <f t="shared" si="570"/>
        <v>5.5068400290923664E-2</v>
      </c>
      <c r="H2940" s="306">
        <f t="shared" si="570"/>
        <v>0</v>
      </c>
      <c r="I2940" s="306">
        <f t="shared" si="570"/>
        <v>0</v>
      </c>
      <c r="J2940" s="306">
        <f t="shared" si="570"/>
        <v>0</v>
      </c>
      <c r="K2940" s="306">
        <f t="shared" ref="K2940:S2940" si="571">(1-B2305)*K$2783</f>
        <v>6.5987714212897286E-2</v>
      </c>
      <c r="L2940" s="306">
        <f t="shared" si="571"/>
        <v>5.6103986664664131E-2</v>
      </c>
      <c r="M2940" s="306">
        <f t="shared" si="571"/>
        <v>1.284298027646753E-2</v>
      </c>
      <c r="N2940" s="306">
        <f t="shared" si="571"/>
        <v>1.3233738924820678E-2</v>
      </c>
      <c r="O2940" s="306">
        <f t="shared" si="571"/>
        <v>2.5007964111113234E-2</v>
      </c>
      <c r="P2940" s="306">
        <f t="shared" si="571"/>
        <v>2.6659824866149557E-2</v>
      </c>
      <c r="Q2940" s="306">
        <f t="shared" si="571"/>
        <v>0</v>
      </c>
      <c r="R2940" s="306">
        <f t="shared" si="571"/>
        <v>0</v>
      </c>
      <c r="S2940" s="306">
        <f t="shared" si="571"/>
        <v>0</v>
      </c>
      <c r="T2940" s="291"/>
    </row>
    <row r="2941" spans="1:20">
      <c r="A2941" s="289" t="s">
        <v>111</v>
      </c>
      <c r="B2941" s="306">
        <f t="shared" ref="B2941:J2941" si="572">(1-B2306)*B$2784</f>
        <v>0</v>
      </c>
      <c r="C2941" s="306">
        <f t="shared" si="572"/>
        <v>7.6280388140447464E-2</v>
      </c>
      <c r="D2941" s="306">
        <f t="shared" si="572"/>
        <v>2.0269186668699445E-2</v>
      </c>
      <c r="E2941" s="306">
        <f t="shared" si="572"/>
        <v>1.6708715193374291E-2</v>
      </c>
      <c r="F2941" s="306">
        <f t="shared" si="572"/>
        <v>0</v>
      </c>
      <c r="G2941" s="306">
        <f t="shared" si="572"/>
        <v>0</v>
      </c>
      <c r="H2941" s="306">
        <f t="shared" si="572"/>
        <v>0</v>
      </c>
      <c r="I2941" s="306">
        <f t="shared" si="572"/>
        <v>0</v>
      </c>
      <c r="J2941" s="306">
        <f t="shared" si="572"/>
        <v>0</v>
      </c>
      <c r="K2941" s="306">
        <f t="shared" ref="K2941:S2941" si="573">(1-B2306)*K$2784</f>
        <v>5.0418326119316799E-2</v>
      </c>
      <c r="L2941" s="306">
        <f t="shared" si="573"/>
        <v>3.6929015148482923E-2</v>
      </c>
      <c r="M2941" s="306">
        <f t="shared" si="573"/>
        <v>9.812759475707606E-3</v>
      </c>
      <c r="N2941" s="306">
        <f t="shared" si="573"/>
        <v>8.0890568536662183E-3</v>
      </c>
      <c r="O2941" s="306">
        <f t="shared" si="573"/>
        <v>0</v>
      </c>
      <c r="P2941" s="306">
        <f t="shared" si="573"/>
        <v>0</v>
      </c>
      <c r="Q2941" s="306">
        <f t="shared" si="573"/>
        <v>0</v>
      </c>
      <c r="R2941" s="306">
        <f t="shared" si="573"/>
        <v>0</v>
      </c>
      <c r="S2941" s="306">
        <f t="shared" si="573"/>
        <v>0</v>
      </c>
      <c r="T2941" s="291"/>
    </row>
    <row r="2942" spans="1:20">
      <c r="A2942" s="289" t="s">
        <v>131</v>
      </c>
      <c r="B2942" s="306">
        <f t="shared" ref="B2942:J2942" si="574">(1-B2307)*B$2785</f>
        <v>0</v>
      </c>
      <c r="C2942" s="306">
        <f t="shared" si="574"/>
        <v>7.6795746678224613E-2</v>
      </c>
      <c r="D2942" s="306">
        <f t="shared" si="574"/>
        <v>1.7579610978451662E-2</v>
      </c>
      <c r="E2942" s="306">
        <f t="shared" si="574"/>
        <v>1.8114485663037212E-2</v>
      </c>
      <c r="F2942" s="306">
        <f t="shared" si="574"/>
        <v>3.4231173058950778E-2</v>
      </c>
      <c r="G2942" s="306">
        <f t="shared" si="574"/>
        <v>3.6492258012675957E-2</v>
      </c>
      <c r="H2942" s="306">
        <f t="shared" si="574"/>
        <v>0.1452951325382863</v>
      </c>
      <c r="I2942" s="306">
        <f t="shared" si="574"/>
        <v>3.8357997230994839E-2</v>
      </c>
      <c r="J2942" s="306">
        <f t="shared" si="574"/>
        <v>2.5423337681803868E-2</v>
      </c>
      <c r="K2942" s="306">
        <f t="shared" ref="K2942:S2942" si="575">(1-B2307)*K$2785</f>
        <v>4.3728175868596349E-2</v>
      </c>
      <c r="L2942" s="306">
        <f t="shared" si="575"/>
        <v>3.7178511561813052E-2</v>
      </c>
      <c r="M2942" s="306">
        <f t="shared" si="575"/>
        <v>8.5106766752730111E-3</v>
      </c>
      <c r="N2942" s="306">
        <f t="shared" si="575"/>
        <v>8.7696212849049295E-3</v>
      </c>
      <c r="O2942" s="306">
        <f t="shared" si="575"/>
        <v>1.6572064448817817E-2</v>
      </c>
      <c r="P2942" s="306">
        <f t="shared" si="575"/>
        <v>1.7666705450832442E-2</v>
      </c>
      <c r="Q2942" s="306">
        <f t="shared" si="575"/>
        <v>0.1147199501769687</v>
      </c>
      <c r="R2942" s="306">
        <f t="shared" si="575"/>
        <v>5.1762677605790369E-2</v>
      </c>
      <c r="S2942" s="306">
        <f t="shared" si="575"/>
        <v>0.11794558436288083</v>
      </c>
      <c r="T2942" s="291"/>
    </row>
    <row r="2943" spans="1:20">
      <c r="A2943" s="289" t="s">
        <v>132</v>
      </c>
      <c r="B2943" s="306">
        <f t="shared" ref="B2943:J2943" si="576">(1-B2308)*B$2786</f>
        <v>0</v>
      </c>
      <c r="C2943" s="306">
        <f t="shared" si="576"/>
        <v>0.16239168704187845</v>
      </c>
      <c r="D2943" s="306">
        <f t="shared" si="576"/>
        <v>3.7173708282208361E-2</v>
      </c>
      <c r="E2943" s="306">
        <f t="shared" si="576"/>
        <v>3.8304750119066595E-2</v>
      </c>
      <c r="F2943" s="306">
        <f t="shared" si="576"/>
        <v>7.2384971602102111E-2</v>
      </c>
      <c r="G2943" s="306">
        <f t="shared" si="576"/>
        <v>7.7166244212406115E-2</v>
      </c>
      <c r="H2943" s="306">
        <f t="shared" si="576"/>
        <v>0.30723995419600375</v>
      </c>
      <c r="I2943" s="306">
        <f t="shared" si="576"/>
        <v>8.1111521813683835E-2</v>
      </c>
      <c r="J2943" s="306">
        <f t="shared" si="576"/>
        <v>5.3759991600604289E-2</v>
      </c>
      <c r="K2943" s="306">
        <f t="shared" ref="K2943:S2943" si="577">(1-B2308)*K$2786</f>
        <v>9.2467259681958791E-2</v>
      </c>
      <c r="L2943" s="306">
        <f t="shared" si="577"/>
        <v>7.8617390615732224E-2</v>
      </c>
      <c r="M2943" s="306">
        <f t="shared" si="577"/>
        <v>1.7996610527877481E-2</v>
      </c>
      <c r="N2943" s="306">
        <f t="shared" si="577"/>
        <v>1.8544172780051681E-2</v>
      </c>
      <c r="O2943" s="306">
        <f t="shared" si="577"/>
        <v>3.5043158247894751E-2</v>
      </c>
      <c r="P2943" s="306">
        <f t="shared" si="577"/>
        <v>3.7357877574307287E-2</v>
      </c>
      <c r="Q2943" s="306">
        <f t="shared" si="577"/>
        <v>0.24258591201224158</v>
      </c>
      <c r="R2943" s="306">
        <f t="shared" si="577"/>
        <v>0.10945695439917673</v>
      </c>
      <c r="S2943" s="306">
        <f t="shared" si="577"/>
        <v>0.2494068129069881</v>
      </c>
      <c r="T2943" s="291"/>
    </row>
    <row r="2944" spans="1:20">
      <c r="A2944" s="289" t="s">
        <v>133</v>
      </c>
      <c r="B2944" s="306">
        <f t="shared" ref="B2944:J2944" si="578">(1-B2309)*B$2787</f>
        <v>0</v>
      </c>
      <c r="C2944" s="306">
        <f t="shared" si="578"/>
        <v>0.28768063900720631</v>
      </c>
      <c r="D2944" s="306">
        <f t="shared" si="578"/>
        <v>6.5854086177054821E-2</v>
      </c>
      <c r="E2944" s="306">
        <f t="shared" si="578"/>
        <v>6.7857753016770272E-2</v>
      </c>
      <c r="F2944" s="306">
        <f t="shared" si="578"/>
        <v>0.12823165559971719</v>
      </c>
      <c r="G2944" s="306">
        <f t="shared" si="578"/>
        <v>0.13670179089331258</v>
      </c>
      <c r="H2944" s="306">
        <f t="shared" si="578"/>
        <v>0.54428270290004099</v>
      </c>
      <c r="I2944" s="306">
        <f t="shared" si="578"/>
        <v>0.14369094164401389</v>
      </c>
      <c r="J2944" s="306">
        <f t="shared" si="578"/>
        <v>9.5237071665469575E-2</v>
      </c>
      <c r="K2944" s="306">
        <f t="shared" ref="K2944:S2944" si="579">(1-B2309)*K$2787</f>
        <v>0.1638078945857073</v>
      </c>
      <c r="L2944" s="306">
        <f t="shared" si="579"/>
        <v>0.1392725303948624</v>
      </c>
      <c r="M2944" s="306">
        <f t="shared" si="579"/>
        <v>3.1881412841585091E-2</v>
      </c>
      <c r="N2944" s="306">
        <f t="shared" si="579"/>
        <v>3.2851432067760603E-2</v>
      </c>
      <c r="O2944" s="306">
        <f t="shared" si="579"/>
        <v>6.2079767389726107E-2</v>
      </c>
      <c r="P2944" s="306">
        <f t="shared" si="579"/>
        <v>6.6180346348382796E-2</v>
      </c>
      <c r="Q2944" s="306">
        <f t="shared" si="579"/>
        <v>0.42974656802370959</v>
      </c>
      <c r="R2944" s="306">
        <f t="shared" si="579"/>
        <v>0.19390553272112596</v>
      </c>
      <c r="S2944" s="306">
        <f t="shared" si="579"/>
        <v>0.44182995211651405</v>
      </c>
      <c r="T2944" s="291"/>
    </row>
    <row r="2945" spans="1:20">
      <c r="A2945" s="289" t="s">
        <v>134</v>
      </c>
      <c r="B2945" s="306">
        <f t="shared" ref="B2945:J2945" si="580">(1-B2310)*B$2788</f>
        <v>0</v>
      </c>
      <c r="C2945" s="306">
        <f t="shared" si="580"/>
        <v>0</v>
      </c>
      <c r="D2945" s="306">
        <f t="shared" si="580"/>
        <v>0</v>
      </c>
      <c r="E2945" s="306">
        <f t="shared" si="580"/>
        <v>0</v>
      </c>
      <c r="F2945" s="306">
        <f t="shared" si="580"/>
        <v>0</v>
      </c>
      <c r="G2945" s="306">
        <f t="shared" si="580"/>
        <v>0</v>
      </c>
      <c r="H2945" s="306">
        <f t="shared" si="580"/>
        <v>0</v>
      </c>
      <c r="I2945" s="306">
        <f t="shared" si="580"/>
        <v>0</v>
      </c>
      <c r="J2945" s="306">
        <f t="shared" si="580"/>
        <v>0</v>
      </c>
      <c r="K2945" s="306">
        <f t="shared" ref="K2945:S2945" si="581">(1-B2310)*K$2788</f>
        <v>0</v>
      </c>
      <c r="L2945" s="306">
        <f t="shared" si="581"/>
        <v>0</v>
      </c>
      <c r="M2945" s="306">
        <f t="shared" si="581"/>
        <v>0</v>
      </c>
      <c r="N2945" s="306">
        <f t="shared" si="581"/>
        <v>0</v>
      </c>
      <c r="O2945" s="306">
        <f t="shared" si="581"/>
        <v>0</v>
      </c>
      <c r="P2945" s="306">
        <f t="shared" si="581"/>
        <v>0</v>
      </c>
      <c r="Q2945" s="306">
        <f t="shared" si="581"/>
        <v>0</v>
      </c>
      <c r="R2945" s="306">
        <f t="shared" si="581"/>
        <v>0</v>
      </c>
      <c r="S2945" s="306">
        <f t="shared" si="581"/>
        <v>0</v>
      </c>
      <c r="T2945" s="291"/>
    </row>
    <row r="2946" spans="1:20">
      <c r="A2946" s="289" t="s">
        <v>135</v>
      </c>
      <c r="B2946" s="306">
        <f t="shared" ref="B2946:J2946" si="582">(1-B2311)*B$2789</f>
        <v>0</v>
      </c>
      <c r="C2946" s="306">
        <f t="shared" si="582"/>
        <v>0.15220134552304992</v>
      </c>
      <c r="D2946" s="306">
        <f t="shared" si="582"/>
        <v>3.484099784722583E-2</v>
      </c>
      <c r="E2946" s="306">
        <f t="shared" si="582"/>
        <v>3.59010649759594E-2</v>
      </c>
      <c r="F2946" s="306">
        <f t="shared" si="582"/>
        <v>6.7842697333679106E-2</v>
      </c>
      <c r="G2946" s="306">
        <f t="shared" si="582"/>
        <v>7.2323937339598285E-2</v>
      </c>
      <c r="H2946" s="306">
        <f t="shared" si="582"/>
        <v>0.28796014918554713</v>
      </c>
      <c r="I2946" s="306">
        <f t="shared" si="582"/>
        <v>7.6021642378043819E-2</v>
      </c>
      <c r="J2946" s="306">
        <f t="shared" si="582"/>
        <v>5.038646500919549E-2</v>
      </c>
      <c r="K2946" s="306">
        <f t="shared" ref="K2946:S2946" si="583">(1-B2311)*K$2789</f>
        <v>8.6664789293025846E-2</v>
      </c>
      <c r="L2946" s="306">
        <f t="shared" si="583"/>
        <v>7.3684021954522033E-2</v>
      </c>
      <c r="M2946" s="306">
        <f t="shared" si="583"/>
        <v>1.6867294053610409E-2</v>
      </c>
      <c r="N2946" s="306">
        <f t="shared" si="583"/>
        <v>1.738049588713193E-2</v>
      </c>
      <c r="O2946" s="306">
        <f t="shared" si="583"/>
        <v>3.2844143280137753E-2</v>
      </c>
      <c r="P2946" s="306">
        <f t="shared" si="583"/>
        <v>3.5013610217797815E-2</v>
      </c>
      <c r="Q2946" s="306">
        <f t="shared" si="583"/>
        <v>0.22736325292117784</v>
      </c>
      <c r="R2946" s="306">
        <f t="shared" si="583"/>
        <v>0.10258835313481027</v>
      </c>
      <c r="S2946" s="306">
        <f t="shared" si="583"/>
        <v>0.2337561312314578</v>
      </c>
      <c r="T2946" s="291"/>
    </row>
    <row r="2948" spans="1:20" ht="21" customHeight="1">
      <c r="A2948" s="1" t="s">
        <v>1505</v>
      </c>
    </row>
    <row r="2949" spans="1:20">
      <c r="A2949" s="287" t="s">
        <v>255</v>
      </c>
    </row>
    <row r="2950" spans="1:20">
      <c r="A2950" s="301" t="s">
        <v>724</v>
      </c>
    </row>
    <row r="2951" spans="1:20">
      <c r="A2951" s="301" t="s">
        <v>1504</v>
      </c>
    </row>
    <row r="2952" spans="1:20">
      <c r="A2952" s="287" t="s">
        <v>1499</v>
      </c>
    </row>
    <row r="2954" spans="1:20" ht="30">
      <c r="B2954" s="288" t="s">
        <v>60</v>
      </c>
      <c r="C2954" s="288" t="s">
        <v>220</v>
      </c>
      <c r="D2954" s="288" t="s">
        <v>221</v>
      </c>
      <c r="E2954" s="288" t="s">
        <v>222</v>
      </c>
      <c r="F2954" s="288" t="s">
        <v>223</v>
      </c>
      <c r="G2954" s="288" t="s">
        <v>224</v>
      </c>
      <c r="H2954" s="288" t="s">
        <v>225</v>
      </c>
      <c r="I2954" s="288" t="s">
        <v>226</v>
      </c>
      <c r="J2954" s="288" t="s">
        <v>227</v>
      </c>
      <c r="K2954" s="288" t="s">
        <v>208</v>
      </c>
      <c r="L2954" s="288" t="s">
        <v>618</v>
      </c>
      <c r="M2954" s="288" t="s">
        <v>619</v>
      </c>
      <c r="N2954" s="288" t="s">
        <v>620</v>
      </c>
      <c r="O2954" s="288" t="s">
        <v>621</v>
      </c>
      <c r="P2954" s="288" t="s">
        <v>622</v>
      </c>
      <c r="Q2954" s="288" t="s">
        <v>623</v>
      </c>
      <c r="R2954" s="288" t="s">
        <v>624</v>
      </c>
      <c r="S2954" s="288" t="s">
        <v>625</v>
      </c>
    </row>
    <row r="2955" spans="1:20">
      <c r="A2955" s="289" t="s">
        <v>92</v>
      </c>
      <c r="B2955" s="306">
        <f t="shared" ref="B2955:J2955" si="584">(1-B$2293)*B$2809</f>
        <v>0</v>
      </c>
      <c r="C2955" s="306">
        <f t="shared" si="584"/>
        <v>0.148183510636441</v>
      </c>
      <c r="D2955" s="306">
        <f t="shared" si="584"/>
        <v>3.3921259745346495E-2</v>
      </c>
      <c r="E2955" s="306">
        <f t="shared" si="584"/>
        <v>3.4595768761972172E-2</v>
      </c>
      <c r="F2955" s="306">
        <f t="shared" si="584"/>
        <v>6.5376062540654645E-2</v>
      </c>
      <c r="G2955" s="306">
        <f t="shared" si="584"/>
        <v>7.0414718747730129E-2</v>
      </c>
      <c r="H2955" s="306">
        <f t="shared" si="584"/>
        <v>0.27749045162190128</v>
      </c>
      <c r="I2955" s="306">
        <f t="shared" si="584"/>
        <v>7.3257636295115627E-2</v>
      </c>
      <c r="J2955" s="306">
        <f t="shared" si="584"/>
        <v>0</v>
      </c>
      <c r="K2955" s="306">
        <f t="shared" ref="K2955:S2955" si="585">(1-B$2293)*K$2809</f>
        <v>8.7631638038358411E-2</v>
      </c>
      <c r="L2955" s="306">
        <f t="shared" si="585"/>
        <v>7.1738899636600739E-2</v>
      </c>
      <c r="M2955" s="306">
        <f t="shared" si="585"/>
        <v>1.6422028591216553E-2</v>
      </c>
      <c r="N2955" s="306">
        <f t="shared" si="585"/>
        <v>1.6748573254923498E-2</v>
      </c>
      <c r="O2955" s="306">
        <f t="shared" si="585"/>
        <v>3.1649991075908546E-2</v>
      </c>
      <c r="P2955" s="306">
        <f t="shared" si="585"/>
        <v>3.4089315467605283E-2</v>
      </c>
      <c r="Q2955" s="306">
        <f t="shared" si="585"/>
        <v>0.21909674624688927</v>
      </c>
      <c r="R2955" s="306">
        <f t="shared" si="585"/>
        <v>9.8858430664941405E-2</v>
      </c>
      <c r="S2955" s="306">
        <f t="shared" si="585"/>
        <v>0</v>
      </c>
      <c r="T2955" s="291"/>
    </row>
    <row r="2956" spans="1:20">
      <c r="A2956" s="289" t="s">
        <v>93</v>
      </c>
      <c r="B2956" s="306">
        <f t="shared" ref="B2956:J2956" si="586">(1-B$2294)*B$2810</f>
        <v>0</v>
      </c>
      <c r="C2956" s="306">
        <f t="shared" si="586"/>
        <v>0.17630134436125311</v>
      </c>
      <c r="D2956" s="306">
        <f t="shared" si="586"/>
        <v>4.03578216621166E-2</v>
      </c>
      <c r="E2956" s="306">
        <f t="shared" si="586"/>
        <v>4.1158993474312872E-2</v>
      </c>
      <c r="F2956" s="306">
        <f t="shared" si="586"/>
        <v>7.7778671432352398E-2</v>
      </c>
      <c r="G2956" s="306">
        <f t="shared" si="586"/>
        <v>8.377591760868619E-2</v>
      </c>
      <c r="H2956" s="306">
        <f t="shared" si="586"/>
        <v>0.33013365784905557</v>
      </c>
      <c r="I2956" s="306">
        <f t="shared" si="586"/>
        <v>8.7155472536531206E-2</v>
      </c>
      <c r="J2956" s="306">
        <f t="shared" si="586"/>
        <v>0</v>
      </c>
      <c r="K2956" s="306">
        <f t="shared" ref="K2956:S2956" si="587">(1-B$2294)*K$2810</f>
        <v>0.10405587485625574</v>
      </c>
      <c r="L2956" s="306">
        <f t="shared" si="587"/>
        <v>8.5351361933649797E-2</v>
      </c>
      <c r="M2956" s="306">
        <f t="shared" si="587"/>
        <v>1.9538109910715164E-2</v>
      </c>
      <c r="N2956" s="306">
        <f t="shared" si="587"/>
        <v>1.9925974822134578E-2</v>
      </c>
      <c r="O2956" s="306">
        <f t="shared" si="587"/>
        <v>3.765436707356231E-2</v>
      </c>
      <c r="P2956" s="306">
        <f t="shared" si="587"/>
        <v>4.05577659719428E-2</v>
      </c>
      <c r="Q2956" s="306">
        <f t="shared" si="587"/>
        <v>0.26066197895655113</v>
      </c>
      <c r="R2956" s="306">
        <f t="shared" si="587"/>
        <v>0.11761303905729947</v>
      </c>
      <c r="S2956" s="306">
        <f t="shared" si="587"/>
        <v>0</v>
      </c>
      <c r="T2956" s="291"/>
    </row>
    <row r="2957" spans="1:20">
      <c r="A2957" s="289" t="s">
        <v>129</v>
      </c>
      <c r="B2957" s="306">
        <f t="shared" ref="B2957:J2957" si="588">(1-B$2295)*B$2811</f>
        <v>0</v>
      </c>
      <c r="C2957" s="306">
        <f t="shared" si="588"/>
        <v>1.688776752082715E-2</v>
      </c>
      <c r="D2957" s="306">
        <f t="shared" si="588"/>
        <v>3.8658440884051276E-3</v>
      </c>
      <c r="E2957" s="306">
        <f t="shared" si="588"/>
        <v>4.2187789768743508E-3</v>
      </c>
      <c r="F2957" s="306">
        <f t="shared" si="588"/>
        <v>7.9722800824274555E-3</v>
      </c>
      <c r="G2957" s="306">
        <f t="shared" si="588"/>
        <v>8.0248294506505141E-3</v>
      </c>
      <c r="H2957" s="306">
        <f t="shared" si="588"/>
        <v>3.3838556721787698E-2</v>
      </c>
      <c r="I2957" s="306">
        <f t="shared" si="588"/>
        <v>8.9333981280698971E-3</v>
      </c>
      <c r="J2957" s="306">
        <f t="shared" si="588"/>
        <v>0</v>
      </c>
      <c r="K2957" s="306">
        <f t="shared" ref="K2957:S2957" si="589">(1-B$2295)*K$2811</f>
        <v>5.4255738745255522E-3</v>
      </c>
      <c r="L2957" s="306">
        <f t="shared" si="589"/>
        <v>8.1757400270751311E-3</v>
      </c>
      <c r="M2957" s="306">
        <f t="shared" si="589"/>
        <v>1.8715402265590602E-3</v>
      </c>
      <c r="N2957" s="306">
        <f t="shared" si="589"/>
        <v>2.0424037756368481E-3</v>
      </c>
      <c r="O2957" s="306">
        <f t="shared" si="589"/>
        <v>3.8595562910593369E-3</v>
      </c>
      <c r="P2957" s="306">
        <f t="shared" si="589"/>
        <v>3.8849965970470255E-3</v>
      </c>
      <c r="Q2957" s="306">
        <f t="shared" si="589"/>
        <v>2.6717739771227995E-2</v>
      </c>
      <c r="R2957" s="306">
        <f t="shared" si="589"/>
        <v>1.205528548434749E-2</v>
      </c>
      <c r="S2957" s="306">
        <f t="shared" si="589"/>
        <v>0</v>
      </c>
      <c r="T2957" s="291"/>
    </row>
    <row r="2958" spans="1:20">
      <c r="A2958" s="289" t="s">
        <v>94</v>
      </c>
      <c r="B2958" s="306">
        <f t="shared" ref="B2958:J2958" si="590">(1-B$2296)*B$2812</f>
        <v>0</v>
      </c>
      <c r="C2958" s="306">
        <f t="shared" si="590"/>
        <v>0.1426888397457399</v>
      </c>
      <c r="D2958" s="306">
        <f t="shared" si="590"/>
        <v>3.266345340982274E-2</v>
      </c>
      <c r="E2958" s="306">
        <f t="shared" si="590"/>
        <v>3.2473341305914859E-2</v>
      </c>
      <c r="F2958" s="306">
        <f t="shared" si="590"/>
        <v>6.1365284486844605E-2</v>
      </c>
      <c r="G2958" s="306">
        <f t="shared" si="590"/>
        <v>6.7803728471428015E-2</v>
      </c>
      <c r="H2958" s="306">
        <f t="shared" si="590"/>
        <v>0.26046659655545612</v>
      </c>
      <c r="I2958" s="306">
        <f t="shared" si="590"/>
        <v>6.8763328921621944E-2</v>
      </c>
      <c r="J2958" s="306">
        <f t="shared" si="590"/>
        <v>0</v>
      </c>
      <c r="K2958" s="306">
        <f t="shared" ref="K2958:S2958" si="591">(1-B$2296)*K$2812</f>
        <v>8.0844950787526376E-2</v>
      </c>
      <c r="L2958" s="306">
        <f t="shared" si="591"/>
        <v>6.9078808497774508E-2</v>
      </c>
      <c r="M2958" s="306">
        <f t="shared" si="591"/>
        <v>1.5813096854622719E-2</v>
      </c>
      <c r="N2958" s="306">
        <f t="shared" si="591"/>
        <v>1.5721059399960088E-2</v>
      </c>
      <c r="O2958" s="306">
        <f t="shared" si="591"/>
        <v>2.970828512609551E-2</v>
      </c>
      <c r="P2958" s="306">
        <f t="shared" si="591"/>
        <v>3.2825277596054719E-2</v>
      </c>
      <c r="Q2958" s="306">
        <f t="shared" si="591"/>
        <v>0.20565530625558123</v>
      </c>
      <c r="R2958" s="306">
        <f t="shared" si="591"/>
        <v>9.279353154535179E-2</v>
      </c>
      <c r="S2958" s="306">
        <f t="shared" si="591"/>
        <v>0</v>
      </c>
      <c r="T2958" s="291"/>
    </row>
    <row r="2959" spans="1:20">
      <c r="A2959" s="289" t="s">
        <v>95</v>
      </c>
      <c r="B2959" s="306">
        <f t="shared" ref="B2959:J2959" si="592">(1-B$2297)*B$2813</f>
        <v>0</v>
      </c>
      <c r="C2959" s="306">
        <f t="shared" si="592"/>
        <v>0.16255521572602891</v>
      </c>
      <c r="D2959" s="306">
        <f t="shared" si="592"/>
        <v>3.7211142264890085E-2</v>
      </c>
      <c r="E2959" s="306">
        <f t="shared" si="592"/>
        <v>3.7222782505991842E-2</v>
      </c>
      <c r="F2959" s="306">
        <f t="shared" si="592"/>
        <v>7.0340363695684055E-2</v>
      </c>
      <c r="G2959" s="306">
        <f t="shared" si="592"/>
        <v>7.7243950741642614E-2</v>
      </c>
      <c r="H2959" s="306">
        <f t="shared" si="592"/>
        <v>0.29856156107636866</v>
      </c>
      <c r="I2959" s="306">
        <f t="shared" si="592"/>
        <v>7.8820421117900163E-2</v>
      </c>
      <c r="J2959" s="306">
        <f t="shared" si="592"/>
        <v>0</v>
      </c>
      <c r="K2959" s="306">
        <f t="shared" ref="K2959:S2959" si="593">(1-B$2297)*K$2813</f>
        <v>9.27623205933885E-2</v>
      </c>
      <c r="L2959" s="306">
        <f t="shared" si="593"/>
        <v>7.8696558451678278E-2</v>
      </c>
      <c r="M2959" s="306">
        <f t="shared" si="593"/>
        <v>1.8014733142971896E-2</v>
      </c>
      <c r="N2959" s="306">
        <f t="shared" si="593"/>
        <v>1.8020368439939535E-2</v>
      </c>
      <c r="O2959" s="306">
        <f t="shared" si="593"/>
        <v>3.4053318550044773E-2</v>
      </c>
      <c r="P2959" s="306">
        <f t="shared" si="593"/>
        <v>3.7395497015755695E-2</v>
      </c>
      <c r="Q2959" s="306">
        <f t="shared" si="593"/>
        <v>0.23573375661716431</v>
      </c>
      <c r="R2959" s="306">
        <f t="shared" si="593"/>
        <v>0.10636520000011172</v>
      </c>
      <c r="S2959" s="306">
        <f t="shared" si="593"/>
        <v>0</v>
      </c>
      <c r="T2959" s="291"/>
    </row>
    <row r="2960" spans="1:20">
      <c r="A2960" s="289" t="s">
        <v>130</v>
      </c>
      <c r="B2960" s="306">
        <f t="shared" ref="B2960:J2960" si="594">(1-B$2298)*B$2814</f>
        <v>0</v>
      </c>
      <c r="C2960" s="306">
        <f t="shared" si="594"/>
        <v>2.700876150633915E-2</v>
      </c>
      <c r="D2960" s="306">
        <f t="shared" si="594"/>
        <v>6.1826799116968898E-3</v>
      </c>
      <c r="E2960" s="306">
        <f t="shared" si="594"/>
        <v>6.7862070971168682E-3</v>
      </c>
      <c r="F2960" s="306">
        <f t="shared" si="594"/>
        <v>1.282398152928502E-2</v>
      </c>
      <c r="G2960" s="306">
        <f t="shared" si="594"/>
        <v>1.2834183351610386E-2</v>
      </c>
      <c r="H2960" s="306">
        <f t="shared" si="594"/>
        <v>5.4431733693648461E-2</v>
      </c>
      <c r="I2960" s="306">
        <f t="shared" si="594"/>
        <v>1.4370008504923879E-2</v>
      </c>
      <c r="J2960" s="306">
        <f t="shared" si="594"/>
        <v>0</v>
      </c>
      <c r="K2960" s="306">
        <f t="shared" ref="K2960:S2960" si="595">(1-B$2298)*K$2814</f>
        <v>1.2640418759035042E-2</v>
      </c>
      <c r="L2960" s="306">
        <f t="shared" si="595"/>
        <v>1.3075536020778171E-2</v>
      </c>
      <c r="M2960" s="306">
        <f t="shared" si="595"/>
        <v>2.9931714518401788E-3</v>
      </c>
      <c r="N2960" s="306">
        <f t="shared" si="595"/>
        <v>3.2853522484541067E-3</v>
      </c>
      <c r="O2960" s="306">
        <f t="shared" si="595"/>
        <v>6.2083717676800695E-3</v>
      </c>
      <c r="P2960" s="306">
        <f t="shared" si="595"/>
        <v>6.2133106944524657E-3</v>
      </c>
      <c r="Q2960" s="306">
        <f t="shared" si="595"/>
        <v>4.2977391384642114E-2</v>
      </c>
      <c r="R2960" s="306">
        <f t="shared" si="595"/>
        <v>1.9391787140330543E-2</v>
      </c>
      <c r="S2960" s="306">
        <f t="shared" si="595"/>
        <v>0</v>
      </c>
      <c r="T2960" s="291"/>
    </row>
    <row r="2961" spans="1:20">
      <c r="A2961" s="289" t="s">
        <v>96</v>
      </c>
      <c r="B2961" s="306">
        <f t="shared" ref="B2961:J2961" si="596">(1-B$2299)*B$2815</f>
        <v>0</v>
      </c>
      <c r="C2961" s="306">
        <f t="shared" si="596"/>
        <v>0.11815962415020724</v>
      </c>
      <c r="D2961" s="306">
        <f t="shared" si="596"/>
        <v>2.7048375929258253E-2</v>
      </c>
      <c r="E2961" s="306">
        <f t="shared" si="596"/>
        <v>2.712650357376881E-2</v>
      </c>
      <c r="F2961" s="306">
        <f t="shared" si="596"/>
        <v>5.126129748263774E-2</v>
      </c>
      <c r="G2961" s="306">
        <f t="shared" si="596"/>
        <v>5.614779043997261E-2</v>
      </c>
      <c r="H2961" s="306">
        <f t="shared" si="596"/>
        <v>0.21757995260629442</v>
      </c>
      <c r="I2961" s="306">
        <f t="shared" si="596"/>
        <v>5.7441230644068676E-2</v>
      </c>
      <c r="J2961" s="306">
        <f t="shared" si="596"/>
        <v>0</v>
      </c>
      <c r="K2961" s="306">
        <f t="shared" ref="K2961:S2961" si="597">(1-B$2299)*K$2815</f>
        <v>6.787480918901366E-2</v>
      </c>
      <c r="L2961" s="306">
        <f t="shared" si="597"/>
        <v>5.7203675237571416E-2</v>
      </c>
      <c r="M2961" s="306">
        <f t="shared" si="597"/>
        <v>1.3094714234992085E-2</v>
      </c>
      <c r="N2961" s="306">
        <f t="shared" si="597"/>
        <v>1.3132537547615156E-2</v>
      </c>
      <c r="O2961" s="306">
        <f t="shared" si="597"/>
        <v>2.4816722586436933E-2</v>
      </c>
      <c r="P2961" s="306">
        <f t="shared" si="597"/>
        <v>2.7182381399186072E-2</v>
      </c>
      <c r="Q2961" s="306">
        <f t="shared" si="597"/>
        <v>0.17179351356401404</v>
      </c>
      <c r="R2961" s="306">
        <f t="shared" si="597"/>
        <v>7.7514784862287203E-2</v>
      </c>
      <c r="S2961" s="306">
        <f t="shared" si="597"/>
        <v>0</v>
      </c>
      <c r="T2961" s="291"/>
    </row>
    <row r="2962" spans="1:20">
      <c r="A2962" s="289" t="s">
        <v>97</v>
      </c>
      <c r="B2962" s="306">
        <f t="shared" ref="B2962:J2962" si="598">(1-B$2300)*B$2816</f>
        <v>0</v>
      </c>
      <c r="C2962" s="306">
        <f t="shared" si="598"/>
        <v>0.11449858570769508</v>
      </c>
      <c r="D2962" s="306">
        <f t="shared" si="598"/>
        <v>2.6210313479443321E-2</v>
      </c>
      <c r="E2962" s="306">
        <f t="shared" si="598"/>
        <v>2.6206350403355411E-2</v>
      </c>
      <c r="F2962" s="306">
        <f t="shared" si="598"/>
        <v>4.9522472378625261E-2</v>
      </c>
      <c r="G2962" s="306">
        <f t="shared" si="598"/>
        <v>5.4408116496853572E-2</v>
      </c>
      <c r="H2962" s="306">
        <f t="shared" si="598"/>
        <v>0.21019946279622259</v>
      </c>
      <c r="I2962" s="306">
        <f t="shared" si="598"/>
        <v>0</v>
      </c>
      <c r="J2962" s="306">
        <f t="shared" si="598"/>
        <v>0</v>
      </c>
      <c r="K2962" s="306">
        <f t="shared" ref="K2962:S2962" si="599">(1-B$2300)*K$2816</f>
        <v>6.5356481501040981E-2</v>
      </c>
      <c r="L2962" s="306">
        <f t="shared" si="599"/>
        <v>5.5431285932816154E-2</v>
      </c>
      <c r="M2962" s="306">
        <f t="shared" si="599"/>
        <v>1.2688989753784576E-2</v>
      </c>
      <c r="N2962" s="306">
        <f t="shared" si="599"/>
        <v>1.2687071141406573E-2</v>
      </c>
      <c r="O2962" s="306">
        <f t="shared" si="599"/>
        <v>2.3974919074787118E-2</v>
      </c>
      <c r="P2962" s="306">
        <f t="shared" si="599"/>
        <v>2.6340166945838288E-2</v>
      </c>
      <c r="Q2962" s="306">
        <f t="shared" si="599"/>
        <v>0.16596613718531839</v>
      </c>
      <c r="R2962" s="306">
        <f t="shared" si="599"/>
        <v>0</v>
      </c>
      <c r="S2962" s="306">
        <f t="shared" si="599"/>
        <v>0</v>
      </c>
      <c r="T2962" s="291"/>
    </row>
    <row r="2963" spans="1:20">
      <c r="A2963" s="289" t="s">
        <v>110</v>
      </c>
      <c r="B2963" s="306">
        <f t="shared" ref="B2963:J2963" si="600">(1-B$2301)*B$2817</f>
        <v>0</v>
      </c>
      <c r="C2963" s="306">
        <f t="shared" si="600"/>
        <v>9.6491999857788821E-2</v>
      </c>
      <c r="D2963" s="306">
        <f t="shared" si="600"/>
        <v>2.5639806047559641E-2</v>
      </c>
      <c r="E2963" s="306">
        <f t="shared" si="600"/>
        <v>2.0467389627039326E-2</v>
      </c>
      <c r="F2963" s="306">
        <f t="shared" si="600"/>
        <v>0</v>
      </c>
      <c r="G2963" s="306">
        <f t="shared" si="600"/>
        <v>0</v>
      </c>
      <c r="H2963" s="306">
        <f t="shared" si="600"/>
        <v>0</v>
      </c>
      <c r="I2963" s="306">
        <f t="shared" si="600"/>
        <v>0</v>
      </c>
      <c r="J2963" s="306">
        <f t="shared" si="600"/>
        <v>0</v>
      </c>
      <c r="K2963" s="306">
        <f t="shared" ref="K2963:S2963" si="601">(1-B$2301)*K$2817</f>
        <v>6.3703872949850207E-2</v>
      </c>
      <c r="L2963" s="306">
        <f t="shared" si="601"/>
        <v>4.6713901322773109E-2</v>
      </c>
      <c r="M2963" s="306">
        <f t="shared" si="601"/>
        <v>1.2412794546760152E-2</v>
      </c>
      <c r="N2963" s="306">
        <f t="shared" si="601"/>
        <v>9.9087138911142358E-3</v>
      </c>
      <c r="O2963" s="306">
        <f t="shared" si="601"/>
        <v>0</v>
      </c>
      <c r="P2963" s="306">
        <f t="shared" si="601"/>
        <v>0</v>
      </c>
      <c r="Q2963" s="306">
        <f t="shared" si="601"/>
        <v>0</v>
      </c>
      <c r="R2963" s="306">
        <f t="shared" si="601"/>
        <v>0</v>
      </c>
      <c r="S2963" s="306">
        <f t="shared" si="601"/>
        <v>0</v>
      </c>
      <c r="T2963" s="291"/>
    </row>
    <row r="2964" spans="1:20">
      <c r="A2964" s="289" t="s">
        <v>1536</v>
      </c>
      <c r="B2964" s="306">
        <f t="shared" ref="B2964:J2964" si="602">(1-B$2302)*B$2818</f>
        <v>0</v>
      </c>
      <c r="C2964" s="306">
        <f t="shared" si="602"/>
        <v>0.78711539203300873</v>
      </c>
      <c r="D2964" s="306">
        <f t="shared" si="602"/>
        <v>0.18018162444685612</v>
      </c>
      <c r="E2964" s="306">
        <f t="shared" si="602"/>
        <v>0.18958020168977646</v>
      </c>
      <c r="F2964" s="306">
        <f t="shared" si="602"/>
        <v>0.35825210901988402</v>
      </c>
      <c r="G2964" s="306">
        <f t="shared" si="602"/>
        <v>0.37402615658090482</v>
      </c>
      <c r="H2964" s="306">
        <f t="shared" si="602"/>
        <v>1.5206106893422395</v>
      </c>
      <c r="I2964" s="306">
        <f t="shared" si="602"/>
        <v>0.40144208269221304</v>
      </c>
      <c r="J2964" s="306">
        <f t="shared" si="602"/>
        <v>0</v>
      </c>
      <c r="K2964" s="306">
        <f t="shared" ref="K2964:S2964" si="603">(1-B$2302)*K$2818</f>
        <v>0.52201153802627698</v>
      </c>
      <c r="L2964" s="306">
        <f t="shared" si="603"/>
        <v>0.38105988897791332</v>
      </c>
      <c r="M2964" s="306">
        <f t="shared" si="603"/>
        <v>8.7229890944248906E-2</v>
      </c>
      <c r="N2964" s="306">
        <f t="shared" si="603"/>
        <v>9.1779949089455887E-2</v>
      </c>
      <c r="O2964" s="306">
        <f t="shared" si="603"/>
        <v>0.17343773260057826</v>
      </c>
      <c r="P2964" s="306">
        <f t="shared" si="603"/>
        <v>0.18107429627748683</v>
      </c>
      <c r="Q2964" s="306">
        <f t="shared" si="603"/>
        <v>1.2006209669407915</v>
      </c>
      <c r="R2964" s="306">
        <f t="shared" si="603"/>
        <v>0.54173102361567493</v>
      </c>
      <c r="S2964" s="306">
        <f t="shared" si="603"/>
        <v>0</v>
      </c>
      <c r="T2964" s="291"/>
    </row>
    <row r="2965" spans="1:20">
      <c r="A2965" s="289" t="s">
        <v>1535</v>
      </c>
      <c r="B2965" s="306">
        <f t="shared" ref="B2965:J2965" si="604">(1-B$2303)*B$2819</f>
        <v>0</v>
      </c>
      <c r="C2965" s="306">
        <f t="shared" si="604"/>
        <v>0.7914505099919199</v>
      </c>
      <c r="D2965" s="306">
        <f t="shared" si="604"/>
        <v>0.18117399304225082</v>
      </c>
      <c r="E2965" s="306">
        <f t="shared" si="604"/>
        <v>0.19064498967482635</v>
      </c>
      <c r="F2965" s="306">
        <f t="shared" si="604"/>
        <v>0.36026425236556608</v>
      </c>
      <c r="G2965" s="306">
        <f t="shared" si="604"/>
        <v>0.37608614362334897</v>
      </c>
      <c r="H2965" s="306">
        <f t="shared" si="604"/>
        <v>1.5291512857627427</v>
      </c>
      <c r="I2965" s="306">
        <f t="shared" si="604"/>
        <v>0.40369680498142924</v>
      </c>
      <c r="J2965" s="306">
        <f t="shared" si="604"/>
        <v>0</v>
      </c>
      <c r="K2965" s="306">
        <f t="shared" ref="K2965:S2965" si="605">(1-B$2303)*K$2819</f>
        <v>0.52515214314204606</v>
      </c>
      <c r="L2965" s="306">
        <f t="shared" si="605"/>
        <v>0.38315861501586079</v>
      </c>
      <c r="M2965" s="306">
        <f t="shared" si="605"/>
        <v>8.7710318427453832E-2</v>
      </c>
      <c r="N2965" s="306">
        <f t="shared" si="605"/>
        <v>9.2295436393445854E-2</v>
      </c>
      <c r="O2965" s="306">
        <f t="shared" si="605"/>
        <v>0.17441185548989549</v>
      </c>
      <c r="P2965" s="306">
        <f t="shared" si="605"/>
        <v>0.18207158135364607</v>
      </c>
      <c r="Q2965" s="306">
        <f t="shared" si="605"/>
        <v>1.2073643228862054</v>
      </c>
      <c r="R2965" s="306">
        <f t="shared" si="605"/>
        <v>0.54477368672043647</v>
      </c>
      <c r="S2965" s="306">
        <f t="shared" si="605"/>
        <v>0</v>
      </c>
      <c r="T2965" s="291"/>
    </row>
    <row r="2966" spans="1:20">
      <c r="A2966" s="289" t="s">
        <v>98</v>
      </c>
      <c r="B2966" s="306">
        <f t="shared" ref="B2966:J2966" si="606">(1-B$2304)*B$2820</f>
        <v>0</v>
      </c>
      <c r="C2966" s="306">
        <f t="shared" si="606"/>
        <v>0.76123771367510851</v>
      </c>
      <c r="D2966" s="306">
        <f t="shared" si="606"/>
        <v>0.17425786514722325</v>
      </c>
      <c r="E2966" s="306">
        <f t="shared" si="606"/>
        <v>0.18323559687750593</v>
      </c>
      <c r="F2966" s="306">
        <f t="shared" si="606"/>
        <v>0.34626262892315401</v>
      </c>
      <c r="G2966" s="306">
        <f t="shared" si="606"/>
        <v>0.36172944802278229</v>
      </c>
      <c r="H2966" s="306">
        <f t="shared" si="606"/>
        <v>1.175776815496306</v>
      </c>
      <c r="I2966" s="306">
        <f t="shared" si="606"/>
        <v>0</v>
      </c>
      <c r="J2966" s="306">
        <f t="shared" si="606"/>
        <v>0</v>
      </c>
      <c r="K2966" s="306">
        <f t="shared" ref="K2966:S2966" si="607">(1-B$2304)*K$2820</f>
        <v>0.50509735479478512</v>
      </c>
      <c r="L2966" s="306">
        <f t="shared" si="607"/>
        <v>0.36853193520915511</v>
      </c>
      <c r="M2966" s="306">
        <f t="shared" si="607"/>
        <v>8.4362068660632172E-2</v>
      </c>
      <c r="N2966" s="306">
        <f t="shared" si="607"/>
        <v>8.8708386228605149E-2</v>
      </c>
      <c r="O2966" s="306">
        <f t="shared" si="607"/>
        <v>0.16763336134725734</v>
      </c>
      <c r="P2966" s="306">
        <f t="shared" si="607"/>
        <v>0.17512118896262518</v>
      </c>
      <c r="Q2966" s="306">
        <f t="shared" si="607"/>
        <v>0.9283522120565737</v>
      </c>
      <c r="R2966" s="306">
        <f t="shared" si="607"/>
        <v>0</v>
      </c>
      <c r="S2966" s="306">
        <f t="shared" si="607"/>
        <v>0</v>
      </c>
      <c r="T2966" s="291"/>
    </row>
    <row r="2967" spans="1:20">
      <c r="A2967" s="289" t="s">
        <v>99</v>
      </c>
      <c r="B2967" s="306">
        <f t="shared" ref="B2967:J2967" si="608">(1-B$2305)*B$2821</f>
        <v>0</v>
      </c>
      <c r="C2967" s="306">
        <f t="shared" si="608"/>
        <v>0.80321506531868769</v>
      </c>
      <c r="D2967" s="306">
        <f t="shared" si="608"/>
        <v>0.18386706284005633</v>
      </c>
      <c r="E2967" s="306">
        <f t="shared" si="608"/>
        <v>0.1933398585891517</v>
      </c>
      <c r="F2967" s="306">
        <f t="shared" si="608"/>
        <v>0.3653567802956133</v>
      </c>
      <c r="G2967" s="306">
        <f t="shared" si="608"/>
        <v>0.38167649474250209</v>
      </c>
      <c r="H2967" s="306">
        <f t="shared" si="608"/>
        <v>0</v>
      </c>
      <c r="I2967" s="306">
        <f t="shared" si="608"/>
        <v>0</v>
      </c>
      <c r="J2967" s="306">
        <f t="shared" si="608"/>
        <v>0</v>
      </c>
      <c r="K2967" s="306">
        <f t="shared" ref="K2967:S2967" si="609">(1-B$2305)*K$2821</f>
        <v>0.53295021717347635</v>
      </c>
      <c r="L2967" s="306">
        <f t="shared" si="609"/>
        <v>0.38885409523651004</v>
      </c>
      <c r="M2967" s="306">
        <f t="shared" si="609"/>
        <v>8.9014092802276998E-2</v>
      </c>
      <c r="N2967" s="306">
        <f t="shared" si="609"/>
        <v>9.3600081760182349E-2</v>
      </c>
      <c r="O2967" s="306">
        <f t="shared" si="609"/>
        <v>0.17687726036862428</v>
      </c>
      <c r="P2967" s="306">
        <f t="shared" si="609"/>
        <v>0.18477799339738701</v>
      </c>
      <c r="Q2967" s="306">
        <f t="shared" si="609"/>
        <v>0</v>
      </c>
      <c r="R2967" s="306">
        <f t="shared" si="609"/>
        <v>0</v>
      </c>
      <c r="S2967" s="306">
        <f t="shared" si="609"/>
        <v>0</v>
      </c>
      <c r="T2967" s="291"/>
    </row>
    <row r="2968" spans="1:20">
      <c r="A2968" s="289" t="s">
        <v>111</v>
      </c>
      <c r="B2968" s="306">
        <f t="shared" ref="B2968:J2968" si="610">(1-B$2306)*B$2822</f>
        <v>0</v>
      </c>
      <c r="C2968" s="306">
        <f t="shared" si="610"/>
        <v>0.57128116157595032</v>
      </c>
      <c r="D2968" s="306">
        <f t="shared" si="610"/>
        <v>0.15180054515420635</v>
      </c>
      <c r="E2968" s="306">
        <f t="shared" si="610"/>
        <v>0.12769702405873881</v>
      </c>
      <c r="F2968" s="306">
        <f t="shared" si="610"/>
        <v>0</v>
      </c>
      <c r="G2968" s="306">
        <f t="shared" si="610"/>
        <v>0</v>
      </c>
      <c r="H2968" s="306">
        <f t="shared" si="610"/>
        <v>0</v>
      </c>
      <c r="I2968" s="306">
        <f t="shared" si="610"/>
        <v>0</v>
      </c>
      <c r="J2968" s="306">
        <f t="shared" si="610"/>
        <v>0</v>
      </c>
      <c r="K2968" s="306">
        <f t="shared" ref="K2968:S2968" si="611">(1-B$2306)*K$2822</f>
        <v>0.44000340385793923</v>
      </c>
      <c r="L2968" s="306">
        <f t="shared" si="611"/>
        <v>0.27656978660147424</v>
      </c>
      <c r="M2968" s="306">
        <f t="shared" si="611"/>
        <v>7.3489985672676075E-2</v>
      </c>
      <c r="N2968" s="306">
        <f t="shared" si="611"/>
        <v>6.1820940491267018E-2</v>
      </c>
      <c r="O2968" s="306">
        <f t="shared" si="611"/>
        <v>0</v>
      </c>
      <c r="P2968" s="306">
        <f t="shared" si="611"/>
        <v>0</v>
      </c>
      <c r="Q2968" s="306">
        <f t="shared" si="611"/>
        <v>0</v>
      </c>
      <c r="R2968" s="306">
        <f t="shared" si="611"/>
        <v>0</v>
      </c>
      <c r="S2968" s="306">
        <f t="shared" si="611"/>
        <v>0</v>
      </c>
      <c r="T2968" s="291"/>
    </row>
    <row r="2969" spans="1:20">
      <c r="A2969" s="289" t="s">
        <v>131</v>
      </c>
      <c r="B2969" s="306">
        <f t="shared" ref="B2969:J2969" si="612">(1-B$2307)*B$2823</f>
        <v>0</v>
      </c>
      <c r="C2969" s="306">
        <f t="shared" si="612"/>
        <v>8.685720289211539E-2</v>
      </c>
      <c r="D2969" s="306">
        <f t="shared" si="612"/>
        <v>1.9882817780490329E-2</v>
      </c>
      <c r="E2969" s="306">
        <f t="shared" si="612"/>
        <v>2.0487779373387225E-2</v>
      </c>
      <c r="F2969" s="306">
        <f t="shared" si="612"/>
        <v>3.8716016251848215E-2</v>
      </c>
      <c r="G2969" s="306">
        <f t="shared" si="612"/>
        <v>4.1273320402484763E-2</v>
      </c>
      <c r="H2969" s="306">
        <f t="shared" si="612"/>
        <v>0.16433116980768619</v>
      </c>
      <c r="I2969" s="306">
        <f t="shared" si="612"/>
        <v>4.3383521845016905E-2</v>
      </c>
      <c r="J2969" s="306">
        <f t="shared" si="612"/>
        <v>2.8754210472713298E-2</v>
      </c>
      <c r="K2969" s="306">
        <f t="shared" ref="K2969:S2969" si="613">(1-B$2307)*K$2823</f>
        <v>4.943685129551164E-2</v>
      </c>
      <c r="L2969" s="306">
        <f t="shared" si="613"/>
        <v>4.204948400959943E-2</v>
      </c>
      <c r="M2969" s="306">
        <f t="shared" si="613"/>
        <v>9.6257097913338679E-3</v>
      </c>
      <c r="N2969" s="306">
        <f t="shared" si="613"/>
        <v>9.9185850161846636E-3</v>
      </c>
      <c r="O2969" s="306">
        <f t="shared" si="613"/>
        <v>1.8743275768615231E-2</v>
      </c>
      <c r="P2969" s="306">
        <f t="shared" si="613"/>
        <v>1.9981323004875415E-2</v>
      </c>
      <c r="Q2969" s="306">
        <f t="shared" si="613"/>
        <v>0.12975013879348704</v>
      </c>
      <c r="R2969" s="306">
        <f t="shared" si="613"/>
        <v>5.8544434453757094E-2</v>
      </c>
      <c r="S2969" s="306">
        <f t="shared" si="613"/>
        <v>0.13339838378203081</v>
      </c>
      <c r="T2969" s="291"/>
    </row>
    <row r="2970" spans="1:20">
      <c r="A2970" s="289" t="s">
        <v>132</v>
      </c>
      <c r="B2970" s="306">
        <f t="shared" ref="B2970:J2970" si="614">(1-B$2308)*B$2824</f>
        <v>0</v>
      </c>
      <c r="C2970" s="306">
        <f t="shared" si="614"/>
        <v>0.11313075655146068</v>
      </c>
      <c r="D2970" s="306">
        <f t="shared" si="614"/>
        <v>2.5897198424356522E-2</v>
      </c>
      <c r="E2970" s="306">
        <f t="shared" si="614"/>
        <v>2.8237640354945415E-2</v>
      </c>
      <c r="F2970" s="306">
        <f t="shared" si="614"/>
        <v>5.3361026735576668E-2</v>
      </c>
      <c r="G2970" s="306">
        <f t="shared" si="614"/>
        <v>5.3758143332379875E-2</v>
      </c>
      <c r="H2970" s="306">
        <f t="shared" si="614"/>
        <v>0.22649230976025134</v>
      </c>
      <c r="I2970" s="306">
        <f t="shared" si="614"/>
        <v>5.9794097977343121E-2</v>
      </c>
      <c r="J2970" s="306">
        <f t="shared" si="614"/>
        <v>3.9630993638752957E-2</v>
      </c>
      <c r="K2970" s="306">
        <f t="shared" ref="K2970:S2970" si="615">(1-B$2308)*K$2824</f>
        <v>7.166538602028763E-2</v>
      </c>
      <c r="L2970" s="306">
        <f t="shared" si="615"/>
        <v>5.4769089726654847E-2</v>
      </c>
      <c r="M2970" s="306">
        <f t="shared" si="615"/>
        <v>1.2537403862647938E-2</v>
      </c>
      <c r="N2970" s="306">
        <f t="shared" si="615"/>
        <v>1.3670463324140533E-2</v>
      </c>
      <c r="O2970" s="306">
        <f t="shared" si="615"/>
        <v>2.5833247741588551E-2</v>
      </c>
      <c r="P2970" s="306">
        <f t="shared" si="615"/>
        <v>2.6025500628294614E-2</v>
      </c>
      <c r="Q2970" s="306">
        <f t="shared" si="615"/>
        <v>0.17883039877000587</v>
      </c>
      <c r="R2970" s="306">
        <f t="shared" si="615"/>
        <v>8.0689891020412394E-2</v>
      </c>
      <c r="S2970" s="306">
        <f t="shared" si="615"/>
        <v>0.18385865625149003</v>
      </c>
      <c r="T2970" s="291"/>
    </row>
    <row r="2971" spans="1:20">
      <c r="A2971" s="289" t="s">
        <v>133</v>
      </c>
      <c r="B2971" s="306">
        <f t="shared" ref="B2971:J2971" si="616">(1-B$2309)*B$2825</f>
        <v>0</v>
      </c>
      <c r="C2971" s="306">
        <f t="shared" si="616"/>
        <v>0.20266785546710711</v>
      </c>
      <c r="D2971" s="306">
        <f t="shared" si="616"/>
        <v>4.6393481554090385E-2</v>
      </c>
      <c r="E2971" s="306">
        <f t="shared" si="616"/>
        <v>4.9702937904175661E-2</v>
      </c>
      <c r="F2971" s="306">
        <f t="shared" si="616"/>
        <v>9.3924271468983758E-2</v>
      </c>
      <c r="G2971" s="306">
        <f t="shared" si="616"/>
        <v>9.6304912608896717E-2</v>
      </c>
      <c r="H2971" s="306">
        <f t="shared" si="616"/>
        <v>0.39866409042268053</v>
      </c>
      <c r="I2971" s="306">
        <f t="shared" si="616"/>
        <v>0.10524754552600527</v>
      </c>
      <c r="J2971" s="306">
        <f t="shared" si="616"/>
        <v>6.9757132364735311E-2</v>
      </c>
      <c r="K2971" s="306">
        <f t="shared" ref="K2971:S2971" si="617">(1-B$2309)*K$2825</f>
        <v>0.13072736427001849</v>
      </c>
      <c r="L2971" s="306">
        <f t="shared" si="617"/>
        <v>9.8115970396941421E-2</v>
      </c>
      <c r="M2971" s="306">
        <f t="shared" si="617"/>
        <v>2.2460105734483177E-2</v>
      </c>
      <c r="N2971" s="306">
        <f t="shared" si="617"/>
        <v>2.406228640850544E-2</v>
      </c>
      <c r="O2971" s="306">
        <f t="shared" si="617"/>
        <v>4.5470807483334555E-2</v>
      </c>
      <c r="P2971" s="306">
        <f t="shared" si="617"/>
        <v>4.6623328267013313E-2</v>
      </c>
      <c r="Q2971" s="306">
        <f t="shared" si="617"/>
        <v>0.31477120941119641</v>
      </c>
      <c r="R2971" s="306">
        <f t="shared" si="617"/>
        <v>0.14202761252251281</v>
      </c>
      <c r="S2971" s="306">
        <f t="shared" si="617"/>
        <v>0.32362177788033702</v>
      </c>
      <c r="T2971" s="291"/>
    </row>
    <row r="2972" spans="1:20">
      <c r="A2972" s="289" t="s">
        <v>134</v>
      </c>
      <c r="B2972" s="306">
        <f t="shared" ref="B2972:J2972" si="618">(1-B$2310)*B$2826</f>
        <v>0</v>
      </c>
      <c r="C2972" s="306">
        <f t="shared" si="618"/>
        <v>5.9673497996067033E-2</v>
      </c>
      <c r="D2972" s="306">
        <f t="shared" si="618"/>
        <v>1.3660090901775515E-2</v>
      </c>
      <c r="E2972" s="306">
        <f t="shared" si="618"/>
        <v>1.2616786795226107E-2</v>
      </c>
      <c r="F2972" s="306">
        <f t="shared" si="618"/>
        <v>2.3842101855342239E-2</v>
      </c>
      <c r="G2972" s="306">
        <f t="shared" si="618"/>
        <v>2.8356006414204736E-2</v>
      </c>
      <c r="H2972" s="306">
        <f t="shared" si="618"/>
        <v>0.10119844105539549</v>
      </c>
      <c r="I2972" s="306">
        <f t="shared" si="618"/>
        <v>2.6716445719618179E-2</v>
      </c>
      <c r="J2972" s="306">
        <f t="shared" si="618"/>
        <v>1.7707421404123722E-2</v>
      </c>
      <c r="K2972" s="306">
        <f t="shared" ref="K2972:S2972" si="619">(1-B$2310)*K$2826</f>
        <v>2.6935537169242952E-2</v>
      </c>
      <c r="L2972" s="306">
        <f t="shared" si="619"/>
        <v>2.888925404262891E-2</v>
      </c>
      <c r="M2972" s="306">
        <f t="shared" si="619"/>
        <v>6.6131507211594351E-3</v>
      </c>
      <c r="N2972" s="306">
        <f t="shared" si="619"/>
        <v>6.1080642357013437E-3</v>
      </c>
      <c r="O2972" s="306">
        <f t="shared" si="619"/>
        <v>1.1542486372335879E-2</v>
      </c>
      <c r="P2972" s="306">
        <f t="shared" si="619"/>
        <v>1.372776693915893E-2</v>
      </c>
      <c r="Q2972" s="306">
        <f t="shared" si="619"/>
        <v>7.9902746313973677E-2</v>
      </c>
      <c r="R2972" s="306">
        <f t="shared" si="619"/>
        <v>3.6052840773442195E-2</v>
      </c>
      <c r="S2972" s="306">
        <f t="shared" si="619"/>
        <v>8.2149408988260328E-2</v>
      </c>
      <c r="T2972" s="291"/>
    </row>
    <row r="2973" spans="1:20">
      <c r="A2973" s="289" t="s">
        <v>135</v>
      </c>
      <c r="B2973" s="306">
        <f t="shared" ref="B2973:J2973" si="620">(1-B$2311)*B$2827</f>
        <v>0</v>
      </c>
      <c r="C2973" s="306">
        <f t="shared" si="620"/>
        <v>2.1332360134172821</v>
      </c>
      <c r="D2973" s="306">
        <f t="shared" si="620"/>
        <v>0.48832729497677285</v>
      </c>
      <c r="E2973" s="306">
        <f t="shared" si="620"/>
        <v>0.51973357274532406</v>
      </c>
      <c r="F2973" s="306">
        <f t="shared" si="620"/>
        <v>0.98214711718229264</v>
      </c>
      <c r="G2973" s="306">
        <f t="shared" si="620"/>
        <v>1.0136837308156428</v>
      </c>
      <c r="H2973" s="306">
        <f t="shared" si="620"/>
        <v>4.1687497918153724</v>
      </c>
      <c r="I2973" s="306">
        <f t="shared" si="620"/>
        <v>1.1005523046618808</v>
      </c>
      <c r="J2973" s="306">
        <f t="shared" si="620"/>
        <v>0.72943622967097244</v>
      </c>
      <c r="K2973" s="306">
        <f t="shared" ref="K2973:S2973" si="621">(1-B$2311)*K$2827</f>
        <v>1.4285122025287096</v>
      </c>
      <c r="L2973" s="306">
        <f t="shared" si="621"/>
        <v>1.0327465155228299</v>
      </c>
      <c r="M2973" s="306">
        <f t="shared" si="621"/>
        <v>0.2364099936200082</v>
      </c>
      <c r="N2973" s="306">
        <f t="shared" si="621"/>
        <v>0.25161446407100868</v>
      </c>
      <c r="O2973" s="306">
        <f t="shared" si="621"/>
        <v>0.47547904058489959</v>
      </c>
      <c r="P2973" s="306">
        <f t="shared" si="621"/>
        <v>0.49074660949728577</v>
      </c>
      <c r="Q2973" s="306">
        <f t="shared" si="621"/>
        <v>3.291498896504939</v>
      </c>
      <c r="R2973" s="306">
        <f t="shared" si="621"/>
        <v>1.4851540290662095</v>
      </c>
      <c r="S2973" s="306">
        <f t="shared" si="621"/>
        <v>3.3840475015826104</v>
      </c>
      <c r="T2973" s="291"/>
    </row>
    <row r="2975" spans="1:20" ht="21" customHeight="1">
      <c r="A2975" s="1" t="s">
        <v>1503</v>
      </c>
    </row>
    <row r="2976" spans="1:20">
      <c r="A2976" s="287" t="s">
        <v>255</v>
      </c>
    </row>
    <row r="2977" spans="1:20">
      <c r="A2977" s="301" t="s">
        <v>724</v>
      </c>
    </row>
    <row r="2978" spans="1:20">
      <c r="A2978" s="301" t="s">
        <v>1502</v>
      </c>
    </row>
    <row r="2979" spans="1:20">
      <c r="A2979" s="287" t="s">
        <v>1499</v>
      </c>
    </row>
    <row r="2981" spans="1:20" ht="30">
      <c r="B2981" s="288" t="s">
        <v>60</v>
      </c>
      <c r="C2981" s="288" t="s">
        <v>220</v>
      </c>
      <c r="D2981" s="288" t="s">
        <v>221</v>
      </c>
      <c r="E2981" s="288" t="s">
        <v>222</v>
      </c>
      <c r="F2981" s="288" t="s">
        <v>223</v>
      </c>
      <c r="G2981" s="288" t="s">
        <v>224</v>
      </c>
      <c r="H2981" s="288" t="s">
        <v>225</v>
      </c>
      <c r="I2981" s="288" t="s">
        <v>226</v>
      </c>
      <c r="J2981" s="288" t="s">
        <v>227</v>
      </c>
      <c r="K2981" s="288" t="s">
        <v>208</v>
      </c>
      <c r="L2981" s="288" t="s">
        <v>618</v>
      </c>
      <c r="M2981" s="288" t="s">
        <v>619</v>
      </c>
      <c r="N2981" s="288" t="s">
        <v>620</v>
      </c>
      <c r="O2981" s="288" t="s">
        <v>621</v>
      </c>
      <c r="P2981" s="288" t="s">
        <v>622</v>
      </c>
      <c r="Q2981" s="288" t="s">
        <v>623</v>
      </c>
      <c r="R2981" s="288" t="s">
        <v>624</v>
      </c>
      <c r="S2981" s="288" t="s">
        <v>625</v>
      </c>
    </row>
    <row r="2982" spans="1:20">
      <c r="A2982" s="289" t="s">
        <v>93</v>
      </c>
      <c r="B2982" s="306">
        <f t="shared" ref="B2982:J2982" si="622">(1-B$2294)*B$2842</f>
        <v>0</v>
      </c>
      <c r="C2982" s="306">
        <f t="shared" si="622"/>
        <v>5.4515058449766153E-3</v>
      </c>
      <c r="D2982" s="306">
        <f t="shared" si="622"/>
        <v>1.2479252581916545E-3</v>
      </c>
      <c r="E2982" s="306">
        <f t="shared" si="622"/>
        <v>2.8415632263661386E-3</v>
      </c>
      <c r="F2982" s="306">
        <f t="shared" si="622"/>
        <v>5.3697380300546053E-3</v>
      </c>
      <c r="G2982" s="306">
        <f t="shared" si="622"/>
        <v>2.5904788540705259E-3</v>
      </c>
      <c r="H2982" s="306">
        <f t="shared" si="622"/>
        <v>2.2791997149179032E-2</v>
      </c>
      <c r="I2982" s="306">
        <f t="shared" si="622"/>
        <v>6.0171001482563708E-3</v>
      </c>
      <c r="J2982" s="306">
        <f t="shared" si="622"/>
        <v>0</v>
      </c>
      <c r="K2982" s="306">
        <f t="shared" ref="K2982:S2982" si="623">(1-B$2294)*K$2842</f>
        <v>0</v>
      </c>
      <c r="L2982" s="306">
        <f t="shared" si="623"/>
        <v>2.6391939899481961E-3</v>
      </c>
      <c r="M2982" s="306">
        <f t="shared" si="623"/>
        <v>6.041480895336164E-4</v>
      </c>
      <c r="N2982" s="306">
        <f t="shared" si="623"/>
        <v>1.3756633125494681E-3</v>
      </c>
      <c r="O2982" s="306">
        <f t="shared" si="623"/>
        <v>2.5996083906935944E-3</v>
      </c>
      <c r="P2982" s="306">
        <f t="shared" si="623"/>
        <v>1.2541078405062501E-3</v>
      </c>
      <c r="Q2982" s="306">
        <f t="shared" si="623"/>
        <v>1.7995763049381164E-2</v>
      </c>
      <c r="R2982" s="306">
        <f t="shared" si="623"/>
        <v>8.119850815471525E-3</v>
      </c>
      <c r="S2982" s="306">
        <f t="shared" si="623"/>
        <v>0</v>
      </c>
      <c r="T2982" s="291"/>
    </row>
    <row r="2983" spans="1:20">
      <c r="A2983" s="289" t="s">
        <v>95</v>
      </c>
      <c r="B2983" s="306">
        <f t="shared" ref="B2983:J2983" si="624">(1-B$2297)*B$2843</f>
        <v>0</v>
      </c>
      <c r="C2983" s="306">
        <f t="shared" si="624"/>
        <v>5.203377144163337E-3</v>
      </c>
      <c r="D2983" s="306">
        <f t="shared" si="624"/>
        <v>1.1911251589470577E-3</v>
      </c>
      <c r="E2983" s="306">
        <f t="shared" si="624"/>
        <v>2.7124034747345875E-3</v>
      </c>
      <c r="F2983" s="306">
        <f t="shared" si="624"/>
        <v>5.1256632110067519E-3</v>
      </c>
      <c r="G2983" s="306">
        <f t="shared" si="624"/>
        <v>2.4725715875604688E-3</v>
      </c>
      <c r="H2983" s="306">
        <f t="shared" si="624"/>
        <v>2.1756015030723903E-2</v>
      </c>
      <c r="I2983" s="306">
        <f t="shared" si="624"/>
        <v>5.7436002825909426E-3</v>
      </c>
      <c r="J2983" s="306">
        <f t="shared" si="624"/>
        <v>0</v>
      </c>
      <c r="K2983" s="306">
        <f t="shared" ref="K2983:S2983" si="625">(1-B$2297)*K$2843</f>
        <v>0</v>
      </c>
      <c r="L2983" s="306">
        <f t="shared" si="625"/>
        <v>2.51906942353624E-3</v>
      </c>
      <c r="M2983" s="306">
        <f t="shared" si="625"/>
        <v>5.7664991108207267E-4</v>
      </c>
      <c r="N2983" s="306">
        <f t="shared" si="625"/>
        <v>1.313134233439464E-3</v>
      </c>
      <c r="O2983" s="306">
        <f t="shared" si="625"/>
        <v>2.4814463976871367E-3</v>
      </c>
      <c r="P2983" s="306">
        <f t="shared" si="625"/>
        <v>1.1970263371577203E-3</v>
      </c>
      <c r="Q2983" s="306">
        <f t="shared" si="625"/>
        <v>1.7177787836191651E-2</v>
      </c>
      <c r="R2983" s="306">
        <f t="shared" si="625"/>
        <v>7.7507730117892439E-3</v>
      </c>
      <c r="S2983" s="306">
        <f t="shared" si="625"/>
        <v>0</v>
      </c>
      <c r="T2983" s="291"/>
    </row>
    <row r="2984" spans="1:20">
      <c r="A2984" s="289" t="s">
        <v>96</v>
      </c>
      <c r="B2984" s="306">
        <f t="shared" ref="B2984:J2984" si="626">(1-B$2299)*B$2844</f>
        <v>0</v>
      </c>
      <c r="C2984" s="306">
        <f t="shared" si="626"/>
        <v>3.683458002616219E-3</v>
      </c>
      <c r="D2984" s="306">
        <f t="shared" si="626"/>
        <v>8.4319459790887889E-4</v>
      </c>
      <c r="E2984" s="306">
        <f t="shared" si="626"/>
        <v>1.9199793788615515E-3</v>
      </c>
      <c r="F2984" s="306">
        <f t="shared" si="626"/>
        <v>3.6282093574169388E-3</v>
      </c>
      <c r="G2984" s="306">
        <f t="shared" si="626"/>
        <v>1.7503274025518544E-3</v>
      </c>
      <c r="H2984" s="306">
        <f t="shared" si="626"/>
        <v>1.5400031969535516E-2</v>
      </c>
      <c r="I2984" s="306">
        <f t="shared" si="626"/>
        <v>4.0656171567827141E-3</v>
      </c>
      <c r="J2984" s="306">
        <f t="shared" si="626"/>
        <v>0</v>
      </c>
      <c r="K2984" s="306">
        <f t="shared" ref="K2984:S2984" si="627">(1-B$2299)*K$2844</f>
        <v>0</v>
      </c>
      <c r="L2984" s="306">
        <f t="shared" si="627"/>
        <v>1.7832431073497295E-3</v>
      </c>
      <c r="M2984" s="306">
        <f t="shared" si="627"/>
        <v>4.0820906707978496E-4</v>
      </c>
      <c r="N2984" s="306">
        <f t="shared" si="627"/>
        <v>9.2950428406586669E-4</v>
      </c>
      <c r="O2984" s="306">
        <f t="shared" si="627"/>
        <v>1.7564960219555018E-3</v>
      </c>
      <c r="P2984" s="306">
        <f t="shared" si="627"/>
        <v>8.4737202758631679E-4</v>
      </c>
      <c r="Q2984" s="306">
        <f t="shared" si="627"/>
        <v>1.2159326120600106E-2</v>
      </c>
      <c r="R2984" s="306">
        <f t="shared" si="627"/>
        <v>5.4863977617961683E-3</v>
      </c>
      <c r="S2984" s="306">
        <f t="shared" si="627"/>
        <v>0</v>
      </c>
      <c r="T2984" s="291"/>
    </row>
    <row r="2985" spans="1:20">
      <c r="A2985" s="289" t="s">
        <v>97</v>
      </c>
      <c r="B2985" s="306">
        <f t="shared" ref="B2985:J2985" si="628">(1-B$2300)*B$2845</f>
        <v>0</v>
      </c>
      <c r="C2985" s="306">
        <f t="shared" si="628"/>
        <v>3.6258510237344569E-3</v>
      </c>
      <c r="D2985" s="306">
        <f t="shared" si="628"/>
        <v>8.300075618790252E-4</v>
      </c>
      <c r="E2985" s="306">
        <f t="shared" si="628"/>
        <v>1.8899521024672127E-3</v>
      </c>
      <c r="F2985" s="306">
        <f t="shared" si="628"/>
        <v>3.5714664327839234E-3</v>
      </c>
      <c r="G2985" s="306">
        <f t="shared" si="628"/>
        <v>1.7229533769369679E-3</v>
      </c>
      <c r="H2985" s="306">
        <f t="shared" si="628"/>
        <v>1.5159185103406622E-2</v>
      </c>
      <c r="I2985" s="306">
        <f t="shared" si="628"/>
        <v>0</v>
      </c>
      <c r="J2985" s="306">
        <f t="shared" si="628"/>
        <v>0</v>
      </c>
      <c r="K2985" s="306">
        <f t="shared" ref="K2985:S2985" si="629">(1-B$2300)*K$2845</f>
        <v>0</v>
      </c>
      <c r="L2985" s="306">
        <f t="shared" si="629"/>
        <v>1.7553543007030458E-3</v>
      </c>
      <c r="M2985" s="306">
        <f t="shared" si="629"/>
        <v>4.0182493263603492E-4</v>
      </c>
      <c r="N2985" s="306">
        <f t="shared" si="629"/>
        <v>9.1496741853769759E-4</v>
      </c>
      <c r="O2985" s="306">
        <f t="shared" si="629"/>
        <v>1.7290255229920762E-3</v>
      </c>
      <c r="P2985" s="306">
        <f t="shared" si="629"/>
        <v>8.3411965916960337E-4</v>
      </c>
      <c r="Q2985" s="306">
        <f t="shared" si="629"/>
        <v>1.1969161866644082E-2</v>
      </c>
      <c r="R2985" s="306">
        <f t="shared" si="629"/>
        <v>0</v>
      </c>
      <c r="S2985" s="306">
        <f t="shared" si="629"/>
        <v>0</v>
      </c>
      <c r="T2985" s="291"/>
    </row>
    <row r="2986" spans="1:20">
      <c r="A2986" s="289" t="s">
        <v>110</v>
      </c>
      <c r="B2986" s="306">
        <f t="shared" ref="B2986:J2986" si="630">(1-B$2301)*B$2846</f>
        <v>0</v>
      </c>
      <c r="C2986" s="306">
        <f t="shared" si="630"/>
        <v>3.0681568606785296E-3</v>
      </c>
      <c r="D2986" s="306">
        <f t="shared" si="630"/>
        <v>8.1526910984565935E-4</v>
      </c>
      <c r="E2986" s="306">
        <f t="shared" si="630"/>
        <v>1.4851137642564786E-3</v>
      </c>
      <c r="F2986" s="306">
        <f t="shared" si="630"/>
        <v>0</v>
      </c>
      <c r="G2986" s="306">
        <f t="shared" si="630"/>
        <v>0</v>
      </c>
      <c r="H2986" s="306">
        <f t="shared" si="630"/>
        <v>0</v>
      </c>
      <c r="I2986" s="306">
        <f t="shared" si="630"/>
        <v>0</v>
      </c>
      <c r="J2986" s="306">
        <f t="shared" si="630"/>
        <v>0</v>
      </c>
      <c r="K2986" s="306">
        <f t="shared" ref="K2986:S2986" si="631">(1-B$2301)*K$2846</f>
        <v>0</v>
      </c>
      <c r="L2986" s="306">
        <f t="shared" si="631"/>
        <v>1.4853622791916562E-3</v>
      </c>
      <c r="M2986" s="306">
        <f t="shared" si="631"/>
        <v>3.9468972355184365E-4</v>
      </c>
      <c r="N2986" s="306">
        <f t="shared" si="631"/>
        <v>7.189762668285011E-4</v>
      </c>
      <c r="O2986" s="306">
        <f t="shared" si="631"/>
        <v>0</v>
      </c>
      <c r="P2986" s="306">
        <f t="shared" si="631"/>
        <v>0</v>
      </c>
      <c r="Q2986" s="306">
        <f t="shared" si="631"/>
        <v>0</v>
      </c>
      <c r="R2986" s="306">
        <f t="shared" si="631"/>
        <v>0</v>
      </c>
      <c r="S2986" s="306">
        <f t="shared" si="631"/>
        <v>0</v>
      </c>
      <c r="T2986" s="291"/>
    </row>
    <row r="2987" spans="1:20">
      <c r="A2987" s="289" t="s">
        <v>1536</v>
      </c>
      <c r="B2987" s="306">
        <f t="shared" ref="B2987:J2987" si="632">(1-B$2302)*B$2847</f>
        <v>0</v>
      </c>
      <c r="C2987" s="306">
        <f t="shared" si="632"/>
        <v>7.2926695377830308E-2</v>
      </c>
      <c r="D2987" s="306">
        <f t="shared" si="632"/>
        <v>1.6693931501935932E-2</v>
      </c>
      <c r="E2987" s="306">
        <f t="shared" si="632"/>
        <v>1.3615592093699671E-2</v>
      </c>
      <c r="F2987" s="306">
        <f t="shared" si="632"/>
        <v>2.5729556882233294E-2</v>
      </c>
      <c r="G2987" s="306">
        <f t="shared" si="632"/>
        <v>3.4653739287024928E-2</v>
      </c>
      <c r="H2987" s="306">
        <f t="shared" si="632"/>
        <v>0.10920979456115805</v>
      </c>
      <c r="I2987" s="306">
        <f t="shared" si="632"/>
        <v>2.8831447579777437E-2</v>
      </c>
      <c r="J2987" s="306">
        <f t="shared" si="632"/>
        <v>0</v>
      </c>
      <c r="K2987" s="306">
        <f t="shared" ref="K2987:S2987" si="633">(1-B$2302)*K$2847</f>
        <v>2.535339846302858E-2</v>
      </c>
      <c r="L2987" s="306">
        <f t="shared" si="633"/>
        <v>3.5305418653325905E-2</v>
      </c>
      <c r="M2987" s="306">
        <f t="shared" si="633"/>
        <v>8.081899743190164E-3</v>
      </c>
      <c r="N2987" s="306">
        <f t="shared" si="633"/>
        <v>6.5916078685654385E-3</v>
      </c>
      <c r="O2987" s="306">
        <f t="shared" si="633"/>
        <v>1.2456244901616101E-2</v>
      </c>
      <c r="P2987" s="306">
        <f t="shared" si="633"/>
        <v>1.6776638062274737E-2</v>
      </c>
      <c r="Q2987" s="306">
        <f t="shared" si="633"/>
        <v>8.622823058158316E-2</v>
      </c>
      <c r="R2987" s="306">
        <f t="shared" si="633"/>
        <v>3.8906956403196906E-2</v>
      </c>
      <c r="S2987" s="306">
        <f t="shared" si="633"/>
        <v>0</v>
      </c>
      <c r="T2987" s="291"/>
    </row>
    <row r="2988" spans="1:20">
      <c r="A2988" s="289" t="s">
        <v>1535</v>
      </c>
      <c r="B2988" s="306">
        <f t="shared" ref="B2988:J2988" si="634">(1-B$2303)*B$2848</f>
        <v>0</v>
      </c>
      <c r="C2988" s="306">
        <f t="shared" si="634"/>
        <v>7.3328346558859697E-2</v>
      </c>
      <c r="D2988" s="306">
        <f t="shared" si="634"/>
        <v>1.6785875025072935E-2</v>
      </c>
      <c r="E2988" s="306">
        <f t="shared" si="634"/>
        <v>1.3692064841072495E-2</v>
      </c>
      <c r="F2988" s="306">
        <f t="shared" si="634"/>
        <v>2.5874068401815338E-2</v>
      </c>
      <c r="G2988" s="306">
        <f t="shared" si="634"/>
        <v>3.4844598275487332E-2</v>
      </c>
      <c r="H2988" s="306">
        <f t="shared" si="634"/>
        <v>0.10982317758355178</v>
      </c>
      <c r="I2988" s="306">
        <f t="shared" si="634"/>
        <v>2.899338104488039E-2</v>
      </c>
      <c r="J2988" s="306">
        <f t="shared" si="634"/>
        <v>0</v>
      </c>
      <c r="K2988" s="306">
        <f t="shared" ref="K2988:S2988" si="635">(1-B$2303)*K$2848</f>
        <v>2.5505933430389972E-2</v>
      </c>
      <c r="L2988" s="306">
        <f t="shared" si="635"/>
        <v>3.5499866832080992E-2</v>
      </c>
      <c r="M2988" s="306">
        <f t="shared" si="635"/>
        <v>8.1264116268014493E-3</v>
      </c>
      <c r="N2988" s="306">
        <f t="shared" si="635"/>
        <v>6.628630009052945E-3</v>
      </c>
      <c r="O2988" s="306">
        <f t="shared" si="635"/>
        <v>1.252620610954742E-2</v>
      </c>
      <c r="P2988" s="306">
        <f t="shared" si="635"/>
        <v>1.6869037100192257E-2</v>
      </c>
      <c r="Q2988" s="306">
        <f t="shared" si="635"/>
        <v>8.6712536342823082E-2</v>
      </c>
      <c r="R2988" s="306">
        <f t="shared" si="635"/>
        <v>3.9125479536645073E-2</v>
      </c>
      <c r="S2988" s="306">
        <f t="shared" si="635"/>
        <v>0</v>
      </c>
      <c r="T2988" s="291"/>
    </row>
    <row r="2989" spans="1:20">
      <c r="A2989" s="289" t="s">
        <v>98</v>
      </c>
      <c r="B2989" s="306">
        <f t="shared" ref="B2989:J2989" si="636">(1-B$2304)*B$2849</f>
        <v>0</v>
      </c>
      <c r="C2989" s="306">
        <f t="shared" si="636"/>
        <v>7.0529113541934849E-2</v>
      </c>
      <c r="D2989" s="306">
        <f t="shared" si="636"/>
        <v>1.6145091783759259E-2</v>
      </c>
      <c r="E2989" s="306">
        <f t="shared" si="636"/>
        <v>1.3159924516866098E-2</v>
      </c>
      <c r="F2989" s="306">
        <f t="shared" si="636"/>
        <v>2.4868476089209689E-2</v>
      </c>
      <c r="G2989" s="306">
        <f t="shared" si="636"/>
        <v>3.3514442141720772E-2</v>
      </c>
      <c r="H2989" s="306">
        <f t="shared" si="636"/>
        <v>8.4443931224545105E-2</v>
      </c>
      <c r="I2989" s="306">
        <f t="shared" si="636"/>
        <v>0</v>
      </c>
      <c r="J2989" s="306">
        <f t="shared" si="636"/>
        <v>0</v>
      </c>
      <c r="K2989" s="306">
        <f t="shared" ref="K2989:S2989" si="637">(1-B$2304)*K$2849</f>
        <v>2.4531899327652949E-2</v>
      </c>
      <c r="L2989" s="306">
        <f t="shared" si="637"/>
        <v>3.4144696505786623E-2</v>
      </c>
      <c r="M2989" s="306">
        <f t="shared" si="637"/>
        <v>7.8161943533681076E-3</v>
      </c>
      <c r="N2989" s="306">
        <f t="shared" si="637"/>
        <v>6.3710091634752511E-3</v>
      </c>
      <c r="O2989" s="306">
        <f t="shared" si="637"/>
        <v>1.2039376733731479E-2</v>
      </c>
      <c r="P2989" s="306">
        <f t="shared" si="637"/>
        <v>1.6225079233548073E-2</v>
      </c>
      <c r="Q2989" s="306">
        <f t="shared" si="637"/>
        <v>6.6673971891484274E-2</v>
      </c>
      <c r="R2989" s="306">
        <f t="shared" si="637"/>
        <v>0</v>
      </c>
      <c r="S2989" s="306">
        <f t="shared" si="637"/>
        <v>0</v>
      </c>
      <c r="T2989" s="291"/>
    </row>
    <row r="2990" spans="1:20">
      <c r="A2990" s="289" t="s">
        <v>99</v>
      </c>
      <c r="B2990" s="306">
        <f t="shared" ref="B2990:J2990" si="638">(1-B$2305)*B$2850</f>
        <v>0</v>
      </c>
      <c r="C2990" s="306">
        <f t="shared" si="638"/>
        <v>7.4418339400131497E-2</v>
      </c>
      <c r="D2990" s="306">
        <f t="shared" si="638"/>
        <v>1.7035389496221225E-2</v>
      </c>
      <c r="E2990" s="306">
        <f t="shared" si="638"/>
        <v>1.388560950215207E-2</v>
      </c>
      <c r="F2990" s="306">
        <f t="shared" si="638"/>
        <v>2.6239812199971842E-2</v>
      </c>
      <c r="G2990" s="306">
        <f t="shared" si="638"/>
        <v>3.536254753330656E-2</v>
      </c>
      <c r="H2990" s="306">
        <f t="shared" si="638"/>
        <v>0</v>
      </c>
      <c r="I2990" s="306">
        <f t="shared" si="638"/>
        <v>0</v>
      </c>
      <c r="J2990" s="306">
        <f t="shared" si="638"/>
        <v>0</v>
      </c>
      <c r="K2990" s="306">
        <f t="shared" ref="K2990:S2990" si="639">(1-B$2305)*K$2850</f>
        <v>2.5884675400175909E-2</v>
      </c>
      <c r="L2990" s="306">
        <f t="shared" si="639"/>
        <v>3.6027556361832094E-2</v>
      </c>
      <c r="M2990" s="306">
        <f t="shared" si="639"/>
        <v>8.2472070751391704E-3</v>
      </c>
      <c r="N2990" s="306">
        <f t="shared" si="639"/>
        <v>6.7223292402072985E-3</v>
      </c>
      <c r="O2990" s="306">
        <f t="shared" si="639"/>
        <v>1.2703270733782379E-2</v>
      </c>
      <c r="P2990" s="306">
        <f t="shared" si="639"/>
        <v>1.7119787738127321E-2</v>
      </c>
      <c r="Q2990" s="306">
        <f t="shared" si="639"/>
        <v>0</v>
      </c>
      <c r="R2990" s="306">
        <f t="shared" si="639"/>
        <v>0</v>
      </c>
      <c r="S2990" s="306">
        <f t="shared" si="639"/>
        <v>0</v>
      </c>
      <c r="T2990" s="291"/>
    </row>
    <row r="2991" spans="1:20">
      <c r="A2991" s="289" t="s">
        <v>111</v>
      </c>
      <c r="B2991" s="306">
        <f t="shared" ref="B2991:J2991" si="640">(1-B$2306)*B$2851</f>
        <v>0</v>
      </c>
      <c r="C2991" s="306">
        <f t="shared" si="640"/>
        <v>5.2929529351136387E-2</v>
      </c>
      <c r="D2991" s="306">
        <f t="shared" si="640"/>
        <v>1.4064408124527096E-2</v>
      </c>
      <c r="E2991" s="306">
        <f t="shared" si="640"/>
        <v>9.1711612060010918E-3</v>
      </c>
      <c r="F2991" s="306">
        <f t="shared" si="640"/>
        <v>0</v>
      </c>
      <c r="G2991" s="306">
        <f t="shared" si="640"/>
        <v>0</v>
      </c>
      <c r="H2991" s="306">
        <f t="shared" si="640"/>
        <v>0</v>
      </c>
      <c r="I2991" s="306">
        <f t="shared" si="640"/>
        <v>0</v>
      </c>
      <c r="J2991" s="306">
        <f t="shared" si="640"/>
        <v>0</v>
      </c>
      <c r="K2991" s="306">
        <f t="shared" ref="K2991:S2991" si="641">(1-B$2306)*K$2851</f>
        <v>2.1370373661238246E-2</v>
      </c>
      <c r="L2991" s="306">
        <f t="shared" si="641"/>
        <v>2.5624350358722767E-2</v>
      </c>
      <c r="M2991" s="306">
        <f t="shared" si="641"/>
        <v>6.8088895894029304E-3</v>
      </c>
      <c r="N2991" s="306">
        <f t="shared" si="641"/>
        <v>4.4399610353582876E-3</v>
      </c>
      <c r="O2991" s="306">
        <f t="shared" si="641"/>
        <v>0</v>
      </c>
      <c r="P2991" s="306">
        <f t="shared" si="641"/>
        <v>0</v>
      </c>
      <c r="Q2991" s="306">
        <f t="shared" si="641"/>
        <v>0</v>
      </c>
      <c r="R2991" s="306">
        <f t="shared" si="641"/>
        <v>0</v>
      </c>
      <c r="S2991" s="306">
        <f t="shared" si="641"/>
        <v>0</v>
      </c>
      <c r="T2991" s="291"/>
    </row>
    <row r="2992" spans="1:20">
      <c r="A2992" s="289" t="s">
        <v>135</v>
      </c>
      <c r="B2992" s="306">
        <f t="shared" ref="B2992:J2992" si="642">(1-B$2311)*B$2852</f>
        <v>0</v>
      </c>
      <c r="C2992" s="306">
        <f t="shared" si="642"/>
        <v>5.8469230155898215E-2</v>
      </c>
      <c r="D2992" s="306">
        <f t="shared" si="642"/>
        <v>1.3384417299268165E-2</v>
      </c>
      <c r="E2992" s="306">
        <f t="shared" si="642"/>
        <v>1.0571967398339054E-2</v>
      </c>
      <c r="F2992" s="306">
        <f t="shared" si="642"/>
        <v>1.9977980734201671E-2</v>
      </c>
      <c r="G2992" s="306">
        <f t="shared" si="642"/>
        <v>2.7783755285194368E-2</v>
      </c>
      <c r="H2992" s="306">
        <f t="shared" si="642"/>
        <v>8.4797075274759326E-2</v>
      </c>
      <c r="I2992" s="306">
        <f t="shared" si="642"/>
        <v>2.2386475869923476E-2</v>
      </c>
      <c r="J2992" s="306">
        <f t="shared" si="642"/>
        <v>1.4837556093432605E-2</v>
      </c>
      <c r="K2992" s="306">
        <f t="shared" ref="K2992:S2992" si="643">(1-B$2311)*K$2852</f>
        <v>2.0214341293318106E-2</v>
      </c>
      <c r="L2992" s="306">
        <f t="shared" si="643"/>
        <v>2.8306241470242126E-2</v>
      </c>
      <c r="M2992" s="306">
        <f t="shared" si="643"/>
        <v>6.4796910614591374E-3</v>
      </c>
      <c r="N2992" s="306">
        <f t="shared" si="643"/>
        <v>5.1181221506595275E-3</v>
      </c>
      <c r="O2992" s="306">
        <f t="shared" si="643"/>
        <v>9.6717802721592912E-3</v>
      </c>
      <c r="P2992" s="306">
        <f t="shared" si="643"/>
        <v>1.3450727569969425E-2</v>
      </c>
      <c r="Q2992" s="306">
        <f t="shared" si="643"/>
        <v>6.695280207070721E-2</v>
      </c>
      <c r="R2992" s="306">
        <f t="shared" si="643"/>
        <v>3.0209708974281619E-2</v>
      </c>
      <c r="S2992" s="306">
        <f t="shared" si="643"/>
        <v>6.8835345140755011E-2</v>
      </c>
      <c r="T2992" s="291"/>
    </row>
    <row r="2994" spans="1:20" ht="21" customHeight="1">
      <c r="A2994" s="1" t="s">
        <v>1501</v>
      </c>
    </row>
    <row r="2995" spans="1:20">
      <c r="A2995" s="287" t="s">
        <v>255</v>
      </c>
    </row>
    <row r="2996" spans="1:20">
      <c r="A2996" s="301" t="s">
        <v>724</v>
      </c>
    </row>
    <row r="2997" spans="1:20">
      <c r="A2997" s="301" t="s">
        <v>1500</v>
      </c>
    </row>
    <row r="2998" spans="1:20">
      <c r="A2998" s="287" t="s">
        <v>1499</v>
      </c>
    </row>
    <row r="3000" spans="1:20" ht="30">
      <c r="B3000" s="288" t="s">
        <v>60</v>
      </c>
      <c r="C3000" s="288" t="s">
        <v>220</v>
      </c>
      <c r="D3000" s="288" t="s">
        <v>221</v>
      </c>
      <c r="E3000" s="288" t="s">
        <v>222</v>
      </c>
      <c r="F3000" s="288" t="s">
        <v>223</v>
      </c>
      <c r="G3000" s="288" t="s">
        <v>224</v>
      </c>
      <c r="H3000" s="288" t="s">
        <v>225</v>
      </c>
      <c r="I3000" s="288" t="s">
        <v>226</v>
      </c>
      <c r="J3000" s="288" t="s">
        <v>227</v>
      </c>
      <c r="K3000" s="288" t="s">
        <v>208</v>
      </c>
      <c r="L3000" s="288" t="s">
        <v>618</v>
      </c>
      <c r="M3000" s="288" t="s">
        <v>619</v>
      </c>
      <c r="N3000" s="288" t="s">
        <v>620</v>
      </c>
      <c r="O3000" s="288" t="s">
        <v>621</v>
      </c>
      <c r="P3000" s="288" t="s">
        <v>622</v>
      </c>
      <c r="Q3000" s="288" t="s">
        <v>623</v>
      </c>
      <c r="R3000" s="288" t="s">
        <v>624</v>
      </c>
      <c r="S3000" s="288" t="s">
        <v>625</v>
      </c>
    </row>
    <row r="3001" spans="1:20">
      <c r="A3001" s="289" t="s">
        <v>1536</v>
      </c>
      <c r="B3001" s="306">
        <f t="shared" ref="B3001:J3001" si="644">(1-B$2302)*B$2867</f>
        <v>0</v>
      </c>
      <c r="C3001" s="306">
        <f t="shared" si="644"/>
        <v>4.6007377583664917E-3</v>
      </c>
      <c r="D3001" s="306">
        <f t="shared" si="644"/>
        <v>1.0531726495849008E-3</v>
      </c>
      <c r="E3001" s="306">
        <f t="shared" si="644"/>
        <v>2.3995695700027696E-3</v>
      </c>
      <c r="F3001" s="306">
        <f t="shared" si="644"/>
        <v>4.5344970177853055E-3</v>
      </c>
      <c r="G3001" s="306">
        <f t="shared" si="644"/>
        <v>2.1862058328625624E-3</v>
      </c>
      <c r="H3001" s="306">
        <f t="shared" si="644"/>
        <v>1.9246794261446036E-2</v>
      </c>
      <c r="I3001" s="306">
        <f t="shared" si="644"/>
        <v>5.0811645792162756E-3</v>
      </c>
      <c r="J3001" s="306">
        <f t="shared" si="644"/>
        <v>0</v>
      </c>
      <c r="K3001" s="306">
        <f t="shared" ref="K3001:S3001" si="645">(1-B$2302)*K$2867</f>
        <v>0</v>
      </c>
      <c r="L3001" s="306">
        <f t="shared" si="645"/>
        <v>2.2273184302640447E-3</v>
      </c>
      <c r="M3001" s="306">
        <f t="shared" si="645"/>
        <v>5.0986406438938918E-4</v>
      </c>
      <c r="N3001" s="306">
        <f t="shared" si="645"/>
        <v>1.1616844533789638E-3</v>
      </c>
      <c r="O3001" s="306">
        <f t="shared" si="645"/>
        <v>2.1952498295135427E-3</v>
      </c>
      <c r="P3001" s="306">
        <f t="shared" si="645"/>
        <v>1.0583903712030811E-3</v>
      </c>
      <c r="Q3001" s="306">
        <f t="shared" si="645"/>
        <v>1.5196594959281481E-2</v>
      </c>
      <c r="R3001" s="306">
        <f t="shared" si="645"/>
        <v>6.8568408927097693E-3</v>
      </c>
      <c r="S3001" s="306">
        <f t="shared" si="645"/>
        <v>0</v>
      </c>
      <c r="T3001" s="291"/>
    </row>
    <row r="3002" spans="1:20">
      <c r="A3002" s="289" t="s">
        <v>1535</v>
      </c>
      <c r="B3002" s="306">
        <f t="shared" ref="B3002:J3002" si="646">(1-B$2303)*B$2868</f>
        <v>0</v>
      </c>
      <c r="C3002" s="306">
        <f t="shared" si="646"/>
        <v>4.6260767888090561E-3</v>
      </c>
      <c r="D3002" s="306">
        <f t="shared" si="646"/>
        <v>1.0589731049098275E-3</v>
      </c>
      <c r="E3002" s="306">
        <f t="shared" si="646"/>
        <v>2.4130468889667573E-3</v>
      </c>
      <c r="F3002" s="306">
        <f t="shared" si="646"/>
        <v>4.559965278182471E-3</v>
      </c>
      <c r="G3002" s="306">
        <f t="shared" si="646"/>
        <v>2.1982465835121462E-3</v>
      </c>
      <c r="H3002" s="306">
        <f t="shared" si="646"/>
        <v>1.9354894976065226E-2</v>
      </c>
      <c r="I3002" s="306">
        <f t="shared" si="646"/>
        <v>5.1097032290636051E-3</v>
      </c>
      <c r="J3002" s="306">
        <f t="shared" si="646"/>
        <v>0</v>
      </c>
      <c r="K3002" s="306">
        <f t="shared" ref="K3002:S3002" si="647">(1-B$2303)*K$2868</f>
        <v>0</v>
      </c>
      <c r="L3002" s="306">
        <f t="shared" si="647"/>
        <v>2.2395856127191008E-3</v>
      </c>
      <c r="M3002" s="306">
        <f t="shared" si="647"/>
        <v>5.1267219250441555E-4</v>
      </c>
      <c r="N3002" s="306">
        <f t="shared" si="647"/>
        <v>1.1682091201814671E-3</v>
      </c>
      <c r="O3002" s="306">
        <f t="shared" si="647"/>
        <v>2.2075795750345112E-3</v>
      </c>
      <c r="P3002" s="306">
        <f t="shared" si="647"/>
        <v>1.0642195636597174E-3</v>
      </c>
      <c r="Q3002" s="306">
        <f t="shared" si="647"/>
        <v>1.5281947499167427E-2</v>
      </c>
      <c r="R3002" s="306">
        <f t="shared" si="647"/>
        <v>6.8953527295623511E-3</v>
      </c>
      <c r="S3002" s="306">
        <f t="shared" si="647"/>
        <v>0</v>
      </c>
      <c r="T3002" s="291"/>
    </row>
    <row r="3003" spans="1:20">
      <c r="A3003" s="289" t="s">
        <v>98</v>
      </c>
      <c r="B3003" s="306">
        <f t="shared" ref="B3003:J3003" si="648">(1-B$2304)*B$2869</f>
        <v>0</v>
      </c>
      <c r="C3003" s="306">
        <f t="shared" si="648"/>
        <v>4.4494811406899553E-3</v>
      </c>
      <c r="D3003" s="306">
        <f t="shared" si="648"/>
        <v>1.0185479130378195E-3</v>
      </c>
      <c r="E3003" s="306">
        <f t="shared" si="648"/>
        <v>2.3192641345959109E-3</v>
      </c>
      <c r="F3003" s="306">
        <f t="shared" si="648"/>
        <v>4.3827428190671034E-3</v>
      </c>
      <c r="G3003" s="306">
        <f t="shared" si="648"/>
        <v>2.1143308168997061E-3</v>
      </c>
      <c r="H3003" s="306">
        <f t="shared" si="648"/>
        <v>1.4882135594498866E-2</v>
      </c>
      <c r="I3003" s="306">
        <f t="shared" si="648"/>
        <v>0</v>
      </c>
      <c r="J3003" s="306">
        <f t="shared" si="648"/>
        <v>0</v>
      </c>
      <c r="K3003" s="306">
        <f t="shared" ref="K3003:S3003" si="649">(1-B$2304)*K$2869</f>
        <v>0</v>
      </c>
      <c r="L3003" s="306">
        <f t="shared" si="649"/>
        <v>2.1540917718574225E-3</v>
      </c>
      <c r="M3003" s="306">
        <f t="shared" si="649"/>
        <v>4.9310146719199247E-4</v>
      </c>
      <c r="N3003" s="306">
        <f t="shared" si="649"/>
        <v>1.1228068242407228E-3</v>
      </c>
      <c r="O3003" s="306">
        <f t="shared" si="649"/>
        <v>2.1217822811708145E-3</v>
      </c>
      <c r="P3003" s="306">
        <f t="shared" si="649"/>
        <v>1.0235940937063969E-3</v>
      </c>
      <c r="Q3003" s="306">
        <f t="shared" si="649"/>
        <v>1.1750413273327806E-2</v>
      </c>
      <c r="R3003" s="306">
        <f t="shared" si="649"/>
        <v>0</v>
      </c>
      <c r="S3003" s="306">
        <f t="shared" si="649"/>
        <v>0</v>
      </c>
      <c r="T3003" s="291"/>
    </row>
    <row r="3004" spans="1:20">
      <c r="A3004" s="289" t="s">
        <v>99</v>
      </c>
      <c r="B3004" s="306">
        <f t="shared" ref="B3004:J3004" si="650">(1-B$2305)*B$2870</f>
        <v>0</v>
      </c>
      <c r="C3004" s="306">
        <f t="shared" si="650"/>
        <v>4.6948413364854193E-3</v>
      </c>
      <c r="D3004" s="306">
        <f t="shared" si="650"/>
        <v>1.0747142631060589E-3</v>
      </c>
      <c r="E3004" s="306">
        <f t="shared" si="650"/>
        <v>2.4471565975983738E-3</v>
      </c>
      <c r="F3004" s="306">
        <f t="shared" si="650"/>
        <v>4.6244228267366535E-3</v>
      </c>
      <c r="G3004" s="306">
        <f t="shared" si="650"/>
        <v>2.2309225287887135E-3</v>
      </c>
      <c r="H3004" s="306">
        <f t="shared" si="650"/>
        <v>0</v>
      </c>
      <c r="I3004" s="306">
        <f t="shared" si="650"/>
        <v>0</v>
      </c>
      <c r="J3004" s="306">
        <f t="shared" si="650"/>
        <v>0</v>
      </c>
      <c r="K3004" s="306">
        <f t="shared" ref="K3004:S3004" si="651">(1-B$2305)*K$2870</f>
        <v>0</v>
      </c>
      <c r="L3004" s="306">
        <f t="shared" si="651"/>
        <v>2.2728760440439049E-3</v>
      </c>
      <c r="M3004" s="306">
        <f t="shared" si="651"/>
        <v>5.2029283371579735E-4</v>
      </c>
      <c r="N3004" s="306">
        <f t="shared" si="651"/>
        <v>1.1847223810270736E-3</v>
      </c>
      <c r="O3004" s="306">
        <f t="shared" si="651"/>
        <v>2.2387848932692422E-3</v>
      </c>
      <c r="P3004" s="306">
        <f t="shared" si="651"/>
        <v>1.0800387081020292E-3</v>
      </c>
      <c r="Q3004" s="306">
        <f t="shared" si="651"/>
        <v>0</v>
      </c>
      <c r="R3004" s="306">
        <f t="shared" si="651"/>
        <v>0</v>
      </c>
      <c r="S3004" s="306">
        <f t="shared" si="651"/>
        <v>0</v>
      </c>
      <c r="T3004" s="291"/>
    </row>
    <row r="3005" spans="1:20">
      <c r="A3005" s="289" t="s">
        <v>111</v>
      </c>
      <c r="B3005" s="306">
        <f t="shared" ref="B3005:J3005" si="652">(1-B$2306)*B$2871</f>
        <v>0</v>
      </c>
      <c r="C3005" s="306">
        <f t="shared" si="652"/>
        <v>3.3391734392556787E-3</v>
      </c>
      <c r="D3005" s="306">
        <f t="shared" si="652"/>
        <v>8.8728349985345832E-4</v>
      </c>
      <c r="E3005" s="306">
        <f t="shared" si="652"/>
        <v>1.6162969043184922E-3</v>
      </c>
      <c r="F3005" s="306">
        <f t="shared" si="652"/>
        <v>0</v>
      </c>
      <c r="G3005" s="306">
        <f t="shared" si="652"/>
        <v>0</v>
      </c>
      <c r="H3005" s="306">
        <f t="shared" si="652"/>
        <v>0</v>
      </c>
      <c r="I3005" s="306">
        <f t="shared" si="652"/>
        <v>0</v>
      </c>
      <c r="J3005" s="306">
        <f t="shared" si="652"/>
        <v>0</v>
      </c>
      <c r="K3005" s="306">
        <f t="shared" ref="K3005:S3005" si="653">(1-B$2306)*K$2871</f>
        <v>0</v>
      </c>
      <c r="L3005" s="306">
        <f t="shared" si="653"/>
        <v>1.6165673710868112E-3</v>
      </c>
      <c r="M3005" s="306">
        <f t="shared" si="653"/>
        <v>4.2955347509188879E-4</v>
      </c>
      <c r="N3005" s="306">
        <f t="shared" si="653"/>
        <v>7.824849128209156E-4</v>
      </c>
      <c r="O3005" s="306">
        <f t="shared" si="653"/>
        <v>0</v>
      </c>
      <c r="P3005" s="306">
        <f t="shared" si="653"/>
        <v>0</v>
      </c>
      <c r="Q3005" s="306">
        <f t="shared" si="653"/>
        <v>0</v>
      </c>
      <c r="R3005" s="306">
        <f t="shared" si="653"/>
        <v>0</v>
      </c>
      <c r="S3005" s="306">
        <f t="shared" si="653"/>
        <v>0</v>
      </c>
      <c r="T3005" s="291"/>
    </row>
    <row r="3006" spans="1:20">
      <c r="A3006" s="289" t="s">
        <v>135</v>
      </c>
      <c r="B3006" s="306">
        <f t="shared" ref="B3006:J3006" si="654">(1-B$2311)*B$2872</f>
        <v>0</v>
      </c>
      <c r="C3006" s="306">
        <f t="shared" si="654"/>
        <v>4.178747017391583E-3</v>
      </c>
      <c r="D3006" s="306">
        <f t="shared" si="654"/>
        <v>9.5657311922378824E-4</v>
      </c>
      <c r="E3006" s="306">
        <f t="shared" si="654"/>
        <v>2.1781456710440418E-3</v>
      </c>
      <c r="F3006" s="306">
        <f t="shared" si="654"/>
        <v>4.1160694705925033E-3</v>
      </c>
      <c r="G3006" s="306">
        <f t="shared" si="654"/>
        <v>1.9856817717691742E-3</v>
      </c>
      <c r="H3006" s="306">
        <f t="shared" si="654"/>
        <v>1.7470767310153713E-2</v>
      </c>
      <c r="I3006" s="306">
        <f t="shared" si="654"/>
        <v>4.6122924587968812E-3</v>
      </c>
      <c r="J3006" s="306">
        <f t="shared" si="654"/>
        <v>3.0569862123166268E-3</v>
      </c>
      <c r="K3006" s="306">
        <f t="shared" ref="K3006:S3006" si="655">(1-B$2311)*K$2872</f>
        <v>0</v>
      </c>
      <c r="L3006" s="306">
        <f t="shared" si="655"/>
        <v>2.0230234227807424E-3</v>
      </c>
      <c r="M3006" s="306">
        <f t="shared" si="655"/>
        <v>4.6309810518276192E-4</v>
      </c>
      <c r="N3006" s="306">
        <f t="shared" si="655"/>
        <v>1.054488269428935E-3</v>
      </c>
      <c r="O3006" s="306">
        <f t="shared" si="655"/>
        <v>1.9926798425809241E-3</v>
      </c>
      <c r="P3006" s="306">
        <f t="shared" si="655"/>
        <v>9.6131225885631797E-4</v>
      </c>
      <c r="Q3006" s="306">
        <f t="shared" si="655"/>
        <v>1.3794306253487978E-2</v>
      </c>
      <c r="R3006" s="306">
        <f t="shared" si="655"/>
        <v>6.224115563974379E-3</v>
      </c>
      <c r="S3006" s="306">
        <f t="shared" si="655"/>
        <v>1.4182167177011335E-2</v>
      </c>
      <c r="T3006" s="291"/>
    </row>
    <row r="3008" spans="1:20" ht="21" customHeight="1">
      <c r="A3008" s="1" t="str">
        <f>"Standing charges as fixed charges for "&amp;CDCM!B7&amp;" in "&amp;CDCM!C7&amp;" ("&amp;CDCM!D7&amp;")"</f>
        <v>Standing charges as fixed charges for West Mids in 0 (Forecast)</v>
      </c>
    </row>
    <row r="3009" spans="1:6">
      <c r="A3009" s="287" t="s">
        <v>731</v>
      </c>
    </row>
    <row r="3011" spans="1:6" ht="21" customHeight="1">
      <c r="A3011" s="1" t="s">
        <v>1570</v>
      </c>
    </row>
    <row r="3013" spans="1:6" ht="30">
      <c r="B3013" s="288" t="s">
        <v>1559</v>
      </c>
      <c r="C3013" s="288" t="s">
        <v>1558</v>
      </c>
      <c r="D3013" s="288" t="s">
        <v>1557</v>
      </c>
      <c r="E3013" s="288" t="s">
        <v>1556</v>
      </c>
    </row>
    <row r="3014" spans="1:6">
      <c r="A3014" s="289" t="s">
        <v>92</v>
      </c>
      <c r="B3014" s="305">
        <v>1</v>
      </c>
      <c r="C3014" s="305">
        <v>0</v>
      </c>
      <c r="D3014" s="305">
        <v>0</v>
      </c>
      <c r="E3014" s="305">
        <v>0</v>
      </c>
      <c r="F3014" s="291"/>
    </row>
    <row r="3015" spans="1:6">
      <c r="A3015" s="289" t="s">
        <v>93</v>
      </c>
      <c r="B3015" s="305">
        <v>1</v>
      </c>
      <c r="C3015" s="305">
        <v>0</v>
      </c>
      <c r="D3015" s="305">
        <v>0</v>
      </c>
      <c r="E3015" s="305">
        <v>0</v>
      </c>
      <c r="F3015" s="291"/>
    </row>
    <row r="3016" spans="1:6">
      <c r="A3016" s="289" t="s">
        <v>94</v>
      </c>
      <c r="B3016" s="305">
        <v>1</v>
      </c>
      <c r="C3016" s="305">
        <v>0</v>
      </c>
      <c r="D3016" s="305">
        <v>0</v>
      </c>
      <c r="E3016" s="305">
        <v>0</v>
      </c>
      <c r="F3016" s="291"/>
    </row>
    <row r="3017" spans="1:6">
      <c r="A3017" s="289" t="s">
        <v>95</v>
      </c>
      <c r="B3017" s="305">
        <v>1</v>
      </c>
      <c r="C3017" s="305">
        <v>0</v>
      </c>
      <c r="D3017" s="305">
        <v>0</v>
      </c>
      <c r="E3017" s="305">
        <v>0</v>
      </c>
      <c r="F3017" s="291"/>
    </row>
    <row r="3018" spans="1:6">
      <c r="A3018" s="289" t="s">
        <v>96</v>
      </c>
      <c r="B3018" s="305">
        <v>0</v>
      </c>
      <c r="C3018" s="305">
        <v>1</v>
      </c>
      <c r="D3018" s="305">
        <v>0</v>
      </c>
      <c r="E3018" s="305">
        <v>0</v>
      </c>
      <c r="F3018" s="291"/>
    </row>
    <row r="3019" spans="1:6">
      <c r="A3019" s="289" t="s">
        <v>97</v>
      </c>
      <c r="B3019" s="305">
        <v>0</v>
      </c>
      <c r="C3019" s="305">
        <v>0</v>
      </c>
      <c r="D3019" s="305">
        <v>1</v>
      </c>
      <c r="E3019" s="305">
        <v>0</v>
      </c>
      <c r="F3019" s="291"/>
    </row>
    <row r="3020" spans="1:6">
      <c r="A3020" s="289" t="s">
        <v>110</v>
      </c>
      <c r="B3020" s="305">
        <v>0</v>
      </c>
      <c r="C3020" s="305">
        <v>0</v>
      </c>
      <c r="D3020" s="305">
        <v>0</v>
      </c>
      <c r="E3020" s="305">
        <v>1</v>
      </c>
      <c r="F3020" s="291"/>
    </row>
    <row r="3021" spans="1:6">
      <c r="A3021" s="289" t="s">
        <v>1536</v>
      </c>
      <c r="B3021" s="305">
        <v>1</v>
      </c>
      <c r="C3021" s="305">
        <v>0</v>
      </c>
      <c r="D3021" s="305">
        <v>0</v>
      </c>
      <c r="E3021" s="305">
        <v>0</v>
      </c>
      <c r="F3021" s="291"/>
    </row>
    <row r="3022" spans="1:6">
      <c r="A3022" s="289" t="s">
        <v>1535</v>
      </c>
      <c r="B3022" s="305">
        <v>1</v>
      </c>
      <c r="C3022" s="305">
        <v>0</v>
      </c>
      <c r="D3022" s="305">
        <v>0</v>
      </c>
      <c r="E3022" s="305">
        <v>0</v>
      </c>
      <c r="F3022" s="291"/>
    </row>
    <row r="3024" spans="1:6" ht="21" customHeight="1">
      <c r="A3024" s="1" t="s">
        <v>1569</v>
      </c>
    </row>
    <row r="3025" spans="1:4">
      <c r="A3025" s="287" t="s">
        <v>255</v>
      </c>
    </row>
    <row r="3026" spans="1:4">
      <c r="A3026" s="301" t="s">
        <v>469</v>
      </c>
    </row>
    <row r="3027" spans="1:4">
      <c r="A3027" s="301" t="s">
        <v>395</v>
      </c>
    </row>
    <row r="3028" spans="1:4">
      <c r="A3028" s="301" t="s">
        <v>305</v>
      </c>
    </row>
    <row r="3029" spans="1:4">
      <c r="A3029" s="301" t="s">
        <v>1568</v>
      </c>
    </row>
    <row r="3030" spans="1:4">
      <c r="A3030" s="302" t="s">
        <v>258</v>
      </c>
      <c r="B3030" s="302" t="s">
        <v>380</v>
      </c>
      <c r="C3030" s="302" t="s">
        <v>314</v>
      </c>
    </row>
    <row r="3031" spans="1:4">
      <c r="A3031" s="302" t="s">
        <v>261</v>
      </c>
      <c r="B3031" s="302" t="s">
        <v>1567</v>
      </c>
      <c r="C3031" s="302" t="s">
        <v>1194</v>
      </c>
    </row>
    <row r="3033" spans="1:4" ht="30">
      <c r="B3033" s="288" t="s">
        <v>1566</v>
      </c>
      <c r="C3033" s="288" t="s">
        <v>143</v>
      </c>
    </row>
    <row r="3034" spans="1:4">
      <c r="A3034" s="289" t="s">
        <v>92</v>
      </c>
      <c r="B3034" s="312">
        <f>B$1316/C$116/(24*F$14)*1000</f>
        <v>1859265.0483403665</v>
      </c>
      <c r="C3034" s="314">
        <f>E$1170</f>
        <v>1988697.4109593821</v>
      </c>
      <c r="D3034" s="291"/>
    </row>
    <row r="3035" spans="1:4">
      <c r="A3035" s="289" t="s">
        <v>93</v>
      </c>
      <c r="B3035" s="312">
        <f>B$1317/C$117/(24*F$14)*1000</f>
        <v>629688.01899703743</v>
      </c>
      <c r="C3035" s="314">
        <f>E$1171</f>
        <v>301598.3155366056</v>
      </c>
      <c r="D3035" s="291"/>
    </row>
    <row r="3036" spans="1:4">
      <c r="A3036" s="289" t="s">
        <v>94</v>
      </c>
      <c r="B3036" s="312">
        <f>B$1319/C$119/(24*F$14)*1000</f>
        <v>467257.5020236409</v>
      </c>
      <c r="C3036" s="314">
        <f>E$1173</f>
        <v>141573.90259698126</v>
      </c>
      <c r="D3036" s="291"/>
    </row>
    <row r="3037" spans="1:4">
      <c r="A3037" s="289" t="s">
        <v>95</v>
      </c>
      <c r="B3037" s="312">
        <f>B$1320/C$120/(24*F$14)*1000</f>
        <v>157284.35134295162</v>
      </c>
      <c r="C3037" s="314">
        <f>E$1174</f>
        <v>34541.169091372147</v>
      </c>
      <c r="D3037" s="291"/>
    </row>
    <row r="3038" spans="1:4">
      <c r="A3038" s="289" t="s">
        <v>96</v>
      </c>
      <c r="B3038" s="312">
        <f>B$1322/C$122/(24*F$14)*1000</f>
        <v>0</v>
      </c>
      <c r="C3038" s="314">
        <f>E$1176</f>
        <v>0</v>
      </c>
      <c r="D3038" s="291"/>
    </row>
    <row r="3039" spans="1:4">
      <c r="A3039" s="289" t="s">
        <v>97</v>
      </c>
      <c r="B3039" s="312">
        <f>B$1323/C$123/(24*F$14)*1000</f>
        <v>0</v>
      </c>
      <c r="C3039" s="314">
        <f>E$1177</f>
        <v>0</v>
      </c>
      <c r="D3039" s="291"/>
    </row>
    <row r="3040" spans="1:4">
      <c r="A3040" s="289" t="s">
        <v>110</v>
      </c>
      <c r="B3040" s="312">
        <f>B$1324/C$124/(24*F$14)*1000</f>
        <v>0</v>
      </c>
      <c r="C3040" s="314">
        <f>E$1178</f>
        <v>0</v>
      </c>
      <c r="D3040" s="291"/>
    </row>
    <row r="3041" spans="1:6">
      <c r="A3041" s="289" t="s">
        <v>1536</v>
      </c>
      <c r="B3041" s="312">
        <f>B$1325/C$125/(24*F$14)*1000</f>
        <v>0</v>
      </c>
      <c r="C3041" s="314">
        <f>E$1179</f>
        <v>0</v>
      </c>
      <c r="D3041" s="291"/>
    </row>
    <row r="3042" spans="1:6">
      <c r="A3042" s="289" t="s">
        <v>1535</v>
      </c>
      <c r="B3042" s="312">
        <f>B$1326/C$126/(24*F$14)*1000</f>
        <v>168441.2673593878</v>
      </c>
      <c r="C3042" s="314">
        <f>E$1180</f>
        <v>10518.536007205001</v>
      </c>
      <c r="D3042" s="291"/>
    </row>
    <row r="3044" spans="1:6" ht="21" customHeight="1">
      <c r="A3044" s="1" t="s">
        <v>1731</v>
      </c>
    </row>
    <row r="3045" spans="1:6">
      <c r="A3045" s="287" t="s">
        <v>255</v>
      </c>
    </row>
    <row r="3046" spans="1:6">
      <c r="A3046" s="301" t="s">
        <v>1553</v>
      </c>
    </row>
    <row r="3047" spans="1:6">
      <c r="A3047" s="301" t="s">
        <v>1563</v>
      </c>
    </row>
    <row r="3048" spans="1:6">
      <c r="A3048" s="287" t="s">
        <v>268</v>
      </c>
    </row>
    <row r="3050" spans="1:6" ht="30">
      <c r="B3050" s="288" t="s">
        <v>1559</v>
      </c>
      <c r="C3050" s="288" t="s">
        <v>1558</v>
      </c>
      <c r="D3050" s="288" t="s">
        <v>1557</v>
      </c>
      <c r="E3050" s="288" t="s">
        <v>1556</v>
      </c>
    </row>
    <row r="3051" spans="1:6">
      <c r="A3051" s="289" t="s">
        <v>1562</v>
      </c>
      <c r="B3051" s="312">
        <f>SUMPRODUCT(B$3014:B$3022,$B$3034:$B$3042)</f>
        <v>3281936.188063384</v>
      </c>
      <c r="C3051" s="312">
        <f>SUMPRODUCT(C$3014:C$3022,$B$3034:$B$3042)</f>
        <v>0</v>
      </c>
      <c r="D3051" s="312">
        <f>SUMPRODUCT(D$3014:D$3022,$B$3034:$B$3042)</f>
        <v>0</v>
      </c>
      <c r="E3051" s="312">
        <f>SUMPRODUCT(E$3014:E$3022,$B$3034:$B$3042)</f>
        <v>0</v>
      </c>
      <c r="F3051" s="291"/>
    </row>
    <row r="3053" spans="1:6" ht="21" customHeight="1">
      <c r="A3053" s="1" t="s">
        <v>1732</v>
      </c>
    </row>
    <row r="3054" spans="1:6">
      <c r="A3054" s="287" t="s">
        <v>255</v>
      </c>
    </row>
    <row r="3055" spans="1:6">
      <c r="A3055" s="301" t="s">
        <v>1553</v>
      </c>
    </row>
    <row r="3056" spans="1:6">
      <c r="A3056" s="301" t="s">
        <v>1565</v>
      </c>
    </row>
    <row r="3057" spans="1:6">
      <c r="A3057" s="287" t="s">
        <v>268</v>
      </c>
    </row>
    <row r="3059" spans="1:6" ht="30">
      <c r="B3059" s="288" t="s">
        <v>1559</v>
      </c>
      <c r="C3059" s="288" t="s">
        <v>1558</v>
      </c>
      <c r="D3059" s="288" t="s">
        <v>1557</v>
      </c>
      <c r="E3059" s="288" t="s">
        <v>1556</v>
      </c>
    </row>
    <row r="3060" spans="1:6" ht="30">
      <c r="A3060" s="289" t="s">
        <v>1564</v>
      </c>
      <c r="B3060" s="312">
        <f>SUMPRODUCT(B$3014:B$3022,$C$3034:$C$3042)</f>
        <v>2476929.3341915463</v>
      </c>
      <c r="C3060" s="312">
        <f>SUMPRODUCT(C$3014:C$3022,$C$3034:$C$3042)</f>
        <v>0</v>
      </c>
      <c r="D3060" s="312">
        <f>SUMPRODUCT(D$3014:D$3022,$C$3034:$C$3042)</f>
        <v>0</v>
      </c>
      <c r="E3060" s="312">
        <f>SUMPRODUCT(E$3014:E$3022,$C$3034:$C$3042)</f>
        <v>0</v>
      </c>
      <c r="F3060" s="291"/>
    </row>
    <row r="3062" spans="1:6" ht="21" customHeight="1">
      <c r="A3062" s="1" t="s">
        <v>1561</v>
      </c>
    </row>
    <row r="3063" spans="1:6">
      <c r="A3063" s="287" t="s">
        <v>255</v>
      </c>
    </row>
    <row r="3064" spans="1:6">
      <c r="A3064" s="301" t="s">
        <v>1733</v>
      </c>
    </row>
    <row r="3065" spans="1:6">
      <c r="A3065" s="301" t="s">
        <v>1734</v>
      </c>
    </row>
    <row r="3066" spans="1:6">
      <c r="A3066" s="301" t="s">
        <v>732</v>
      </c>
    </row>
    <row r="3067" spans="1:6">
      <c r="A3067" s="287" t="s">
        <v>1560</v>
      </c>
    </row>
    <row r="3069" spans="1:6" ht="30">
      <c r="B3069" s="288" t="s">
        <v>1559</v>
      </c>
      <c r="C3069" s="288" t="s">
        <v>1558</v>
      </c>
      <c r="D3069" s="288" t="s">
        <v>1557</v>
      </c>
      <c r="E3069" s="288" t="s">
        <v>1556</v>
      </c>
    </row>
    <row r="3070" spans="1:6">
      <c r="A3070" s="289" t="s">
        <v>1555</v>
      </c>
      <c r="B3070" s="306">
        <f>IF(B3060,B3051/B3060/$E14,0)</f>
        <v>1.3947388905922298</v>
      </c>
      <c r="C3070" s="306">
        <f>IF(C3060,C3051/C3060/$E14,0)</f>
        <v>0</v>
      </c>
      <c r="D3070" s="306">
        <f>IF(D3060,D3051/D3060/$E14,0)</f>
        <v>0</v>
      </c>
      <c r="E3070" s="306">
        <f>IF(E3060,E3051/E3060/$E14,0)</f>
        <v>0</v>
      </c>
      <c r="F3070" s="291"/>
    </row>
    <row r="3072" spans="1:6" ht="21" customHeight="1">
      <c r="A3072" s="1" t="s">
        <v>1554</v>
      </c>
    </row>
    <row r="3073" spans="1:3">
      <c r="A3073" s="287" t="s">
        <v>255</v>
      </c>
    </row>
    <row r="3074" spans="1:3">
      <c r="A3074" s="301" t="s">
        <v>1553</v>
      </c>
    </row>
    <row r="3075" spans="1:3">
      <c r="A3075" s="301" t="s">
        <v>1552</v>
      </c>
    </row>
    <row r="3076" spans="1:3">
      <c r="A3076" s="287" t="s">
        <v>268</v>
      </c>
    </row>
    <row r="3078" spans="1:3" ht="30">
      <c r="B3078" s="288" t="s">
        <v>1551</v>
      </c>
    </row>
    <row r="3079" spans="1:3">
      <c r="A3079" s="289" t="s">
        <v>92</v>
      </c>
      <c r="B3079" s="306">
        <f t="shared" ref="B3079:B3087" si="656">SUMPRODUCT($B3014:$E3014,$B$3070:$E$3070)</f>
        <v>1.3947388905922298</v>
      </c>
      <c r="C3079" s="291"/>
    </row>
    <row r="3080" spans="1:3">
      <c r="A3080" s="289" t="s">
        <v>93</v>
      </c>
      <c r="B3080" s="306">
        <f t="shared" si="656"/>
        <v>1.3947388905922298</v>
      </c>
      <c r="C3080" s="291"/>
    </row>
    <row r="3081" spans="1:3">
      <c r="A3081" s="289" t="s">
        <v>94</v>
      </c>
      <c r="B3081" s="306">
        <f t="shared" si="656"/>
        <v>1.3947388905922298</v>
      </c>
      <c r="C3081" s="291"/>
    </row>
    <row r="3082" spans="1:3">
      <c r="A3082" s="289" t="s">
        <v>95</v>
      </c>
      <c r="B3082" s="306">
        <f t="shared" si="656"/>
        <v>1.3947388905922298</v>
      </c>
      <c r="C3082" s="291"/>
    </row>
    <row r="3083" spans="1:3">
      <c r="A3083" s="289" t="s">
        <v>96</v>
      </c>
      <c r="B3083" s="306">
        <f t="shared" si="656"/>
        <v>0</v>
      </c>
      <c r="C3083" s="291"/>
    </row>
    <row r="3084" spans="1:3">
      <c r="A3084" s="289" t="s">
        <v>97</v>
      </c>
      <c r="B3084" s="306">
        <f t="shared" si="656"/>
        <v>0</v>
      </c>
      <c r="C3084" s="291"/>
    </row>
    <row r="3085" spans="1:3">
      <c r="A3085" s="289" t="s">
        <v>110</v>
      </c>
      <c r="B3085" s="306">
        <f t="shared" si="656"/>
        <v>0</v>
      </c>
      <c r="C3085" s="291"/>
    </row>
    <row r="3086" spans="1:3">
      <c r="A3086" s="289" t="s">
        <v>1536</v>
      </c>
      <c r="B3086" s="306">
        <f t="shared" si="656"/>
        <v>1.3947388905922298</v>
      </c>
      <c r="C3086" s="291"/>
    </row>
    <row r="3087" spans="1:3">
      <c r="A3087" s="289" t="s">
        <v>1535</v>
      </c>
      <c r="B3087" s="306">
        <f t="shared" si="656"/>
        <v>1.3947388905922298</v>
      </c>
      <c r="C3087" s="291"/>
    </row>
    <row r="3089" spans="1:20" ht="21" customHeight="1">
      <c r="A3089" s="1" t="s">
        <v>1550</v>
      </c>
    </row>
    <row r="3090" spans="1:20">
      <c r="A3090" s="287" t="s">
        <v>255</v>
      </c>
    </row>
    <row r="3091" spans="1:20">
      <c r="A3091" s="301" t="s">
        <v>733</v>
      </c>
    </row>
    <row r="3092" spans="1:20">
      <c r="A3092" s="301" t="s">
        <v>1549</v>
      </c>
    </row>
    <row r="3093" spans="1:20">
      <c r="A3093" s="287" t="s">
        <v>591</v>
      </c>
    </row>
    <row r="3095" spans="1:20" ht="30">
      <c r="B3095" s="288" t="s">
        <v>60</v>
      </c>
      <c r="C3095" s="288" t="s">
        <v>220</v>
      </c>
      <c r="D3095" s="288" t="s">
        <v>221</v>
      </c>
      <c r="E3095" s="288" t="s">
        <v>222</v>
      </c>
      <c r="F3095" s="288" t="s">
        <v>223</v>
      </c>
      <c r="G3095" s="288" t="s">
        <v>224</v>
      </c>
      <c r="H3095" s="288" t="s">
        <v>225</v>
      </c>
      <c r="I3095" s="288" t="s">
        <v>226</v>
      </c>
      <c r="J3095" s="288" t="s">
        <v>227</v>
      </c>
      <c r="K3095" s="288" t="s">
        <v>208</v>
      </c>
      <c r="L3095" s="288" t="s">
        <v>618</v>
      </c>
      <c r="M3095" s="288" t="s">
        <v>619</v>
      </c>
      <c r="N3095" s="288" t="s">
        <v>620</v>
      </c>
      <c r="O3095" s="288" t="s">
        <v>621</v>
      </c>
      <c r="P3095" s="288" t="s">
        <v>622</v>
      </c>
      <c r="Q3095" s="288" t="s">
        <v>623</v>
      </c>
      <c r="R3095" s="288" t="s">
        <v>624</v>
      </c>
      <c r="S3095" s="288" t="s">
        <v>625</v>
      </c>
    </row>
    <row r="3096" spans="1:20">
      <c r="A3096" s="289" t="s">
        <v>92</v>
      </c>
      <c r="B3096" s="306">
        <f t="shared" ref="B3096:S3096" si="657">B$2901*$B3079</f>
        <v>0</v>
      </c>
      <c r="C3096" s="306">
        <f t="shared" si="657"/>
        <v>0</v>
      </c>
      <c r="D3096" s="306">
        <f t="shared" si="657"/>
        <v>0</v>
      </c>
      <c r="E3096" s="306">
        <f t="shared" si="657"/>
        <v>0</v>
      </c>
      <c r="F3096" s="306">
        <f t="shared" si="657"/>
        <v>0</v>
      </c>
      <c r="G3096" s="306">
        <f t="shared" si="657"/>
        <v>0</v>
      </c>
      <c r="H3096" s="306">
        <f t="shared" si="657"/>
        <v>0</v>
      </c>
      <c r="I3096" s="306">
        <f t="shared" si="657"/>
        <v>0</v>
      </c>
      <c r="J3096" s="306">
        <f t="shared" si="657"/>
        <v>0.48256144096977732</v>
      </c>
      <c r="K3096" s="306">
        <f t="shared" si="657"/>
        <v>0</v>
      </c>
      <c r="L3096" s="306">
        <f t="shared" si="657"/>
        <v>0</v>
      </c>
      <c r="M3096" s="306">
        <f t="shared" si="657"/>
        <v>0</v>
      </c>
      <c r="N3096" s="306">
        <f t="shared" si="657"/>
        <v>0</v>
      </c>
      <c r="O3096" s="306">
        <f t="shared" si="657"/>
        <v>0</v>
      </c>
      <c r="P3096" s="306">
        <f t="shared" si="657"/>
        <v>0</v>
      </c>
      <c r="Q3096" s="306">
        <f t="shared" si="657"/>
        <v>0</v>
      </c>
      <c r="R3096" s="306">
        <f t="shared" si="657"/>
        <v>0</v>
      </c>
      <c r="S3096" s="306">
        <f t="shared" si="657"/>
        <v>2.2387300935278236</v>
      </c>
      <c r="T3096" s="291"/>
    </row>
    <row r="3097" spans="1:20">
      <c r="A3097" s="289" t="s">
        <v>93</v>
      </c>
      <c r="B3097" s="306">
        <f t="shared" ref="B3097:S3097" si="658">B$2902*$B3080</f>
        <v>0</v>
      </c>
      <c r="C3097" s="306">
        <f t="shared" si="658"/>
        <v>0</v>
      </c>
      <c r="D3097" s="306">
        <f t="shared" si="658"/>
        <v>0</v>
      </c>
      <c r="E3097" s="306">
        <f t="shared" si="658"/>
        <v>0</v>
      </c>
      <c r="F3097" s="306">
        <f t="shared" si="658"/>
        <v>0</v>
      </c>
      <c r="G3097" s="306">
        <f t="shared" si="658"/>
        <v>0</v>
      </c>
      <c r="H3097" s="306">
        <f t="shared" si="658"/>
        <v>0</v>
      </c>
      <c r="I3097" s="306">
        <f t="shared" si="658"/>
        <v>0</v>
      </c>
      <c r="J3097" s="306">
        <f t="shared" si="658"/>
        <v>0.48256144096977732</v>
      </c>
      <c r="K3097" s="306">
        <f t="shared" si="658"/>
        <v>0</v>
      </c>
      <c r="L3097" s="306">
        <f t="shared" si="658"/>
        <v>0</v>
      </c>
      <c r="M3097" s="306">
        <f t="shared" si="658"/>
        <v>0</v>
      </c>
      <c r="N3097" s="306">
        <f t="shared" si="658"/>
        <v>0</v>
      </c>
      <c r="O3097" s="306">
        <f t="shared" si="658"/>
        <v>0</v>
      </c>
      <c r="P3097" s="306">
        <f t="shared" si="658"/>
        <v>0</v>
      </c>
      <c r="Q3097" s="306">
        <f t="shared" si="658"/>
        <v>0</v>
      </c>
      <c r="R3097" s="306">
        <f t="shared" si="658"/>
        <v>0</v>
      </c>
      <c r="S3097" s="306">
        <f t="shared" si="658"/>
        <v>2.2387300935278236</v>
      </c>
      <c r="T3097" s="291"/>
    </row>
    <row r="3098" spans="1:20">
      <c r="A3098" s="289" t="s">
        <v>94</v>
      </c>
      <c r="B3098" s="306">
        <f t="shared" ref="B3098:S3098" si="659">B$2904*$B3081</f>
        <v>0</v>
      </c>
      <c r="C3098" s="306">
        <f t="shared" si="659"/>
        <v>0</v>
      </c>
      <c r="D3098" s="306">
        <f t="shared" si="659"/>
        <v>0</v>
      </c>
      <c r="E3098" s="306">
        <f t="shared" si="659"/>
        <v>0</v>
      </c>
      <c r="F3098" s="306">
        <f t="shared" si="659"/>
        <v>0</v>
      </c>
      <c r="G3098" s="306">
        <f t="shared" si="659"/>
        <v>0</v>
      </c>
      <c r="H3098" s="306">
        <f t="shared" si="659"/>
        <v>0</v>
      </c>
      <c r="I3098" s="306">
        <f t="shared" si="659"/>
        <v>0</v>
      </c>
      <c r="J3098" s="306">
        <f t="shared" si="659"/>
        <v>0.48256144096977732</v>
      </c>
      <c r="K3098" s="306">
        <f t="shared" si="659"/>
        <v>0</v>
      </c>
      <c r="L3098" s="306">
        <f t="shared" si="659"/>
        <v>0</v>
      </c>
      <c r="M3098" s="306">
        <f t="shared" si="659"/>
        <v>0</v>
      </c>
      <c r="N3098" s="306">
        <f t="shared" si="659"/>
        <v>0</v>
      </c>
      <c r="O3098" s="306">
        <f t="shared" si="659"/>
        <v>0</v>
      </c>
      <c r="P3098" s="306">
        <f t="shared" si="659"/>
        <v>0</v>
      </c>
      <c r="Q3098" s="306">
        <f t="shared" si="659"/>
        <v>0</v>
      </c>
      <c r="R3098" s="306">
        <f t="shared" si="659"/>
        <v>0</v>
      </c>
      <c r="S3098" s="306">
        <f t="shared" si="659"/>
        <v>2.2387300935278236</v>
      </c>
      <c r="T3098" s="291"/>
    </row>
    <row r="3099" spans="1:20">
      <c r="A3099" s="289" t="s">
        <v>95</v>
      </c>
      <c r="B3099" s="306">
        <f t="shared" ref="B3099:S3099" si="660">B$2905*$B3082</f>
        <v>0</v>
      </c>
      <c r="C3099" s="306">
        <f t="shared" si="660"/>
        <v>0</v>
      </c>
      <c r="D3099" s="306">
        <f t="shared" si="660"/>
        <v>0</v>
      </c>
      <c r="E3099" s="306">
        <f t="shared" si="660"/>
        <v>0</v>
      </c>
      <c r="F3099" s="306">
        <f t="shared" si="660"/>
        <v>0</v>
      </c>
      <c r="G3099" s="306">
        <f t="shared" si="660"/>
        <v>0</v>
      </c>
      <c r="H3099" s="306">
        <f t="shared" si="660"/>
        <v>0</v>
      </c>
      <c r="I3099" s="306">
        <f t="shared" si="660"/>
        <v>0</v>
      </c>
      <c r="J3099" s="306">
        <f t="shared" si="660"/>
        <v>0.48256144096977732</v>
      </c>
      <c r="K3099" s="306">
        <f t="shared" si="660"/>
        <v>0</v>
      </c>
      <c r="L3099" s="306">
        <f t="shared" si="660"/>
        <v>0</v>
      </c>
      <c r="M3099" s="306">
        <f t="shared" si="660"/>
        <v>0</v>
      </c>
      <c r="N3099" s="306">
        <f t="shared" si="660"/>
        <v>0</v>
      </c>
      <c r="O3099" s="306">
        <f t="shared" si="660"/>
        <v>0</v>
      </c>
      <c r="P3099" s="306">
        <f t="shared" si="660"/>
        <v>0</v>
      </c>
      <c r="Q3099" s="306">
        <f t="shared" si="660"/>
        <v>0</v>
      </c>
      <c r="R3099" s="306">
        <f t="shared" si="660"/>
        <v>0</v>
      </c>
      <c r="S3099" s="306">
        <f t="shared" si="660"/>
        <v>2.2387300935278236</v>
      </c>
      <c r="T3099" s="291"/>
    </row>
    <row r="3100" spans="1:20">
      <c r="A3100" s="289" t="s">
        <v>96</v>
      </c>
      <c r="B3100" s="306">
        <f t="shared" ref="B3100:S3100" si="661">B$2907*$B3083</f>
        <v>0</v>
      </c>
      <c r="C3100" s="306">
        <f t="shared" si="661"/>
        <v>0</v>
      </c>
      <c r="D3100" s="306">
        <f t="shared" si="661"/>
        <v>0</v>
      </c>
      <c r="E3100" s="306">
        <f t="shared" si="661"/>
        <v>0</v>
      </c>
      <c r="F3100" s="306">
        <f t="shared" si="661"/>
        <v>0</v>
      </c>
      <c r="G3100" s="306">
        <f t="shared" si="661"/>
        <v>0</v>
      </c>
      <c r="H3100" s="306">
        <f t="shared" si="661"/>
        <v>0</v>
      </c>
      <c r="I3100" s="306">
        <f t="shared" si="661"/>
        <v>0</v>
      </c>
      <c r="J3100" s="306">
        <f t="shared" si="661"/>
        <v>0</v>
      </c>
      <c r="K3100" s="306">
        <f t="shared" si="661"/>
        <v>0</v>
      </c>
      <c r="L3100" s="306">
        <f t="shared" si="661"/>
        <v>0</v>
      </c>
      <c r="M3100" s="306">
        <f t="shared" si="661"/>
        <v>0</v>
      </c>
      <c r="N3100" s="306">
        <f t="shared" si="661"/>
        <v>0</v>
      </c>
      <c r="O3100" s="306">
        <f t="shared" si="661"/>
        <v>0</v>
      </c>
      <c r="P3100" s="306">
        <f t="shared" si="661"/>
        <v>0</v>
      </c>
      <c r="Q3100" s="306">
        <f t="shared" si="661"/>
        <v>0</v>
      </c>
      <c r="R3100" s="306">
        <f t="shared" si="661"/>
        <v>0</v>
      </c>
      <c r="S3100" s="306">
        <f t="shared" si="661"/>
        <v>0</v>
      </c>
      <c r="T3100" s="291"/>
    </row>
    <row r="3101" spans="1:20">
      <c r="A3101" s="289" t="s">
        <v>97</v>
      </c>
      <c r="B3101" s="306">
        <f t="shared" ref="B3101:S3101" si="662">B$2908*$B3084</f>
        <v>0</v>
      </c>
      <c r="C3101" s="306">
        <f t="shared" si="662"/>
        <v>0</v>
      </c>
      <c r="D3101" s="306">
        <f t="shared" si="662"/>
        <v>0</v>
      </c>
      <c r="E3101" s="306">
        <f t="shared" si="662"/>
        <v>0</v>
      </c>
      <c r="F3101" s="306">
        <f t="shared" si="662"/>
        <v>0</v>
      </c>
      <c r="G3101" s="306">
        <f t="shared" si="662"/>
        <v>0</v>
      </c>
      <c r="H3101" s="306">
        <f t="shared" si="662"/>
        <v>0</v>
      </c>
      <c r="I3101" s="306">
        <f t="shared" si="662"/>
        <v>0</v>
      </c>
      <c r="J3101" s="306">
        <f t="shared" si="662"/>
        <v>0</v>
      </c>
      <c r="K3101" s="306">
        <f t="shared" si="662"/>
        <v>0</v>
      </c>
      <c r="L3101" s="306">
        <f t="shared" si="662"/>
        <v>0</v>
      </c>
      <c r="M3101" s="306">
        <f t="shared" si="662"/>
        <v>0</v>
      </c>
      <c r="N3101" s="306">
        <f t="shared" si="662"/>
        <v>0</v>
      </c>
      <c r="O3101" s="306">
        <f t="shared" si="662"/>
        <v>0</v>
      </c>
      <c r="P3101" s="306">
        <f t="shared" si="662"/>
        <v>0</v>
      </c>
      <c r="Q3101" s="306">
        <f t="shared" si="662"/>
        <v>0</v>
      </c>
      <c r="R3101" s="306">
        <f t="shared" si="662"/>
        <v>0</v>
      </c>
      <c r="S3101" s="306">
        <f t="shared" si="662"/>
        <v>0</v>
      </c>
      <c r="T3101" s="291"/>
    </row>
    <row r="3102" spans="1:20">
      <c r="A3102" s="289" t="s">
        <v>110</v>
      </c>
      <c r="B3102" s="306">
        <f t="shared" ref="B3102:S3102" si="663">B$2909*$B3085</f>
        <v>0</v>
      </c>
      <c r="C3102" s="306">
        <f t="shared" si="663"/>
        <v>0</v>
      </c>
      <c r="D3102" s="306">
        <f t="shared" si="663"/>
        <v>0</v>
      </c>
      <c r="E3102" s="306">
        <f t="shared" si="663"/>
        <v>0</v>
      </c>
      <c r="F3102" s="306">
        <f t="shared" si="663"/>
        <v>0</v>
      </c>
      <c r="G3102" s="306">
        <f t="shared" si="663"/>
        <v>0</v>
      </c>
      <c r="H3102" s="306">
        <f t="shared" si="663"/>
        <v>0</v>
      </c>
      <c r="I3102" s="306">
        <f t="shared" si="663"/>
        <v>0</v>
      </c>
      <c r="J3102" s="306">
        <f t="shared" si="663"/>
        <v>0</v>
      </c>
      <c r="K3102" s="306">
        <f t="shared" si="663"/>
        <v>0</v>
      </c>
      <c r="L3102" s="306">
        <f t="shared" si="663"/>
        <v>0</v>
      </c>
      <c r="M3102" s="306">
        <f t="shared" si="663"/>
        <v>0</v>
      </c>
      <c r="N3102" s="306">
        <f t="shared" si="663"/>
        <v>0</v>
      </c>
      <c r="O3102" s="306">
        <f t="shared" si="663"/>
        <v>0</v>
      </c>
      <c r="P3102" s="306">
        <f t="shared" si="663"/>
        <v>0</v>
      </c>
      <c r="Q3102" s="306">
        <f t="shared" si="663"/>
        <v>0</v>
      </c>
      <c r="R3102" s="306">
        <f t="shared" si="663"/>
        <v>0</v>
      </c>
      <c r="S3102" s="306">
        <f t="shared" si="663"/>
        <v>0</v>
      </c>
      <c r="T3102" s="291"/>
    </row>
    <row r="3103" spans="1:20">
      <c r="A3103" s="289" t="s">
        <v>1536</v>
      </c>
      <c r="B3103" s="306">
        <f t="shared" ref="B3103:S3103" si="664">B$2910*$B3086</f>
        <v>0</v>
      </c>
      <c r="C3103" s="306">
        <f t="shared" si="664"/>
        <v>0</v>
      </c>
      <c r="D3103" s="306">
        <f t="shared" si="664"/>
        <v>0</v>
      </c>
      <c r="E3103" s="306">
        <f t="shared" si="664"/>
        <v>0</v>
      </c>
      <c r="F3103" s="306">
        <f t="shared" si="664"/>
        <v>0</v>
      </c>
      <c r="G3103" s="306">
        <f t="shared" si="664"/>
        <v>0</v>
      </c>
      <c r="H3103" s="306">
        <f t="shared" si="664"/>
        <v>0</v>
      </c>
      <c r="I3103" s="306">
        <f t="shared" si="664"/>
        <v>0</v>
      </c>
      <c r="J3103" s="306">
        <f t="shared" si="664"/>
        <v>0.48256144096977732</v>
      </c>
      <c r="K3103" s="306">
        <f t="shared" si="664"/>
        <v>0</v>
      </c>
      <c r="L3103" s="306">
        <f t="shared" si="664"/>
        <v>0</v>
      </c>
      <c r="M3103" s="306">
        <f t="shared" si="664"/>
        <v>0</v>
      </c>
      <c r="N3103" s="306">
        <f t="shared" si="664"/>
        <v>0</v>
      </c>
      <c r="O3103" s="306">
        <f t="shared" si="664"/>
        <v>0</v>
      </c>
      <c r="P3103" s="306">
        <f t="shared" si="664"/>
        <v>0</v>
      </c>
      <c r="Q3103" s="306">
        <f t="shared" si="664"/>
        <v>0</v>
      </c>
      <c r="R3103" s="306">
        <f t="shared" si="664"/>
        <v>0</v>
      </c>
      <c r="S3103" s="306">
        <f t="shared" si="664"/>
        <v>2.2387300935278236</v>
      </c>
      <c r="T3103" s="291"/>
    </row>
    <row r="3104" spans="1:20">
      <c r="A3104" s="289" t="s">
        <v>1535</v>
      </c>
      <c r="B3104" s="306">
        <f t="shared" ref="B3104:S3104" si="665">B$2911*$B3087</f>
        <v>0</v>
      </c>
      <c r="C3104" s="306">
        <f t="shared" si="665"/>
        <v>0</v>
      </c>
      <c r="D3104" s="306">
        <f t="shared" si="665"/>
        <v>0</v>
      </c>
      <c r="E3104" s="306">
        <f t="shared" si="665"/>
        <v>0</v>
      </c>
      <c r="F3104" s="306">
        <f t="shared" si="665"/>
        <v>0</v>
      </c>
      <c r="G3104" s="306">
        <f t="shared" si="665"/>
        <v>0</v>
      </c>
      <c r="H3104" s="306">
        <f t="shared" si="665"/>
        <v>0</v>
      </c>
      <c r="I3104" s="306">
        <f t="shared" si="665"/>
        <v>0</v>
      </c>
      <c r="J3104" s="306">
        <f t="shared" si="665"/>
        <v>0.48256144096977732</v>
      </c>
      <c r="K3104" s="306">
        <f t="shared" si="665"/>
        <v>0</v>
      </c>
      <c r="L3104" s="306">
        <f t="shared" si="665"/>
        <v>0</v>
      </c>
      <c r="M3104" s="306">
        <f t="shared" si="665"/>
        <v>0</v>
      </c>
      <c r="N3104" s="306">
        <f t="shared" si="665"/>
        <v>0</v>
      </c>
      <c r="O3104" s="306">
        <f t="shared" si="665"/>
        <v>0</v>
      </c>
      <c r="P3104" s="306">
        <f t="shared" si="665"/>
        <v>0</v>
      </c>
      <c r="Q3104" s="306">
        <f t="shared" si="665"/>
        <v>0</v>
      </c>
      <c r="R3104" s="306">
        <f t="shared" si="665"/>
        <v>0</v>
      </c>
      <c r="S3104" s="306">
        <f t="shared" si="665"/>
        <v>2.2387300935278236</v>
      </c>
      <c r="T3104" s="291"/>
    </row>
    <row r="3106" spans="1:11" ht="21" customHeight="1">
      <c r="A3106" s="1" t="str">
        <f>"Reactive power unit charges for "&amp;CDCM!B7&amp;" in "&amp;CDCM!C7&amp;" ("&amp;CDCM!D7&amp;")"</f>
        <v>Reactive power unit charges for West Mids in 0 (Forecast)</v>
      </c>
    </row>
    <row r="3108" spans="1:11" ht="21" customHeight="1">
      <c r="A3108" s="1" t="s">
        <v>1735</v>
      </c>
    </row>
    <row r="3109" spans="1:11">
      <c r="A3109" s="287" t="s">
        <v>1497</v>
      </c>
    </row>
    <row r="3110" spans="1:11">
      <c r="A3110" s="287" t="s">
        <v>1496</v>
      </c>
    </row>
    <row r="3112" spans="1:11">
      <c r="B3112" s="288" t="s">
        <v>60</v>
      </c>
      <c r="C3112" s="288" t="s">
        <v>61</v>
      </c>
      <c r="D3112" s="288" t="s">
        <v>62</v>
      </c>
      <c r="E3112" s="288" t="s">
        <v>63</v>
      </c>
      <c r="F3112" s="288" t="s">
        <v>64</v>
      </c>
      <c r="G3112" s="288" t="s">
        <v>69</v>
      </c>
      <c r="H3112" s="288" t="s">
        <v>65</v>
      </c>
      <c r="I3112" s="288" t="s">
        <v>66</v>
      </c>
      <c r="J3112" s="288" t="s">
        <v>67</v>
      </c>
    </row>
    <row r="3113" spans="1:11">
      <c r="A3113" s="289" t="s">
        <v>101</v>
      </c>
      <c r="B3113" s="305">
        <v>1</v>
      </c>
      <c r="C3113" s="305">
        <v>1</v>
      </c>
      <c r="D3113" s="305">
        <v>1</v>
      </c>
      <c r="E3113" s="305">
        <v>1</v>
      </c>
      <c r="F3113" s="305">
        <v>1</v>
      </c>
      <c r="G3113" s="305">
        <v>1</v>
      </c>
      <c r="H3113" s="305">
        <v>1</v>
      </c>
      <c r="I3113" s="305">
        <v>1</v>
      </c>
      <c r="J3113" s="305">
        <v>1</v>
      </c>
      <c r="K3113" s="291"/>
    </row>
    <row r="3114" spans="1:11">
      <c r="A3114" s="289" t="s">
        <v>102</v>
      </c>
      <c r="B3114" s="305">
        <v>1</v>
      </c>
      <c r="C3114" s="305">
        <v>1</v>
      </c>
      <c r="D3114" s="305">
        <v>1</v>
      </c>
      <c r="E3114" s="305">
        <v>1</v>
      </c>
      <c r="F3114" s="305">
        <v>1</v>
      </c>
      <c r="G3114" s="305">
        <v>1</v>
      </c>
      <c r="H3114" s="305">
        <v>1</v>
      </c>
      <c r="I3114" s="305">
        <v>1</v>
      </c>
      <c r="J3114" s="305">
        <v>1</v>
      </c>
      <c r="K3114" s="291"/>
    </row>
    <row r="3115" spans="1:11">
      <c r="A3115" s="289" t="s">
        <v>103</v>
      </c>
      <c r="B3115" s="305">
        <v>1</v>
      </c>
      <c r="C3115" s="305">
        <v>1</v>
      </c>
      <c r="D3115" s="305">
        <v>1</v>
      </c>
      <c r="E3115" s="305">
        <v>1</v>
      </c>
      <c r="F3115" s="305">
        <v>1</v>
      </c>
      <c r="G3115" s="305">
        <v>1</v>
      </c>
      <c r="H3115" s="305">
        <v>1</v>
      </c>
      <c r="I3115" s="305">
        <v>1</v>
      </c>
      <c r="J3115" s="305">
        <v>0</v>
      </c>
      <c r="K3115" s="291"/>
    </row>
    <row r="3116" spans="1:11">
      <c r="A3116" s="289" t="s">
        <v>104</v>
      </c>
      <c r="B3116" s="305">
        <v>1</v>
      </c>
      <c r="C3116" s="305">
        <v>1</v>
      </c>
      <c r="D3116" s="305">
        <v>1</v>
      </c>
      <c r="E3116" s="305">
        <v>1</v>
      </c>
      <c r="F3116" s="305">
        <v>1</v>
      </c>
      <c r="G3116" s="305">
        <v>1</v>
      </c>
      <c r="H3116" s="305">
        <v>1</v>
      </c>
      <c r="I3116" s="305">
        <v>1</v>
      </c>
      <c r="J3116" s="305">
        <v>0</v>
      </c>
      <c r="K3116" s="291"/>
    </row>
    <row r="3117" spans="1:11">
      <c r="A3117" s="289" t="s">
        <v>112</v>
      </c>
      <c r="B3117" s="305">
        <v>1</v>
      </c>
      <c r="C3117" s="305">
        <v>1</v>
      </c>
      <c r="D3117" s="305">
        <v>1</v>
      </c>
      <c r="E3117" s="305">
        <v>1</v>
      </c>
      <c r="F3117" s="305">
        <v>1</v>
      </c>
      <c r="G3117" s="305">
        <v>1</v>
      </c>
      <c r="H3117" s="305">
        <v>1</v>
      </c>
      <c r="I3117" s="305">
        <v>0</v>
      </c>
      <c r="J3117" s="305">
        <v>0</v>
      </c>
      <c r="K3117" s="291"/>
    </row>
    <row r="3118" spans="1:11">
      <c r="A3118" s="289" t="s">
        <v>113</v>
      </c>
      <c r="B3118" s="305">
        <v>1</v>
      </c>
      <c r="C3118" s="305">
        <v>1</v>
      </c>
      <c r="D3118" s="305">
        <v>1</v>
      </c>
      <c r="E3118" s="305">
        <v>1</v>
      </c>
      <c r="F3118" s="305">
        <v>1</v>
      </c>
      <c r="G3118" s="305">
        <v>1</v>
      </c>
      <c r="H3118" s="305">
        <v>1</v>
      </c>
      <c r="I3118" s="305">
        <v>0</v>
      </c>
      <c r="J3118" s="305">
        <v>0</v>
      </c>
      <c r="K3118" s="291"/>
    </row>
    <row r="3120" spans="1:11" ht="21" customHeight="1">
      <c r="A3120" s="1" t="s">
        <v>1736</v>
      </c>
    </row>
    <row r="3121" spans="1:20">
      <c r="A3121" s="287" t="s">
        <v>255</v>
      </c>
    </row>
    <row r="3122" spans="1:20">
      <c r="A3122" s="301" t="s">
        <v>1498</v>
      </c>
    </row>
    <row r="3123" spans="1:20">
      <c r="A3123" s="287" t="s">
        <v>735</v>
      </c>
    </row>
    <row r="3125" spans="1:20" ht="30">
      <c r="B3125" s="288" t="s">
        <v>60</v>
      </c>
      <c r="C3125" s="288" t="s">
        <v>220</v>
      </c>
      <c r="D3125" s="288" t="s">
        <v>221</v>
      </c>
      <c r="E3125" s="288" t="s">
        <v>222</v>
      </c>
      <c r="F3125" s="288" t="s">
        <v>223</v>
      </c>
      <c r="G3125" s="288" t="s">
        <v>224</v>
      </c>
      <c r="H3125" s="288" t="s">
        <v>225</v>
      </c>
      <c r="I3125" s="288" t="s">
        <v>226</v>
      </c>
      <c r="J3125" s="288" t="s">
        <v>227</v>
      </c>
      <c r="K3125" s="288" t="s">
        <v>208</v>
      </c>
      <c r="L3125" s="288" t="s">
        <v>618</v>
      </c>
      <c r="M3125" s="288" t="s">
        <v>619</v>
      </c>
      <c r="N3125" s="288" t="s">
        <v>620</v>
      </c>
      <c r="O3125" s="288" t="s">
        <v>621</v>
      </c>
      <c r="P3125" s="288" t="s">
        <v>622</v>
      </c>
      <c r="Q3125" s="288" t="s">
        <v>623</v>
      </c>
      <c r="R3125" s="288" t="s">
        <v>624</v>
      </c>
      <c r="S3125" s="288" t="s">
        <v>625</v>
      </c>
    </row>
    <row r="3126" spans="1:20">
      <c r="A3126" s="289" t="s">
        <v>98</v>
      </c>
      <c r="B3126" s="306">
        <f t="shared" ref="B3126:S3126" si="666">ABS(B$2939)</f>
        <v>0</v>
      </c>
      <c r="C3126" s="306">
        <f t="shared" si="666"/>
        <v>0.11345152215649146</v>
      </c>
      <c r="D3126" s="306">
        <f t="shared" si="666"/>
        <v>2.5970626117889282E-2</v>
      </c>
      <c r="E3126" s="306">
        <f t="shared" si="666"/>
        <v>2.6760804607636426E-2</v>
      </c>
      <c r="F3126" s="306">
        <f t="shared" si="666"/>
        <v>5.0570231513113649E-2</v>
      </c>
      <c r="G3126" s="306">
        <f t="shared" si="666"/>
        <v>5.391056663349602E-2</v>
      </c>
      <c r="H3126" s="306">
        <f t="shared" si="666"/>
        <v>0.17171736364479434</v>
      </c>
      <c r="I3126" s="306">
        <f t="shared" si="666"/>
        <v>0</v>
      </c>
      <c r="J3126" s="306">
        <f t="shared" si="666"/>
        <v>0</v>
      </c>
      <c r="K3126" s="306">
        <f t="shared" si="666"/>
        <v>6.4600297907197887E-2</v>
      </c>
      <c r="L3126" s="306">
        <f t="shared" si="666"/>
        <v>5.4924379417439884E-2</v>
      </c>
      <c r="M3126" s="306">
        <f t="shared" si="666"/>
        <v>1.2572951825537125E-2</v>
      </c>
      <c r="N3126" s="306">
        <f t="shared" si="666"/>
        <v>1.2955494627550013E-2</v>
      </c>
      <c r="O3126" s="306">
        <f t="shared" si="666"/>
        <v>2.4482162337344231E-2</v>
      </c>
      <c r="P3126" s="306">
        <f t="shared" si="666"/>
        <v>2.6099292103837927E-2</v>
      </c>
      <c r="Q3126" s="306">
        <f t="shared" si="666"/>
        <v>0.13558201887224464</v>
      </c>
      <c r="R3126" s="306">
        <f t="shared" si="666"/>
        <v>0</v>
      </c>
      <c r="S3126" s="306">
        <f t="shared" si="666"/>
        <v>0</v>
      </c>
      <c r="T3126" s="291"/>
    </row>
    <row r="3127" spans="1:20">
      <c r="A3127" s="289" t="s">
        <v>99</v>
      </c>
      <c r="B3127" s="306">
        <f t="shared" ref="B3127:S3127" si="667">ABS(B$2940)</f>
        <v>0</v>
      </c>
      <c r="C3127" s="306">
        <f t="shared" si="667"/>
        <v>0.11588811295940778</v>
      </c>
      <c r="D3127" s="306">
        <f t="shared" si="667"/>
        <v>2.6528395529370082E-2</v>
      </c>
      <c r="E3127" s="306">
        <f t="shared" si="667"/>
        <v>2.733554463003705E-2</v>
      </c>
      <c r="F3127" s="306">
        <f t="shared" si="667"/>
        <v>5.1656325015113892E-2</v>
      </c>
      <c r="G3127" s="306">
        <f t="shared" si="667"/>
        <v>5.5068400290923664E-2</v>
      </c>
      <c r="H3127" s="306">
        <f t="shared" si="667"/>
        <v>0</v>
      </c>
      <c r="I3127" s="306">
        <f t="shared" si="667"/>
        <v>0</v>
      </c>
      <c r="J3127" s="306">
        <f t="shared" si="667"/>
        <v>0</v>
      </c>
      <c r="K3127" s="306">
        <f t="shared" si="667"/>
        <v>6.5987714212897286E-2</v>
      </c>
      <c r="L3127" s="306">
        <f t="shared" si="667"/>
        <v>5.6103986664664131E-2</v>
      </c>
      <c r="M3127" s="306">
        <f t="shared" si="667"/>
        <v>1.284298027646753E-2</v>
      </c>
      <c r="N3127" s="306">
        <f t="shared" si="667"/>
        <v>1.3233738924820678E-2</v>
      </c>
      <c r="O3127" s="306">
        <f t="shared" si="667"/>
        <v>2.5007964111113234E-2</v>
      </c>
      <c r="P3127" s="306">
        <f t="shared" si="667"/>
        <v>2.6659824866149557E-2</v>
      </c>
      <c r="Q3127" s="306">
        <f t="shared" si="667"/>
        <v>0</v>
      </c>
      <c r="R3127" s="306">
        <f t="shared" si="667"/>
        <v>0</v>
      </c>
      <c r="S3127" s="306">
        <f t="shared" si="667"/>
        <v>0</v>
      </c>
      <c r="T3127" s="291"/>
    </row>
    <row r="3128" spans="1:20">
      <c r="A3128" s="289" t="s">
        <v>111</v>
      </c>
      <c r="B3128" s="306">
        <f t="shared" ref="B3128:S3128" si="668">ABS(B$2941)</f>
        <v>0</v>
      </c>
      <c r="C3128" s="306">
        <f t="shared" si="668"/>
        <v>7.6280388140447464E-2</v>
      </c>
      <c r="D3128" s="306">
        <f t="shared" si="668"/>
        <v>2.0269186668699445E-2</v>
      </c>
      <c r="E3128" s="306">
        <f t="shared" si="668"/>
        <v>1.6708715193374291E-2</v>
      </c>
      <c r="F3128" s="306">
        <f t="shared" si="668"/>
        <v>0</v>
      </c>
      <c r="G3128" s="306">
        <f t="shared" si="668"/>
        <v>0</v>
      </c>
      <c r="H3128" s="306">
        <f t="shared" si="668"/>
        <v>0</v>
      </c>
      <c r="I3128" s="306">
        <f t="shared" si="668"/>
        <v>0</v>
      </c>
      <c r="J3128" s="306">
        <f t="shared" si="668"/>
        <v>0</v>
      </c>
      <c r="K3128" s="306">
        <f t="shared" si="668"/>
        <v>5.0418326119316799E-2</v>
      </c>
      <c r="L3128" s="306">
        <f t="shared" si="668"/>
        <v>3.6929015148482923E-2</v>
      </c>
      <c r="M3128" s="306">
        <f t="shared" si="668"/>
        <v>9.812759475707606E-3</v>
      </c>
      <c r="N3128" s="306">
        <f t="shared" si="668"/>
        <v>8.0890568536662183E-3</v>
      </c>
      <c r="O3128" s="306">
        <f t="shared" si="668"/>
        <v>0</v>
      </c>
      <c r="P3128" s="306">
        <f t="shared" si="668"/>
        <v>0</v>
      </c>
      <c r="Q3128" s="306">
        <f t="shared" si="668"/>
        <v>0</v>
      </c>
      <c r="R3128" s="306">
        <f t="shared" si="668"/>
        <v>0</v>
      </c>
      <c r="S3128" s="306">
        <f t="shared" si="668"/>
        <v>0</v>
      </c>
      <c r="T3128" s="291"/>
    </row>
    <row r="3130" spans="1:20" ht="21" customHeight="1">
      <c r="A3130" s="1" t="s">
        <v>1737</v>
      </c>
    </row>
    <row r="3131" spans="1:20">
      <c r="A3131" s="287" t="s">
        <v>255</v>
      </c>
    </row>
    <row r="3132" spans="1:20">
      <c r="A3132" s="301" t="s">
        <v>1738</v>
      </c>
    </row>
    <row r="3133" spans="1:20">
      <c r="A3133" s="301" t="s">
        <v>736</v>
      </c>
    </row>
    <row r="3134" spans="1:20">
      <c r="A3134" s="301" t="s">
        <v>732</v>
      </c>
    </row>
    <row r="3135" spans="1:20">
      <c r="A3135" s="287" t="s">
        <v>737</v>
      </c>
    </row>
    <row r="3137" spans="1:20" ht="30">
      <c r="B3137" s="288" t="s">
        <v>60</v>
      </c>
      <c r="C3137" s="288" t="s">
        <v>220</v>
      </c>
      <c r="D3137" s="288" t="s">
        <v>221</v>
      </c>
      <c r="E3137" s="288" t="s">
        <v>222</v>
      </c>
      <c r="F3137" s="288" t="s">
        <v>223</v>
      </c>
      <c r="G3137" s="288" t="s">
        <v>224</v>
      </c>
      <c r="H3137" s="288" t="s">
        <v>225</v>
      </c>
      <c r="I3137" s="288" t="s">
        <v>226</v>
      </c>
      <c r="J3137" s="288" t="s">
        <v>227</v>
      </c>
      <c r="K3137" s="288" t="s">
        <v>208</v>
      </c>
      <c r="L3137" s="288" t="s">
        <v>618</v>
      </c>
      <c r="M3137" s="288" t="s">
        <v>619</v>
      </c>
      <c r="N3137" s="288" t="s">
        <v>620</v>
      </c>
      <c r="O3137" s="288" t="s">
        <v>621</v>
      </c>
      <c r="P3137" s="288" t="s">
        <v>622</v>
      </c>
      <c r="Q3137" s="288" t="s">
        <v>623</v>
      </c>
      <c r="R3137" s="288" t="s">
        <v>624</v>
      </c>
      <c r="S3137" s="288" t="s">
        <v>625</v>
      </c>
    </row>
    <row r="3138" spans="1:20">
      <c r="A3138" s="289" t="s">
        <v>98</v>
      </c>
      <c r="B3138" s="306">
        <f t="shared" ref="B3138:J3138" si="669">B3126*B$332*$E$14</f>
        <v>0</v>
      </c>
      <c r="C3138" s="306">
        <f t="shared" si="669"/>
        <v>3.0292579312743702E-2</v>
      </c>
      <c r="D3138" s="306">
        <f t="shared" si="669"/>
        <v>6.9343913287703736E-3</v>
      </c>
      <c r="E3138" s="306">
        <f t="shared" si="669"/>
        <v>7.145376109907748E-3</v>
      </c>
      <c r="F3138" s="306">
        <f t="shared" si="669"/>
        <v>1.3502707763248412E-2</v>
      </c>
      <c r="G3138" s="306">
        <f t="shared" si="669"/>
        <v>1.4394607357383002E-2</v>
      </c>
      <c r="H3138" s="306">
        <f t="shared" si="669"/>
        <v>4.5850084324210644E-2</v>
      </c>
      <c r="I3138" s="306">
        <f t="shared" si="669"/>
        <v>0</v>
      </c>
      <c r="J3138" s="306">
        <f t="shared" si="669"/>
        <v>0</v>
      </c>
      <c r="K3138" s="306">
        <f t="shared" ref="K3138:S3140" si="670">K3126*B$332*$E$14</f>
        <v>1.7248861987778037E-2</v>
      </c>
      <c r="L3138" s="306">
        <f t="shared" si="670"/>
        <v>1.4665304511393251E-2</v>
      </c>
      <c r="M3138" s="306">
        <f t="shared" si="670"/>
        <v>3.3570914971509415E-3</v>
      </c>
      <c r="N3138" s="306">
        <f t="shared" si="670"/>
        <v>3.459233874355103E-3</v>
      </c>
      <c r="O3138" s="306">
        <f t="shared" si="670"/>
        <v>6.5369580791387605E-3</v>
      </c>
      <c r="P3138" s="306">
        <f t="shared" si="670"/>
        <v>6.9687463070916469E-3</v>
      </c>
      <c r="Q3138" s="306">
        <f t="shared" si="670"/>
        <v>3.6201621467926534E-2</v>
      </c>
      <c r="R3138" s="306">
        <f t="shared" si="670"/>
        <v>0</v>
      </c>
      <c r="S3138" s="306">
        <f t="shared" si="670"/>
        <v>0</v>
      </c>
      <c r="T3138" s="291"/>
    </row>
    <row r="3139" spans="1:20">
      <c r="A3139" s="289" t="s">
        <v>99</v>
      </c>
      <c r="B3139" s="306">
        <f t="shared" ref="B3139:J3139" si="671">B3127*B$332*$E$14</f>
        <v>0</v>
      </c>
      <c r="C3139" s="306">
        <f t="shared" si="671"/>
        <v>3.0943171025812417E-2</v>
      </c>
      <c r="D3139" s="306">
        <f t="shared" si="671"/>
        <v>7.0833207905734363E-3</v>
      </c>
      <c r="E3139" s="306">
        <f t="shared" si="671"/>
        <v>7.2988368778361297E-3</v>
      </c>
      <c r="F3139" s="306">
        <f t="shared" si="671"/>
        <v>1.3792704520674159E-2</v>
      </c>
      <c r="G3139" s="306">
        <f t="shared" si="671"/>
        <v>1.4703759383128514E-2</v>
      </c>
      <c r="H3139" s="306">
        <f t="shared" si="671"/>
        <v>0</v>
      </c>
      <c r="I3139" s="306">
        <f t="shared" si="671"/>
        <v>0</v>
      </c>
      <c r="J3139" s="306">
        <f t="shared" si="671"/>
        <v>0</v>
      </c>
      <c r="K3139" s="306">
        <f t="shared" si="670"/>
        <v>1.7619314650565761E-2</v>
      </c>
      <c r="L3139" s="306">
        <f t="shared" si="670"/>
        <v>1.4980270281928604E-2</v>
      </c>
      <c r="M3139" s="306">
        <f t="shared" si="670"/>
        <v>3.4291915281688028E-3</v>
      </c>
      <c r="N3139" s="306">
        <f t="shared" si="670"/>
        <v>3.5335276104211909E-3</v>
      </c>
      <c r="O3139" s="306">
        <f t="shared" si="670"/>
        <v>6.6773518934474694E-3</v>
      </c>
      <c r="P3139" s="306">
        <f t="shared" si="670"/>
        <v>7.1184136084813509E-3</v>
      </c>
      <c r="Q3139" s="306">
        <f t="shared" si="670"/>
        <v>0</v>
      </c>
      <c r="R3139" s="306">
        <f t="shared" si="670"/>
        <v>0</v>
      </c>
      <c r="S3139" s="306">
        <f t="shared" si="670"/>
        <v>0</v>
      </c>
      <c r="T3139" s="291"/>
    </row>
    <row r="3140" spans="1:20">
      <c r="A3140" s="289" t="s">
        <v>111</v>
      </c>
      <c r="B3140" s="306">
        <f t="shared" ref="B3140:J3140" si="672">B3128*B$332*$E$14</f>
        <v>0</v>
      </c>
      <c r="C3140" s="306">
        <f t="shared" si="672"/>
        <v>2.0367551389606137E-2</v>
      </c>
      <c r="D3140" s="306">
        <f t="shared" si="672"/>
        <v>5.4120555907521883E-3</v>
      </c>
      <c r="E3140" s="306">
        <f t="shared" si="672"/>
        <v>4.4613776050635E-3</v>
      </c>
      <c r="F3140" s="306">
        <f t="shared" si="672"/>
        <v>0</v>
      </c>
      <c r="G3140" s="306">
        <f t="shared" si="672"/>
        <v>0</v>
      </c>
      <c r="H3140" s="306">
        <f t="shared" si="672"/>
        <v>0</v>
      </c>
      <c r="I3140" s="306">
        <f t="shared" si="672"/>
        <v>0</v>
      </c>
      <c r="J3140" s="306">
        <f t="shared" si="672"/>
        <v>0</v>
      </c>
      <c r="K3140" s="306">
        <f t="shared" si="670"/>
        <v>1.3462147653501472E-2</v>
      </c>
      <c r="L3140" s="306">
        <f t="shared" si="670"/>
        <v>9.8603800025165583E-3</v>
      </c>
      <c r="M3140" s="306">
        <f t="shared" si="670"/>
        <v>2.6200952534134138E-3</v>
      </c>
      <c r="N3140" s="306">
        <f t="shared" si="670"/>
        <v>2.1598511121514855E-3</v>
      </c>
      <c r="O3140" s="306">
        <f t="shared" si="670"/>
        <v>0</v>
      </c>
      <c r="P3140" s="306">
        <f t="shared" si="670"/>
        <v>0</v>
      </c>
      <c r="Q3140" s="306">
        <f t="shared" si="670"/>
        <v>0</v>
      </c>
      <c r="R3140" s="306">
        <f t="shared" si="670"/>
        <v>0</v>
      </c>
      <c r="S3140" s="306">
        <f t="shared" si="670"/>
        <v>0</v>
      </c>
      <c r="T3140" s="291"/>
    </row>
    <row r="3142" spans="1:20" ht="21" customHeight="1">
      <c r="A3142" s="1" t="s">
        <v>738</v>
      </c>
    </row>
    <row r="3143" spans="1:20">
      <c r="A3143" s="287" t="s">
        <v>255</v>
      </c>
    </row>
    <row r="3144" spans="1:20">
      <c r="A3144" s="301" t="s">
        <v>739</v>
      </c>
    </row>
    <row r="3145" spans="1:20">
      <c r="A3145" s="287" t="s">
        <v>735</v>
      </c>
    </row>
    <row r="3147" spans="1:20">
      <c r="B3147" s="288" t="s">
        <v>740</v>
      </c>
    </row>
    <row r="3148" spans="1:20">
      <c r="A3148" s="289" t="s">
        <v>101</v>
      </c>
      <c r="B3148" s="306">
        <f>ABS(B$935)</f>
        <v>1</v>
      </c>
      <c r="C3148" s="291"/>
    </row>
    <row r="3149" spans="1:20">
      <c r="A3149" s="289" t="s">
        <v>102</v>
      </c>
      <c r="B3149" s="306">
        <f>ABS(B$936)</f>
        <v>1</v>
      </c>
      <c r="C3149" s="291"/>
    </row>
    <row r="3150" spans="1:20">
      <c r="A3150" s="289" t="s">
        <v>103</v>
      </c>
      <c r="B3150" s="306">
        <f>ABS(B$937)</f>
        <v>1</v>
      </c>
      <c r="C3150" s="291"/>
    </row>
    <row r="3151" spans="1:20">
      <c r="A3151" s="289" t="s">
        <v>104</v>
      </c>
      <c r="B3151" s="306">
        <f>ABS(B$938)</f>
        <v>1</v>
      </c>
      <c r="C3151" s="291"/>
    </row>
    <row r="3152" spans="1:20">
      <c r="A3152" s="289" t="s">
        <v>112</v>
      </c>
      <c r="B3152" s="306">
        <f>ABS(B$939)</f>
        <v>1</v>
      </c>
      <c r="C3152" s="291"/>
    </row>
    <row r="3153" spans="1:20">
      <c r="A3153" s="289" t="s">
        <v>113</v>
      </c>
      <c r="B3153" s="306">
        <f>ABS(B$940)</f>
        <v>1</v>
      </c>
      <c r="C3153" s="291"/>
    </row>
    <row r="3155" spans="1:20" ht="21" customHeight="1">
      <c r="A3155" s="1" t="s">
        <v>741</v>
      </c>
    </row>
    <row r="3156" spans="1:20">
      <c r="A3156" s="287" t="s">
        <v>255</v>
      </c>
    </row>
    <row r="3157" spans="1:20">
      <c r="A3157" s="301" t="s">
        <v>713</v>
      </c>
    </row>
    <row r="3158" spans="1:20">
      <c r="A3158" s="301" t="s">
        <v>742</v>
      </c>
    </row>
    <row r="3159" spans="1:20">
      <c r="A3159" s="301" t="s">
        <v>299</v>
      </c>
    </row>
    <row r="3160" spans="1:20">
      <c r="A3160" s="301" t="s">
        <v>743</v>
      </c>
    </row>
    <row r="3161" spans="1:20">
      <c r="A3161" s="301" t="s">
        <v>744</v>
      </c>
    </row>
    <row r="3162" spans="1:20">
      <c r="A3162" s="301" t="s">
        <v>1739</v>
      </c>
    </row>
    <row r="3163" spans="1:20">
      <c r="A3163" s="301" t="s">
        <v>745</v>
      </c>
    </row>
    <row r="3164" spans="1:20">
      <c r="A3164" s="287" t="s">
        <v>746</v>
      </c>
    </row>
    <row r="3166" spans="1:20" ht="30">
      <c r="B3166" s="288" t="s">
        <v>60</v>
      </c>
      <c r="C3166" s="288" t="s">
        <v>220</v>
      </c>
      <c r="D3166" s="288" t="s">
        <v>221</v>
      </c>
      <c r="E3166" s="288" t="s">
        <v>222</v>
      </c>
      <c r="F3166" s="288" t="s">
        <v>223</v>
      </c>
      <c r="G3166" s="288" t="s">
        <v>224</v>
      </c>
      <c r="H3166" s="288" t="s">
        <v>225</v>
      </c>
      <c r="I3166" s="288" t="s">
        <v>226</v>
      </c>
      <c r="J3166" s="288" t="s">
        <v>227</v>
      </c>
      <c r="K3166" s="288" t="s">
        <v>208</v>
      </c>
      <c r="L3166" s="288" t="s">
        <v>618</v>
      </c>
      <c r="M3166" s="288" t="s">
        <v>619</v>
      </c>
      <c r="N3166" s="288" t="s">
        <v>620</v>
      </c>
      <c r="O3166" s="288" t="s">
        <v>621</v>
      </c>
      <c r="P3166" s="288" t="s">
        <v>622</v>
      </c>
      <c r="Q3166" s="288" t="s">
        <v>623</v>
      </c>
      <c r="R3166" s="288" t="s">
        <v>624</v>
      </c>
      <c r="S3166" s="288" t="s">
        <v>625</v>
      </c>
    </row>
    <row r="3167" spans="1:20">
      <c r="A3167" s="289" t="s">
        <v>101</v>
      </c>
      <c r="B3167" s="306">
        <f t="shared" ref="B3167:J3167" si="673">B$2759*$B$3148*$I$368/B$410*(1-B$2742)*B3113/(24*$F$14)*100</f>
        <v>0</v>
      </c>
      <c r="C3167" s="306">
        <f t="shared" si="673"/>
        <v>7.6795746678224613E-2</v>
      </c>
      <c r="D3167" s="306">
        <f t="shared" si="673"/>
        <v>5.718167077704181E-2</v>
      </c>
      <c r="E3167" s="306">
        <f t="shared" si="673"/>
        <v>5.8921471968230527E-2</v>
      </c>
      <c r="F3167" s="306">
        <f t="shared" si="673"/>
        <v>0.11134465208406251</v>
      </c>
      <c r="G3167" s="306">
        <f t="shared" si="673"/>
        <v>5.2691407825862374E-2</v>
      </c>
      <c r="H3167" s="306">
        <f t="shared" si="673"/>
        <v>0.14529513253828633</v>
      </c>
      <c r="I3167" s="306">
        <f t="shared" si="673"/>
        <v>3.8357997230994839E-2</v>
      </c>
      <c r="J3167" s="306">
        <f t="shared" si="673"/>
        <v>2.5423337681803868E-2</v>
      </c>
      <c r="K3167" s="306">
        <f t="shared" ref="K3167:S3167" si="674">K$2759*$B$3148*$I$368/B$410*(1-K$2742)*B3113/(24*$F$14)*100</f>
        <v>4.3728175868596349E-2</v>
      </c>
      <c r="L3167" s="306">
        <f t="shared" si="674"/>
        <v>3.7178511561813052E-2</v>
      </c>
      <c r="M3167" s="306">
        <f t="shared" si="674"/>
        <v>2.7682905630382296E-2</v>
      </c>
      <c r="N3167" s="306">
        <f t="shared" si="674"/>
        <v>2.8525181687321873E-2</v>
      </c>
      <c r="O3167" s="306">
        <f t="shared" si="674"/>
        <v>5.3904397234373909E-2</v>
      </c>
      <c r="P3167" s="306">
        <f t="shared" si="674"/>
        <v>2.550907048628907E-2</v>
      </c>
      <c r="Q3167" s="306">
        <f t="shared" si="674"/>
        <v>0.11471995017696872</v>
      </c>
      <c r="R3167" s="306">
        <f t="shared" si="674"/>
        <v>5.1762677605790355E-2</v>
      </c>
      <c r="S3167" s="306">
        <f t="shared" si="674"/>
        <v>0.11794558436288083</v>
      </c>
      <c r="T3167" s="291"/>
    </row>
    <row r="3168" spans="1:20">
      <c r="A3168" s="289" t="s">
        <v>102</v>
      </c>
      <c r="B3168" s="306">
        <f t="shared" ref="B3168:J3168" si="675">B$2759*$B$3149*$I$369/B$410*(1-B$2743)*B3114/(24*$F$14)*100</f>
        <v>0</v>
      </c>
      <c r="C3168" s="306">
        <f t="shared" si="675"/>
        <v>7.6795746678224613E-2</v>
      </c>
      <c r="D3168" s="306">
        <f t="shared" si="675"/>
        <v>5.718167077704181E-2</v>
      </c>
      <c r="E3168" s="306">
        <f t="shared" si="675"/>
        <v>5.8921471968230527E-2</v>
      </c>
      <c r="F3168" s="306">
        <f t="shared" si="675"/>
        <v>0.11134465208406251</v>
      </c>
      <c r="G3168" s="306">
        <f t="shared" si="675"/>
        <v>5.2691407825862374E-2</v>
      </c>
      <c r="H3168" s="306">
        <f t="shared" si="675"/>
        <v>0.14529513253828633</v>
      </c>
      <c r="I3168" s="306">
        <f t="shared" si="675"/>
        <v>3.8357997230994839E-2</v>
      </c>
      <c r="J3168" s="306">
        <f t="shared" si="675"/>
        <v>2.5423337681803868E-2</v>
      </c>
      <c r="K3168" s="306">
        <f t="shared" ref="K3168:S3168" si="676">K$2759*$B$3149*$I$369/B$410*(1-K$2743)*B3114/(24*$F$14)*100</f>
        <v>4.3728175868596349E-2</v>
      </c>
      <c r="L3168" s="306">
        <f t="shared" si="676"/>
        <v>3.7178511561813052E-2</v>
      </c>
      <c r="M3168" s="306">
        <f t="shared" si="676"/>
        <v>2.7682905630382296E-2</v>
      </c>
      <c r="N3168" s="306">
        <f t="shared" si="676"/>
        <v>2.8525181687321873E-2</v>
      </c>
      <c r="O3168" s="306">
        <f t="shared" si="676"/>
        <v>5.3904397234373909E-2</v>
      </c>
      <c r="P3168" s="306">
        <f t="shared" si="676"/>
        <v>2.550907048628907E-2</v>
      </c>
      <c r="Q3168" s="306">
        <f t="shared" si="676"/>
        <v>0.11471995017696872</v>
      </c>
      <c r="R3168" s="306">
        <f t="shared" si="676"/>
        <v>5.1762677605790355E-2</v>
      </c>
      <c r="S3168" s="306">
        <f t="shared" si="676"/>
        <v>0.11794558436288083</v>
      </c>
      <c r="T3168" s="291"/>
    </row>
    <row r="3169" spans="1:20">
      <c r="A3169" s="289" t="s">
        <v>103</v>
      </c>
      <c r="B3169" s="306">
        <f t="shared" ref="B3169:J3169" si="677">B$2759*$B$3150*$I$370/B$410*(1-B$2744)*B3115/(24*$F$14)*100</f>
        <v>0</v>
      </c>
      <c r="C3169" s="306">
        <f t="shared" si="677"/>
        <v>7.5594709241674649E-2</v>
      </c>
      <c r="D3169" s="306">
        <f t="shared" si="677"/>
        <v>5.6287385217511254E-2</v>
      </c>
      <c r="E3169" s="306">
        <f t="shared" si="677"/>
        <v>5.7999977006445894E-2</v>
      </c>
      <c r="F3169" s="306">
        <f t="shared" si="677"/>
        <v>0.10960329137989597</v>
      </c>
      <c r="G3169" s="306">
        <f t="shared" si="677"/>
        <v>5.1867347169892122E-2</v>
      </c>
      <c r="H3169" s="306">
        <f t="shared" si="677"/>
        <v>0.14302280755838673</v>
      </c>
      <c r="I3169" s="306">
        <f t="shared" si="677"/>
        <v>3.7758102150105319E-2</v>
      </c>
      <c r="J3169" s="306">
        <f t="shared" si="677"/>
        <v>0</v>
      </c>
      <c r="K3169" s="306">
        <f t="shared" ref="K3169:S3169" si="678">K$2759*$B$3150*$I$370/B$410*(1-K$2744)*B3115/(24*$F$14)*100</f>
        <v>4.3044294553264119E-2</v>
      </c>
      <c r="L3169" s="306">
        <f t="shared" si="678"/>
        <v>3.6597062898932817E-2</v>
      </c>
      <c r="M3169" s="306">
        <f t="shared" si="678"/>
        <v>2.7249962304056175E-2</v>
      </c>
      <c r="N3169" s="306">
        <f t="shared" si="678"/>
        <v>2.8079065690372045E-2</v>
      </c>
      <c r="O3169" s="306">
        <f t="shared" si="678"/>
        <v>5.306136618287037E-2</v>
      </c>
      <c r="P3169" s="306">
        <f t="shared" si="678"/>
        <v>2.5110124581719694E-2</v>
      </c>
      <c r="Q3169" s="306">
        <f t="shared" si="678"/>
        <v>0.11292580192213111</v>
      </c>
      <c r="R3169" s="306">
        <f t="shared" si="678"/>
        <v>5.0953141709471662E-2</v>
      </c>
      <c r="S3169" s="306">
        <f t="shared" si="678"/>
        <v>0</v>
      </c>
      <c r="T3169" s="291"/>
    </row>
    <row r="3170" spans="1:20">
      <c r="A3170" s="289" t="s">
        <v>104</v>
      </c>
      <c r="B3170" s="306">
        <f t="shared" ref="B3170:J3170" si="679">B$2759*$B$3151*$I$371/B$410*(1-B$2745)*B3116/(24*$F$14)*100</f>
        <v>0</v>
      </c>
      <c r="C3170" s="306">
        <f t="shared" si="679"/>
        <v>7.5594709241674649E-2</v>
      </c>
      <c r="D3170" s="306">
        <f t="shared" si="679"/>
        <v>5.6287385217511254E-2</v>
      </c>
      <c r="E3170" s="306">
        <f t="shared" si="679"/>
        <v>5.7999977006445894E-2</v>
      </c>
      <c r="F3170" s="306">
        <f t="shared" si="679"/>
        <v>0.10960329137989597</v>
      </c>
      <c r="G3170" s="306">
        <f t="shared" si="679"/>
        <v>5.1867347169892122E-2</v>
      </c>
      <c r="H3170" s="306">
        <f t="shared" si="679"/>
        <v>0.14302280755838673</v>
      </c>
      <c r="I3170" s="306">
        <f t="shared" si="679"/>
        <v>3.7758102150105319E-2</v>
      </c>
      <c r="J3170" s="306">
        <f t="shared" si="679"/>
        <v>0</v>
      </c>
      <c r="K3170" s="306">
        <f t="shared" ref="K3170:S3170" si="680">K$2759*$B$3151*$I$371/B$410*(1-K$2745)*B3116/(24*$F$14)*100</f>
        <v>4.3044294553264119E-2</v>
      </c>
      <c r="L3170" s="306">
        <f t="shared" si="680"/>
        <v>3.6597062898932817E-2</v>
      </c>
      <c r="M3170" s="306">
        <f t="shared" si="680"/>
        <v>2.7249962304056175E-2</v>
      </c>
      <c r="N3170" s="306">
        <f t="shared" si="680"/>
        <v>2.8079065690372045E-2</v>
      </c>
      <c r="O3170" s="306">
        <f t="shared" si="680"/>
        <v>5.306136618287037E-2</v>
      </c>
      <c r="P3170" s="306">
        <f t="shared" si="680"/>
        <v>2.5110124581719694E-2</v>
      </c>
      <c r="Q3170" s="306">
        <f t="shared" si="680"/>
        <v>0.11292580192213111</v>
      </c>
      <c r="R3170" s="306">
        <f t="shared" si="680"/>
        <v>5.0953141709471662E-2</v>
      </c>
      <c r="S3170" s="306">
        <f t="shared" si="680"/>
        <v>0</v>
      </c>
      <c r="T3170" s="291"/>
    </row>
    <row r="3171" spans="1:20">
      <c r="A3171" s="289" t="s">
        <v>112</v>
      </c>
      <c r="B3171" s="306">
        <f t="shared" ref="B3171:J3171" si="681">B$2759*$B$3152*$I$372/B$410*(1-B$2746)*B3117/(24*$F$14)*100</f>
        <v>0</v>
      </c>
      <c r="C3171" s="306">
        <f t="shared" si="681"/>
        <v>7.4252373283177617E-2</v>
      </c>
      <c r="D3171" s="306">
        <f t="shared" si="681"/>
        <v>5.5287889592153569E-2</v>
      </c>
      <c r="E3171" s="306">
        <f t="shared" si="681"/>
        <v>5.697007087268656E-2</v>
      </c>
      <c r="F3171" s="306">
        <f t="shared" si="681"/>
        <v>7.9920183421284471E-2</v>
      </c>
      <c r="G3171" s="306">
        <f t="shared" si="681"/>
        <v>3.7820469141071456E-2</v>
      </c>
      <c r="H3171" s="306">
        <f t="shared" si="681"/>
        <v>0.11105709604038323</v>
      </c>
      <c r="I3171" s="306">
        <f t="shared" si="681"/>
        <v>0</v>
      </c>
      <c r="J3171" s="306">
        <f t="shared" si="681"/>
        <v>0</v>
      </c>
      <c r="K3171" s="306">
        <f t="shared" ref="K3171:S3171" si="682">K$2759*$B$3152*$I$372/B$410*(1-K$2746)*B3117/(24*$F$14)*100</f>
        <v>4.2279956612598674E-2</v>
      </c>
      <c r="L3171" s="306">
        <f t="shared" si="682"/>
        <v>3.5947208511007842E-2</v>
      </c>
      <c r="M3171" s="306">
        <f t="shared" si="682"/>
        <v>2.6766084468750496E-2</v>
      </c>
      <c r="N3171" s="306">
        <f t="shared" si="682"/>
        <v>2.7580465458486927E-2</v>
      </c>
      <c r="O3171" s="306">
        <f t="shared" si="682"/>
        <v>5.2119155007660518E-2</v>
      </c>
      <c r="P3171" s="306">
        <f t="shared" si="682"/>
        <v>2.4664243864848032E-2</v>
      </c>
      <c r="Q3171" s="306">
        <f t="shared" si="682"/>
        <v>0.11092057740201849</v>
      </c>
      <c r="R3171" s="306">
        <f t="shared" si="682"/>
        <v>0</v>
      </c>
      <c r="S3171" s="306">
        <f t="shared" si="682"/>
        <v>0</v>
      </c>
      <c r="T3171" s="291"/>
    </row>
    <row r="3172" spans="1:20">
      <c r="A3172" s="289" t="s">
        <v>113</v>
      </c>
      <c r="B3172" s="306">
        <f t="shared" ref="B3172:J3172" si="683">B$2759*$B$3153*$I$373/B$410*(1-B$2747)*B3118/(24*$F$14)*100</f>
        <v>0</v>
      </c>
      <c r="C3172" s="306">
        <f t="shared" si="683"/>
        <v>7.4252373283177617E-2</v>
      </c>
      <c r="D3172" s="306">
        <f t="shared" si="683"/>
        <v>5.5287889592153569E-2</v>
      </c>
      <c r="E3172" s="306">
        <f t="shared" si="683"/>
        <v>5.697007087268656E-2</v>
      </c>
      <c r="F3172" s="306">
        <f t="shared" si="683"/>
        <v>7.9920183421284471E-2</v>
      </c>
      <c r="G3172" s="306">
        <f t="shared" si="683"/>
        <v>3.7820469141071456E-2</v>
      </c>
      <c r="H3172" s="306">
        <f t="shared" si="683"/>
        <v>0.11105709604038323</v>
      </c>
      <c r="I3172" s="306">
        <f t="shared" si="683"/>
        <v>0</v>
      </c>
      <c r="J3172" s="306">
        <f t="shared" si="683"/>
        <v>0</v>
      </c>
      <c r="K3172" s="306">
        <f t="shared" ref="K3172:S3172" si="684">K$2759*$B$3153*$I$373/B$410*(1-K$2747)*B3118/(24*$F$14)*100</f>
        <v>4.2279956612598674E-2</v>
      </c>
      <c r="L3172" s="306">
        <f t="shared" si="684"/>
        <v>3.5947208511007842E-2</v>
      </c>
      <c r="M3172" s="306">
        <f t="shared" si="684"/>
        <v>2.6766084468750496E-2</v>
      </c>
      <c r="N3172" s="306">
        <f t="shared" si="684"/>
        <v>2.7580465458486927E-2</v>
      </c>
      <c r="O3172" s="306">
        <f t="shared" si="684"/>
        <v>5.2119155007660518E-2</v>
      </c>
      <c r="P3172" s="306">
        <f t="shared" si="684"/>
        <v>2.4664243864848032E-2</v>
      </c>
      <c r="Q3172" s="306">
        <f t="shared" si="684"/>
        <v>0.11092057740201849</v>
      </c>
      <c r="R3172" s="306">
        <f t="shared" si="684"/>
        <v>0</v>
      </c>
      <c r="S3172" s="306">
        <f t="shared" si="684"/>
        <v>0</v>
      </c>
      <c r="T3172" s="291"/>
    </row>
    <row r="3174" spans="1:20" ht="21" customHeight="1">
      <c r="A3174" s="1" t="s">
        <v>747</v>
      </c>
    </row>
    <row r="3175" spans="1:20">
      <c r="A3175" s="287" t="s">
        <v>255</v>
      </c>
    </row>
    <row r="3176" spans="1:20">
      <c r="A3176" s="301" t="s">
        <v>748</v>
      </c>
    </row>
    <row r="3177" spans="1:20">
      <c r="A3177" s="301" t="s">
        <v>736</v>
      </c>
    </row>
    <row r="3178" spans="1:20">
      <c r="A3178" s="301" t="s">
        <v>732</v>
      </c>
    </row>
    <row r="3179" spans="1:20">
      <c r="A3179" s="287" t="s">
        <v>737</v>
      </c>
    </row>
    <row r="3181" spans="1:20" ht="30">
      <c r="B3181" s="288" t="s">
        <v>60</v>
      </c>
      <c r="C3181" s="288" t="s">
        <v>220</v>
      </c>
      <c r="D3181" s="288" t="s">
        <v>221</v>
      </c>
      <c r="E3181" s="288" t="s">
        <v>222</v>
      </c>
      <c r="F3181" s="288" t="s">
        <v>223</v>
      </c>
      <c r="G3181" s="288" t="s">
        <v>224</v>
      </c>
      <c r="H3181" s="288" t="s">
        <v>225</v>
      </c>
      <c r="I3181" s="288" t="s">
        <v>226</v>
      </c>
      <c r="J3181" s="288" t="s">
        <v>227</v>
      </c>
      <c r="K3181" s="288" t="s">
        <v>208</v>
      </c>
      <c r="L3181" s="288" t="s">
        <v>618</v>
      </c>
      <c r="M3181" s="288" t="s">
        <v>619</v>
      </c>
      <c r="N3181" s="288" t="s">
        <v>620</v>
      </c>
      <c r="O3181" s="288" t="s">
        <v>621</v>
      </c>
      <c r="P3181" s="288" t="s">
        <v>622</v>
      </c>
      <c r="Q3181" s="288" t="s">
        <v>623</v>
      </c>
      <c r="R3181" s="288" t="s">
        <v>624</v>
      </c>
      <c r="S3181" s="288" t="s">
        <v>625</v>
      </c>
    </row>
    <row r="3182" spans="1:20">
      <c r="A3182" s="289" t="s">
        <v>101</v>
      </c>
      <c r="B3182" s="306">
        <f t="shared" ref="B3182:J3182" si="685">B3167*B$332*$E$14</f>
        <v>0</v>
      </c>
      <c r="C3182" s="306">
        <f t="shared" si="685"/>
        <v>2.0505156765747146E-2</v>
      </c>
      <c r="D3182" s="306">
        <f t="shared" si="685"/>
        <v>1.526802165650473E-2</v>
      </c>
      <c r="E3182" s="306">
        <f t="shared" si="685"/>
        <v>1.5732564260876256E-2</v>
      </c>
      <c r="F3182" s="306">
        <f t="shared" si="685"/>
        <v>2.973002600752965E-2</v>
      </c>
      <c r="G3182" s="306">
        <f t="shared" si="685"/>
        <v>1.4069080963615185E-2</v>
      </c>
      <c r="H3182" s="306">
        <f t="shared" si="685"/>
        <v>3.8795110391736692E-2</v>
      </c>
      <c r="I3182" s="306">
        <f t="shared" si="685"/>
        <v>1.0241931102476879E-2</v>
      </c>
      <c r="J3182" s="306">
        <f t="shared" si="685"/>
        <v>6.7882603818960191E-3</v>
      </c>
      <c r="K3182" s="306">
        <f t="shared" ref="K3182:S3187" si="686">K3167*B$332*$E$14</f>
        <v>1.1675817217100839E-2</v>
      </c>
      <c r="L3182" s="306">
        <f t="shared" si="686"/>
        <v>9.9269977943750309E-3</v>
      </c>
      <c r="M3182" s="306">
        <f t="shared" si="686"/>
        <v>7.3915853967903133E-3</v>
      </c>
      <c r="N3182" s="306">
        <f t="shared" si="686"/>
        <v>7.6164806980880163E-3</v>
      </c>
      <c r="O3182" s="306">
        <f t="shared" si="686"/>
        <v>1.4392960072193116E-2</v>
      </c>
      <c r="P3182" s="306">
        <f t="shared" si="686"/>
        <v>6.8111518136741633E-3</v>
      </c>
      <c r="Q3182" s="306">
        <f t="shared" si="686"/>
        <v>3.0631261030559825E-2</v>
      </c>
      <c r="R3182" s="306">
        <f t="shared" si="686"/>
        <v>1.382110162127664E-2</v>
      </c>
      <c r="S3182" s="306">
        <f t="shared" si="686"/>
        <v>3.1492534441028994E-2</v>
      </c>
      <c r="T3182" s="291"/>
    </row>
    <row r="3183" spans="1:20">
      <c r="A3183" s="289" t="s">
        <v>102</v>
      </c>
      <c r="B3183" s="306">
        <f t="shared" ref="B3183:J3183" si="687">B3168*B$332*$E$14</f>
        <v>0</v>
      </c>
      <c r="C3183" s="306">
        <f t="shared" si="687"/>
        <v>2.0505156765747146E-2</v>
      </c>
      <c r="D3183" s="306">
        <f t="shared" si="687"/>
        <v>1.526802165650473E-2</v>
      </c>
      <c r="E3183" s="306">
        <f t="shared" si="687"/>
        <v>1.5732564260876256E-2</v>
      </c>
      <c r="F3183" s="306">
        <f t="shared" si="687"/>
        <v>2.973002600752965E-2</v>
      </c>
      <c r="G3183" s="306">
        <f t="shared" si="687"/>
        <v>1.4069080963615185E-2</v>
      </c>
      <c r="H3183" s="306">
        <f t="shared" si="687"/>
        <v>3.8795110391736692E-2</v>
      </c>
      <c r="I3183" s="306">
        <f t="shared" si="687"/>
        <v>1.0241931102476879E-2</v>
      </c>
      <c r="J3183" s="306">
        <f t="shared" si="687"/>
        <v>6.7882603818960191E-3</v>
      </c>
      <c r="K3183" s="306">
        <f t="shared" si="686"/>
        <v>1.1675817217100839E-2</v>
      </c>
      <c r="L3183" s="306">
        <f t="shared" si="686"/>
        <v>9.9269977943750309E-3</v>
      </c>
      <c r="M3183" s="306">
        <f t="shared" si="686"/>
        <v>7.3915853967903133E-3</v>
      </c>
      <c r="N3183" s="306">
        <f t="shared" si="686"/>
        <v>7.6164806980880163E-3</v>
      </c>
      <c r="O3183" s="306">
        <f t="shared" si="686"/>
        <v>1.4392960072193116E-2</v>
      </c>
      <c r="P3183" s="306">
        <f t="shared" si="686"/>
        <v>6.8111518136741633E-3</v>
      </c>
      <c r="Q3183" s="306">
        <f t="shared" si="686"/>
        <v>3.0631261030559825E-2</v>
      </c>
      <c r="R3183" s="306">
        <f t="shared" si="686"/>
        <v>1.382110162127664E-2</v>
      </c>
      <c r="S3183" s="306">
        <f t="shared" si="686"/>
        <v>3.1492534441028994E-2</v>
      </c>
      <c r="T3183" s="291"/>
    </row>
    <row r="3184" spans="1:20">
      <c r="A3184" s="289" t="s">
        <v>103</v>
      </c>
      <c r="B3184" s="306">
        <f t="shared" ref="B3184:J3184" si="688">B3169*B$332*$E$14</f>
        <v>0</v>
      </c>
      <c r="C3184" s="306">
        <f t="shared" si="688"/>
        <v>2.0184468941443833E-2</v>
      </c>
      <c r="D3184" s="306">
        <f t="shared" si="688"/>
        <v>1.5029239349089294E-2</v>
      </c>
      <c r="E3184" s="306">
        <f t="shared" si="688"/>
        <v>1.5486516797734683E-2</v>
      </c>
      <c r="F3184" s="306">
        <f t="shared" si="688"/>
        <v>2.9265066999132231E-2</v>
      </c>
      <c r="G3184" s="306">
        <f t="shared" si="688"/>
        <v>1.3849049338609244E-2</v>
      </c>
      <c r="H3184" s="306">
        <f t="shared" si="688"/>
        <v>3.8188379134460222E-2</v>
      </c>
      <c r="I3184" s="306">
        <f t="shared" si="688"/>
        <v>1.0081753707129954E-2</v>
      </c>
      <c r="J3184" s="306">
        <f t="shared" si="688"/>
        <v>0</v>
      </c>
      <c r="K3184" s="306">
        <f t="shared" si="686"/>
        <v>1.1493214739924469E-2</v>
      </c>
      <c r="L3184" s="306">
        <f t="shared" si="686"/>
        <v>9.7717457589524253E-3</v>
      </c>
      <c r="M3184" s="306">
        <f t="shared" si="686"/>
        <v>7.2759856251753789E-3</v>
      </c>
      <c r="N3184" s="306">
        <f t="shared" si="686"/>
        <v>7.4973637046496606E-3</v>
      </c>
      <c r="O3184" s="306">
        <f t="shared" si="686"/>
        <v>1.4167863180539685E-2</v>
      </c>
      <c r="P3184" s="306">
        <f t="shared" si="686"/>
        <v>6.7046296601944392E-3</v>
      </c>
      <c r="Q3184" s="306">
        <f t="shared" si="686"/>
        <v>3.0152207270192279E-2</v>
      </c>
      <c r="R3184" s="306">
        <f t="shared" si="686"/>
        <v>1.3604948238055208E-2</v>
      </c>
      <c r="S3184" s="306">
        <f t="shared" si="686"/>
        <v>0</v>
      </c>
      <c r="T3184" s="291"/>
    </row>
    <row r="3185" spans="1:20">
      <c r="A3185" s="289" t="s">
        <v>104</v>
      </c>
      <c r="B3185" s="306">
        <f t="shared" ref="B3185:J3185" si="689">B3170*B$332*$E$14</f>
        <v>0</v>
      </c>
      <c r="C3185" s="306">
        <f t="shared" si="689"/>
        <v>2.0184468941443833E-2</v>
      </c>
      <c r="D3185" s="306">
        <f t="shared" si="689"/>
        <v>1.5029239349089294E-2</v>
      </c>
      <c r="E3185" s="306">
        <f t="shared" si="689"/>
        <v>1.5486516797734683E-2</v>
      </c>
      <c r="F3185" s="306">
        <f t="shared" si="689"/>
        <v>2.9265066999132231E-2</v>
      </c>
      <c r="G3185" s="306">
        <f t="shared" si="689"/>
        <v>1.3849049338609244E-2</v>
      </c>
      <c r="H3185" s="306">
        <f t="shared" si="689"/>
        <v>3.8188379134460222E-2</v>
      </c>
      <c r="I3185" s="306">
        <f t="shared" si="689"/>
        <v>1.0081753707129954E-2</v>
      </c>
      <c r="J3185" s="306">
        <f t="shared" si="689"/>
        <v>0</v>
      </c>
      <c r="K3185" s="306">
        <f t="shared" si="686"/>
        <v>1.1493214739924469E-2</v>
      </c>
      <c r="L3185" s="306">
        <f t="shared" si="686"/>
        <v>9.7717457589524253E-3</v>
      </c>
      <c r="M3185" s="306">
        <f t="shared" si="686"/>
        <v>7.2759856251753789E-3</v>
      </c>
      <c r="N3185" s="306">
        <f t="shared" si="686"/>
        <v>7.4973637046496606E-3</v>
      </c>
      <c r="O3185" s="306">
        <f t="shared" si="686"/>
        <v>1.4167863180539685E-2</v>
      </c>
      <c r="P3185" s="306">
        <f t="shared" si="686"/>
        <v>6.7046296601944392E-3</v>
      </c>
      <c r="Q3185" s="306">
        <f t="shared" si="686"/>
        <v>3.0152207270192279E-2</v>
      </c>
      <c r="R3185" s="306">
        <f t="shared" si="686"/>
        <v>1.3604948238055208E-2</v>
      </c>
      <c r="S3185" s="306">
        <f t="shared" si="686"/>
        <v>0</v>
      </c>
      <c r="T3185" s="291"/>
    </row>
    <row r="3186" spans="1:20">
      <c r="A3186" s="289" t="s">
        <v>112</v>
      </c>
      <c r="B3186" s="306">
        <f t="shared" ref="B3186:J3186" si="690">B3171*B$332*$E$14</f>
        <v>0</v>
      </c>
      <c r="C3186" s="306">
        <f t="shared" si="690"/>
        <v>1.9826053137810721E-2</v>
      </c>
      <c r="D3186" s="306">
        <f t="shared" si="690"/>
        <v>1.4762365005507334E-2</v>
      </c>
      <c r="E3186" s="306">
        <f t="shared" si="690"/>
        <v>1.52115225742235E-2</v>
      </c>
      <c r="F3186" s="306">
        <f t="shared" si="690"/>
        <v>2.1339409546562532E-2</v>
      </c>
      <c r="G3186" s="306">
        <f t="shared" si="690"/>
        <v>1.0098406256028621E-2</v>
      </c>
      <c r="H3186" s="306">
        <f t="shared" si="690"/>
        <v>2.9653245951216278E-2</v>
      </c>
      <c r="I3186" s="306">
        <f t="shared" si="690"/>
        <v>0</v>
      </c>
      <c r="J3186" s="306">
        <f t="shared" si="690"/>
        <v>0</v>
      </c>
      <c r="K3186" s="306">
        <f t="shared" si="686"/>
        <v>1.1289129618374407E-2</v>
      </c>
      <c r="L3186" s="306">
        <f t="shared" si="686"/>
        <v>9.5982287781859795E-3</v>
      </c>
      <c r="M3186" s="306">
        <f t="shared" si="686"/>
        <v>7.1467858804292721E-3</v>
      </c>
      <c r="N3186" s="306">
        <f t="shared" si="686"/>
        <v>7.3642329472773747E-3</v>
      </c>
      <c r="O3186" s="306">
        <f t="shared" si="686"/>
        <v>1.3916284301632904E-2</v>
      </c>
      <c r="P3186" s="306">
        <f t="shared" si="686"/>
        <v>6.5855754886582751E-3</v>
      </c>
      <c r="Q3186" s="306">
        <f t="shared" si="686"/>
        <v>2.9616794243899142E-2</v>
      </c>
      <c r="R3186" s="306">
        <f t="shared" si="686"/>
        <v>0</v>
      </c>
      <c r="S3186" s="306">
        <f t="shared" si="686"/>
        <v>0</v>
      </c>
      <c r="T3186" s="291"/>
    </row>
    <row r="3187" spans="1:20">
      <c r="A3187" s="289" t="s">
        <v>113</v>
      </c>
      <c r="B3187" s="306">
        <f t="shared" ref="B3187:J3187" si="691">B3172*B$332*$E$14</f>
        <v>0</v>
      </c>
      <c r="C3187" s="306">
        <f t="shared" si="691"/>
        <v>1.9826053137810721E-2</v>
      </c>
      <c r="D3187" s="306">
        <f t="shared" si="691"/>
        <v>1.4762365005507334E-2</v>
      </c>
      <c r="E3187" s="306">
        <f t="shared" si="691"/>
        <v>1.52115225742235E-2</v>
      </c>
      <c r="F3187" s="306">
        <f t="shared" si="691"/>
        <v>2.1339409546562532E-2</v>
      </c>
      <c r="G3187" s="306">
        <f t="shared" si="691"/>
        <v>1.0098406256028621E-2</v>
      </c>
      <c r="H3187" s="306">
        <f t="shared" si="691"/>
        <v>2.9653245951216278E-2</v>
      </c>
      <c r="I3187" s="306">
        <f t="shared" si="691"/>
        <v>0</v>
      </c>
      <c r="J3187" s="306">
        <f t="shared" si="691"/>
        <v>0</v>
      </c>
      <c r="K3187" s="306">
        <f t="shared" si="686"/>
        <v>1.1289129618374407E-2</v>
      </c>
      <c r="L3187" s="306">
        <f t="shared" si="686"/>
        <v>9.5982287781859795E-3</v>
      </c>
      <c r="M3187" s="306">
        <f t="shared" si="686"/>
        <v>7.1467858804292721E-3</v>
      </c>
      <c r="N3187" s="306">
        <f t="shared" si="686"/>
        <v>7.3642329472773747E-3</v>
      </c>
      <c r="O3187" s="306">
        <f t="shared" si="686"/>
        <v>1.3916284301632904E-2</v>
      </c>
      <c r="P3187" s="306">
        <f t="shared" si="686"/>
        <v>6.5855754886582751E-3</v>
      </c>
      <c r="Q3187" s="306">
        <f t="shared" si="686"/>
        <v>2.9616794243899142E-2</v>
      </c>
      <c r="R3187" s="306">
        <f t="shared" si="686"/>
        <v>0</v>
      </c>
      <c r="S3187" s="306">
        <f t="shared" si="686"/>
        <v>0</v>
      </c>
      <c r="T3187" s="291"/>
    </row>
    <row r="3189" spans="1:20" ht="21" customHeight="1">
      <c r="A3189" s="1" t="str">
        <f>"Aggregation for "&amp;CDCM!B7&amp;" in "&amp;CDCM!C7&amp;" ("&amp;CDCM!D7&amp;")"</f>
        <v>Aggregation for West Mids in 0 (Forecast)</v>
      </c>
    </row>
    <row r="3190" spans="1:20">
      <c r="A3190" s="287" t="s">
        <v>749</v>
      </c>
    </row>
    <row r="3192" spans="1:20" ht="21" customHeight="1">
      <c r="A3192" s="1" t="s">
        <v>750</v>
      </c>
    </row>
    <row r="3193" spans="1:20">
      <c r="A3193" s="287" t="s">
        <v>255</v>
      </c>
    </row>
    <row r="3194" spans="1:20">
      <c r="A3194" s="301" t="s">
        <v>1495</v>
      </c>
    </row>
    <row r="3195" spans="1:20">
      <c r="A3195" s="301" t="s">
        <v>1548</v>
      </c>
    </row>
    <row r="3196" spans="1:20">
      <c r="A3196" s="301" t="s">
        <v>1547</v>
      </c>
    </row>
    <row r="3197" spans="1:20">
      <c r="A3197" s="301" t="s">
        <v>1546</v>
      </c>
    </row>
    <row r="3198" spans="1:20">
      <c r="A3198" s="301" t="s">
        <v>1740</v>
      </c>
    </row>
    <row r="3199" spans="1:20">
      <c r="A3199" s="301" t="s">
        <v>1545</v>
      </c>
    </row>
    <row r="3200" spans="1:20">
      <c r="A3200" s="287" t="s">
        <v>287</v>
      </c>
    </row>
    <row r="3202" spans="1:24" ht="30">
      <c r="B3202" s="288" t="s">
        <v>60</v>
      </c>
      <c r="C3202" s="288" t="s">
        <v>220</v>
      </c>
      <c r="D3202" s="288" t="s">
        <v>221</v>
      </c>
      <c r="E3202" s="288" t="s">
        <v>222</v>
      </c>
      <c r="F3202" s="288" t="s">
        <v>223</v>
      </c>
      <c r="G3202" s="288" t="s">
        <v>224</v>
      </c>
      <c r="H3202" s="288" t="s">
        <v>225</v>
      </c>
      <c r="I3202" s="288" t="s">
        <v>226</v>
      </c>
      <c r="J3202" s="288" t="s">
        <v>227</v>
      </c>
      <c r="K3202" s="288" t="s">
        <v>364</v>
      </c>
      <c r="L3202" s="288" t="s">
        <v>371</v>
      </c>
      <c r="M3202" s="288" t="s">
        <v>208</v>
      </c>
      <c r="N3202" s="288" t="s">
        <v>618</v>
      </c>
      <c r="O3202" s="288" t="s">
        <v>619</v>
      </c>
      <c r="P3202" s="288" t="s">
        <v>620</v>
      </c>
      <c r="Q3202" s="288" t="s">
        <v>621</v>
      </c>
      <c r="R3202" s="288" t="s">
        <v>622</v>
      </c>
      <c r="S3202" s="288" t="s">
        <v>623</v>
      </c>
      <c r="T3202" s="288" t="s">
        <v>624</v>
      </c>
      <c r="U3202" s="288" t="s">
        <v>625</v>
      </c>
      <c r="V3202" s="288" t="s">
        <v>626</v>
      </c>
      <c r="W3202" s="288" t="s">
        <v>627</v>
      </c>
    </row>
    <row r="3203" spans="1:24">
      <c r="A3203" s="289" t="s">
        <v>92</v>
      </c>
      <c r="B3203" s="307">
        <f>$B$2955</f>
        <v>0</v>
      </c>
      <c r="C3203" s="307">
        <f>$C$2955</f>
        <v>0.148183510636441</v>
      </c>
      <c r="D3203" s="307">
        <f>$D$2955</f>
        <v>3.3921259745346495E-2</v>
      </c>
      <c r="E3203" s="307">
        <f>$E$2955</f>
        <v>3.4595768761972172E-2</v>
      </c>
      <c r="F3203" s="307">
        <f>$F$2955</f>
        <v>6.5376062540654645E-2</v>
      </c>
      <c r="G3203" s="307">
        <f>$G$2955</f>
        <v>7.0414718747730129E-2</v>
      </c>
      <c r="H3203" s="307">
        <f>$H$2955</f>
        <v>0.27749045162190128</v>
      </c>
      <c r="I3203" s="307">
        <f>$I$2955</f>
        <v>7.3257636295115627E-2</v>
      </c>
      <c r="J3203" s="307">
        <f>$J$2955</f>
        <v>0</v>
      </c>
      <c r="K3203" s="309"/>
      <c r="L3203" s="309"/>
      <c r="M3203" s="307">
        <f>$K$2955</f>
        <v>8.7631638038358411E-2</v>
      </c>
      <c r="N3203" s="307">
        <f>$L$2955</f>
        <v>7.1738899636600739E-2</v>
      </c>
      <c r="O3203" s="307">
        <f>$M$2955</f>
        <v>1.6422028591216553E-2</v>
      </c>
      <c r="P3203" s="307">
        <f>$N$2955</f>
        <v>1.6748573254923498E-2</v>
      </c>
      <c r="Q3203" s="307">
        <f>$O$2955</f>
        <v>3.1649991075908546E-2</v>
      </c>
      <c r="R3203" s="307">
        <f>$P$2955</f>
        <v>3.4089315467605283E-2</v>
      </c>
      <c r="S3203" s="307">
        <f>$Q$2955</f>
        <v>0.21909674624688927</v>
      </c>
      <c r="T3203" s="307">
        <f>$R$2955</f>
        <v>9.8858430664941405E-2</v>
      </c>
      <c r="U3203" s="307">
        <f>$S$2955</f>
        <v>0</v>
      </c>
      <c r="V3203" s="309"/>
      <c r="W3203" s="309"/>
      <c r="X3203" s="291"/>
    </row>
    <row r="3204" spans="1:24">
      <c r="A3204" s="289" t="s">
        <v>93</v>
      </c>
      <c r="B3204" s="307">
        <f>$B$2956</f>
        <v>0</v>
      </c>
      <c r="C3204" s="307">
        <f>$C$2956</f>
        <v>0.17630134436125311</v>
      </c>
      <c r="D3204" s="307">
        <f>$D$2956</f>
        <v>4.03578216621166E-2</v>
      </c>
      <c r="E3204" s="307">
        <f>$E$2956</f>
        <v>4.1158993474312872E-2</v>
      </c>
      <c r="F3204" s="307">
        <f>$F$2956</f>
        <v>7.7778671432352398E-2</v>
      </c>
      <c r="G3204" s="307">
        <f>$G$2956</f>
        <v>8.377591760868619E-2</v>
      </c>
      <c r="H3204" s="307">
        <f>$H$2956</f>
        <v>0.33013365784905557</v>
      </c>
      <c r="I3204" s="307">
        <f>$I$2956</f>
        <v>8.7155472536531206E-2</v>
      </c>
      <c r="J3204" s="307">
        <f>$J$2956</f>
        <v>0</v>
      </c>
      <c r="K3204" s="309"/>
      <c r="L3204" s="309"/>
      <c r="M3204" s="307">
        <f>$K$2956</f>
        <v>0.10405587485625574</v>
      </c>
      <c r="N3204" s="307">
        <f>$L$2956</f>
        <v>8.5351361933649797E-2</v>
      </c>
      <c r="O3204" s="307">
        <f>$M$2956</f>
        <v>1.9538109910715164E-2</v>
      </c>
      <c r="P3204" s="307">
        <f>$N$2956</f>
        <v>1.9925974822134578E-2</v>
      </c>
      <c r="Q3204" s="307">
        <f>$O$2956</f>
        <v>3.765436707356231E-2</v>
      </c>
      <c r="R3204" s="307">
        <f>$P$2956</f>
        <v>4.05577659719428E-2</v>
      </c>
      <c r="S3204" s="307">
        <f>$Q$2956</f>
        <v>0.26066197895655113</v>
      </c>
      <c r="T3204" s="307">
        <f>$R$2956</f>
        <v>0.11761303905729947</v>
      </c>
      <c r="U3204" s="307">
        <f>$S$2956</f>
        <v>0</v>
      </c>
      <c r="V3204" s="309"/>
      <c r="W3204" s="309"/>
      <c r="X3204" s="291"/>
    </row>
    <row r="3205" spans="1:24">
      <c r="A3205" s="289" t="s">
        <v>129</v>
      </c>
      <c r="B3205" s="307">
        <f>$B$2957</f>
        <v>0</v>
      </c>
      <c r="C3205" s="307">
        <f>$C$2957</f>
        <v>1.688776752082715E-2</v>
      </c>
      <c r="D3205" s="307">
        <f>$D$2957</f>
        <v>3.8658440884051276E-3</v>
      </c>
      <c r="E3205" s="307">
        <f>$E$2957</f>
        <v>4.2187789768743508E-3</v>
      </c>
      <c r="F3205" s="307">
        <f>$F$2957</f>
        <v>7.9722800824274555E-3</v>
      </c>
      <c r="G3205" s="307">
        <f>$G$2957</f>
        <v>8.0248294506505141E-3</v>
      </c>
      <c r="H3205" s="307">
        <f>$H$2957</f>
        <v>3.3838556721787698E-2</v>
      </c>
      <c r="I3205" s="307">
        <f>$I$2957</f>
        <v>8.9333981280698971E-3</v>
      </c>
      <c r="J3205" s="307">
        <f>$J$2957</f>
        <v>0</v>
      </c>
      <c r="K3205" s="309"/>
      <c r="L3205" s="309"/>
      <c r="M3205" s="307">
        <f>$K$2957</f>
        <v>5.4255738745255522E-3</v>
      </c>
      <c r="N3205" s="307">
        <f>$L$2957</f>
        <v>8.1757400270751311E-3</v>
      </c>
      <c r="O3205" s="307">
        <f>$M$2957</f>
        <v>1.8715402265590602E-3</v>
      </c>
      <c r="P3205" s="307">
        <f>$N$2957</f>
        <v>2.0424037756368481E-3</v>
      </c>
      <c r="Q3205" s="307">
        <f>$O$2957</f>
        <v>3.8595562910593369E-3</v>
      </c>
      <c r="R3205" s="307">
        <f>$P$2957</f>
        <v>3.8849965970470255E-3</v>
      </c>
      <c r="S3205" s="307">
        <f>$Q$2957</f>
        <v>2.6717739771227995E-2</v>
      </c>
      <c r="T3205" s="307">
        <f>$R$2957</f>
        <v>1.205528548434749E-2</v>
      </c>
      <c r="U3205" s="307">
        <f>$S$2957</f>
        <v>0</v>
      </c>
      <c r="V3205" s="309"/>
      <c r="W3205" s="309"/>
      <c r="X3205" s="291"/>
    </row>
    <row r="3206" spans="1:24">
      <c r="A3206" s="289" t="s">
        <v>94</v>
      </c>
      <c r="B3206" s="307">
        <f>$B$2958</f>
        <v>0</v>
      </c>
      <c r="C3206" s="307">
        <f>$C$2958</f>
        <v>0.1426888397457399</v>
      </c>
      <c r="D3206" s="307">
        <f>$D$2958</f>
        <v>3.266345340982274E-2</v>
      </c>
      <c r="E3206" s="307">
        <f>$E$2958</f>
        <v>3.2473341305914859E-2</v>
      </c>
      <c r="F3206" s="307">
        <f>$F$2958</f>
        <v>6.1365284486844605E-2</v>
      </c>
      <c r="G3206" s="307">
        <f>$G$2958</f>
        <v>6.7803728471428015E-2</v>
      </c>
      <c r="H3206" s="307">
        <f>$H$2958</f>
        <v>0.26046659655545612</v>
      </c>
      <c r="I3206" s="307">
        <f>$I$2958</f>
        <v>6.8763328921621944E-2</v>
      </c>
      <c r="J3206" s="307">
        <f>$J$2958</f>
        <v>0</v>
      </c>
      <c r="K3206" s="309"/>
      <c r="L3206" s="309"/>
      <c r="M3206" s="307">
        <f>$K$2958</f>
        <v>8.0844950787526376E-2</v>
      </c>
      <c r="N3206" s="307">
        <f>$L$2958</f>
        <v>6.9078808497774508E-2</v>
      </c>
      <c r="O3206" s="307">
        <f>$M$2958</f>
        <v>1.5813096854622719E-2</v>
      </c>
      <c r="P3206" s="307">
        <f>$N$2958</f>
        <v>1.5721059399960088E-2</v>
      </c>
      <c r="Q3206" s="307">
        <f>$O$2958</f>
        <v>2.970828512609551E-2</v>
      </c>
      <c r="R3206" s="307">
        <f>$P$2958</f>
        <v>3.2825277596054719E-2</v>
      </c>
      <c r="S3206" s="307">
        <f>$Q$2958</f>
        <v>0.20565530625558123</v>
      </c>
      <c r="T3206" s="307">
        <f>$R$2958</f>
        <v>9.279353154535179E-2</v>
      </c>
      <c r="U3206" s="307">
        <f>$S$2958</f>
        <v>0</v>
      </c>
      <c r="V3206" s="309"/>
      <c r="W3206" s="309"/>
      <c r="X3206" s="291"/>
    </row>
    <row r="3207" spans="1:24">
      <c r="A3207" s="289" t="s">
        <v>95</v>
      </c>
      <c r="B3207" s="307">
        <f>$B$2959</f>
        <v>0</v>
      </c>
      <c r="C3207" s="307">
        <f>$C$2959</f>
        <v>0.16255521572602891</v>
      </c>
      <c r="D3207" s="307">
        <f>$D$2959</f>
        <v>3.7211142264890085E-2</v>
      </c>
      <c r="E3207" s="307">
        <f>$E$2959</f>
        <v>3.7222782505991842E-2</v>
      </c>
      <c r="F3207" s="307">
        <f>$F$2959</f>
        <v>7.0340363695684055E-2</v>
      </c>
      <c r="G3207" s="307">
        <f>$G$2959</f>
        <v>7.7243950741642614E-2</v>
      </c>
      <c r="H3207" s="307">
        <f>$H$2959</f>
        <v>0.29856156107636866</v>
      </c>
      <c r="I3207" s="307">
        <f>$I$2959</f>
        <v>7.8820421117900163E-2</v>
      </c>
      <c r="J3207" s="307">
        <f>$J$2959</f>
        <v>0</v>
      </c>
      <c r="K3207" s="309"/>
      <c r="L3207" s="309"/>
      <c r="M3207" s="307">
        <f>$K$2959</f>
        <v>9.27623205933885E-2</v>
      </c>
      <c r="N3207" s="307">
        <f>$L$2959</f>
        <v>7.8696558451678278E-2</v>
      </c>
      <c r="O3207" s="307">
        <f>$M$2959</f>
        <v>1.8014733142971896E-2</v>
      </c>
      <c r="P3207" s="307">
        <f>$N$2959</f>
        <v>1.8020368439939535E-2</v>
      </c>
      <c r="Q3207" s="307">
        <f>$O$2959</f>
        <v>3.4053318550044773E-2</v>
      </c>
      <c r="R3207" s="307">
        <f>$P$2959</f>
        <v>3.7395497015755695E-2</v>
      </c>
      <c r="S3207" s="307">
        <f>$Q$2959</f>
        <v>0.23573375661716431</v>
      </c>
      <c r="T3207" s="307">
        <f>$R$2959</f>
        <v>0.10636520000011172</v>
      </c>
      <c r="U3207" s="307">
        <f>$S$2959</f>
        <v>0</v>
      </c>
      <c r="V3207" s="309"/>
      <c r="W3207" s="309"/>
      <c r="X3207" s="291"/>
    </row>
    <row r="3208" spans="1:24">
      <c r="A3208" s="289" t="s">
        <v>130</v>
      </c>
      <c r="B3208" s="307">
        <f>$B$2960</f>
        <v>0</v>
      </c>
      <c r="C3208" s="307">
        <f>$C$2960</f>
        <v>2.700876150633915E-2</v>
      </c>
      <c r="D3208" s="307">
        <f>$D$2960</f>
        <v>6.1826799116968898E-3</v>
      </c>
      <c r="E3208" s="307">
        <f>$E$2960</f>
        <v>6.7862070971168682E-3</v>
      </c>
      <c r="F3208" s="307">
        <f>$F$2960</f>
        <v>1.282398152928502E-2</v>
      </c>
      <c r="G3208" s="307">
        <f>$G$2960</f>
        <v>1.2834183351610386E-2</v>
      </c>
      <c r="H3208" s="307">
        <f>$H$2960</f>
        <v>5.4431733693648461E-2</v>
      </c>
      <c r="I3208" s="307">
        <f>$I$2960</f>
        <v>1.4370008504923879E-2</v>
      </c>
      <c r="J3208" s="307">
        <f>$J$2960</f>
        <v>0</v>
      </c>
      <c r="K3208" s="309"/>
      <c r="L3208" s="309"/>
      <c r="M3208" s="307">
        <f>$K$2960</f>
        <v>1.2640418759035042E-2</v>
      </c>
      <c r="N3208" s="307">
        <f>$L$2960</f>
        <v>1.3075536020778171E-2</v>
      </c>
      <c r="O3208" s="307">
        <f>$M$2960</f>
        <v>2.9931714518401788E-3</v>
      </c>
      <c r="P3208" s="307">
        <f>$N$2960</f>
        <v>3.2853522484541067E-3</v>
      </c>
      <c r="Q3208" s="307">
        <f>$O$2960</f>
        <v>6.2083717676800695E-3</v>
      </c>
      <c r="R3208" s="307">
        <f>$P$2960</f>
        <v>6.2133106944524657E-3</v>
      </c>
      <c r="S3208" s="307">
        <f>$Q$2960</f>
        <v>4.2977391384642114E-2</v>
      </c>
      <c r="T3208" s="307">
        <f>$R$2960</f>
        <v>1.9391787140330543E-2</v>
      </c>
      <c r="U3208" s="307">
        <f>$S$2960</f>
        <v>0</v>
      </c>
      <c r="V3208" s="309"/>
      <c r="W3208" s="309"/>
      <c r="X3208" s="291"/>
    </row>
    <row r="3209" spans="1:24">
      <c r="A3209" s="289" t="s">
        <v>96</v>
      </c>
      <c r="B3209" s="307">
        <f>$B$2961</f>
        <v>0</v>
      </c>
      <c r="C3209" s="307">
        <f>$C$2961</f>
        <v>0.11815962415020724</v>
      </c>
      <c r="D3209" s="307">
        <f>$D$2961</f>
        <v>2.7048375929258253E-2</v>
      </c>
      <c r="E3209" s="307">
        <f>$E$2961</f>
        <v>2.712650357376881E-2</v>
      </c>
      <c r="F3209" s="307">
        <f>$F$2961</f>
        <v>5.126129748263774E-2</v>
      </c>
      <c r="G3209" s="307">
        <f>$G$2961</f>
        <v>5.614779043997261E-2</v>
      </c>
      <c r="H3209" s="307">
        <f>$H$2961</f>
        <v>0.21757995260629442</v>
      </c>
      <c r="I3209" s="307">
        <f>$I$2961</f>
        <v>5.7441230644068676E-2</v>
      </c>
      <c r="J3209" s="307">
        <f>$J$2961</f>
        <v>0</v>
      </c>
      <c r="K3209" s="309"/>
      <c r="L3209" s="309"/>
      <c r="M3209" s="307">
        <f>$K$2961</f>
        <v>6.787480918901366E-2</v>
      </c>
      <c r="N3209" s="307">
        <f>$L$2961</f>
        <v>5.7203675237571416E-2</v>
      </c>
      <c r="O3209" s="307">
        <f>$M$2961</f>
        <v>1.3094714234992085E-2</v>
      </c>
      <c r="P3209" s="307">
        <f>$N$2961</f>
        <v>1.3132537547615156E-2</v>
      </c>
      <c r="Q3209" s="307">
        <f>$O$2961</f>
        <v>2.4816722586436933E-2</v>
      </c>
      <c r="R3209" s="307">
        <f>$P$2961</f>
        <v>2.7182381399186072E-2</v>
      </c>
      <c r="S3209" s="307">
        <f>$Q$2961</f>
        <v>0.17179351356401404</v>
      </c>
      <c r="T3209" s="307">
        <f>$R$2961</f>
        <v>7.7514784862287203E-2</v>
      </c>
      <c r="U3209" s="307">
        <f>$S$2961</f>
        <v>0</v>
      </c>
      <c r="V3209" s="309"/>
      <c r="W3209" s="309"/>
      <c r="X3209" s="291"/>
    </row>
    <row r="3210" spans="1:24">
      <c r="A3210" s="289" t="s">
        <v>97</v>
      </c>
      <c r="B3210" s="307">
        <f>$B$2962</f>
        <v>0</v>
      </c>
      <c r="C3210" s="307">
        <f>$C$2962</f>
        <v>0.11449858570769508</v>
      </c>
      <c r="D3210" s="307">
        <f>$D$2962</f>
        <v>2.6210313479443321E-2</v>
      </c>
      <c r="E3210" s="307">
        <f>$E$2962</f>
        <v>2.6206350403355411E-2</v>
      </c>
      <c r="F3210" s="307">
        <f>$F$2962</f>
        <v>4.9522472378625261E-2</v>
      </c>
      <c r="G3210" s="307">
        <f>$G$2962</f>
        <v>5.4408116496853572E-2</v>
      </c>
      <c r="H3210" s="307">
        <f>$H$2962</f>
        <v>0.21019946279622259</v>
      </c>
      <c r="I3210" s="307">
        <f>$I$2962</f>
        <v>0</v>
      </c>
      <c r="J3210" s="307">
        <f>$J$2962</f>
        <v>0</v>
      </c>
      <c r="K3210" s="309"/>
      <c r="L3210" s="309"/>
      <c r="M3210" s="307">
        <f>$K$2962</f>
        <v>6.5356481501040981E-2</v>
      </c>
      <c r="N3210" s="307">
        <f>$L$2962</f>
        <v>5.5431285932816154E-2</v>
      </c>
      <c r="O3210" s="307">
        <f>$M$2962</f>
        <v>1.2688989753784576E-2</v>
      </c>
      <c r="P3210" s="307">
        <f>$N$2962</f>
        <v>1.2687071141406573E-2</v>
      </c>
      <c r="Q3210" s="307">
        <f>$O$2962</f>
        <v>2.3974919074787118E-2</v>
      </c>
      <c r="R3210" s="307">
        <f>$P$2962</f>
        <v>2.6340166945838288E-2</v>
      </c>
      <c r="S3210" s="307">
        <f>$Q$2962</f>
        <v>0.16596613718531839</v>
      </c>
      <c r="T3210" s="307">
        <f>$R$2962</f>
        <v>0</v>
      </c>
      <c r="U3210" s="307">
        <f>$S$2962</f>
        <v>0</v>
      </c>
      <c r="V3210" s="309"/>
      <c r="W3210" s="309"/>
      <c r="X3210" s="291"/>
    </row>
    <row r="3211" spans="1:24">
      <c r="A3211" s="289" t="s">
        <v>110</v>
      </c>
      <c r="B3211" s="307">
        <f>$B$2963</f>
        <v>0</v>
      </c>
      <c r="C3211" s="307">
        <f>$C$2963</f>
        <v>9.6491999857788821E-2</v>
      </c>
      <c r="D3211" s="307">
        <f>$D$2963</f>
        <v>2.5639806047559641E-2</v>
      </c>
      <c r="E3211" s="307">
        <f>$E$2963</f>
        <v>2.0467389627039326E-2</v>
      </c>
      <c r="F3211" s="307">
        <f>$F$2963</f>
        <v>0</v>
      </c>
      <c r="G3211" s="307">
        <f>$G$2963</f>
        <v>0</v>
      </c>
      <c r="H3211" s="307">
        <f>$H$2963</f>
        <v>0</v>
      </c>
      <c r="I3211" s="307">
        <f>$I$2963</f>
        <v>0</v>
      </c>
      <c r="J3211" s="307">
        <f>$J$2963</f>
        <v>0</v>
      </c>
      <c r="K3211" s="309"/>
      <c r="L3211" s="309"/>
      <c r="M3211" s="307">
        <f>$K$2963</f>
        <v>6.3703872949850207E-2</v>
      </c>
      <c r="N3211" s="307">
        <f>$L$2963</f>
        <v>4.6713901322773109E-2</v>
      </c>
      <c r="O3211" s="307">
        <f>$M$2963</f>
        <v>1.2412794546760152E-2</v>
      </c>
      <c r="P3211" s="307">
        <f>$N$2963</f>
        <v>9.9087138911142358E-3</v>
      </c>
      <c r="Q3211" s="307">
        <f>$O$2963</f>
        <v>0</v>
      </c>
      <c r="R3211" s="307">
        <f>$P$2963</f>
        <v>0</v>
      </c>
      <c r="S3211" s="307">
        <f>$Q$2963</f>
        <v>0</v>
      </c>
      <c r="T3211" s="307">
        <f>$R$2963</f>
        <v>0</v>
      </c>
      <c r="U3211" s="307">
        <f>$S$2963</f>
        <v>0</v>
      </c>
      <c r="V3211" s="309"/>
      <c r="W3211" s="309"/>
      <c r="X3211" s="291"/>
    </row>
    <row r="3212" spans="1:24">
      <c r="A3212" s="289" t="s">
        <v>1536</v>
      </c>
      <c r="B3212" s="307">
        <f>$B$2964</f>
        <v>0</v>
      </c>
      <c r="C3212" s="307">
        <f>$C$2964</f>
        <v>0.78711539203300873</v>
      </c>
      <c r="D3212" s="307">
        <f>$D$2964</f>
        <v>0.18018162444685612</v>
      </c>
      <c r="E3212" s="307">
        <f>$E$2964</f>
        <v>0.18958020168977646</v>
      </c>
      <c r="F3212" s="307">
        <f>$F$2964</f>
        <v>0.35825210901988402</v>
      </c>
      <c r="G3212" s="307">
        <f>$G$2964</f>
        <v>0.37402615658090482</v>
      </c>
      <c r="H3212" s="307">
        <f>$H$2964</f>
        <v>1.5206106893422395</v>
      </c>
      <c r="I3212" s="307">
        <f>$I$2964</f>
        <v>0.40144208269221304</v>
      </c>
      <c r="J3212" s="307">
        <f>$J$2964</f>
        <v>0</v>
      </c>
      <c r="K3212" s="309"/>
      <c r="L3212" s="309"/>
      <c r="M3212" s="307">
        <f>$K$2964</f>
        <v>0.52201153802627698</v>
      </c>
      <c r="N3212" s="307">
        <f>$L$2964</f>
        <v>0.38105988897791332</v>
      </c>
      <c r="O3212" s="307">
        <f>$M$2964</f>
        <v>8.7229890944248906E-2</v>
      </c>
      <c r="P3212" s="307">
        <f>$N$2964</f>
        <v>9.1779949089455887E-2</v>
      </c>
      <c r="Q3212" s="307">
        <f>$O$2964</f>
        <v>0.17343773260057826</v>
      </c>
      <c r="R3212" s="307">
        <f>$P$2964</f>
        <v>0.18107429627748683</v>
      </c>
      <c r="S3212" s="307">
        <f>$Q$2964</f>
        <v>1.2006209669407915</v>
      </c>
      <c r="T3212" s="307">
        <f>$R$2964</f>
        <v>0.54173102361567493</v>
      </c>
      <c r="U3212" s="307">
        <f>$S$2964</f>
        <v>0</v>
      </c>
      <c r="V3212" s="309"/>
      <c r="W3212" s="309"/>
      <c r="X3212" s="291"/>
    </row>
    <row r="3213" spans="1:24">
      <c r="A3213" s="289" t="s">
        <v>1535</v>
      </c>
      <c r="B3213" s="307">
        <f>$B$2965</f>
        <v>0</v>
      </c>
      <c r="C3213" s="307">
        <f>$C$2965</f>
        <v>0.7914505099919199</v>
      </c>
      <c r="D3213" s="307">
        <f>$D$2965</f>
        <v>0.18117399304225082</v>
      </c>
      <c r="E3213" s="307">
        <f>$E$2965</f>
        <v>0.19064498967482635</v>
      </c>
      <c r="F3213" s="307">
        <f>$F$2965</f>
        <v>0.36026425236556608</v>
      </c>
      <c r="G3213" s="307">
        <f>$G$2965</f>
        <v>0.37608614362334897</v>
      </c>
      <c r="H3213" s="307">
        <f>$H$2965</f>
        <v>1.5291512857627427</v>
      </c>
      <c r="I3213" s="307">
        <f>$I$2965</f>
        <v>0.40369680498142924</v>
      </c>
      <c r="J3213" s="307">
        <f>$J$2965</f>
        <v>0</v>
      </c>
      <c r="K3213" s="309"/>
      <c r="L3213" s="309"/>
      <c r="M3213" s="307">
        <f>$K$2965</f>
        <v>0.52515214314204606</v>
      </c>
      <c r="N3213" s="307">
        <f>$L$2965</f>
        <v>0.38315861501586079</v>
      </c>
      <c r="O3213" s="307">
        <f>$M$2965</f>
        <v>8.7710318427453832E-2</v>
      </c>
      <c r="P3213" s="307">
        <f>$N$2965</f>
        <v>9.2295436393445854E-2</v>
      </c>
      <c r="Q3213" s="307">
        <f>$O$2965</f>
        <v>0.17441185548989549</v>
      </c>
      <c r="R3213" s="307">
        <f>$P$2965</f>
        <v>0.18207158135364607</v>
      </c>
      <c r="S3213" s="307">
        <f>$Q$2965</f>
        <v>1.2073643228862054</v>
      </c>
      <c r="T3213" s="307">
        <f>$R$2965</f>
        <v>0.54477368672043647</v>
      </c>
      <c r="U3213" s="307">
        <f>$S$2965</f>
        <v>0</v>
      </c>
      <c r="V3213" s="309"/>
      <c r="W3213" s="309"/>
      <c r="X3213" s="291"/>
    </row>
    <row r="3214" spans="1:24">
      <c r="A3214" s="289" t="s">
        <v>98</v>
      </c>
      <c r="B3214" s="307">
        <f>$B$2966</f>
        <v>0</v>
      </c>
      <c r="C3214" s="307">
        <f>$C$2966</f>
        <v>0.76123771367510851</v>
      </c>
      <c r="D3214" s="307">
        <f>$D$2966</f>
        <v>0.17425786514722325</v>
      </c>
      <c r="E3214" s="307">
        <f>$E$2966</f>
        <v>0.18323559687750593</v>
      </c>
      <c r="F3214" s="307">
        <f>$F$2966</f>
        <v>0.34626262892315401</v>
      </c>
      <c r="G3214" s="307">
        <f>$G$2966</f>
        <v>0.36172944802278229</v>
      </c>
      <c r="H3214" s="307">
        <f>$H$2966</f>
        <v>1.175776815496306</v>
      </c>
      <c r="I3214" s="307">
        <f>$I$2966</f>
        <v>0</v>
      </c>
      <c r="J3214" s="307">
        <f>$J$2966</f>
        <v>0</v>
      </c>
      <c r="K3214" s="309"/>
      <c r="L3214" s="309"/>
      <c r="M3214" s="307">
        <f>$K$2966</f>
        <v>0.50509735479478512</v>
      </c>
      <c r="N3214" s="307">
        <f>$L$2966</f>
        <v>0.36853193520915511</v>
      </c>
      <c r="O3214" s="307">
        <f>$M$2966</f>
        <v>8.4362068660632172E-2</v>
      </c>
      <c r="P3214" s="307">
        <f>$N$2966</f>
        <v>8.8708386228605149E-2</v>
      </c>
      <c r="Q3214" s="307">
        <f>$O$2966</f>
        <v>0.16763336134725734</v>
      </c>
      <c r="R3214" s="307">
        <f>$P$2966</f>
        <v>0.17512118896262518</v>
      </c>
      <c r="S3214" s="307">
        <f>$Q$2966</f>
        <v>0.9283522120565737</v>
      </c>
      <c r="T3214" s="307">
        <f>$R$2966</f>
        <v>0</v>
      </c>
      <c r="U3214" s="307">
        <f>$S$2966</f>
        <v>0</v>
      </c>
      <c r="V3214" s="309"/>
      <c r="W3214" s="309"/>
      <c r="X3214" s="291"/>
    </row>
    <row r="3215" spans="1:24">
      <c r="A3215" s="289" t="s">
        <v>99</v>
      </c>
      <c r="B3215" s="307">
        <f>$B$2967</f>
        <v>0</v>
      </c>
      <c r="C3215" s="307">
        <f>$C$2967</f>
        <v>0.80321506531868769</v>
      </c>
      <c r="D3215" s="307">
        <f>$D$2967</f>
        <v>0.18386706284005633</v>
      </c>
      <c r="E3215" s="307">
        <f>$E$2967</f>
        <v>0.1933398585891517</v>
      </c>
      <c r="F3215" s="307">
        <f>$F$2967</f>
        <v>0.3653567802956133</v>
      </c>
      <c r="G3215" s="307">
        <f>$G$2967</f>
        <v>0.38167649474250209</v>
      </c>
      <c r="H3215" s="307">
        <f>$H$2967</f>
        <v>0</v>
      </c>
      <c r="I3215" s="307">
        <f>$I$2967</f>
        <v>0</v>
      </c>
      <c r="J3215" s="307">
        <f>$J$2967</f>
        <v>0</v>
      </c>
      <c r="K3215" s="309"/>
      <c r="L3215" s="309"/>
      <c r="M3215" s="307">
        <f>$K$2967</f>
        <v>0.53295021717347635</v>
      </c>
      <c r="N3215" s="307">
        <f>$L$2967</f>
        <v>0.38885409523651004</v>
      </c>
      <c r="O3215" s="307">
        <f>$M$2967</f>
        <v>8.9014092802276998E-2</v>
      </c>
      <c r="P3215" s="307">
        <f>$N$2967</f>
        <v>9.3600081760182349E-2</v>
      </c>
      <c r="Q3215" s="307">
        <f>$O$2967</f>
        <v>0.17687726036862428</v>
      </c>
      <c r="R3215" s="307">
        <f>$P$2967</f>
        <v>0.18477799339738701</v>
      </c>
      <c r="S3215" s="307">
        <f>$Q$2967</f>
        <v>0</v>
      </c>
      <c r="T3215" s="307">
        <f>$R$2967</f>
        <v>0</v>
      </c>
      <c r="U3215" s="307">
        <f>$S$2967</f>
        <v>0</v>
      </c>
      <c r="V3215" s="309"/>
      <c r="W3215" s="309"/>
      <c r="X3215" s="291"/>
    </row>
    <row r="3216" spans="1:24">
      <c r="A3216" s="289" t="s">
        <v>111</v>
      </c>
      <c r="B3216" s="307">
        <f>$B$2968</f>
        <v>0</v>
      </c>
      <c r="C3216" s="307">
        <f>$C$2968</f>
        <v>0.57128116157595032</v>
      </c>
      <c r="D3216" s="307">
        <f>$D$2968</f>
        <v>0.15180054515420635</v>
      </c>
      <c r="E3216" s="307">
        <f>$E$2968</f>
        <v>0.12769702405873881</v>
      </c>
      <c r="F3216" s="307">
        <f>$F$2968</f>
        <v>0</v>
      </c>
      <c r="G3216" s="307">
        <f>$G$2968</f>
        <v>0</v>
      </c>
      <c r="H3216" s="307">
        <f>$H$2968</f>
        <v>0</v>
      </c>
      <c r="I3216" s="307">
        <f>$I$2968</f>
        <v>0</v>
      </c>
      <c r="J3216" s="307">
        <f>$J$2968</f>
        <v>0</v>
      </c>
      <c r="K3216" s="309"/>
      <c r="L3216" s="309"/>
      <c r="M3216" s="307">
        <f>$K$2968</f>
        <v>0.44000340385793923</v>
      </c>
      <c r="N3216" s="307">
        <f>$L$2968</f>
        <v>0.27656978660147424</v>
      </c>
      <c r="O3216" s="307">
        <f>$M$2968</f>
        <v>7.3489985672676075E-2</v>
      </c>
      <c r="P3216" s="307">
        <f>$N$2968</f>
        <v>6.1820940491267018E-2</v>
      </c>
      <c r="Q3216" s="307">
        <f>$O$2968</f>
        <v>0</v>
      </c>
      <c r="R3216" s="307">
        <f>$P$2968</f>
        <v>0</v>
      </c>
      <c r="S3216" s="307">
        <f>$Q$2968</f>
        <v>0</v>
      </c>
      <c r="T3216" s="307">
        <f>$R$2968</f>
        <v>0</v>
      </c>
      <c r="U3216" s="307">
        <f>$S$2968</f>
        <v>0</v>
      </c>
      <c r="V3216" s="309"/>
      <c r="W3216" s="309"/>
      <c r="X3216" s="291"/>
    </row>
    <row r="3217" spans="1:24">
      <c r="A3217" s="289" t="s">
        <v>131</v>
      </c>
      <c r="B3217" s="307">
        <f>$B$2823</f>
        <v>0</v>
      </c>
      <c r="C3217" s="307">
        <f>$C$2823</f>
        <v>8.685720289211539E-2</v>
      </c>
      <c r="D3217" s="307">
        <f>$D$2823</f>
        <v>1.9882817780490329E-2</v>
      </c>
      <c r="E3217" s="307">
        <f>$E$2823</f>
        <v>2.0487779373387225E-2</v>
      </c>
      <c r="F3217" s="307">
        <f>$F$2823</f>
        <v>3.8716016251848215E-2</v>
      </c>
      <c r="G3217" s="307">
        <f>$G$2823</f>
        <v>4.1273320402484763E-2</v>
      </c>
      <c r="H3217" s="307">
        <f>$H$2823</f>
        <v>0.16433116980768619</v>
      </c>
      <c r="I3217" s="307">
        <f>$I$2823</f>
        <v>4.3383521845016905E-2</v>
      </c>
      <c r="J3217" s="307">
        <f>$J$2823</f>
        <v>2.8754210472713298E-2</v>
      </c>
      <c r="K3217" s="309"/>
      <c r="L3217" s="309"/>
      <c r="M3217" s="307">
        <f>$K$2823</f>
        <v>4.943685129551164E-2</v>
      </c>
      <c r="N3217" s="307">
        <f>$L$2823</f>
        <v>4.204948400959943E-2</v>
      </c>
      <c r="O3217" s="307">
        <f>$M$2823</f>
        <v>9.6257097913338679E-3</v>
      </c>
      <c r="P3217" s="307">
        <f>$N$2823</f>
        <v>9.9185850161846636E-3</v>
      </c>
      <c r="Q3217" s="307">
        <f>$O$2823</f>
        <v>1.8743275768615231E-2</v>
      </c>
      <c r="R3217" s="307">
        <f>$P$2823</f>
        <v>1.9981323004875415E-2</v>
      </c>
      <c r="S3217" s="307">
        <f>$Q$2823</f>
        <v>0.12975013879348704</v>
      </c>
      <c r="T3217" s="307">
        <f>$R$2823</f>
        <v>5.8544434453757094E-2</v>
      </c>
      <c r="U3217" s="307">
        <f>$S$2823</f>
        <v>0.13339838378203081</v>
      </c>
      <c r="V3217" s="307">
        <f>$B$2622</f>
        <v>0.68814654939887021</v>
      </c>
      <c r="W3217" s="309"/>
      <c r="X3217" s="291"/>
    </row>
    <row r="3218" spans="1:24">
      <c r="A3218" s="289" t="s">
        <v>132</v>
      </c>
      <c r="B3218" s="307">
        <f>$B$2824</f>
        <v>0</v>
      </c>
      <c r="C3218" s="307">
        <f>$C$2824</f>
        <v>0.11313075655146068</v>
      </c>
      <c r="D3218" s="307">
        <f>$D$2824</f>
        <v>2.5897198424356522E-2</v>
      </c>
      <c r="E3218" s="307">
        <f>$E$2824</f>
        <v>2.8237640354945415E-2</v>
      </c>
      <c r="F3218" s="307">
        <f>$F$2824</f>
        <v>5.3361026735576668E-2</v>
      </c>
      <c r="G3218" s="307">
        <f>$G$2824</f>
        <v>5.3758143332379875E-2</v>
      </c>
      <c r="H3218" s="307">
        <f>$H$2824</f>
        <v>0.22649230976025134</v>
      </c>
      <c r="I3218" s="307">
        <f>$I$2824</f>
        <v>5.9794097977343121E-2</v>
      </c>
      <c r="J3218" s="307">
        <f>$J$2824</f>
        <v>3.9630993638752957E-2</v>
      </c>
      <c r="K3218" s="309"/>
      <c r="L3218" s="309"/>
      <c r="M3218" s="307">
        <f>$K$2824</f>
        <v>7.166538602028763E-2</v>
      </c>
      <c r="N3218" s="307">
        <f>$L$2824</f>
        <v>5.4769089726654847E-2</v>
      </c>
      <c r="O3218" s="307">
        <f>$M$2824</f>
        <v>1.2537403862647938E-2</v>
      </c>
      <c r="P3218" s="307">
        <f>$N$2824</f>
        <v>1.3670463324140533E-2</v>
      </c>
      <c r="Q3218" s="307">
        <f>$O$2824</f>
        <v>2.5833247741588551E-2</v>
      </c>
      <c r="R3218" s="307">
        <f>$P$2824</f>
        <v>2.6025500628294614E-2</v>
      </c>
      <c r="S3218" s="307">
        <f>$Q$2824</f>
        <v>0.17883039877000587</v>
      </c>
      <c r="T3218" s="307">
        <f>$R$2824</f>
        <v>8.0689891020412394E-2</v>
      </c>
      <c r="U3218" s="307">
        <f>$S$2824</f>
        <v>0.18385865625149003</v>
      </c>
      <c r="V3218" s="307">
        <f>$B$2623</f>
        <v>0.68814654939887021</v>
      </c>
      <c r="W3218" s="309"/>
      <c r="X3218" s="291"/>
    </row>
    <row r="3219" spans="1:24">
      <c r="A3219" s="289" t="s">
        <v>133</v>
      </c>
      <c r="B3219" s="307">
        <f>$B$2825</f>
        <v>0</v>
      </c>
      <c r="C3219" s="307">
        <f>$C$2825</f>
        <v>0.20266785546710711</v>
      </c>
      <c r="D3219" s="307">
        <f>$D$2825</f>
        <v>4.6393481554090385E-2</v>
      </c>
      <c r="E3219" s="307">
        <f>$E$2825</f>
        <v>4.9702937904175661E-2</v>
      </c>
      <c r="F3219" s="307">
        <f>$F$2825</f>
        <v>9.3924271468983758E-2</v>
      </c>
      <c r="G3219" s="307">
        <f>$G$2825</f>
        <v>9.6304912608896717E-2</v>
      </c>
      <c r="H3219" s="307">
        <f>$H$2825</f>
        <v>0.39866409042268053</v>
      </c>
      <c r="I3219" s="307">
        <f>$I$2825</f>
        <v>0.10524754552600527</v>
      </c>
      <c r="J3219" s="307">
        <f>$J$2825</f>
        <v>6.9757132364735311E-2</v>
      </c>
      <c r="K3219" s="309"/>
      <c r="L3219" s="309"/>
      <c r="M3219" s="307">
        <f>$K$2825</f>
        <v>0.13072736427001849</v>
      </c>
      <c r="N3219" s="307">
        <f>$L$2825</f>
        <v>9.8115970396941421E-2</v>
      </c>
      <c r="O3219" s="307">
        <f>$M$2825</f>
        <v>2.2460105734483177E-2</v>
      </c>
      <c r="P3219" s="307">
        <f>$N$2825</f>
        <v>2.406228640850544E-2</v>
      </c>
      <c r="Q3219" s="307">
        <f>$O$2825</f>
        <v>4.5470807483334555E-2</v>
      </c>
      <c r="R3219" s="307">
        <f>$P$2825</f>
        <v>4.6623328267013313E-2</v>
      </c>
      <c r="S3219" s="307">
        <f>$Q$2825</f>
        <v>0.31477120941119641</v>
      </c>
      <c r="T3219" s="307">
        <f>$R$2825</f>
        <v>0.14202761252251281</v>
      </c>
      <c r="U3219" s="307">
        <f>$S$2825</f>
        <v>0.32362177788033702</v>
      </c>
      <c r="V3219" s="307">
        <f>$B$2624</f>
        <v>0.68814654939887021</v>
      </c>
      <c r="W3219" s="309"/>
      <c r="X3219" s="291"/>
    </row>
    <row r="3220" spans="1:24">
      <c r="A3220" s="289" t="s">
        <v>134</v>
      </c>
      <c r="B3220" s="307">
        <f>$B$2826</f>
        <v>0</v>
      </c>
      <c r="C3220" s="307">
        <f>$C$2826</f>
        <v>5.9673497996067033E-2</v>
      </c>
      <c r="D3220" s="307">
        <f>$D$2826</f>
        <v>1.3660090901775515E-2</v>
      </c>
      <c r="E3220" s="307">
        <f>$E$2826</f>
        <v>1.2616786795226107E-2</v>
      </c>
      <c r="F3220" s="307">
        <f>$F$2826</f>
        <v>2.3842101855342239E-2</v>
      </c>
      <c r="G3220" s="307">
        <f>$G$2826</f>
        <v>2.8356006414204736E-2</v>
      </c>
      <c r="H3220" s="307">
        <f>$H$2826</f>
        <v>0.10119844105539549</v>
      </c>
      <c r="I3220" s="307">
        <f>$I$2826</f>
        <v>2.6716445719618179E-2</v>
      </c>
      <c r="J3220" s="307">
        <f>$J$2826</f>
        <v>1.7707421404123722E-2</v>
      </c>
      <c r="K3220" s="309"/>
      <c r="L3220" s="309"/>
      <c r="M3220" s="307">
        <f>$K$2826</f>
        <v>2.6935537169242952E-2</v>
      </c>
      <c r="N3220" s="307">
        <f>$L$2826</f>
        <v>2.888925404262891E-2</v>
      </c>
      <c r="O3220" s="307">
        <f>$M$2826</f>
        <v>6.6131507211594351E-3</v>
      </c>
      <c r="P3220" s="307">
        <f>$N$2826</f>
        <v>6.1080642357013437E-3</v>
      </c>
      <c r="Q3220" s="307">
        <f>$O$2826</f>
        <v>1.1542486372335879E-2</v>
      </c>
      <c r="R3220" s="307">
        <f>$P$2826</f>
        <v>1.372776693915893E-2</v>
      </c>
      <c r="S3220" s="307">
        <f>$Q$2826</f>
        <v>7.9902746313973677E-2</v>
      </c>
      <c r="T3220" s="307">
        <f>$R$2826</f>
        <v>3.6052840773442195E-2</v>
      </c>
      <c r="U3220" s="307">
        <f>$S$2826</f>
        <v>8.2149408988260328E-2</v>
      </c>
      <c r="V3220" s="307">
        <f>$B$2625</f>
        <v>0.68814654939887021</v>
      </c>
      <c r="W3220" s="309"/>
      <c r="X3220" s="291"/>
    </row>
    <row r="3221" spans="1:24">
      <c r="A3221" s="289" t="s">
        <v>135</v>
      </c>
      <c r="B3221" s="307">
        <f>$B$2827</f>
        <v>0</v>
      </c>
      <c r="C3221" s="307">
        <f>$C$2827</f>
        <v>2.1332360134172821</v>
      </c>
      <c r="D3221" s="307">
        <f>$D$2827</f>
        <v>0.48832729497677285</v>
      </c>
      <c r="E3221" s="307">
        <f>$E$2827</f>
        <v>0.51973357274532406</v>
      </c>
      <c r="F3221" s="307">
        <f>$F$2827</f>
        <v>0.98214711718229264</v>
      </c>
      <c r="G3221" s="307">
        <f>$G$2827</f>
        <v>1.0136837308156428</v>
      </c>
      <c r="H3221" s="307">
        <f>$H$2827</f>
        <v>4.1687497918153724</v>
      </c>
      <c r="I3221" s="307">
        <f>$I$2827</f>
        <v>1.1005523046618808</v>
      </c>
      <c r="J3221" s="307">
        <f>$J$2827</f>
        <v>0.72943622967097244</v>
      </c>
      <c r="K3221" s="309"/>
      <c r="L3221" s="309"/>
      <c r="M3221" s="307">
        <f>$K$2827</f>
        <v>1.4285122025287096</v>
      </c>
      <c r="N3221" s="307">
        <f>$L$2827</f>
        <v>1.0327465155228299</v>
      </c>
      <c r="O3221" s="307">
        <f>$M$2827</f>
        <v>0.2364099936200082</v>
      </c>
      <c r="P3221" s="307">
        <f>$N$2827</f>
        <v>0.25161446407100868</v>
      </c>
      <c r="Q3221" s="307">
        <f>$O$2827</f>
        <v>0.47547904058489959</v>
      </c>
      <c r="R3221" s="307">
        <f>$P$2827</f>
        <v>0.49074660949728577</v>
      </c>
      <c r="S3221" s="307">
        <f>$Q$2827</f>
        <v>3.291498896504939</v>
      </c>
      <c r="T3221" s="307">
        <f>$R$2827</f>
        <v>1.4851540290662095</v>
      </c>
      <c r="U3221" s="307">
        <f>$S$2827</f>
        <v>3.3840475015826104</v>
      </c>
      <c r="V3221" s="307">
        <f>$B$2626</f>
        <v>0.68814654939887021</v>
      </c>
      <c r="W3221" s="309"/>
      <c r="X3221" s="291"/>
    </row>
    <row r="3222" spans="1:24">
      <c r="A3222" s="289" t="s">
        <v>1534</v>
      </c>
      <c r="B3222" s="307">
        <f>$B$2790</f>
        <v>0</v>
      </c>
      <c r="C3222" s="307">
        <f>$C$2790</f>
        <v>-7.6795746678224613E-2</v>
      </c>
      <c r="D3222" s="307">
        <f>$D$2790</f>
        <v>-1.7579610978451662E-2</v>
      </c>
      <c r="E3222" s="307">
        <f>$E$2790</f>
        <v>-1.8114485663037212E-2</v>
      </c>
      <c r="F3222" s="307">
        <f>$F$2790</f>
        <v>-3.4231173058950778E-2</v>
      </c>
      <c r="G3222" s="307">
        <f>$G$2790</f>
        <v>-3.6492258012675957E-2</v>
      </c>
      <c r="H3222" s="307">
        <f>$H$2790</f>
        <v>-0.1452951325382863</v>
      </c>
      <c r="I3222" s="307">
        <f>$I$2790</f>
        <v>-3.8357997230994839E-2</v>
      </c>
      <c r="J3222" s="307">
        <f>$J$2790</f>
        <v>0</v>
      </c>
      <c r="K3222" s="309"/>
      <c r="L3222" s="309"/>
      <c r="M3222" s="307">
        <f>$K$2790</f>
        <v>-4.3728175868596349E-2</v>
      </c>
      <c r="N3222" s="307">
        <f>$L$2790</f>
        <v>-3.7178511561813052E-2</v>
      </c>
      <c r="O3222" s="307">
        <f>$M$2790</f>
        <v>-8.5106766752730111E-3</v>
      </c>
      <c r="P3222" s="307">
        <f>$N$2790</f>
        <v>-8.7696212849049295E-3</v>
      </c>
      <c r="Q3222" s="307">
        <f>$O$2790</f>
        <v>-1.6572064448817817E-2</v>
      </c>
      <c r="R3222" s="307">
        <f>$P$2790</f>
        <v>-1.7666705450832442E-2</v>
      </c>
      <c r="S3222" s="307">
        <f>$Q$2790</f>
        <v>-0.1147199501769687</v>
      </c>
      <c r="T3222" s="307">
        <f>$R$2790</f>
        <v>-5.1762677605790369E-2</v>
      </c>
      <c r="U3222" s="307">
        <f>$S$2790</f>
        <v>0</v>
      </c>
      <c r="V3222" s="309"/>
      <c r="W3222" s="309"/>
      <c r="X3222" s="291"/>
    </row>
    <row r="3223" spans="1:24">
      <c r="A3223" s="289" t="s">
        <v>100</v>
      </c>
      <c r="B3223" s="307">
        <f>$B$2791</f>
        <v>0</v>
      </c>
      <c r="C3223" s="307">
        <f>$C$2791</f>
        <v>-7.5594709241674649E-2</v>
      </c>
      <c r="D3223" s="307">
        <f>$D$2791</f>
        <v>-1.7304676860113416E-2</v>
      </c>
      <c r="E3223" s="307">
        <f>$E$2791</f>
        <v>-1.7831186439236261E-2</v>
      </c>
      <c r="F3223" s="307">
        <f>$F$2791</f>
        <v>-3.3695818926474094E-2</v>
      </c>
      <c r="G3223" s="307">
        <f>$G$2791</f>
        <v>-3.5921541926001166E-2</v>
      </c>
      <c r="H3223" s="307">
        <f>$H$2791</f>
        <v>-0.14302280755838673</v>
      </c>
      <c r="I3223" s="307">
        <f>$I$2791</f>
        <v>0</v>
      </c>
      <c r="J3223" s="307">
        <f>$J$2791</f>
        <v>0</v>
      </c>
      <c r="K3223" s="309"/>
      <c r="L3223" s="309"/>
      <c r="M3223" s="307">
        <f>$K$2791</f>
        <v>-4.3044294553264119E-2</v>
      </c>
      <c r="N3223" s="307">
        <f>$L$2791</f>
        <v>-3.6597062898932817E-2</v>
      </c>
      <c r="O3223" s="307">
        <f>$M$2791</f>
        <v>-8.3775750161381064E-3</v>
      </c>
      <c r="P3223" s="307">
        <f>$N$2791</f>
        <v>-8.6324698940646507E-3</v>
      </c>
      <c r="Q3223" s="307">
        <f>$O$2791</f>
        <v>-1.6312887727907142E-2</v>
      </c>
      <c r="R3223" s="307">
        <f>$P$2791</f>
        <v>-1.7390409229430283E-2</v>
      </c>
      <c r="S3223" s="307">
        <f>$Q$2791</f>
        <v>-0.11292580192213111</v>
      </c>
      <c r="T3223" s="307">
        <f>$R$2791</f>
        <v>0</v>
      </c>
      <c r="U3223" s="307">
        <f>$S$2791</f>
        <v>0</v>
      </c>
      <c r="V3223" s="309"/>
      <c r="W3223" s="309"/>
      <c r="X3223" s="291"/>
    </row>
    <row r="3224" spans="1:24">
      <c r="A3224" s="289" t="s">
        <v>101</v>
      </c>
      <c r="B3224" s="307">
        <f>$B$2792</f>
        <v>0</v>
      </c>
      <c r="C3224" s="307">
        <f>$C$2792</f>
        <v>-7.6795746678224613E-2</v>
      </c>
      <c r="D3224" s="307">
        <f>$D$2792</f>
        <v>-1.7579610978451662E-2</v>
      </c>
      <c r="E3224" s="307">
        <f>$E$2792</f>
        <v>-1.8114485663037212E-2</v>
      </c>
      <c r="F3224" s="307">
        <f>$F$2792</f>
        <v>-3.4231173058950778E-2</v>
      </c>
      <c r="G3224" s="307">
        <f>$G$2792</f>
        <v>-3.6492258012675957E-2</v>
      </c>
      <c r="H3224" s="307">
        <f>$H$2792</f>
        <v>-0.1452951325382863</v>
      </c>
      <c r="I3224" s="307">
        <f>$I$2792</f>
        <v>-3.8357997230994839E-2</v>
      </c>
      <c r="J3224" s="307">
        <f>$J$2792</f>
        <v>0</v>
      </c>
      <c r="K3224" s="309"/>
      <c r="L3224" s="309"/>
      <c r="M3224" s="307">
        <f>$K$2792</f>
        <v>-4.3728175868596349E-2</v>
      </c>
      <c r="N3224" s="307">
        <f>$L$2792</f>
        <v>-3.7178511561813052E-2</v>
      </c>
      <c r="O3224" s="307">
        <f>$M$2792</f>
        <v>-8.5106766752730111E-3</v>
      </c>
      <c r="P3224" s="307">
        <f>$N$2792</f>
        <v>-8.7696212849049295E-3</v>
      </c>
      <c r="Q3224" s="307">
        <f>$O$2792</f>
        <v>-1.6572064448817817E-2</v>
      </c>
      <c r="R3224" s="307">
        <f>$P$2792</f>
        <v>-1.7666705450832442E-2</v>
      </c>
      <c r="S3224" s="307">
        <f>$Q$2792</f>
        <v>-0.1147199501769687</v>
      </c>
      <c r="T3224" s="307">
        <f>$R$2792</f>
        <v>-5.1762677605790369E-2</v>
      </c>
      <c r="U3224" s="307">
        <f>$S$2792</f>
        <v>0</v>
      </c>
      <c r="V3224" s="309"/>
      <c r="W3224" s="309"/>
      <c r="X3224" s="291"/>
    </row>
    <row r="3225" spans="1:24">
      <c r="A3225" s="289" t="s">
        <v>102</v>
      </c>
      <c r="B3225" s="307">
        <f>$B$2828</f>
        <v>0</v>
      </c>
      <c r="C3225" s="307">
        <f>$C$2828</f>
        <v>-0.63018294935284425</v>
      </c>
      <c r="D3225" s="307">
        <f>$D$2828</f>
        <v>-0.14425761287659403</v>
      </c>
      <c r="E3225" s="307">
        <f>$E$2828</f>
        <v>-0.15168973737417613</v>
      </c>
      <c r="F3225" s="307">
        <f>$F$2828</f>
        <v>-0.28665001854938671</v>
      </c>
      <c r="G3225" s="307">
        <f>$G$2828</f>
        <v>-0.29945406845681238</v>
      </c>
      <c r="H3225" s="307">
        <f>$H$2828</f>
        <v>-1.2166936951155698</v>
      </c>
      <c r="I3225" s="307">
        <f>$I$2828</f>
        <v>-0.32120782419131666</v>
      </c>
      <c r="J3225" s="307">
        <f>$J$2828</f>
        <v>0</v>
      </c>
      <c r="K3225" s="309"/>
      <c r="L3225" s="309"/>
      <c r="M3225" s="307">
        <f>$K$2828</f>
        <v>-0.41813974141952143</v>
      </c>
      <c r="N3225" s="307">
        <f>$L$2828</f>
        <v>-0.30508543873843885</v>
      </c>
      <c r="O3225" s="307">
        <f>$M$2828</f>
        <v>-6.983828610566474E-2</v>
      </c>
      <c r="P3225" s="307">
        <f>$N$2828</f>
        <v>-7.3436341187021706E-2</v>
      </c>
      <c r="Q3225" s="307">
        <f>$O$2828</f>
        <v>-0.1387735843429744</v>
      </c>
      <c r="R3225" s="307">
        <f>$P$2828</f>
        <v>-0.14497230677373421</v>
      </c>
      <c r="S3225" s="307">
        <f>$Q$2828</f>
        <v>-0.96065874779053639</v>
      </c>
      <c r="T3225" s="307">
        <f>$R$2828</f>
        <v>-0.43345790313154181</v>
      </c>
      <c r="U3225" s="307">
        <f>$S$2828</f>
        <v>0</v>
      </c>
      <c r="V3225" s="309"/>
      <c r="W3225" s="309"/>
      <c r="X3225" s="291"/>
    </row>
    <row r="3226" spans="1:24">
      <c r="A3226" s="289" t="s">
        <v>103</v>
      </c>
      <c r="B3226" s="307">
        <f>$B$2794</f>
        <v>0</v>
      </c>
      <c r="C3226" s="307">
        <f>$C$2794</f>
        <v>-7.5594709241674649E-2</v>
      </c>
      <c r="D3226" s="307">
        <f>$D$2794</f>
        <v>-1.7304676860113416E-2</v>
      </c>
      <c r="E3226" s="307">
        <f>$E$2794</f>
        <v>-1.7831186439236261E-2</v>
      </c>
      <c r="F3226" s="307">
        <f>$F$2794</f>
        <v>-3.3695818926474094E-2</v>
      </c>
      <c r="G3226" s="307">
        <f>$G$2794</f>
        <v>-3.5921541926001166E-2</v>
      </c>
      <c r="H3226" s="307">
        <f>$H$2794</f>
        <v>-0.14302280755838673</v>
      </c>
      <c r="I3226" s="307">
        <f>$I$2794</f>
        <v>0</v>
      </c>
      <c r="J3226" s="307">
        <f>$J$2794</f>
        <v>0</v>
      </c>
      <c r="K3226" s="309"/>
      <c r="L3226" s="309"/>
      <c r="M3226" s="307">
        <f>$K$2794</f>
        <v>-4.3044294553264119E-2</v>
      </c>
      <c r="N3226" s="307">
        <f>$L$2794</f>
        <v>-3.6597062898932817E-2</v>
      </c>
      <c r="O3226" s="307">
        <f>$M$2794</f>
        <v>-8.3775750161381064E-3</v>
      </c>
      <c r="P3226" s="307">
        <f>$N$2794</f>
        <v>-8.6324698940646507E-3</v>
      </c>
      <c r="Q3226" s="307">
        <f>$O$2794</f>
        <v>-1.6312887727907142E-2</v>
      </c>
      <c r="R3226" s="307">
        <f>$P$2794</f>
        <v>-1.7390409229430283E-2</v>
      </c>
      <c r="S3226" s="307">
        <f>$Q$2794</f>
        <v>-0.11292580192213111</v>
      </c>
      <c r="T3226" s="307">
        <f>$R$2794</f>
        <v>0</v>
      </c>
      <c r="U3226" s="307">
        <f>$S$2794</f>
        <v>0</v>
      </c>
      <c r="V3226" s="309"/>
      <c r="W3226" s="309"/>
      <c r="X3226" s="291"/>
    </row>
    <row r="3227" spans="1:24">
      <c r="A3227" s="289" t="s">
        <v>104</v>
      </c>
      <c r="B3227" s="307">
        <f>$B$2829</f>
        <v>0</v>
      </c>
      <c r="C3227" s="307">
        <f>$C$2829</f>
        <v>-0.6203272822516499</v>
      </c>
      <c r="D3227" s="307">
        <f>$D$2829</f>
        <v>-0.14200151405515693</v>
      </c>
      <c r="E3227" s="307">
        <f>$E$2829</f>
        <v>-0.14931740477494798</v>
      </c>
      <c r="F3227" s="307">
        <f>$F$2829</f>
        <v>-0.28216699158035308</v>
      </c>
      <c r="G3227" s="307">
        <f>$G$2829</f>
        <v>-0.29477079415711976</v>
      </c>
      <c r="H3227" s="307">
        <f>$H$2829</f>
        <v>-1.1976653668570929</v>
      </c>
      <c r="I3227" s="307">
        <f>$I$2829</f>
        <v>0</v>
      </c>
      <c r="J3227" s="307">
        <f>$J$2829</f>
        <v>0</v>
      </c>
      <c r="K3227" s="309"/>
      <c r="L3227" s="309"/>
      <c r="M3227" s="307">
        <f>$K$2829</f>
        <v>-0.41160029744147925</v>
      </c>
      <c r="N3227" s="307">
        <f>$L$2829</f>
        <v>-0.300314093330386</v>
      </c>
      <c r="O3227" s="307">
        <f>$M$2829</f>
        <v>-6.8746059000056356E-2</v>
      </c>
      <c r="P3227" s="307">
        <f>$N$2829</f>
        <v>-7.228784275079414E-2</v>
      </c>
      <c r="Q3227" s="307">
        <f>$O$2829</f>
        <v>-0.13660325229713216</v>
      </c>
      <c r="R3227" s="307">
        <f>$P$2829</f>
        <v>-0.14270503058684045</v>
      </c>
      <c r="S3227" s="307">
        <f>$Q$2829</f>
        <v>-0.94563464593916668</v>
      </c>
      <c r="T3227" s="307">
        <f>$R$2829</f>
        <v>0</v>
      </c>
      <c r="U3227" s="307">
        <f>$S$2829</f>
        <v>0</v>
      </c>
      <c r="V3227" s="309"/>
      <c r="W3227" s="309"/>
      <c r="X3227" s="291"/>
    </row>
    <row r="3228" spans="1:24">
      <c r="A3228" s="289" t="s">
        <v>112</v>
      </c>
      <c r="B3228" s="307">
        <f>$B$2796</f>
        <v>0</v>
      </c>
      <c r="C3228" s="307">
        <f>$C$2796</f>
        <v>-7.4252373283177603E-2</v>
      </c>
      <c r="D3228" s="307">
        <f>$D$2796</f>
        <v>-1.6997397551382427E-2</v>
      </c>
      <c r="E3228" s="307">
        <f>$E$2796</f>
        <v>-1.7514557894988136E-2</v>
      </c>
      <c r="F3228" s="307">
        <f>$F$2796</f>
        <v>-2.4570211306885612E-2</v>
      </c>
      <c r="G3228" s="307">
        <f>$G$2796</f>
        <v>-2.6193157006122188E-2</v>
      </c>
      <c r="H3228" s="307">
        <f>$H$2796</f>
        <v>0</v>
      </c>
      <c r="I3228" s="307">
        <f>$I$2796</f>
        <v>0</v>
      </c>
      <c r="J3228" s="307">
        <f>$J$2796</f>
        <v>0</v>
      </c>
      <c r="K3228" s="309"/>
      <c r="L3228" s="309"/>
      <c r="M3228" s="307">
        <f>$K$2796</f>
        <v>-4.2279956612598674E-2</v>
      </c>
      <c r="N3228" s="307">
        <f>$L$2796</f>
        <v>-3.5947208511007835E-2</v>
      </c>
      <c r="O3228" s="307">
        <f>$M$2796</f>
        <v>-8.228814338281449E-3</v>
      </c>
      <c r="P3228" s="307">
        <f>$N$2796</f>
        <v>-8.4791830454784556E-3</v>
      </c>
      <c r="Q3228" s="307">
        <f>$O$2796</f>
        <v>-1.6023219628065799E-2</v>
      </c>
      <c r="R3228" s="307">
        <f>$P$2796</f>
        <v>-1.7081607570216095E-2</v>
      </c>
      <c r="S3228" s="307">
        <f>$Q$2796</f>
        <v>0</v>
      </c>
      <c r="T3228" s="307">
        <f>$R$2796</f>
        <v>0</v>
      </c>
      <c r="U3228" s="307">
        <f>$S$2796</f>
        <v>0</v>
      </c>
      <c r="V3228" s="309"/>
      <c r="W3228" s="309"/>
      <c r="X3228" s="291"/>
    </row>
    <row r="3229" spans="1:24">
      <c r="A3229" s="289" t="s">
        <v>113</v>
      </c>
      <c r="B3229" s="307">
        <f>$B$2830</f>
        <v>0</v>
      </c>
      <c r="C3229" s="307">
        <f>$C$2830</f>
        <v>-0.60931212490325604</v>
      </c>
      <c r="D3229" s="307">
        <f>$D$2830</f>
        <v>-0.13947999184296259</v>
      </c>
      <c r="E3229" s="307">
        <f>$E$2830</f>
        <v>-0.14666597422286945</v>
      </c>
      <c r="F3229" s="307">
        <f>$F$2830</f>
        <v>-0.20574963980206029</v>
      </c>
      <c r="G3229" s="307">
        <f>$G$2830</f>
        <v>-0.21494004093928029</v>
      </c>
      <c r="H3229" s="307">
        <f>$H$2830</f>
        <v>0</v>
      </c>
      <c r="I3229" s="307">
        <f>$I$2830</f>
        <v>0</v>
      </c>
      <c r="J3229" s="307">
        <f>$J$2830</f>
        <v>0</v>
      </c>
      <c r="K3229" s="309"/>
      <c r="L3229" s="309"/>
      <c r="M3229" s="307">
        <f>$K$2830</f>
        <v>-0.4042915071130791</v>
      </c>
      <c r="N3229" s="307">
        <f>$L$2830</f>
        <v>-0.29498141316844456</v>
      </c>
      <c r="O3229" s="307">
        <f>$M$2830</f>
        <v>-6.7525334587905841E-2</v>
      </c>
      <c r="P3229" s="307">
        <f>$N$2830</f>
        <v>-7.1004226851480959E-2</v>
      </c>
      <c r="Q3229" s="307">
        <f>$O$2830</f>
        <v>-0.13417758706942606</v>
      </c>
      <c r="R3229" s="307">
        <f>$P$2830</f>
        <v>-0.14017101602501805</v>
      </c>
      <c r="S3229" s="307">
        <f>$Q$2830</f>
        <v>0</v>
      </c>
      <c r="T3229" s="307">
        <f>$R$2830</f>
        <v>0</v>
      </c>
      <c r="U3229" s="307">
        <f>$S$2830</f>
        <v>0</v>
      </c>
      <c r="V3229" s="309"/>
      <c r="W3229" s="309"/>
      <c r="X3229" s="291"/>
    </row>
    <row r="3231" spans="1:24" ht="21" customHeight="1">
      <c r="A3231" s="1" t="s">
        <v>751</v>
      </c>
    </row>
    <row r="3232" spans="1:24">
      <c r="A3232" s="287" t="s">
        <v>255</v>
      </c>
    </row>
    <row r="3233" spans="1:24">
      <c r="A3233" s="301" t="s">
        <v>1494</v>
      </c>
    </row>
    <row r="3234" spans="1:24">
      <c r="A3234" s="301" t="s">
        <v>1493</v>
      </c>
    </row>
    <row r="3235" spans="1:24">
      <c r="A3235" s="301" t="s">
        <v>1492</v>
      </c>
    </row>
    <row r="3236" spans="1:24">
      <c r="A3236" s="301" t="s">
        <v>1741</v>
      </c>
    </row>
    <row r="3237" spans="1:24">
      <c r="A3237" s="301" t="s">
        <v>752</v>
      </c>
    </row>
    <row r="3238" spans="1:24">
      <c r="A3238" s="287" t="s">
        <v>341</v>
      </c>
    </row>
    <row r="3240" spans="1:24" ht="30">
      <c r="B3240" s="288" t="s">
        <v>60</v>
      </c>
      <c r="C3240" s="288" t="s">
        <v>220</v>
      </c>
      <c r="D3240" s="288" t="s">
        <v>221</v>
      </c>
      <c r="E3240" s="288" t="s">
        <v>222</v>
      </c>
      <c r="F3240" s="288" t="s">
        <v>223</v>
      </c>
      <c r="G3240" s="288" t="s">
        <v>224</v>
      </c>
      <c r="H3240" s="288" t="s">
        <v>225</v>
      </c>
      <c r="I3240" s="288" t="s">
        <v>226</v>
      </c>
      <c r="J3240" s="288" t="s">
        <v>227</v>
      </c>
      <c r="K3240" s="288" t="s">
        <v>364</v>
      </c>
      <c r="L3240" s="288" t="s">
        <v>371</v>
      </c>
      <c r="M3240" s="288" t="s">
        <v>208</v>
      </c>
      <c r="N3240" s="288" t="s">
        <v>618</v>
      </c>
      <c r="O3240" s="288" t="s">
        <v>619</v>
      </c>
      <c r="P3240" s="288" t="s">
        <v>620</v>
      </c>
      <c r="Q3240" s="288" t="s">
        <v>621</v>
      </c>
      <c r="R3240" s="288" t="s">
        <v>622</v>
      </c>
      <c r="S3240" s="288" t="s">
        <v>623</v>
      </c>
      <c r="T3240" s="288" t="s">
        <v>624</v>
      </c>
      <c r="U3240" s="288" t="s">
        <v>625</v>
      </c>
      <c r="V3240" s="288" t="s">
        <v>626</v>
      </c>
      <c r="W3240" s="288" t="s">
        <v>627</v>
      </c>
    </row>
    <row r="3241" spans="1:24">
      <c r="A3241" s="289" t="s">
        <v>92</v>
      </c>
      <c r="B3241" s="309"/>
      <c r="C3241" s="309"/>
      <c r="D3241" s="309"/>
      <c r="E3241" s="309"/>
      <c r="F3241" s="309"/>
      <c r="G3241" s="309"/>
      <c r="H3241" s="309"/>
      <c r="I3241" s="309"/>
      <c r="J3241" s="309"/>
      <c r="K3241" s="309"/>
      <c r="L3241" s="309"/>
      <c r="M3241" s="309"/>
      <c r="N3241" s="309"/>
      <c r="O3241" s="309"/>
      <c r="P3241" s="309"/>
      <c r="Q3241" s="309"/>
      <c r="R3241" s="309"/>
      <c r="S3241" s="309"/>
      <c r="T3241" s="309"/>
      <c r="U3241" s="309"/>
      <c r="V3241" s="309"/>
      <c r="W3241" s="309"/>
      <c r="X3241" s="291"/>
    </row>
    <row r="3242" spans="1:24">
      <c r="A3242" s="289" t="s">
        <v>93</v>
      </c>
      <c r="B3242" s="307">
        <f>$B$2982</f>
        <v>0</v>
      </c>
      <c r="C3242" s="307">
        <f>$C$2982</f>
        <v>5.4515058449766153E-3</v>
      </c>
      <c r="D3242" s="307">
        <f>$D$2982</f>
        <v>1.2479252581916545E-3</v>
      </c>
      <c r="E3242" s="307">
        <f>$E$2982</f>
        <v>2.8415632263661386E-3</v>
      </c>
      <c r="F3242" s="307">
        <f>$F$2982</f>
        <v>5.3697380300546053E-3</v>
      </c>
      <c r="G3242" s="307">
        <f>$G$2982</f>
        <v>2.5904788540705259E-3</v>
      </c>
      <c r="H3242" s="307">
        <f>$H$2982</f>
        <v>2.2791997149179032E-2</v>
      </c>
      <c r="I3242" s="307">
        <f>$I$2982</f>
        <v>6.0171001482563708E-3</v>
      </c>
      <c r="J3242" s="307">
        <f>$J$2982</f>
        <v>0</v>
      </c>
      <c r="K3242" s="309"/>
      <c r="L3242" s="309"/>
      <c r="M3242" s="307">
        <f>$K$2982</f>
        <v>0</v>
      </c>
      <c r="N3242" s="307">
        <f>$L$2982</f>
        <v>2.6391939899481961E-3</v>
      </c>
      <c r="O3242" s="307">
        <f>$M$2982</f>
        <v>6.041480895336164E-4</v>
      </c>
      <c r="P3242" s="307">
        <f>$N$2982</f>
        <v>1.3756633125494681E-3</v>
      </c>
      <c r="Q3242" s="307">
        <f>$O$2982</f>
        <v>2.5996083906935944E-3</v>
      </c>
      <c r="R3242" s="307">
        <f>$P$2982</f>
        <v>1.2541078405062501E-3</v>
      </c>
      <c r="S3242" s="307">
        <f>$Q$2982</f>
        <v>1.7995763049381164E-2</v>
      </c>
      <c r="T3242" s="307">
        <f>$R$2982</f>
        <v>8.119850815471525E-3</v>
      </c>
      <c r="U3242" s="307">
        <f>$S$2982</f>
        <v>0</v>
      </c>
      <c r="V3242" s="309"/>
      <c r="W3242" s="309"/>
      <c r="X3242" s="291"/>
    </row>
    <row r="3243" spans="1:24">
      <c r="A3243" s="289" t="s">
        <v>129</v>
      </c>
      <c r="B3243" s="309"/>
      <c r="C3243" s="309"/>
      <c r="D3243" s="309"/>
      <c r="E3243" s="309"/>
      <c r="F3243" s="309"/>
      <c r="G3243" s="309"/>
      <c r="H3243" s="309"/>
      <c r="I3243" s="309"/>
      <c r="J3243" s="309"/>
      <c r="K3243" s="309"/>
      <c r="L3243" s="309"/>
      <c r="M3243" s="309"/>
      <c r="N3243" s="309"/>
      <c r="O3243" s="309"/>
      <c r="P3243" s="309"/>
      <c r="Q3243" s="309"/>
      <c r="R3243" s="309"/>
      <c r="S3243" s="309"/>
      <c r="T3243" s="309"/>
      <c r="U3243" s="309"/>
      <c r="V3243" s="309"/>
      <c r="W3243" s="309"/>
      <c r="X3243" s="291"/>
    </row>
    <row r="3244" spans="1:24">
      <c r="A3244" s="289" t="s">
        <v>94</v>
      </c>
      <c r="B3244" s="309"/>
      <c r="C3244" s="309"/>
      <c r="D3244" s="309"/>
      <c r="E3244" s="309"/>
      <c r="F3244" s="309"/>
      <c r="G3244" s="309"/>
      <c r="H3244" s="309"/>
      <c r="I3244" s="309"/>
      <c r="J3244" s="309"/>
      <c r="K3244" s="309"/>
      <c r="L3244" s="309"/>
      <c r="M3244" s="309"/>
      <c r="N3244" s="309"/>
      <c r="O3244" s="309"/>
      <c r="P3244" s="309"/>
      <c r="Q3244" s="309"/>
      <c r="R3244" s="309"/>
      <c r="S3244" s="309"/>
      <c r="T3244" s="309"/>
      <c r="U3244" s="309"/>
      <c r="V3244" s="309"/>
      <c r="W3244" s="309"/>
      <c r="X3244" s="291"/>
    </row>
    <row r="3245" spans="1:24">
      <c r="A3245" s="289" t="s">
        <v>95</v>
      </c>
      <c r="B3245" s="307">
        <f>$B$2983</f>
        <v>0</v>
      </c>
      <c r="C3245" s="307">
        <f>$C$2983</f>
        <v>5.203377144163337E-3</v>
      </c>
      <c r="D3245" s="307">
        <f>$D$2983</f>
        <v>1.1911251589470577E-3</v>
      </c>
      <c r="E3245" s="307">
        <f>$E$2983</f>
        <v>2.7124034747345875E-3</v>
      </c>
      <c r="F3245" s="307">
        <f>$F$2983</f>
        <v>5.1256632110067519E-3</v>
      </c>
      <c r="G3245" s="307">
        <f>$G$2983</f>
        <v>2.4725715875604688E-3</v>
      </c>
      <c r="H3245" s="307">
        <f>$H$2983</f>
        <v>2.1756015030723903E-2</v>
      </c>
      <c r="I3245" s="307">
        <f>$I$2983</f>
        <v>5.7436002825909426E-3</v>
      </c>
      <c r="J3245" s="307">
        <f>$J$2983</f>
        <v>0</v>
      </c>
      <c r="K3245" s="309"/>
      <c r="L3245" s="309"/>
      <c r="M3245" s="307">
        <f>$K$2983</f>
        <v>0</v>
      </c>
      <c r="N3245" s="307">
        <f>$L$2983</f>
        <v>2.51906942353624E-3</v>
      </c>
      <c r="O3245" s="307">
        <f>$M$2983</f>
        <v>5.7664991108207267E-4</v>
      </c>
      <c r="P3245" s="307">
        <f>$N$2983</f>
        <v>1.313134233439464E-3</v>
      </c>
      <c r="Q3245" s="307">
        <f>$O$2983</f>
        <v>2.4814463976871367E-3</v>
      </c>
      <c r="R3245" s="307">
        <f>$P$2983</f>
        <v>1.1970263371577203E-3</v>
      </c>
      <c r="S3245" s="307">
        <f>$Q$2983</f>
        <v>1.7177787836191651E-2</v>
      </c>
      <c r="T3245" s="307">
        <f>$R$2983</f>
        <v>7.7507730117892439E-3</v>
      </c>
      <c r="U3245" s="307">
        <f>$S$2983</f>
        <v>0</v>
      </c>
      <c r="V3245" s="309"/>
      <c r="W3245" s="309"/>
      <c r="X3245" s="291"/>
    </row>
    <row r="3246" spans="1:24">
      <c r="A3246" s="289" t="s">
        <v>130</v>
      </c>
      <c r="B3246" s="309"/>
      <c r="C3246" s="309"/>
      <c r="D3246" s="309"/>
      <c r="E3246" s="309"/>
      <c r="F3246" s="309"/>
      <c r="G3246" s="309"/>
      <c r="H3246" s="309"/>
      <c r="I3246" s="309"/>
      <c r="J3246" s="309"/>
      <c r="K3246" s="309"/>
      <c r="L3246" s="309"/>
      <c r="M3246" s="309"/>
      <c r="N3246" s="309"/>
      <c r="O3246" s="309"/>
      <c r="P3246" s="309"/>
      <c r="Q3246" s="309"/>
      <c r="R3246" s="309"/>
      <c r="S3246" s="309"/>
      <c r="T3246" s="309"/>
      <c r="U3246" s="309"/>
      <c r="V3246" s="309"/>
      <c r="W3246" s="309"/>
      <c r="X3246" s="291"/>
    </row>
    <row r="3247" spans="1:24">
      <c r="A3247" s="289" t="s">
        <v>96</v>
      </c>
      <c r="B3247" s="307">
        <f>$B$2984</f>
        <v>0</v>
      </c>
      <c r="C3247" s="307">
        <f>$C$2984</f>
        <v>3.683458002616219E-3</v>
      </c>
      <c r="D3247" s="307">
        <f>$D$2984</f>
        <v>8.4319459790887889E-4</v>
      </c>
      <c r="E3247" s="307">
        <f>$E$2984</f>
        <v>1.9199793788615515E-3</v>
      </c>
      <c r="F3247" s="307">
        <f>$F$2984</f>
        <v>3.6282093574169388E-3</v>
      </c>
      <c r="G3247" s="307">
        <f>$G$2984</f>
        <v>1.7503274025518544E-3</v>
      </c>
      <c r="H3247" s="307">
        <f>$H$2984</f>
        <v>1.5400031969535516E-2</v>
      </c>
      <c r="I3247" s="307">
        <f>$I$2984</f>
        <v>4.0656171567827141E-3</v>
      </c>
      <c r="J3247" s="307">
        <f>$J$2984</f>
        <v>0</v>
      </c>
      <c r="K3247" s="309"/>
      <c r="L3247" s="309"/>
      <c r="M3247" s="307">
        <f>$K$2984</f>
        <v>0</v>
      </c>
      <c r="N3247" s="307">
        <f>$L$2984</f>
        <v>1.7832431073497295E-3</v>
      </c>
      <c r="O3247" s="307">
        <f>$M$2984</f>
        <v>4.0820906707978496E-4</v>
      </c>
      <c r="P3247" s="307">
        <f>$N$2984</f>
        <v>9.2950428406586669E-4</v>
      </c>
      <c r="Q3247" s="307">
        <f>$O$2984</f>
        <v>1.7564960219555018E-3</v>
      </c>
      <c r="R3247" s="307">
        <f>$P$2984</f>
        <v>8.4737202758631679E-4</v>
      </c>
      <c r="S3247" s="307">
        <f>$Q$2984</f>
        <v>1.2159326120600106E-2</v>
      </c>
      <c r="T3247" s="307">
        <f>$R$2984</f>
        <v>5.4863977617961683E-3</v>
      </c>
      <c r="U3247" s="307">
        <f>$S$2984</f>
        <v>0</v>
      </c>
      <c r="V3247" s="309"/>
      <c r="W3247" s="309"/>
      <c r="X3247" s="291"/>
    </row>
    <row r="3248" spans="1:24">
      <c r="A3248" s="289" t="s">
        <v>97</v>
      </c>
      <c r="B3248" s="307">
        <f>$B$2985</f>
        <v>0</v>
      </c>
      <c r="C3248" s="307">
        <f>$C$2985</f>
        <v>3.6258510237344569E-3</v>
      </c>
      <c r="D3248" s="307">
        <f>$D$2985</f>
        <v>8.300075618790252E-4</v>
      </c>
      <c r="E3248" s="307">
        <f>$E$2985</f>
        <v>1.8899521024672127E-3</v>
      </c>
      <c r="F3248" s="307">
        <f>$F$2985</f>
        <v>3.5714664327839234E-3</v>
      </c>
      <c r="G3248" s="307">
        <f>$G$2985</f>
        <v>1.7229533769369679E-3</v>
      </c>
      <c r="H3248" s="307">
        <f>$H$2985</f>
        <v>1.5159185103406622E-2</v>
      </c>
      <c r="I3248" s="307">
        <f>$I$2985</f>
        <v>0</v>
      </c>
      <c r="J3248" s="307">
        <f>$J$2985</f>
        <v>0</v>
      </c>
      <c r="K3248" s="309"/>
      <c r="L3248" s="309"/>
      <c r="M3248" s="307">
        <f>$K$2985</f>
        <v>0</v>
      </c>
      <c r="N3248" s="307">
        <f>$L$2985</f>
        <v>1.7553543007030458E-3</v>
      </c>
      <c r="O3248" s="307">
        <f>$M$2985</f>
        <v>4.0182493263603492E-4</v>
      </c>
      <c r="P3248" s="307">
        <f>$N$2985</f>
        <v>9.1496741853769759E-4</v>
      </c>
      <c r="Q3248" s="307">
        <f>$O$2985</f>
        <v>1.7290255229920762E-3</v>
      </c>
      <c r="R3248" s="307">
        <f>$P$2985</f>
        <v>8.3411965916960337E-4</v>
      </c>
      <c r="S3248" s="307">
        <f>$Q$2985</f>
        <v>1.1969161866644082E-2</v>
      </c>
      <c r="T3248" s="307">
        <f>$R$2985</f>
        <v>0</v>
      </c>
      <c r="U3248" s="307">
        <f>$S$2985</f>
        <v>0</v>
      </c>
      <c r="V3248" s="309"/>
      <c r="W3248" s="309"/>
      <c r="X3248" s="291"/>
    </row>
    <row r="3249" spans="1:24">
      <c r="A3249" s="289" t="s">
        <v>110</v>
      </c>
      <c r="B3249" s="307">
        <f>$B$2986</f>
        <v>0</v>
      </c>
      <c r="C3249" s="307">
        <f>$C$2986</f>
        <v>3.0681568606785296E-3</v>
      </c>
      <c r="D3249" s="307">
        <f>$D$2986</f>
        <v>8.1526910984565935E-4</v>
      </c>
      <c r="E3249" s="307">
        <f>$E$2986</f>
        <v>1.4851137642564786E-3</v>
      </c>
      <c r="F3249" s="307">
        <f>$F$2986</f>
        <v>0</v>
      </c>
      <c r="G3249" s="307">
        <f>$G$2986</f>
        <v>0</v>
      </c>
      <c r="H3249" s="307">
        <f>$H$2986</f>
        <v>0</v>
      </c>
      <c r="I3249" s="307">
        <f>$I$2986</f>
        <v>0</v>
      </c>
      <c r="J3249" s="307">
        <f>$J$2986</f>
        <v>0</v>
      </c>
      <c r="K3249" s="309"/>
      <c r="L3249" s="309"/>
      <c r="M3249" s="307">
        <f>$K$2986</f>
        <v>0</v>
      </c>
      <c r="N3249" s="307">
        <f>$L$2986</f>
        <v>1.4853622791916562E-3</v>
      </c>
      <c r="O3249" s="307">
        <f>$M$2986</f>
        <v>3.9468972355184365E-4</v>
      </c>
      <c r="P3249" s="307">
        <f>$N$2986</f>
        <v>7.189762668285011E-4</v>
      </c>
      <c r="Q3249" s="307">
        <f>$O$2986</f>
        <v>0</v>
      </c>
      <c r="R3249" s="307">
        <f>$P$2986</f>
        <v>0</v>
      </c>
      <c r="S3249" s="307">
        <f>$Q$2986</f>
        <v>0</v>
      </c>
      <c r="T3249" s="307">
        <f>$R$2986</f>
        <v>0</v>
      </c>
      <c r="U3249" s="307">
        <f>$S$2986</f>
        <v>0</v>
      </c>
      <c r="V3249" s="309"/>
      <c r="W3249" s="309"/>
      <c r="X3249" s="291"/>
    </row>
    <row r="3250" spans="1:24">
      <c r="A3250" s="289" t="s">
        <v>1536</v>
      </c>
      <c r="B3250" s="307">
        <f>$B$2987</f>
        <v>0</v>
      </c>
      <c r="C3250" s="307">
        <f>$C$2987</f>
        <v>7.2926695377830308E-2</v>
      </c>
      <c r="D3250" s="307">
        <f>$D$2987</f>
        <v>1.6693931501935932E-2</v>
      </c>
      <c r="E3250" s="307">
        <f>$E$2987</f>
        <v>1.3615592093699671E-2</v>
      </c>
      <c r="F3250" s="307">
        <f>$F$2987</f>
        <v>2.5729556882233294E-2</v>
      </c>
      <c r="G3250" s="307">
        <f>$G$2987</f>
        <v>3.4653739287024928E-2</v>
      </c>
      <c r="H3250" s="307">
        <f>$H$2987</f>
        <v>0.10920979456115805</v>
      </c>
      <c r="I3250" s="307">
        <f>$I$2987</f>
        <v>2.8831447579777437E-2</v>
      </c>
      <c r="J3250" s="307">
        <f>$J$2987</f>
        <v>0</v>
      </c>
      <c r="K3250" s="309"/>
      <c r="L3250" s="309"/>
      <c r="M3250" s="307">
        <f>$K$2987</f>
        <v>2.535339846302858E-2</v>
      </c>
      <c r="N3250" s="307">
        <f>$L$2987</f>
        <v>3.5305418653325905E-2</v>
      </c>
      <c r="O3250" s="307">
        <f>$M$2987</f>
        <v>8.081899743190164E-3</v>
      </c>
      <c r="P3250" s="307">
        <f>$N$2987</f>
        <v>6.5916078685654385E-3</v>
      </c>
      <c r="Q3250" s="307">
        <f>$O$2987</f>
        <v>1.2456244901616101E-2</v>
      </c>
      <c r="R3250" s="307">
        <f>$P$2987</f>
        <v>1.6776638062274737E-2</v>
      </c>
      <c r="S3250" s="307">
        <f>$Q$2987</f>
        <v>8.622823058158316E-2</v>
      </c>
      <c r="T3250" s="307">
        <f>$R$2987</f>
        <v>3.8906956403196906E-2</v>
      </c>
      <c r="U3250" s="307">
        <f>$S$2987</f>
        <v>0</v>
      </c>
      <c r="V3250" s="309"/>
      <c r="W3250" s="309"/>
      <c r="X3250" s="291"/>
    </row>
    <row r="3251" spans="1:24">
      <c r="A3251" s="289" t="s">
        <v>1535</v>
      </c>
      <c r="B3251" s="307">
        <f>$B$2988</f>
        <v>0</v>
      </c>
      <c r="C3251" s="307">
        <f>$C$2988</f>
        <v>7.3328346558859697E-2</v>
      </c>
      <c r="D3251" s="307">
        <f>$D$2988</f>
        <v>1.6785875025072935E-2</v>
      </c>
      <c r="E3251" s="307">
        <f>$E$2988</f>
        <v>1.3692064841072495E-2</v>
      </c>
      <c r="F3251" s="307">
        <f>$F$2988</f>
        <v>2.5874068401815338E-2</v>
      </c>
      <c r="G3251" s="307">
        <f>$G$2988</f>
        <v>3.4844598275487332E-2</v>
      </c>
      <c r="H3251" s="307">
        <f>$H$2988</f>
        <v>0.10982317758355178</v>
      </c>
      <c r="I3251" s="307">
        <f>$I$2988</f>
        <v>2.899338104488039E-2</v>
      </c>
      <c r="J3251" s="307">
        <f>$J$2988</f>
        <v>0</v>
      </c>
      <c r="K3251" s="309"/>
      <c r="L3251" s="309"/>
      <c r="M3251" s="307">
        <f>$K$2988</f>
        <v>2.5505933430389972E-2</v>
      </c>
      <c r="N3251" s="307">
        <f>$L$2988</f>
        <v>3.5499866832080992E-2</v>
      </c>
      <c r="O3251" s="307">
        <f>$M$2988</f>
        <v>8.1264116268014493E-3</v>
      </c>
      <c r="P3251" s="307">
        <f>$N$2988</f>
        <v>6.628630009052945E-3</v>
      </c>
      <c r="Q3251" s="307">
        <f>$O$2988</f>
        <v>1.252620610954742E-2</v>
      </c>
      <c r="R3251" s="307">
        <f>$P$2988</f>
        <v>1.6869037100192257E-2</v>
      </c>
      <c r="S3251" s="307">
        <f>$Q$2988</f>
        <v>8.6712536342823082E-2</v>
      </c>
      <c r="T3251" s="307">
        <f>$R$2988</f>
        <v>3.9125479536645073E-2</v>
      </c>
      <c r="U3251" s="307">
        <f>$S$2988</f>
        <v>0</v>
      </c>
      <c r="V3251" s="309"/>
      <c r="W3251" s="309"/>
      <c r="X3251" s="291"/>
    </row>
    <row r="3252" spans="1:24">
      <c r="A3252" s="289" t="s">
        <v>98</v>
      </c>
      <c r="B3252" s="307">
        <f>$B$2989</f>
        <v>0</v>
      </c>
      <c r="C3252" s="307">
        <f>$C$2989</f>
        <v>7.0529113541934849E-2</v>
      </c>
      <c r="D3252" s="307">
        <f>$D$2989</f>
        <v>1.6145091783759259E-2</v>
      </c>
      <c r="E3252" s="307">
        <f>$E$2989</f>
        <v>1.3159924516866098E-2</v>
      </c>
      <c r="F3252" s="307">
        <f>$F$2989</f>
        <v>2.4868476089209689E-2</v>
      </c>
      <c r="G3252" s="307">
        <f>$G$2989</f>
        <v>3.3514442141720772E-2</v>
      </c>
      <c r="H3252" s="307">
        <f>$H$2989</f>
        <v>8.4443931224545105E-2</v>
      </c>
      <c r="I3252" s="307">
        <f>$I$2989</f>
        <v>0</v>
      </c>
      <c r="J3252" s="307">
        <f>$J$2989</f>
        <v>0</v>
      </c>
      <c r="K3252" s="309"/>
      <c r="L3252" s="309"/>
      <c r="M3252" s="307">
        <f>$K$2989</f>
        <v>2.4531899327652949E-2</v>
      </c>
      <c r="N3252" s="307">
        <f>$L$2989</f>
        <v>3.4144696505786623E-2</v>
      </c>
      <c r="O3252" s="307">
        <f>$M$2989</f>
        <v>7.8161943533681076E-3</v>
      </c>
      <c r="P3252" s="307">
        <f>$N$2989</f>
        <v>6.3710091634752511E-3</v>
      </c>
      <c r="Q3252" s="307">
        <f>$O$2989</f>
        <v>1.2039376733731479E-2</v>
      </c>
      <c r="R3252" s="307">
        <f>$P$2989</f>
        <v>1.6225079233548073E-2</v>
      </c>
      <c r="S3252" s="307">
        <f>$Q$2989</f>
        <v>6.6673971891484274E-2</v>
      </c>
      <c r="T3252" s="307">
        <f>$R$2989</f>
        <v>0</v>
      </c>
      <c r="U3252" s="307">
        <f>$S$2989</f>
        <v>0</v>
      </c>
      <c r="V3252" s="309"/>
      <c r="W3252" s="309"/>
      <c r="X3252" s="291"/>
    </row>
    <row r="3253" spans="1:24">
      <c r="A3253" s="289" t="s">
        <v>99</v>
      </c>
      <c r="B3253" s="307">
        <f>$B$2990</f>
        <v>0</v>
      </c>
      <c r="C3253" s="307">
        <f>$C$2990</f>
        <v>7.4418339400131497E-2</v>
      </c>
      <c r="D3253" s="307">
        <f>$D$2990</f>
        <v>1.7035389496221225E-2</v>
      </c>
      <c r="E3253" s="307">
        <f>$E$2990</f>
        <v>1.388560950215207E-2</v>
      </c>
      <c r="F3253" s="307">
        <f>$F$2990</f>
        <v>2.6239812199971842E-2</v>
      </c>
      <c r="G3253" s="307">
        <f>$G$2990</f>
        <v>3.536254753330656E-2</v>
      </c>
      <c r="H3253" s="307">
        <f>$H$2990</f>
        <v>0</v>
      </c>
      <c r="I3253" s="307">
        <f>$I$2990</f>
        <v>0</v>
      </c>
      <c r="J3253" s="307">
        <f>$J$2990</f>
        <v>0</v>
      </c>
      <c r="K3253" s="309"/>
      <c r="L3253" s="309"/>
      <c r="M3253" s="307">
        <f>$K$2990</f>
        <v>2.5884675400175909E-2</v>
      </c>
      <c r="N3253" s="307">
        <f>$L$2990</f>
        <v>3.6027556361832094E-2</v>
      </c>
      <c r="O3253" s="307">
        <f>$M$2990</f>
        <v>8.2472070751391704E-3</v>
      </c>
      <c r="P3253" s="307">
        <f>$N$2990</f>
        <v>6.7223292402072985E-3</v>
      </c>
      <c r="Q3253" s="307">
        <f>$O$2990</f>
        <v>1.2703270733782379E-2</v>
      </c>
      <c r="R3253" s="307">
        <f>$P$2990</f>
        <v>1.7119787738127321E-2</v>
      </c>
      <c r="S3253" s="307">
        <f>$Q$2990</f>
        <v>0</v>
      </c>
      <c r="T3253" s="307">
        <f>$R$2990</f>
        <v>0</v>
      </c>
      <c r="U3253" s="307">
        <f>$S$2990</f>
        <v>0</v>
      </c>
      <c r="V3253" s="309"/>
      <c r="W3253" s="309"/>
      <c r="X3253" s="291"/>
    </row>
    <row r="3254" spans="1:24">
      <c r="A3254" s="289" t="s">
        <v>111</v>
      </c>
      <c r="B3254" s="307">
        <f>$B$2991</f>
        <v>0</v>
      </c>
      <c r="C3254" s="307">
        <f>$C$2991</f>
        <v>5.2929529351136387E-2</v>
      </c>
      <c r="D3254" s="307">
        <f>$D$2991</f>
        <v>1.4064408124527096E-2</v>
      </c>
      <c r="E3254" s="307">
        <f>$E$2991</f>
        <v>9.1711612060010918E-3</v>
      </c>
      <c r="F3254" s="307">
        <f>$F$2991</f>
        <v>0</v>
      </c>
      <c r="G3254" s="307">
        <f>$G$2991</f>
        <v>0</v>
      </c>
      <c r="H3254" s="307">
        <f>$H$2991</f>
        <v>0</v>
      </c>
      <c r="I3254" s="307">
        <f>$I$2991</f>
        <v>0</v>
      </c>
      <c r="J3254" s="307">
        <f>$J$2991</f>
        <v>0</v>
      </c>
      <c r="K3254" s="309"/>
      <c r="L3254" s="309"/>
      <c r="M3254" s="307">
        <f>$K$2991</f>
        <v>2.1370373661238246E-2</v>
      </c>
      <c r="N3254" s="307">
        <f>$L$2991</f>
        <v>2.5624350358722767E-2</v>
      </c>
      <c r="O3254" s="307">
        <f>$M$2991</f>
        <v>6.8088895894029304E-3</v>
      </c>
      <c r="P3254" s="307">
        <f>$N$2991</f>
        <v>4.4399610353582876E-3</v>
      </c>
      <c r="Q3254" s="307">
        <f>$O$2991</f>
        <v>0</v>
      </c>
      <c r="R3254" s="307">
        <f>$P$2991</f>
        <v>0</v>
      </c>
      <c r="S3254" s="307">
        <f>$Q$2991</f>
        <v>0</v>
      </c>
      <c r="T3254" s="307">
        <f>$R$2991</f>
        <v>0</v>
      </c>
      <c r="U3254" s="307">
        <f>$S$2991</f>
        <v>0</v>
      </c>
      <c r="V3254" s="309"/>
      <c r="W3254" s="309"/>
      <c r="X3254" s="291"/>
    </row>
    <row r="3255" spans="1:24">
      <c r="A3255" s="289" t="s">
        <v>131</v>
      </c>
      <c r="B3255" s="309"/>
      <c r="C3255" s="309"/>
      <c r="D3255" s="309"/>
      <c r="E3255" s="309"/>
      <c r="F3255" s="309"/>
      <c r="G3255" s="309"/>
      <c r="H3255" s="309"/>
      <c r="I3255" s="309"/>
      <c r="J3255" s="309"/>
      <c r="K3255" s="309"/>
      <c r="L3255" s="309"/>
      <c r="M3255" s="309"/>
      <c r="N3255" s="309"/>
      <c r="O3255" s="309"/>
      <c r="P3255" s="309"/>
      <c r="Q3255" s="309"/>
      <c r="R3255" s="309"/>
      <c r="S3255" s="309"/>
      <c r="T3255" s="309"/>
      <c r="U3255" s="309"/>
      <c r="V3255" s="309"/>
      <c r="W3255" s="309"/>
      <c r="X3255" s="291"/>
    </row>
    <row r="3256" spans="1:24">
      <c r="A3256" s="289" t="s">
        <v>132</v>
      </c>
      <c r="B3256" s="309"/>
      <c r="C3256" s="309"/>
      <c r="D3256" s="309"/>
      <c r="E3256" s="309"/>
      <c r="F3256" s="309"/>
      <c r="G3256" s="309"/>
      <c r="H3256" s="309"/>
      <c r="I3256" s="309"/>
      <c r="J3256" s="309"/>
      <c r="K3256" s="309"/>
      <c r="L3256" s="309"/>
      <c r="M3256" s="309"/>
      <c r="N3256" s="309"/>
      <c r="O3256" s="309"/>
      <c r="P3256" s="309"/>
      <c r="Q3256" s="309"/>
      <c r="R3256" s="309"/>
      <c r="S3256" s="309"/>
      <c r="T3256" s="309"/>
      <c r="U3256" s="309"/>
      <c r="V3256" s="309"/>
      <c r="W3256" s="309"/>
      <c r="X3256" s="291"/>
    </row>
    <row r="3257" spans="1:24">
      <c r="A3257" s="289" t="s">
        <v>133</v>
      </c>
      <c r="B3257" s="309"/>
      <c r="C3257" s="309"/>
      <c r="D3257" s="309"/>
      <c r="E3257" s="309"/>
      <c r="F3257" s="309"/>
      <c r="G3257" s="309"/>
      <c r="H3257" s="309"/>
      <c r="I3257" s="309"/>
      <c r="J3257" s="309"/>
      <c r="K3257" s="309"/>
      <c r="L3257" s="309"/>
      <c r="M3257" s="309"/>
      <c r="N3257" s="309"/>
      <c r="O3257" s="309"/>
      <c r="P3257" s="309"/>
      <c r="Q3257" s="309"/>
      <c r="R3257" s="309"/>
      <c r="S3257" s="309"/>
      <c r="T3257" s="309"/>
      <c r="U3257" s="309"/>
      <c r="V3257" s="309"/>
      <c r="W3257" s="309"/>
      <c r="X3257" s="291"/>
    </row>
    <row r="3258" spans="1:24">
      <c r="A3258" s="289" t="s">
        <v>134</v>
      </c>
      <c r="B3258" s="309"/>
      <c r="C3258" s="309"/>
      <c r="D3258" s="309"/>
      <c r="E3258" s="309"/>
      <c r="F3258" s="309"/>
      <c r="G3258" s="309"/>
      <c r="H3258" s="309"/>
      <c r="I3258" s="309"/>
      <c r="J3258" s="309"/>
      <c r="K3258" s="309"/>
      <c r="L3258" s="309"/>
      <c r="M3258" s="309"/>
      <c r="N3258" s="309"/>
      <c r="O3258" s="309"/>
      <c r="P3258" s="309"/>
      <c r="Q3258" s="309"/>
      <c r="R3258" s="309"/>
      <c r="S3258" s="309"/>
      <c r="T3258" s="309"/>
      <c r="U3258" s="309"/>
      <c r="V3258" s="309"/>
      <c r="W3258" s="309"/>
      <c r="X3258" s="291"/>
    </row>
    <row r="3259" spans="1:24">
      <c r="A3259" s="289" t="s">
        <v>135</v>
      </c>
      <c r="B3259" s="307">
        <f>$B$2852</f>
        <v>0</v>
      </c>
      <c r="C3259" s="307">
        <f>$C$2852</f>
        <v>5.8469230155898215E-2</v>
      </c>
      <c r="D3259" s="307">
        <f>$D$2852</f>
        <v>1.3384417299268165E-2</v>
      </c>
      <c r="E3259" s="307">
        <f>$E$2852</f>
        <v>1.0571967398339054E-2</v>
      </c>
      <c r="F3259" s="307">
        <f>$F$2852</f>
        <v>1.9977980734201671E-2</v>
      </c>
      <c r="G3259" s="307">
        <f>$G$2852</f>
        <v>2.7783755285194368E-2</v>
      </c>
      <c r="H3259" s="307">
        <f>$H$2852</f>
        <v>8.4797075274759326E-2</v>
      </c>
      <c r="I3259" s="307">
        <f>$I$2852</f>
        <v>2.2386475869923476E-2</v>
      </c>
      <c r="J3259" s="307">
        <f>$J$2852</f>
        <v>1.4837556093432605E-2</v>
      </c>
      <c r="K3259" s="309"/>
      <c r="L3259" s="309"/>
      <c r="M3259" s="307">
        <f>$K$2852</f>
        <v>2.0214341293318106E-2</v>
      </c>
      <c r="N3259" s="307">
        <f>$L$2852</f>
        <v>2.8306241470242126E-2</v>
      </c>
      <c r="O3259" s="307">
        <f>$M$2852</f>
        <v>6.4796910614591374E-3</v>
      </c>
      <c r="P3259" s="307">
        <f>$N$2852</f>
        <v>5.1181221506595275E-3</v>
      </c>
      <c r="Q3259" s="307">
        <f>$O$2852</f>
        <v>9.6717802721592912E-3</v>
      </c>
      <c r="R3259" s="307">
        <f>$P$2852</f>
        <v>1.3450727569969425E-2</v>
      </c>
      <c r="S3259" s="307">
        <f>$Q$2852</f>
        <v>6.695280207070721E-2</v>
      </c>
      <c r="T3259" s="307">
        <f>$R$2852</f>
        <v>3.0209708974281619E-2</v>
      </c>
      <c r="U3259" s="307">
        <f>$S$2852</f>
        <v>6.8835345140755011E-2</v>
      </c>
      <c r="V3259" s="307">
        <f>$B$2626</f>
        <v>0.68814654939887021</v>
      </c>
      <c r="W3259" s="309"/>
      <c r="X3259" s="291"/>
    </row>
    <row r="3260" spans="1:24">
      <c r="A3260" s="289" t="s">
        <v>1534</v>
      </c>
      <c r="B3260" s="309"/>
      <c r="C3260" s="309"/>
      <c r="D3260" s="309"/>
      <c r="E3260" s="309"/>
      <c r="F3260" s="309"/>
      <c r="G3260" s="309"/>
      <c r="H3260" s="309"/>
      <c r="I3260" s="309"/>
      <c r="J3260" s="309"/>
      <c r="K3260" s="309"/>
      <c r="L3260" s="309"/>
      <c r="M3260" s="309"/>
      <c r="N3260" s="309"/>
      <c r="O3260" s="309"/>
      <c r="P3260" s="309"/>
      <c r="Q3260" s="309"/>
      <c r="R3260" s="309"/>
      <c r="S3260" s="309"/>
      <c r="T3260" s="309"/>
      <c r="U3260" s="309"/>
      <c r="V3260" s="309"/>
      <c r="W3260" s="309"/>
      <c r="X3260" s="291"/>
    </row>
    <row r="3261" spans="1:24">
      <c r="A3261" s="289" t="s">
        <v>100</v>
      </c>
      <c r="B3261" s="309"/>
      <c r="C3261" s="309"/>
      <c r="D3261" s="309"/>
      <c r="E3261" s="309"/>
      <c r="F3261" s="309"/>
      <c r="G3261" s="309"/>
      <c r="H3261" s="309"/>
      <c r="I3261" s="309"/>
      <c r="J3261" s="309"/>
      <c r="K3261" s="309"/>
      <c r="L3261" s="309"/>
      <c r="M3261" s="309"/>
      <c r="N3261" s="309"/>
      <c r="O3261" s="309"/>
      <c r="P3261" s="309"/>
      <c r="Q3261" s="309"/>
      <c r="R3261" s="309"/>
      <c r="S3261" s="309"/>
      <c r="T3261" s="309"/>
      <c r="U3261" s="309"/>
      <c r="V3261" s="309"/>
      <c r="W3261" s="309"/>
      <c r="X3261" s="291"/>
    </row>
    <row r="3262" spans="1:24">
      <c r="A3262" s="289" t="s">
        <v>101</v>
      </c>
      <c r="B3262" s="309"/>
      <c r="C3262" s="309"/>
      <c r="D3262" s="309"/>
      <c r="E3262" s="309"/>
      <c r="F3262" s="309"/>
      <c r="G3262" s="309"/>
      <c r="H3262" s="309"/>
      <c r="I3262" s="309"/>
      <c r="J3262" s="309"/>
      <c r="K3262" s="309"/>
      <c r="L3262" s="309"/>
      <c r="M3262" s="309"/>
      <c r="N3262" s="309"/>
      <c r="O3262" s="309"/>
      <c r="P3262" s="309"/>
      <c r="Q3262" s="309"/>
      <c r="R3262" s="309"/>
      <c r="S3262" s="309"/>
      <c r="T3262" s="309"/>
      <c r="U3262" s="309"/>
      <c r="V3262" s="309"/>
      <c r="W3262" s="309"/>
      <c r="X3262" s="291"/>
    </row>
    <row r="3263" spans="1:24">
      <c r="A3263" s="289" t="s">
        <v>102</v>
      </c>
      <c r="B3263" s="307">
        <f>$B$2853</f>
        <v>0</v>
      </c>
      <c r="C3263" s="307">
        <f>$C$2853</f>
        <v>-5.8386813985502974E-2</v>
      </c>
      <c r="D3263" s="307">
        <f>$D$2853</f>
        <v>-1.3365551095389025E-2</v>
      </c>
      <c r="E3263" s="307">
        <f>$E$2853</f>
        <v>-1.0894310537061682E-2</v>
      </c>
      <c r="F3263" s="307">
        <f>$F$2853</f>
        <v>-2.0587116647372814E-2</v>
      </c>
      <c r="G3263" s="307">
        <f>$G$2853</f>
        <v>-2.7744592280932144E-2</v>
      </c>
      <c r="H3263" s="307">
        <f>$H$2853</f>
        <v>-8.7382569002526514E-2</v>
      </c>
      <c r="I3263" s="307">
        <f>$I$2853</f>
        <v>-2.3069047677511837E-2</v>
      </c>
      <c r="J3263" s="307">
        <f>$J$2853</f>
        <v>0</v>
      </c>
      <c r="K3263" s="309"/>
      <c r="L3263" s="309"/>
      <c r="M3263" s="307">
        <f>$K$2853</f>
        <v>-2.0308484976252029E-2</v>
      </c>
      <c r="N3263" s="307">
        <f>$L$2853</f>
        <v>-2.8266341987829922E-2</v>
      </c>
      <c r="O3263" s="307">
        <f>$M$2853</f>
        <v>-6.470557516837362E-3</v>
      </c>
      <c r="P3263" s="307">
        <f>$N$2853</f>
        <v>-5.2741755602329051E-3</v>
      </c>
      <c r="Q3263" s="307">
        <f>$O$2853</f>
        <v>-9.9666763773490642E-3</v>
      </c>
      <c r="R3263" s="307">
        <f>$P$2853</f>
        <v>-1.3431767897464917E-2</v>
      </c>
      <c r="S3263" s="307">
        <f>$Q$2853</f>
        <v>-6.8994217405485614E-2</v>
      </c>
      <c r="T3263" s="307">
        <f>$R$2853</f>
        <v>-3.1130814010246539E-2</v>
      </c>
      <c r="U3263" s="307">
        <f>$S$2853</f>
        <v>0</v>
      </c>
      <c r="V3263" s="309"/>
      <c r="W3263" s="309"/>
      <c r="X3263" s="291"/>
    </row>
    <row r="3264" spans="1:24">
      <c r="A3264" s="289" t="s">
        <v>103</v>
      </c>
      <c r="B3264" s="309"/>
      <c r="C3264" s="309"/>
      <c r="D3264" s="309"/>
      <c r="E3264" s="309"/>
      <c r="F3264" s="309"/>
      <c r="G3264" s="309"/>
      <c r="H3264" s="309"/>
      <c r="I3264" s="309"/>
      <c r="J3264" s="309"/>
      <c r="K3264" s="309"/>
      <c r="L3264" s="309"/>
      <c r="M3264" s="309"/>
      <c r="N3264" s="309"/>
      <c r="O3264" s="309"/>
      <c r="P3264" s="309"/>
      <c r="Q3264" s="309"/>
      <c r="R3264" s="309"/>
      <c r="S3264" s="309"/>
      <c r="T3264" s="309"/>
      <c r="U3264" s="309"/>
      <c r="V3264" s="309"/>
      <c r="W3264" s="309"/>
      <c r="X3264" s="291"/>
    </row>
    <row r="3265" spans="1:24">
      <c r="A3265" s="289" t="s">
        <v>104</v>
      </c>
      <c r="B3265" s="307">
        <f>$B$2854</f>
        <v>0</v>
      </c>
      <c r="C3265" s="307">
        <f>$C$2854</f>
        <v>-5.7473680740099536E-2</v>
      </c>
      <c r="D3265" s="307">
        <f>$D$2854</f>
        <v>-1.3156522237411461E-2</v>
      </c>
      <c r="E3265" s="307">
        <f>$E$2854</f>
        <v>-1.0723930335470103E-2</v>
      </c>
      <c r="F3265" s="307">
        <f>$F$2854</f>
        <v>-2.0265147021792926E-2</v>
      </c>
      <c r="G3265" s="307">
        <f>$G$2854</f>
        <v>-2.7310684213981046E-2</v>
      </c>
      <c r="H3265" s="307">
        <f>$H$2854</f>
        <v>-8.6015960287675608E-2</v>
      </c>
      <c r="I3265" s="307">
        <f>$I$2854</f>
        <v>0</v>
      </c>
      <c r="J3265" s="307">
        <f>$J$2854</f>
        <v>0</v>
      </c>
      <c r="K3265" s="309"/>
      <c r="L3265" s="309"/>
      <c r="M3265" s="307">
        <f>$K$2854</f>
        <v>-1.9990872975703473E-2</v>
      </c>
      <c r="N3265" s="307">
        <f>$L$2854</f>
        <v>-2.7824274081856504E-2</v>
      </c>
      <c r="O3265" s="307">
        <f>$M$2854</f>
        <v>-6.3693620450928955E-3</v>
      </c>
      <c r="P3265" s="307">
        <f>$N$2854</f>
        <v>-5.1916907538631174E-3</v>
      </c>
      <c r="Q3265" s="307">
        <f>$O$2854</f>
        <v>-9.81080379371067E-3</v>
      </c>
      <c r="R3265" s="307">
        <f>$P$2854</f>
        <v>-1.3221703450126458E-2</v>
      </c>
      <c r="S3265" s="307">
        <f>$Q$2854</f>
        <v>-6.7915191006319792E-2</v>
      </c>
      <c r="T3265" s="307">
        <f>$R$2854</f>
        <v>0</v>
      </c>
      <c r="U3265" s="307">
        <f>$S$2854</f>
        <v>0</v>
      </c>
      <c r="V3265" s="309"/>
      <c r="W3265" s="309"/>
      <c r="X3265" s="291"/>
    </row>
    <row r="3266" spans="1:24">
      <c r="A3266" s="289" t="s">
        <v>112</v>
      </c>
      <c r="B3266" s="309"/>
      <c r="C3266" s="309"/>
      <c r="D3266" s="309"/>
      <c r="E3266" s="309"/>
      <c r="F3266" s="309"/>
      <c r="G3266" s="309"/>
      <c r="H3266" s="309"/>
      <c r="I3266" s="309"/>
      <c r="J3266" s="309"/>
      <c r="K3266" s="309"/>
      <c r="L3266" s="309"/>
      <c r="M3266" s="309"/>
      <c r="N3266" s="309"/>
      <c r="O3266" s="309"/>
      <c r="P3266" s="309"/>
      <c r="Q3266" s="309"/>
      <c r="R3266" s="309"/>
      <c r="S3266" s="309"/>
      <c r="T3266" s="309"/>
      <c r="U3266" s="309"/>
      <c r="V3266" s="309"/>
      <c r="W3266" s="309"/>
      <c r="X3266" s="291"/>
    </row>
    <row r="3267" spans="1:24">
      <c r="A3267" s="289" t="s">
        <v>113</v>
      </c>
      <c r="B3267" s="307">
        <f>$B$2855</f>
        <v>0</v>
      </c>
      <c r="C3267" s="307">
        <f>$C$2855</f>
        <v>-5.6453120054060377E-2</v>
      </c>
      <c r="D3267" s="307">
        <f>$D$2855</f>
        <v>-1.2922901749083593E-2</v>
      </c>
      <c r="E3267" s="307">
        <f>$E$2855</f>
        <v>-1.0533505404279511E-2</v>
      </c>
      <c r="F3267" s="307">
        <f>$F$2855</f>
        <v>-1.4776876192771543E-2</v>
      </c>
      <c r="G3267" s="307">
        <f>$G$2855</f>
        <v>-1.9914318851764898E-2</v>
      </c>
      <c r="H3267" s="307">
        <f>$H$2855</f>
        <v>0</v>
      </c>
      <c r="I3267" s="307">
        <f>$I$2855</f>
        <v>0</v>
      </c>
      <c r="J3267" s="307">
        <f>$J$2855</f>
        <v>0</v>
      </c>
      <c r="K3267" s="309"/>
      <c r="L3267" s="309"/>
      <c r="M3267" s="307">
        <f>$K$2855</f>
        <v>-1.9635894857443312E-2</v>
      </c>
      <c r="N3267" s="307">
        <f>$L$2855</f>
        <v>-2.7330198186945025E-2</v>
      </c>
      <c r="O3267" s="307">
        <f>$M$2855</f>
        <v>-6.2562612237314318E-3</v>
      </c>
      <c r="P3267" s="307">
        <f>$N$2855</f>
        <v>-5.0995018526262953E-3</v>
      </c>
      <c r="Q3267" s="307">
        <f>$O$2855</f>
        <v>-9.6365932590559943E-3</v>
      </c>
      <c r="R3267" s="307">
        <f>$P$2855</f>
        <v>-1.298692553839524E-2</v>
      </c>
      <c r="S3267" s="307">
        <f>$Q$2855</f>
        <v>0</v>
      </c>
      <c r="T3267" s="307">
        <f>$R$2855</f>
        <v>0</v>
      </c>
      <c r="U3267" s="307">
        <f>$S$2855</f>
        <v>0</v>
      </c>
      <c r="V3267" s="309"/>
      <c r="W3267" s="309"/>
      <c r="X3267" s="291"/>
    </row>
    <row r="3269" spans="1:24" ht="21" customHeight="1">
      <c r="A3269" s="1" t="s">
        <v>753</v>
      </c>
    </row>
    <row r="3270" spans="1:24">
      <c r="A3270" s="287" t="s">
        <v>255</v>
      </c>
    </row>
    <row r="3271" spans="1:24">
      <c r="A3271" s="301" t="s">
        <v>1491</v>
      </c>
    </row>
    <row r="3272" spans="1:24">
      <c r="A3272" s="301" t="s">
        <v>1490</v>
      </c>
    </row>
    <row r="3273" spans="1:24">
      <c r="A3273" s="301" t="s">
        <v>1489</v>
      </c>
    </row>
    <row r="3274" spans="1:24">
      <c r="A3274" s="301" t="s">
        <v>1742</v>
      </c>
    </row>
    <row r="3275" spans="1:24">
      <c r="A3275" s="301" t="s">
        <v>754</v>
      </c>
    </row>
    <row r="3276" spans="1:24">
      <c r="A3276" s="287" t="s">
        <v>341</v>
      </c>
    </row>
    <row r="3278" spans="1:24" ht="30">
      <c r="B3278" s="288" t="s">
        <v>60</v>
      </c>
      <c r="C3278" s="288" t="s">
        <v>220</v>
      </c>
      <c r="D3278" s="288" t="s">
        <v>221</v>
      </c>
      <c r="E3278" s="288" t="s">
        <v>222</v>
      </c>
      <c r="F3278" s="288" t="s">
        <v>223</v>
      </c>
      <c r="G3278" s="288" t="s">
        <v>224</v>
      </c>
      <c r="H3278" s="288" t="s">
        <v>225</v>
      </c>
      <c r="I3278" s="288" t="s">
        <v>226</v>
      </c>
      <c r="J3278" s="288" t="s">
        <v>227</v>
      </c>
      <c r="K3278" s="288" t="s">
        <v>364</v>
      </c>
      <c r="L3278" s="288" t="s">
        <v>371</v>
      </c>
      <c r="M3278" s="288" t="s">
        <v>208</v>
      </c>
      <c r="N3278" s="288" t="s">
        <v>618</v>
      </c>
      <c r="O3278" s="288" t="s">
        <v>619</v>
      </c>
      <c r="P3278" s="288" t="s">
        <v>620</v>
      </c>
      <c r="Q3278" s="288" t="s">
        <v>621</v>
      </c>
      <c r="R3278" s="288" t="s">
        <v>622</v>
      </c>
      <c r="S3278" s="288" t="s">
        <v>623</v>
      </c>
      <c r="T3278" s="288" t="s">
        <v>624</v>
      </c>
      <c r="U3278" s="288" t="s">
        <v>625</v>
      </c>
      <c r="V3278" s="288" t="s">
        <v>626</v>
      </c>
      <c r="W3278" s="288" t="s">
        <v>627</v>
      </c>
    </row>
    <row r="3279" spans="1:24">
      <c r="A3279" s="289" t="s">
        <v>92</v>
      </c>
      <c r="B3279" s="309"/>
      <c r="C3279" s="309"/>
      <c r="D3279" s="309"/>
      <c r="E3279" s="309"/>
      <c r="F3279" s="309"/>
      <c r="G3279" s="309"/>
      <c r="H3279" s="309"/>
      <c r="I3279" s="309"/>
      <c r="J3279" s="309"/>
      <c r="K3279" s="309"/>
      <c r="L3279" s="309"/>
      <c r="M3279" s="309"/>
      <c r="N3279" s="309"/>
      <c r="O3279" s="309"/>
      <c r="P3279" s="309"/>
      <c r="Q3279" s="309"/>
      <c r="R3279" s="309"/>
      <c r="S3279" s="309"/>
      <c r="T3279" s="309"/>
      <c r="U3279" s="309"/>
      <c r="V3279" s="309"/>
      <c r="W3279" s="309"/>
      <c r="X3279" s="291"/>
    </row>
    <row r="3280" spans="1:24">
      <c r="A3280" s="289" t="s">
        <v>93</v>
      </c>
      <c r="B3280" s="309"/>
      <c r="C3280" s="309"/>
      <c r="D3280" s="309"/>
      <c r="E3280" s="309"/>
      <c r="F3280" s="309"/>
      <c r="G3280" s="309"/>
      <c r="H3280" s="309"/>
      <c r="I3280" s="309"/>
      <c r="J3280" s="309"/>
      <c r="K3280" s="309"/>
      <c r="L3280" s="309"/>
      <c r="M3280" s="309"/>
      <c r="N3280" s="309"/>
      <c r="O3280" s="309"/>
      <c r="P3280" s="309"/>
      <c r="Q3280" s="309"/>
      <c r="R3280" s="309"/>
      <c r="S3280" s="309"/>
      <c r="T3280" s="309"/>
      <c r="U3280" s="309"/>
      <c r="V3280" s="309"/>
      <c r="W3280" s="309"/>
      <c r="X3280" s="291"/>
    </row>
    <row r="3281" spans="1:24">
      <c r="A3281" s="289" t="s">
        <v>129</v>
      </c>
      <c r="B3281" s="309"/>
      <c r="C3281" s="309"/>
      <c r="D3281" s="309"/>
      <c r="E3281" s="309"/>
      <c r="F3281" s="309"/>
      <c r="G3281" s="309"/>
      <c r="H3281" s="309"/>
      <c r="I3281" s="309"/>
      <c r="J3281" s="309"/>
      <c r="K3281" s="309"/>
      <c r="L3281" s="309"/>
      <c r="M3281" s="309"/>
      <c r="N3281" s="309"/>
      <c r="O3281" s="309"/>
      <c r="P3281" s="309"/>
      <c r="Q3281" s="309"/>
      <c r="R3281" s="309"/>
      <c r="S3281" s="309"/>
      <c r="T3281" s="309"/>
      <c r="U3281" s="309"/>
      <c r="V3281" s="309"/>
      <c r="W3281" s="309"/>
      <c r="X3281" s="291"/>
    </row>
    <row r="3282" spans="1:24">
      <c r="A3282" s="289" t="s">
        <v>94</v>
      </c>
      <c r="B3282" s="309"/>
      <c r="C3282" s="309"/>
      <c r="D3282" s="309"/>
      <c r="E3282" s="309"/>
      <c r="F3282" s="309"/>
      <c r="G3282" s="309"/>
      <c r="H3282" s="309"/>
      <c r="I3282" s="309"/>
      <c r="J3282" s="309"/>
      <c r="K3282" s="309"/>
      <c r="L3282" s="309"/>
      <c r="M3282" s="309"/>
      <c r="N3282" s="309"/>
      <c r="O3282" s="309"/>
      <c r="P3282" s="309"/>
      <c r="Q3282" s="309"/>
      <c r="R3282" s="309"/>
      <c r="S3282" s="309"/>
      <c r="T3282" s="309"/>
      <c r="U3282" s="309"/>
      <c r="V3282" s="309"/>
      <c r="W3282" s="309"/>
      <c r="X3282" s="291"/>
    </row>
    <row r="3283" spans="1:24">
      <c r="A3283" s="289" t="s">
        <v>95</v>
      </c>
      <c r="B3283" s="309"/>
      <c r="C3283" s="309"/>
      <c r="D3283" s="309"/>
      <c r="E3283" s="309"/>
      <c r="F3283" s="309"/>
      <c r="G3283" s="309"/>
      <c r="H3283" s="309"/>
      <c r="I3283" s="309"/>
      <c r="J3283" s="309"/>
      <c r="K3283" s="309"/>
      <c r="L3283" s="309"/>
      <c r="M3283" s="309"/>
      <c r="N3283" s="309"/>
      <c r="O3283" s="309"/>
      <c r="P3283" s="309"/>
      <c r="Q3283" s="309"/>
      <c r="R3283" s="309"/>
      <c r="S3283" s="309"/>
      <c r="T3283" s="309"/>
      <c r="U3283" s="309"/>
      <c r="V3283" s="309"/>
      <c r="W3283" s="309"/>
      <c r="X3283" s="291"/>
    </row>
    <row r="3284" spans="1:24">
      <c r="A3284" s="289" t="s">
        <v>130</v>
      </c>
      <c r="B3284" s="309"/>
      <c r="C3284" s="309"/>
      <c r="D3284" s="309"/>
      <c r="E3284" s="309"/>
      <c r="F3284" s="309"/>
      <c r="G3284" s="309"/>
      <c r="H3284" s="309"/>
      <c r="I3284" s="309"/>
      <c r="J3284" s="309"/>
      <c r="K3284" s="309"/>
      <c r="L3284" s="309"/>
      <c r="M3284" s="309"/>
      <c r="N3284" s="309"/>
      <c r="O3284" s="309"/>
      <c r="P3284" s="309"/>
      <c r="Q3284" s="309"/>
      <c r="R3284" s="309"/>
      <c r="S3284" s="309"/>
      <c r="T3284" s="309"/>
      <c r="U3284" s="309"/>
      <c r="V3284" s="309"/>
      <c r="W3284" s="309"/>
      <c r="X3284" s="291"/>
    </row>
    <row r="3285" spans="1:24">
      <c r="A3285" s="289" t="s">
        <v>96</v>
      </c>
      <c r="B3285" s="309"/>
      <c r="C3285" s="309"/>
      <c r="D3285" s="309"/>
      <c r="E3285" s="309"/>
      <c r="F3285" s="309"/>
      <c r="G3285" s="309"/>
      <c r="H3285" s="309"/>
      <c r="I3285" s="309"/>
      <c r="J3285" s="309"/>
      <c r="K3285" s="309"/>
      <c r="L3285" s="309"/>
      <c r="M3285" s="309"/>
      <c r="N3285" s="309"/>
      <c r="O3285" s="309"/>
      <c r="P3285" s="309"/>
      <c r="Q3285" s="309"/>
      <c r="R3285" s="309"/>
      <c r="S3285" s="309"/>
      <c r="T3285" s="309"/>
      <c r="U3285" s="309"/>
      <c r="V3285" s="309"/>
      <c r="W3285" s="309"/>
      <c r="X3285" s="291"/>
    </row>
    <row r="3286" spans="1:24">
      <c r="A3286" s="289" t="s">
        <v>97</v>
      </c>
      <c r="B3286" s="309"/>
      <c r="C3286" s="309"/>
      <c r="D3286" s="309"/>
      <c r="E3286" s="309"/>
      <c r="F3286" s="309"/>
      <c r="G3286" s="309"/>
      <c r="H3286" s="309"/>
      <c r="I3286" s="309"/>
      <c r="J3286" s="309"/>
      <c r="K3286" s="309"/>
      <c r="L3286" s="309"/>
      <c r="M3286" s="309"/>
      <c r="N3286" s="309"/>
      <c r="O3286" s="309"/>
      <c r="P3286" s="309"/>
      <c r="Q3286" s="309"/>
      <c r="R3286" s="309"/>
      <c r="S3286" s="309"/>
      <c r="T3286" s="309"/>
      <c r="U3286" s="309"/>
      <c r="V3286" s="309"/>
      <c r="W3286" s="309"/>
      <c r="X3286" s="291"/>
    </row>
    <row r="3287" spans="1:24">
      <c r="A3287" s="289" t="s">
        <v>110</v>
      </c>
      <c r="B3287" s="309"/>
      <c r="C3287" s="309"/>
      <c r="D3287" s="309"/>
      <c r="E3287" s="309"/>
      <c r="F3287" s="309"/>
      <c r="G3287" s="309"/>
      <c r="H3287" s="309"/>
      <c r="I3287" s="309"/>
      <c r="J3287" s="309"/>
      <c r="K3287" s="309"/>
      <c r="L3287" s="309"/>
      <c r="M3287" s="309"/>
      <c r="N3287" s="309"/>
      <c r="O3287" s="309"/>
      <c r="P3287" s="309"/>
      <c r="Q3287" s="309"/>
      <c r="R3287" s="309"/>
      <c r="S3287" s="309"/>
      <c r="T3287" s="309"/>
      <c r="U3287" s="309"/>
      <c r="V3287" s="309"/>
      <c r="W3287" s="309"/>
      <c r="X3287" s="291"/>
    </row>
    <row r="3288" spans="1:24">
      <c r="A3288" s="289" t="s">
        <v>1536</v>
      </c>
      <c r="B3288" s="307">
        <f>$B$3001</f>
        <v>0</v>
      </c>
      <c r="C3288" s="307">
        <f>$C$3001</f>
        <v>4.6007377583664917E-3</v>
      </c>
      <c r="D3288" s="307">
        <f>$D$3001</f>
        <v>1.0531726495849008E-3</v>
      </c>
      <c r="E3288" s="307">
        <f>$E$3001</f>
        <v>2.3995695700027696E-3</v>
      </c>
      <c r="F3288" s="307">
        <f>$F$3001</f>
        <v>4.5344970177853055E-3</v>
      </c>
      <c r="G3288" s="307">
        <f>$G$3001</f>
        <v>2.1862058328625624E-3</v>
      </c>
      <c r="H3288" s="307">
        <f>$H$3001</f>
        <v>1.9246794261446036E-2</v>
      </c>
      <c r="I3288" s="307">
        <f>$I$3001</f>
        <v>5.0811645792162756E-3</v>
      </c>
      <c r="J3288" s="307">
        <f>$J$3001</f>
        <v>0</v>
      </c>
      <c r="K3288" s="309"/>
      <c r="L3288" s="309"/>
      <c r="M3288" s="307">
        <f>$K$3001</f>
        <v>0</v>
      </c>
      <c r="N3288" s="307">
        <f>$L$3001</f>
        <v>2.2273184302640447E-3</v>
      </c>
      <c r="O3288" s="307">
        <f>$M$3001</f>
        <v>5.0986406438938918E-4</v>
      </c>
      <c r="P3288" s="307">
        <f>$N$3001</f>
        <v>1.1616844533789638E-3</v>
      </c>
      <c r="Q3288" s="307">
        <f>$O$3001</f>
        <v>2.1952498295135427E-3</v>
      </c>
      <c r="R3288" s="307">
        <f>$P$3001</f>
        <v>1.0583903712030811E-3</v>
      </c>
      <c r="S3288" s="307">
        <f>$Q$3001</f>
        <v>1.5196594959281481E-2</v>
      </c>
      <c r="T3288" s="307">
        <f>$R$3001</f>
        <v>6.8568408927097693E-3</v>
      </c>
      <c r="U3288" s="307">
        <f>$S$3001</f>
        <v>0</v>
      </c>
      <c r="V3288" s="309"/>
      <c r="W3288" s="309"/>
      <c r="X3288" s="291"/>
    </row>
    <row r="3289" spans="1:24">
      <c r="A3289" s="289" t="s">
        <v>1535</v>
      </c>
      <c r="B3289" s="307">
        <f>$B$3002</f>
        <v>0</v>
      </c>
      <c r="C3289" s="307">
        <f>$C$3002</f>
        <v>4.6260767888090561E-3</v>
      </c>
      <c r="D3289" s="307">
        <f>$D$3002</f>
        <v>1.0589731049098275E-3</v>
      </c>
      <c r="E3289" s="307">
        <f>$E$3002</f>
        <v>2.4130468889667573E-3</v>
      </c>
      <c r="F3289" s="307">
        <f>$F$3002</f>
        <v>4.559965278182471E-3</v>
      </c>
      <c r="G3289" s="307">
        <f>$G$3002</f>
        <v>2.1982465835121462E-3</v>
      </c>
      <c r="H3289" s="307">
        <f>$H$3002</f>
        <v>1.9354894976065226E-2</v>
      </c>
      <c r="I3289" s="307">
        <f>$I$3002</f>
        <v>5.1097032290636051E-3</v>
      </c>
      <c r="J3289" s="307">
        <f>$J$3002</f>
        <v>0</v>
      </c>
      <c r="K3289" s="309"/>
      <c r="L3289" s="309"/>
      <c r="M3289" s="307">
        <f>$K$3002</f>
        <v>0</v>
      </c>
      <c r="N3289" s="307">
        <f>$L$3002</f>
        <v>2.2395856127191008E-3</v>
      </c>
      <c r="O3289" s="307">
        <f>$M$3002</f>
        <v>5.1267219250441555E-4</v>
      </c>
      <c r="P3289" s="307">
        <f>$N$3002</f>
        <v>1.1682091201814671E-3</v>
      </c>
      <c r="Q3289" s="307">
        <f>$O$3002</f>
        <v>2.2075795750345112E-3</v>
      </c>
      <c r="R3289" s="307">
        <f>$P$3002</f>
        <v>1.0642195636597174E-3</v>
      </c>
      <c r="S3289" s="307">
        <f>$Q$3002</f>
        <v>1.5281947499167427E-2</v>
      </c>
      <c r="T3289" s="307">
        <f>$R$3002</f>
        <v>6.8953527295623511E-3</v>
      </c>
      <c r="U3289" s="307">
        <f>$S$3002</f>
        <v>0</v>
      </c>
      <c r="V3289" s="309"/>
      <c r="W3289" s="309"/>
      <c r="X3289" s="291"/>
    </row>
    <row r="3290" spans="1:24">
      <c r="A3290" s="289" t="s">
        <v>98</v>
      </c>
      <c r="B3290" s="307">
        <f>$B$3003</f>
        <v>0</v>
      </c>
      <c r="C3290" s="307">
        <f>$C$3003</f>
        <v>4.4494811406899553E-3</v>
      </c>
      <c r="D3290" s="307">
        <f>$D$3003</f>
        <v>1.0185479130378195E-3</v>
      </c>
      <c r="E3290" s="307">
        <f>$E$3003</f>
        <v>2.3192641345959109E-3</v>
      </c>
      <c r="F3290" s="307">
        <f>$F$3003</f>
        <v>4.3827428190671034E-3</v>
      </c>
      <c r="G3290" s="307">
        <f>$G$3003</f>
        <v>2.1143308168997061E-3</v>
      </c>
      <c r="H3290" s="307">
        <f>$H$3003</f>
        <v>1.4882135594498866E-2</v>
      </c>
      <c r="I3290" s="307">
        <f>$I$3003</f>
        <v>0</v>
      </c>
      <c r="J3290" s="307">
        <f>$J$3003</f>
        <v>0</v>
      </c>
      <c r="K3290" s="309"/>
      <c r="L3290" s="309"/>
      <c r="M3290" s="307">
        <f>$K$3003</f>
        <v>0</v>
      </c>
      <c r="N3290" s="307">
        <f>$L$3003</f>
        <v>2.1540917718574225E-3</v>
      </c>
      <c r="O3290" s="307">
        <f>$M$3003</f>
        <v>4.9310146719199247E-4</v>
      </c>
      <c r="P3290" s="307">
        <f>$N$3003</f>
        <v>1.1228068242407228E-3</v>
      </c>
      <c r="Q3290" s="307">
        <f>$O$3003</f>
        <v>2.1217822811708145E-3</v>
      </c>
      <c r="R3290" s="307">
        <f>$P$3003</f>
        <v>1.0235940937063969E-3</v>
      </c>
      <c r="S3290" s="307">
        <f>$Q$3003</f>
        <v>1.1750413273327806E-2</v>
      </c>
      <c r="T3290" s="307">
        <f>$R$3003</f>
        <v>0</v>
      </c>
      <c r="U3290" s="307">
        <f>$S$3003</f>
        <v>0</v>
      </c>
      <c r="V3290" s="309"/>
      <c r="W3290" s="309"/>
      <c r="X3290" s="291"/>
    </row>
    <row r="3291" spans="1:24">
      <c r="A3291" s="289" t="s">
        <v>99</v>
      </c>
      <c r="B3291" s="307">
        <f>$B$3004</f>
        <v>0</v>
      </c>
      <c r="C3291" s="307">
        <f>$C$3004</f>
        <v>4.6948413364854193E-3</v>
      </c>
      <c r="D3291" s="307">
        <f>$D$3004</f>
        <v>1.0747142631060589E-3</v>
      </c>
      <c r="E3291" s="307">
        <f>$E$3004</f>
        <v>2.4471565975983738E-3</v>
      </c>
      <c r="F3291" s="307">
        <f>$F$3004</f>
        <v>4.6244228267366535E-3</v>
      </c>
      <c r="G3291" s="307">
        <f>$G$3004</f>
        <v>2.2309225287887135E-3</v>
      </c>
      <c r="H3291" s="307">
        <f>$H$3004</f>
        <v>0</v>
      </c>
      <c r="I3291" s="307">
        <f>$I$3004</f>
        <v>0</v>
      </c>
      <c r="J3291" s="307">
        <f>$J$3004</f>
        <v>0</v>
      </c>
      <c r="K3291" s="309"/>
      <c r="L3291" s="309"/>
      <c r="M3291" s="307">
        <f>$K$3004</f>
        <v>0</v>
      </c>
      <c r="N3291" s="307">
        <f>$L$3004</f>
        <v>2.2728760440439049E-3</v>
      </c>
      <c r="O3291" s="307">
        <f>$M$3004</f>
        <v>5.2029283371579735E-4</v>
      </c>
      <c r="P3291" s="307">
        <f>$N$3004</f>
        <v>1.1847223810270736E-3</v>
      </c>
      <c r="Q3291" s="307">
        <f>$O$3004</f>
        <v>2.2387848932692422E-3</v>
      </c>
      <c r="R3291" s="307">
        <f>$P$3004</f>
        <v>1.0800387081020292E-3</v>
      </c>
      <c r="S3291" s="307">
        <f>$Q$3004</f>
        <v>0</v>
      </c>
      <c r="T3291" s="307">
        <f>$R$3004</f>
        <v>0</v>
      </c>
      <c r="U3291" s="307">
        <f>$S$3004</f>
        <v>0</v>
      </c>
      <c r="V3291" s="309"/>
      <c r="W3291" s="309"/>
      <c r="X3291" s="291"/>
    </row>
    <row r="3292" spans="1:24">
      <c r="A3292" s="289" t="s">
        <v>111</v>
      </c>
      <c r="B3292" s="307">
        <f>$B$3005</f>
        <v>0</v>
      </c>
      <c r="C3292" s="307">
        <f>$C$3005</f>
        <v>3.3391734392556787E-3</v>
      </c>
      <c r="D3292" s="307">
        <f>$D$3005</f>
        <v>8.8728349985345832E-4</v>
      </c>
      <c r="E3292" s="307">
        <f>$E$3005</f>
        <v>1.6162969043184922E-3</v>
      </c>
      <c r="F3292" s="307">
        <f>$F$3005</f>
        <v>0</v>
      </c>
      <c r="G3292" s="307">
        <f>$G$3005</f>
        <v>0</v>
      </c>
      <c r="H3292" s="307">
        <f>$H$3005</f>
        <v>0</v>
      </c>
      <c r="I3292" s="307">
        <f>$I$3005</f>
        <v>0</v>
      </c>
      <c r="J3292" s="307">
        <f>$J$3005</f>
        <v>0</v>
      </c>
      <c r="K3292" s="309"/>
      <c r="L3292" s="309"/>
      <c r="M3292" s="307">
        <f>$K$3005</f>
        <v>0</v>
      </c>
      <c r="N3292" s="307">
        <f>$L$3005</f>
        <v>1.6165673710868112E-3</v>
      </c>
      <c r="O3292" s="307">
        <f>$M$3005</f>
        <v>4.2955347509188879E-4</v>
      </c>
      <c r="P3292" s="307">
        <f>$N$3005</f>
        <v>7.824849128209156E-4</v>
      </c>
      <c r="Q3292" s="307">
        <f>$O$3005</f>
        <v>0</v>
      </c>
      <c r="R3292" s="307">
        <f>$P$3005</f>
        <v>0</v>
      </c>
      <c r="S3292" s="307">
        <f>$Q$3005</f>
        <v>0</v>
      </c>
      <c r="T3292" s="307">
        <f>$R$3005</f>
        <v>0</v>
      </c>
      <c r="U3292" s="307">
        <f>$S$3005</f>
        <v>0</v>
      </c>
      <c r="V3292" s="309"/>
      <c r="W3292" s="309"/>
      <c r="X3292" s="291"/>
    </row>
    <row r="3293" spans="1:24">
      <c r="A3293" s="289" t="s">
        <v>131</v>
      </c>
      <c r="B3293" s="309"/>
      <c r="C3293" s="309"/>
      <c r="D3293" s="309"/>
      <c r="E3293" s="309"/>
      <c r="F3293" s="309"/>
      <c r="G3293" s="309"/>
      <c r="H3293" s="309"/>
      <c r="I3293" s="309"/>
      <c r="J3293" s="309"/>
      <c r="K3293" s="309"/>
      <c r="L3293" s="309"/>
      <c r="M3293" s="309"/>
      <c r="N3293" s="309"/>
      <c r="O3293" s="309"/>
      <c r="P3293" s="309"/>
      <c r="Q3293" s="309"/>
      <c r="R3293" s="309"/>
      <c r="S3293" s="309"/>
      <c r="T3293" s="309"/>
      <c r="U3293" s="309"/>
      <c r="V3293" s="309"/>
      <c r="W3293" s="309"/>
      <c r="X3293" s="291"/>
    </row>
    <row r="3294" spans="1:24">
      <c r="A3294" s="289" t="s">
        <v>132</v>
      </c>
      <c r="B3294" s="309"/>
      <c r="C3294" s="309"/>
      <c r="D3294" s="309"/>
      <c r="E3294" s="309"/>
      <c r="F3294" s="309"/>
      <c r="G3294" s="309"/>
      <c r="H3294" s="309"/>
      <c r="I3294" s="309"/>
      <c r="J3294" s="309"/>
      <c r="K3294" s="309"/>
      <c r="L3294" s="309"/>
      <c r="M3294" s="309"/>
      <c r="N3294" s="309"/>
      <c r="O3294" s="309"/>
      <c r="P3294" s="309"/>
      <c r="Q3294" s="309"/>
      <c r="R3294" s="309"/>
      <c r="S3294" s="309"/>
      <c r="T3294" s="309"/>
      <c r="U3294" s="309"/>
      <c r="V3294" s="309"/>
      <c r="W3294" s="309"/>
      <c r="X3294" s="291"/>
    </row>
    <row r="3295" spans="1:24">
      <c r="A3295" s="289" t="s">
        <v>133</v>
      </c>
      <c r="B3295" s="309"/>
      <c r="C3295" s="309"/>
      <c r="D3295" s="309"/>
      <c r="E3295" s="309"/>
      <c r="F3295" s="309"/>
      <c r="G3295" s="309"/>
      <c r="H3295" s="309"/>
      <c r="I3295" s="309"/>
      <c r="J3295" s="309"/>
      <c r="K3295" s="309"/>
      <c r="L3295" s="309"/>
      <c r="M3295" s="309"/>
      <c r="N3295" s="309"/>
      <c r="O3295" s="309"/>
      <c r="P3295" s="309"/>
      <c r="Q3295" s="309"/>
      <c r="R3295" s="309"/>
      <c r="S3295" s="309"/>
      <c r="T3295" s="309"/>
      <c r="U3295" s="309"/>
      <c r="V3295" s="309"/>
      <c r="W3295" s="309"/>
      <c r="X3295" s="291"/>
    </row>
    <row r="3296" spans="1:24">
      <c r="A3296" s="289" t="s">
        <v>134</v>
      </c>
      <c r="B3296" s="309"/>
      <c r="C3296" s="309"/>
      <c r="D3296" s="309"/>
      <c r="E3296" s="309"/>
      <c r="F3296" s="309"/>
      <c r="G3296" s="309"/>
      <c r="H3296" s="309"/>
      <c r="I3296" s="309"/>
      <c r="J3296" s="309"/>
      <c r="K3296" s="309"/>
      <c r="L3296" s="309"/>
      <c r="M3296" s="309"/>
      <c r="N3296" s="309"/>
      <c r="O3296" s="309"/>
      <c r="P3296" s="309"/>
      <c r="Q3296" s="309"/>
      <c r="R3296" s="309"/>
      <c r="S3296" s="309"/>
      <c r="T3296" s="309"/>
      <c r="U3296" s="309"/>
      <c r="V3296" s="309"/>
      <c r="W3296" s="309"/>
      <c r="X3296" s="291"/>
    </row>
    <row r="3297" spans="1:24">
      <c r="A3297" s="289" t="s">
        <v>135</v>
      </c>
      <c r="B3297" s="307">
        <f>$B$2872</f>
        <v>0</v>
      </c>
      <c r="C3297" s="307">
        <f>$C$2872</f>
        <v>4.178747017391583E-3</v>
      </c>
      <c r="D3297" s="307">
        <f>$D$2872</f>
        <v>9.5657311922378824E-4</v>
      </c>
      <c r="E3297" s="307">
        <f>$E$2872</f>
        <v>2.1781456710440418E-3</v>
      </c>
      <c r="F3297" s="307">
        <f>$F$2872</f>
        <v>4.1160694705925033E-3</v>
      </c>
      <c r="G3297" s="307">
        <f>$G$2872</f>
        <v>1.9856817717691742E-3</v>
      </c>
      <c r="H3297" s="307">
        <f>$H$2872</f>
        <v>1.7470767310153713E-2</v>
      </c>
      <c r="I3297" s="307">
        <f>$I$2872</f>
        <v>4.6122924587968812E-3</v>
      </c>
      <c r="J3297" s="307">
        <f>$J$2872</f>
        <v>3.0569862123166268E-3</v>
      </c>
      <c r="K3297" s="309"/>
      <c r="L3297" s="309"/>
      <c r="M3297" s="307">
        <f>$K$2872</f>
        <v>0</v>
      </c>
      <c r="N3297" s="307">
        <f>$L$2872</f>
        <v>2.0230234227807424E-3</v>
      </c>
      <c r="O3297" s="307">
        <f>$M$2872</f>
        <v>4.6309810518276192E-4</v>
      </c>
      <c r="P3297" s="307">
        <f>$N$2872</f>
        <v>1.054488269428935E-3</v>
      </c>
      <c r="Q3297" s="307">
        <f>$O$2872</f>
        <v>1.9926798425809241E-3</v>
      </c>
      <c r="R3297" s="307">
        <f>$P$2872</f>
        <v>9.6131225885631797E-4</v>
      </c>
      <c r="S3297" s="307">
        <f>$Q$2872</f>
        <v>1.3794306253487978E-2</v>
      </c>
      <c r="T3297" s="307">
        <f>$R$2872</f>
        <v>6.224115563974379E-3</v>
      </c>
      <c r="U3297" s="307">
        <f>$S$2872</f>
        <v>1.4182167177011335E-2</v>
      </c>
      <c r="V3297" s="307">
        <f>$B$2626</f>
        <v>0.68814654939887021</v>
      </c>
      <c r="W3297" s="309"/>
      <c r="X3297" s="291"/>
    </row>
    <row r="3298" spans="1:24">
      <c r="A3298" s="289" t="s">
        <v>1534</v>
      </c>
      <c r="B3298" s="309"/>
      <c r="C3298" s="309"/>
      <c r="D3298" s="309"/>
      <c r="E3298" s="309"/>
      <c r="F3298" s="309"/>
      <c r="G3298" s="309"/>
      <c r="H3298" s="309"/>
      <c r="I3298" s="309"/>
      <c r="J3298" s="309"/>
      <c r="K3298" s="309"/>
      <c r="L3298" s="309"/>
      <c r="M3298" s="309"/>
      <c r="N3298" s="309"/>
      <c r="O3298" s="309"/>
      <c r="P3298" s="309"/>
      <c r="Q3298" s="309"/>
      <c r="R3298" s="309"/>
      <c r="S3298" s="309"/>
      <c r="T3298" s="309"/>
      <c r="U3298" s="309"/>
      <c r="V3298" s="309"/>
      <c r="W3298" s="309"/>
      <c r="X3298" s="291"/>
    </row>
    <row r="3299" spans="1:24">
      <c r="A3299" s="289" t="s">
        <v>100</v>
      </c>
      <c r="B3299" s="309"/>
      <c r="C3299" s="309"/>
      <c r="D3299" s="309"/>
      <c r="E3299" s="309"/>
      <c r="F3299" s="309"/>
      <c r="G3299" s="309"/>
      <c r="H3299" s="309"/>
      <c r="I3299" s="309"/>
      <c r="J3299" s="309"/>
      <c r="K3299" s="309"/>
      <c r="L3299" s="309"/>
      <c r="M3299" s="309"/>
      <c r="N3299" s="309"/>
      <c r="O3299" s="309"/>
      <c r="P3299" s="309"/>
      <c r="Q3299" s="309"/>
      <c r="R3299" s="309"/>
      <c r="S3299" s="309"/>
      <c r="T3299" s="309"/>
      <c r="U3299" s="309"/>
      <c r="V3299" s="309"/>
      <c r="W3299" s="309"/>
      <c r="X3299" s="291"/>
    </row>
    <row r="3300" spans="1:24">
      <c r="A3300" s="289" t="s">
        <v>101</v>
      </c>
      <c r="B3300" s="309"/>
      <c r="C3300" s="309"/>
      <c r="D3300" s="309"/>
      <c r="E3300" s="309"/>
      <c r="F3300" s="309"/>
      <c r="G3300" s="309"/>
      <c r="H3300" s="309"/>
      <c r="I3300" s="309"/>
      <c r="J3300" s="309"/>
      <c r="K3300" s="309"/>
      <c r="L3300" s="309"/>
      <c r="M3300" s="309"/>
      <c r="N3300" s="309"/>
      <c r="O3300" s="309"/>
      <c r="P3300" s="309"/>
      <c r="Q3300" s="309"/>
      <c r="R3300" s="309"/>
      <c r="S3300" s="309"/>
      <c r="T3300" s="309"/>
      <c r="U3300" s="309"/>
      <c r="V3300" s="309"/>
      <c r="W3300" s="309"/>
      <c r="X3300" s="291"/>
    </row>
    <row r="3301" spans="1:24">
      <c r="A3301" s="289" t="s">
        <v>102</v>
      </c>
      <c r="B3301" s="307">
        <f>$B$2873</f>
        <v>0</v>
      </c>
      <c r="C3301" s="307">
        <f>$C$2873</f>
        <v>-3.683458002616219E-3</v>
      </c>
      <c r="D3301" s="307">
        <f>$D$2873</f>
        <v>-8.4319459790887889E-4</v>
      </c>
      <c r="E3301" s="307">
        <f>$E$2873</f>
        <v>-1.9199793788615515E-3</v>
      </c>
      <c r="F3301" s="307">
        <f>$F$2873</f>
        <v>-3.6282093574169388E-3</v>
      </c>
      <c r="G3301" s="307">
        <f>$G$2873</f>
        <v>-1.7503274025518544E-3</v>
      </c>
      <c r="H3301" s="307">
        <f>$H$2873</f>
        <v>-1.5400031969535516E-2</v>
      </c>
      <c r="I3301" s="307">
        <f>$I$2873</f>
        <v>-4.0656171567827141E-3</v>
      </c>
      <c r="J3301" s="307">
        <f>$J$2873</f>
        <v>0</v>
      </c>
      <c r="K3301" s="309"/>
      <c r="L3301" s="309"/>
      <c r="M3301" s="307">
        <f>$K$2873</f>
        <v>0</v>
      </c>
      <c r="N3301" s="307">
        <f>$L$2873</f>
        <v>-1.7832431073497295E-3</v>
      </c>
      <c r="O3301" s="307">
        <f>$M$2873</f>
        <v>-4.0820906707978496E-4</v>
      </c>
      <c r="P3301" s="307">
        <f>$N$2873</f>
        <v>-9.2950428406586669E-4</v>
      </c>
      <c r="Q3301" s="307">
        <f>$O$2873</f>
        <v>-1.7564960219555018E-3</v>
      </c>
      <c r="R3301" s="307">
        <f>$P$2873</f>
        <v>-8.4737202758631679E-4</v>
      </c>
      <c r="S3301" s="307">
        <f>$Q$2873</f>
        <v>-1.2159326120600106E-2</v>
      </c>
      <c r="T3301" s="307">
        <f>$R$2873</f>
        <v>-5.4863977617961683E-3</v>
      </c>
      <c r="U3301" s="307">
        <f>$S$2873</f>
        <v>0</v>
      </c>
      <c r="V3301" s="309"/>
      <c r="W3301" s="309"/>
      <c r="X3301" s="291"/>
    </row>
    <row r="3302" spans="1:24">
      <c r="A3302" s="289" t="s">
        <v>103</v>
      </c>
      <c r="B3302" s="309"/>
      <c r="C3302" s="309"/>
      <c r="D3302" s="309"/>
      <c r="E3302" s="309"/>
      <c r="F3302" s="309"/>
      <c r="G3302" s="309"/>
      <c r="H3302" s="309"/>
      <c r="I3302" s="309"/>
      <c r="J3302" s="309"/>
      <c r="K3302" s="309"/>
      <c r="L3302" s="309"/>
      <c r="M3302" s="309"/>
      <c r="N3302" s="309"/>
      <c r="O3302" s="309"/>
      <c r="P3302" s="309"/>
      <c r="Q3302" s="309"/>
      <c r="R3302" s="309"/>
      <c r="S3302" s="309"/>
      <c r="T3302" s="309"/>
      <c r="U3302" s="309"/>
      <c r="V3302" s="309"/>
      <c r="W3302" s="309"/>
      <c r="X3302" s="291"/>
    </row>
    <row r="3303" spans="1:24">
      <c r="A3303" s="289" t="s">
        <v>104</v>
      </c>
      <c r="B3303" s="307">
        <f>$B$2874</f>
        <v>0</v>
      </c>
      <c r="C3303" s="307">
        <f>$C$2874</f>
        <v>-3.6258510237344569E-3</v>
      </c>
      <c r="D3303" s="307">
        <f>$D$2874</f>
        <v>-8.300075618790252E-4</v>
      </c>
      <c r="E3303" s="307">
        <f>$E$2874</f>
        <v>-1.8899521024672127E-3</v>
      </c>
      <c r="F3303" s="307">
        <f>$F$2874</f>
        <v>-3.5714664327839234E-3</v>
      </c>
      <c r="G3303" s="307">
        <f>$G$2874</f>
        <v>-1.7229533769369679E-3</v>
      </c>
      <c r="H3303" s="307">
        <f>$H$2874</f>
        <v>-1.5159185103406622E-2</v>
      </c>
      <c r="I3303" s="307">
        <f>$I$2874</f>
        <v>0</v>
      </c>
      <c r="J3303" s="307">
        <f>$J$2874</f>
        <v>0</v>
      </c>
      <c r="K3303" s="309"/>
      <c r="L3303" s="309"/>
      <c r="M3303" s="307">
        <f>$K$2874</f>
        <v>0</v>
      </c>
      <c r="N3303" s="307">
        <f>$L$2874</f>
        <v>-1.7553543007030458E-3</v>
      </c>
      <c r="O3303" s="307">
        <f>$M$2874</f>
        <v>-4.0182493263603492E-4</v>
      </c>
      <c r="P3303" s="307">
        <f>$N$2874</f>
        <v>-9.1496741853769759E-4</v>
      </c>
      <c r="Q3303" s="307">
        <f>$O$2874</f>
        <v>-1.7290255229920762E-3</v>
      </c>
      <c r="R3303" s="307">
        <f>$P$2874</f>
        <v>-8.3411965916960337E-4</v>
      </c>
      <c r="S3303" s="307">
        <f>$Q$2874</f>
        <v>-1.1969161866644082E-2</v>
      </c>
      <c r="T3303" s="307">
        <f>$R$2874</f>
        <v>0</v>
      </c>
      <c r="U3303" s="307">
        <f>$S$2874</f>
        <v>0</v>
      </c>
      <c r="V3303" s="309"/>
      <c r="W3303" s="309"/>
      <c r="X3303" s="291"/>
    </row>
    <row r="3304" spans="1:24">
      <c r="A3304" s="289" t="s">
        <v>112</v>
      </c>
      <c r="B3304" s="309"/>
      <c r="C3304" s="309"/>
      <c r="D3304" s="309"/>
      <c r="E3304" s="309"/>
      <c r="F3304" s="309"/>
      <c r="G3304" s="309"/>
      <c r="H3304" s="309"/>
      <c r="I3304" s="309"/>
      <c r="J3304" s="309"/>
      <c r="K3304" s="309"/>
      <c r="L3304" s="309"/>
      <c r="M3304" s="309"/>
      <c r="N3304" s="309"/>
      <c r="O3304" s="309"/>
      <c r="P3304" s="309"/>
      <c r="Q3304" s="309"/>
      <c r="R3304" s="309"/>
      <c r="S3304" s="309"/>
      <c r="T3304" s="309"/>
      <c r="U3304" s="309"/>
      <c r="V3304" s="309"/>
      <c r="W3304" s="309"/>
      <c r="X3304" s="291"/>
    </row>
    <row r="3305" spans="1:24">
      <c r="A3305" s="289" t="s">
        <v>113</v>
      </c>
      <c r="B3305" s="307">
        <f>$B$2875</f>
        <v>0</v>
      </c>
      <c r="C3305" s="307">
        <f>$C$2875</f>
        <v>-3.5614667532195454E-3</v>
      </c>
      <c r="D3305" s="307">
        <f>$D$2875</f>
        <v>-8.1526910984565935E-4</v>
      </c>
      <c r="E3305" s="307">
        <f>$E$2875</f>
        <v>-1.8563922053205981E-3</v>
      </c>
      <c r="F3305" s="307">
        <f>$F$2875</f>
        <v>-2.604230664950699E-3</v>
      </c>
      <c r="G3305" s="307">
        <f>$G$2875</f>
        <v>-1.2563377265181418E-3</v>
      </c>
      <c r="H3305" s="307">
        <f>$H$2875</f>
        <v>0</v>
      </c>
      <c r="I3305" s="307">
        <f>$I$2875</f>
        <v>0</v>
      </c>
      <c r="J3305" s="307">
        <f>$J$2875</f>
        <v>0</v>
      </c>
      <c r="K3305" s="309"/>
      <c r="L3305" s="309"/>
      <c r="M3305" s="307">
        <f>$K$2875</f>
        <v>0</v>
      </c>
      <c r="N3305" s="307">
        <f>$L$2875</f>
        <v>-1.7241844579802812E-3</v>
      </c>
      <c r="O3305" s="307">
        <f>$M$2875</f>
        <v>-3.9468972355184365E-4</v>
      </c>
      <c r="P3305" s="307">
        <f>$N$2875</f>
        <v>-8.987203335356263E-4</v>
      </c>
      <c r="Q3305" s="307">
        <f>$O$2875</f>
        <v>-1.698323200621189E-3</v>
      </c>
      <c r="R3305" s="307">
        <f>$P$2875</f>
        <v>-8.1930818858621786E-4</v>
      </c>
      <c r="S3305" s="307">
        <f>$Q$2875</f>
        <v>0</v>
      </c>
      <c r="T3305" s="307">
        <f>$R$2875</f>
        <v>0</v>
      </c>
      <c r="U3305" s="307">
        <f>$S$2875</f>
        <v>0</v>
      </c>
      <c r="V3305" s="309"/>
      <c r="W3305" s="309"/>
      <c r="X3305" s="291"/>
    </row>
    <row r="3307" spans="1:24" ht="21" customHeight="1">
      <c r="A3307" s="1" t="s">
        <v>755</v>
      </c>
    </row>
    <row r="3308" spans="1:24">
      <c r="A3308" s="287" t="s">
        <v>255</v>
      </c>
    </row>
    <row r="3309" spans="1:24">
      <c r="A3309" s="301" t="s">
        <v>1544</v>
      </c>
    </row>
    <row r="3310" spans="1:24">
      <c r="A3310" s="301" t="s">
        <v>756</v>
      </c>
    </row>
    <row r="3311" spans="1:24">
      <c r="A3311" s="301" t="s">
        <v>757</v>
      </c>
    </row>
    <row r="3312" spans="1:24">
      <c r="A3312" s="301" t="s">
        <v>758</v>
      </c>
    </row>
    <row r="3313" spans="1:24">
      <c r="A3313" s="301" t="s">
        <v>759</v>
      </c>
    </row>
    <row r="3314" spans="1:24">
      <c r="A3314" s="287" t="s">
        <v>341</v>
      </c>
    </row>
    <row r="3316" spans="1:24" ht="30">
      <c r="B3316" s="288" t="s">
        <v>60</v>
      </c>
      <c r="C3316" s="288" t="s">
        <v>220</v>
      </c>
      <c r="D3316" s="288" t="s">
        <v>221</v>
      </c>
      <c r="E3316" s="288" t="s">
        <v>222</v>
      </c>
      <c r="F3316" s="288" t="s">
        <v>223</v>
      </c>
      <c r="G3316" s="288" t="s">
        <v>224</v>
      </c>
      <c r="H3316" s="288" t="s">
        <v>225</v>
      </c>
      <c r="I3316" s="288" t="s">
        <v>226</v>
      </c>
      <c r="J3316" s="288" t="s">
        <v>227</v>
      </c>
      <c r="K3316" s="288" t="s">
        <v>364</v>
      </c>
      <c r="L3316" s="288" t="s">
        <v>371</v>
      </c>
      <c r="M3316" s="288" t="s">
        <v>208</v>
      </c>
      <c r="N3316" s="288" t="s">
        <v>618</v>
      </c>
      <c r="O3316" s="288" t="s">
        <v>619</v>
      </c>
      <c r="P3316" s="288" t="s">
        <v>620</v>
      </c>
      <c r="Q3316" s="288" t="s">
        <v>621</v>
      </c>
      <c r="R3316" s="288" t="s">
        <v>622</v>
      </c>
      <c r="S3316" s="288" t="s">
        <v>623</v>
      </c>
      <c r="T3316" s="288" t="s">
        <v>624</v>
      </c>
      <c r="U3316" s="288" t="s">
        <v>625</v>
      </c>
      <c r="V3316" s="288" t="s">
        <v>626</v>
      </c>
      <c r="W3316" s="288" t="s">
        <v>627</v>
      </c>
    </row>
    <row r="3317" spans="1:24">
      <c r="A3317" s="289" t="s">
        <v>92</v>
      </c>
      <c r="B3317" s="307">
        <f>$B$3096</f>
        <v>0</v>
      </c>
      <c r="C3317" s="307">
        <f>$C$3096</f>
        <v>0</v>
      </c>
      <c r="D3317" s="307">
        <f>$D$3096</f>
        <v>0</v>
      </c>
      <c r="E3317" s="307">
        <f>$E$3096</f>
        <v>0</v>
      </c>
      <c r="F3317" s="307">
        <f>$F$3096</f>
        <v>0</v>
      </c>
      <c r="G3317" s="307">
        <f>$G$3096</f>
        <v>0</v>
      </c>
      <c r="H3317" s="307">
        <f>$H$3096</f>
        <v>0</v>
      </c>
      <c r="I3317" s="307">
        <f>$I$3096</f>
        <v>0</v>
      </c>
      <c r="J3317" s="307">
        <f>$J$3096</f>
        <v>0.48256144096977732</v>
      </c>
      <c r="K3317" s="307">
        <f>$B$841</f>
        <v>0</v>
      </c>
      <c r="L3317" s="307">
        <f>$C$841</f>
        <v>0</v>
      </c>
      <c r="M3317" s="307">
        <f>$K$3096</f>
        <v>0</v>
      </c>
      <c r="N3317" s="307">
        <f>$L$3096</f>
        <v>0</v>
      </c>
      <c r="O3317" s="307">
        <f>$M$3096</f>
        <v>0</v>
      </c>
      <c r="P3317" s="307">
        <f>$N$3096</f>
        <v>0</v>
      </c>
      <c r="Q3317" s="307">
        <f>$O$3096</f>
        <v>0</v>
      </c>
      <c r="R3317" s="307">
        <f>$P$3096</f>
        <v>0</v>
      </c>
      <c r="S3317" s="307">
        <f>$Q$3096</f>
        <v>0</v>
      </c>
      <c r="T3317" s="307">
        <f>$R$3096</f>
        <v>0</v>
      </c>
      <c r="U3317" s="307">
        <f>$S$3096</f>
        <v>2.2387300935278236</v>
      </c>
      <c r="V3317" s="307">
        <f>$B$2587</f>
        <v>2.0769072578250394</v>
      </c>
      <c r="W3317" s="307">
        <f>$C$2587</f>
        <v>0</v>
      </c>
      <c r="X3317" s="291"/>
    </row>
    <row r="3318" spans="1:24">
      <c r="A3318" s="289" t="s">
        <v>93</v>
      </c>
      <c r="B3318" s="307">
        <f>$B$3097</f>
        <v>0</v>
      </c>
      <c r="C3318" s="307">
        <f>$C$3097</f>
        <v>0</v>
      </c>
      <c r="D3318" s="307">
        <f>$D$3097</f>
        <v>0</v>
      </c>
      <c r="E3318" s="307">
        <f>$E$3097</f>
        <v>0</v>
      </c>
      <c r="F3318" s="307">
        <f>$F$3097</f>
        <v>0</v>
      </c>
      <c r="G3318" s="307">
        <f>$G$3097</f>
        <v>0</v>
      </c>
      <c r="H3318" s="307">
        <f>$H$3097</f>
        <v>0</v>
      </c>
      <c r="I3318" s="307">
        <f>$I$3097</f>
        <v>0</v>
      </c>
      <c r="J3318" s="307">
        <f>$J$3097</f>
        <v>0.48256144096977732</v>
      </c>
      <c r="K3318" s="307">
        <f>$B$842</f>
        <v>0</v>
      </c>
      <c r="L3318" s="307">
        <f>$C$842</f>
        <v>0</v>
      </c>
      <c r="M3318" s="307">
        <f>$K$3097</f>
        <v>0</v>
      </c>
      <c r="N3318" s="307">
        <f>$L$3097</f>
        <v>0</v>
      </c>
      <c r="O3318" s="307">
        <f>$M$3097</f>
        <v>0</v>
      </c>
      <c r="P3318" s="307">
        <f>$N$3097</f>
        <v>0</v>
      </c>
      <c r="Q3318" s="307">
        <f>$O$3097</f>
        <v>0</v>
      </c>
      <c r="R3318" s="307">
        <f>$P$3097</f>
        <v>0</v>
      </c>
      <c r="S3318" s="307">
        <f>$Q$3097</f>
        <v>0</v>
      </c>
      <c r="T3318" s="307">
        <f>$R$3097</f>
        <v>0</v>
      </c>
      <c r="U3318" s="307">
        <f>$S$3097</f>
        <v>2.2387300935278236</v>
      </c>
      <c r="V3318" s="307">
        <f>$B$2588</f>
        <v>2.0769072578250394</v>
      </c>
      <c r="W3318" s="307">
        <f>$C$2588</f>
        <v>0</v>
      </c>
      <c r="X3318" s="291"/>
    </row>
    <row r="3319" spans="1:24">
      <c r="A3319" s="289" t="s">
        <v>129</v>
      </c>
      <c r="B3319" s="309"/>
      <c r="C3319" s="309"/>
      <c r="D3319" s="309"/>
      <c r="E3319" s="309"/>
      <c r="F3319" s="309"/>
      <c r="G3319" s="309"/>
      <c r="H3319" s="309"/>
      <c r="I3319" s="309"/>
      <c r="J3319" s="309"/>
      <c r="K3319" s="309"/>
      <c r="L3319" s="309"/>
      <c r="M3319" s="309"/>
      <c r="N3319" s="309"/>
      <c r="O3319" s="309"/>
      <c r="P3319" s="309"/>
      <c r="Q3319" s="309"/>
      <c r="R3319" s="309"/>
      <c r="S3319" s="309"/>
      <c r="T3319" s="309"/>
      <c r="U3319" s="309"/>
      <c r="V3319" s="309"/>
      <c r="W3319" s="309"/>
      <c r="X3319" s="291"/>
    </row>
    <row r="3320" spans="1:24">
      <c r="A3320" s="289" t="s">
        <v>94</v>
      </c>
      <c r="B3320" s="307">
        <f>$B$3098</f>
        <v>0</v>
      </c>
      <c r="C3320" s="307">
        <f>$C$3098</f>
        <v>0</v>
      </c>
      <c r="D3320" s="307">
        <f>$D$3098</f>
        <v>0</v>
      </c>
      <c r="E3320" s="307">
        <f>$E$3098</f>
        <v>0</v>
      </c>
      <c r="F3320" s="307">
        <f>$F$3098</f>
        <v>0</v>
      </c>
      <c r="G3320" s="307">
        <f>$G$3098</f>
        <v>0</v>
      </c>
      <c r="H3320" s="307">
        <f>$H$3098</f>
        <v>0</v>
      </c>
      <c r="I3320" s="307">
        <f>$I$3098</f>
        <v>0</v>
      </c>
      <c r="J3320" s="307">
        <f>$J$3098</f>
        <v>0.48256144096977732</v>
      </c>
      <c r="K3320" s="307">
        <f>$B$844</f>
        <v>0</v>
      </c>
      <c r="L3320" s="307">
        <f>$C$844</f>
        <v>0</v>
      </c>
      <c r="M3320" s="307">
        <f>$K$3098</f>
        <v>0</v>
      </c>
      <c r="N3320" s="307">
        <f>$L$3098</f>
        <v>0</v>
      </c>
      <c r="O3320" s="307">
        <f>$M$3098</f>
        <v>0</v>
      </c>
      <c r="P3320" s="307">
        <f>$N$3098</f>
        <v>0</v>
      </c>
      <c r="Q3320" s="307">
        <f>$O$3098</f>
        <v>0</v>
      </c>
      <c r="R3320" s="307">
        <f>$P$3098</f>
        <v>0</v>
      </c>
      <c r="S3320" s="307">
        <f>$Q$3098</f>
        <v>0</v>
      </c>
      <c r="T3320" s="307">
        <f>$R$3098</f>
        <v>0</v>
      </c>
      <c r="U3320" s="307">
        <f>$S$3098</f>
        <v>2.2387300935278236</v>
      </c>
      <c r="V3320" s="307">
        <f>$B$2590</f>
        <v>4.6726260362618319</v>
      </c>
      <c r="W3320" s="307">
        <f>$C$2590</f>
        <v>0</v>
      </c>
      <c r="X3320" s="291"/>
    </row>
    <row r="3321" spans="1:24">
      <c r="A3321" s="289" t="s">
        <v>95</v>
      </c>
      <c r="B3321" s="307">
        <f>$B$3099</f>
        <v>0</v>
      </c>
      <c r="C3321" s="307">
        <f>$C$3099</f>
        <v>0</v>
      </c>
      <c r="D3321" s="307">
        <f>$D$3099</f>
        <v>0</v>
      </c>
      <c r="E3321" s="307">
        <f>$E$3099</f>
        <v>0</v>
      </c>
      <c r="F3321" s="307">
        <f>$F$3099</f>
        <v>0</v>
      </c>
      <c r="G3321" s="307">
        <f>$G$3099</f>
        <v>0</v>
      </c>
      <c r="H3321" s="307">
        <f>$H$3099</f>
        <v>0</v>
      </c>
      <c r="I3321" s="307">
        <f>$I$3099</f>
        <v>0</v>
      </c>
      <c r="J3321" s="307">
        <f>$J$3099</f>
        <v>0.48256144096977732</v>
      </c>
      <c r="K3321" s="307">
        <f>$B$845</f>
        <v>0</v>
      </c>
      <c r="L3321" s="307">
        <f>$C$845</f>
        <v>0</v>
      </c>
      <c r="M3321" s="307">
        <f>$K$3099</f>
        <v>0</v>
      </c>
      <c r="N3321" s="307">
        <f>$L$3099</f>
        <v>0</v>
      </c>
      <c r="O3321" s="307">
        <f>$M$3099</f>
        <v>0</v>
      </c>
      <c r="P3321" s="307">
        <f>$N$3099</f>
        <v>0</v>
      </c>
      <c r="Q3321" s="307">
        <f>$O$3099</f>
        <v>0</v>
      </c>
      <c r="R3321" s="307">
        <f>$P$3099</f>
        <v>0</v>
      </c>
      <c r="S3321" s="307">
        <f>$Q$3099</f>
        <v>0</v>
      </c>
      <c r="T3321" s="307">
        <f>$R$3099</f>
        <v>0</v>
      </c>
      <c r="U3321" s="307">
        <f>$S$3099</f>
        <v>2.2387300935278236</v>
      </c>
      <c r="V3321" s="307">
        <f>$B$2591</f>
        <v>4.6726260362618319</v>
      </c>
      <c r="W3321" s="307">
        <f>$C$2591</f>
        <v>0</v>
      </c>
      <c r="X3321" s="291"/>
    </row>
    <row r="3322" spans="1:24">
      <c r="A3322" s="289" t="s">
        <v>130</v>
      </c>
      <c r="B3322" s="309"/>
      <c r="C3322" s="309"/>
      <c r="D3322" s="309"/>
      <c r="E3322" s="309"/>
      <c r="F3322" s="309"/>
      <c r="G3322" s="309"/>
      <c r="H3322" s="309"/>
      <c r="I3322" s="309"/>
      <c r="J3322" s="309"/>
      <c r="K3322" s="309"/>
      <c r="L3322" s="309"/>
      <c r="M3322" s="309"/>
      <c r="N3322" s="309"/>
      <c r="O3322" s="309"/>
      <c r="P3322" s="309"/>
      <c r="Q3322" s="309"/>
      <c r="R3322" s="309"/>
      <c r="S3322" s="309"/>
      <c r="T3322" s="309"/>
      <c r="U3322" s="309"/>
      <c r="V3322" s="309"/>
      <c r="W3322" s="309"/>
      <c r="X3322" s="291"/>
    </row>
    <row r="3323" spans="1:24">
      <c r="A3323" s="289" t="s">
        <v>96</v>
      </c>
      <c r="B3323" s="307">
        <f>$B$3100</f>
        <v>0</v>
      </c>
      <c r="C3323" s="307">
        <f>$C$3100</f>
        <v>0</v>
      </c>
      <c r="D3323" s="307">
        <f>$D$3100</f>
        <v>0</v>
      </c>
      <c r="E3323" s="307">
        <f>$E$3100</f>
        <v>0</v>
      </c>
      <c r="F3323" s="307">
        <f>$F$3100</f>
        <v>0</v>
      </c>
      <c r="G3323" s="307">
        <f>$G$3100</f>
        <v>0</v>
      </c>
      <c r="H3323" s="307">
        <f>$H$3100</f>
        <v>0</v>
      </c>
      <c r="I3323" s="307">
        <f>$I$3100</f>
        <v>0</v>
      </c>
      <c r="J3323" s="307">
        <f>$J$3100</f>
        <v>0</v>
      </c>
      <c r="K3323" s="307">
        <f>$B$847</f>
        <v>0</v>
      </c>
      <c r="L3323" s="307">
        <f>$C$847</f>
        <v>0</v>
      </c>
      <c r="M3323" s="307">
        <f>$K$3100</f>
        <v>0</v>
      </c>
      <c r="N3323" s="307">
        <f>$L$3100</f>
        <v>0</v>
      </c>
      <c r="O3323" s="307">
        <f>$M$3100</f>
        <v>0</v>
      </c>
      <c r="P3323" s="307">
        <f>$N$3100</f>
        <v>0</v>
      </c>
      <c r="Q3323" s="307">
        <f>$O$3100</f>
        <v>0</v>
      </c>
      <c r="R3323" s="307">
        <f>$P$3100</f>
        <v>0</v>
      </c>
      <c r="S3323" s="307">
        <f>$Q$3100</f>
        <v>0</v>
      </c>
      <c r="T3323" s="307">
        <f>$R$3100</f>
        <v>0</v>
      </c>
      <c r="U3323" s="307">
        <f>$S$3100</f>
        <v>0</v>
      </c>
      <c r="V3323" s="307">
        <f>$B$2593</f>
        <v>5.6888889091662147</v>
      </c>
      <c r="W3323" s="307">
        <f>$C$2593</f>
        <v>0</v>
      </c>
      <c r="X3323" s="291"/>
    </row>
    <row r="3324" spans="1:24">
      <c r="A3324" s="289" t="s">
        <v>97</v>
      </c>
      <c r="B3324" s="307">
        <f>$B$3101</f>
        <v>0</v>
      </c>
      <c r="C3324" s="307">
        <f>$C$3101</f>
        <v>0</v>
      </c>
      <c r="D3324" s="307">
        <f>$D$3101</f>
        <v>0</v>
      </c>
      <c r="E3324" s="307">
        <f>$E$3101</f>
        <v>0</v>
      </c>
      <c r="F3324" s="307">
        <f>$F$3101</f>
        <v>0</v>
      </c>
      <c r="G3324" s="307">
        <f>$G$3101</f>
        <v>0</v>
      </c>
      <c r="H3324" s="307">
        <f>$H$3101</f>
        <v>0</v>
      </c>
      <c r="I3324" s="307">
        <f>$I$3101</f>
        <v>0</v>
      </c>
      <c r="J3324" s="307">
        <f>$J$3101</f>
        <v>0</v>
      </c>
      <c r="K3324" s="307">
        <f>$B$848</f>
        <v>0</v>
      </c>
      <c r="L3324" s="307">
        <f>$C$848</f>
        <v>0</v>
      </c>
      <c r="M3324" s="307">
        <f>$K$3101</f>
        <v>0</v>
      </c>
      <c r="N3324" s="307">
        <f>$L$3101</f>
        <v>0</v>
      </c>
      <c r="O3324" s="307">
        <f>$M$3101</f>
        <v>0</v>
      </c>
      <c r="P3324" s="307">
        <f>$N$3101</f>
        <v>0</v>
      </c>
      <c r="Q3324" s="307">
        <f>$O$3101</f>
        <v>0</v>
      </c>
      <c r="R3324" s="307">
        <f>$P$3101</f>
        <v>0</v>
      </c>
      <c r="S3324" s="307">
        <f>$Q$3101</f>
        <v>0</v>
      </c>
      <c r="T3324" s="307">
        <f>$R$3101</f>
        <v>0</v>
      </c>
      <c r="U3324" s="307">
        <f>$S$3101</f>
        <v>0</v>
      </c>
      <c r="V3324" s="307">
        <f>$B$2594</f>
        <v>4.218993607525519</v>
      </c>
      <c r="W3324" s="307">
        <f>$C$2594</f>
        <v>0</v>
      </c>
      <c r="X3324" s="291"/>
    </row>
    <row r="3325" spans="1:24">
      <c r="A3325" s="289" t="s">
        <v>110</v>
      </c>
      <c r="B3325" s="307">
        <f>$B$3102</f>
        <v>0</v>
      </c>
      <c r="C3325" s="307">
        <f>$C$3102</f>
        <v>0</v>
      </c>
      <c r="D3325" s="307">
        <f>$D$3102</f>
        <v>0</v>
      </c>
      <c r="E3325" s="307">
        <f>$E$3102</f>
        <v>0</v>
      </c>
      <c r="F3325" s="307">
        <f>$F$3102</f>
        <v>0</v>
      </c>
      <c r="G3325" s="307">
        <f>$G$3102</f>
        <v>0</v>
      </c>
      <c r="H3325" s="307">
        <f>$H$3102</f>
        <v>0</v>
      </c>
      <c r="I3325" s="307">
        <f>$I$3102</f>
        <v>0</v>
      </c>
      <c r="J3325" s="307">
        <f>$J$3102</f>
        <v>0</v>
      </c>
      <c r="K3325" s="307">
        <f>$B$849</f>
        <v>0</v>
      </c>
      <c r="L3325" s="307">
        <f>$C$849</f>
        <v>0</v>
      </c>
      <c r="M3325" s="307">
        <f>$K$3102</f>
        <v>0</v>
      </c>
      <c r="N3325" s="307">
        <f>$L$3102</f>
        <v>0</v>
      </c>
      <c r="O3325" s="307">
        <f>$M$3102</f>
        <v>0</v>
      </c>
      <c r="P3325" s="307">
        <f>$N$3102</f>
        <v>0</v>
      </c>
      <c r="Q3325" s="307">
        <f>$O$3102</f>
        <v>0</v>
      </c>
      <c r="R3325" s="307">
        <f>$P$3102</f>
        <v>0</v>
      </c>
      <c r="S3325" s="307">
        <f>$Q$3102</f>
        <v>0</v>
      </c>
      <c r="T3325" s="307">
        <f>$R$3102</f>
        <v>0</v>
      </c>
      <c r="U3325" s="307">
        <f>$S$3102</f>
        <v>0</v>
      </c>
      <c r="V3325" s="307">
        <f>$B$2595</f>
        <v>0</v>
      </c>
      <c r="W3325" s="307">
        <f>$C$2595</f>
        <v>73.286534579214916</v>
      </c>
      <c r="X3325" s="291"/>
    </row>
    <row r="3326" spans="1:24">
      <c r="A3326" s="289" t="s">
        <v>1536</v>
      </c>
      <c r="B3326" s="307">
        <f>$B$3103</f>
        <v>0</v>
      </c>
      <c r="C3326" s="307">
        <f>$C$3103</f>
        <v>0</v>
      </c>
      <c r="D3326" s="307">
        <f>$D$3103</f>
        <v>0</v>
      </c>
      <c r="E3326" s="307">
        <f>$E$3103</f>
        <v>0</v>
      </c>
      <c r="F3326" s="307">
        <f>$F$3103</f>
        <v>0</v>
      </c>
      <c r="G3326" s="307">
        <f>$G$3103</f>
        <v>0</v>
      </c>
      <c r="H3326" s="307">
        <f>$H$3103</f>
        <v>0</v>
      </c>
      <c r="I3326" s="307">
        <f>$I$3103</f>
        <v>0</v>
      </c>
      <c r="J3326" s="307">
        <f>$J$3103</f>
        <v>0.48256144096977732</v>
      </c>
      <c r="K3326" s="307">
        <f>$B$850</f>
        <v>0</v>
      </c>
      <c r="L3326" s="307">
        <f>$C$850</f>
        <v>0</v>
      </c>
      <c r="M3326" s="307">
        <f>$K$3103</f>
        <v>0</v>
      </c>
      <c r="N3326" s="307">
        <f>$L$3103</f>
        <v>0</v>
      </c>
      <c r="O3326" s="307">
        <f>$M$3103</f>
        <v>0</v>
      </c>
      <c r="P3326" s="307">
        <f>$N$3103</f>
        <v>0</v>
      </c>
      <c r="Q3326" s="307">
        <f>$O$3103</f>
        <v>0</v>
      </c>
      <c r="R3326" s="307">
        <f>$P$3103</f>
        <v>0</v>
      </c>
      <c r="S3326" s="307">
        <f>$Q$3103</f>
        <v>0</v>
      </c>
      <c r="T3326" s="307">
        <f>$R$3103</f>
        <v>0</v>
      </c>
      <c r="U3326" s="307">
        <f>$S$3103</f>
        <v>2.2387300935278236</v>
      </c>
      <c r="V3326" s="307">
        <f>$B$2596</f>
        <v>2.0769072578250394</v>
      </c>
      <c r="W3326" s="307">
        <f>$C$2596</f>
        <v>0</v>
      </c>
      <c r="X3326" s="291"/>
    </row>
    <row r="3327" spans="1:24">
      <c r="A3327" s="289" t="s">
        <v>1535</v>
      </c>
      <c r="B3327" s="307">
        <f>$B$3104</f>
        <v>0</v>
      </c>
      <c r="C3327" s="307">
        <f>$C$3104</f>
        <v>0</v>
      </c>
      <c r="D3327" s="307">
        <f>$D$3104</f>
        <v>0</v>
      </c>
      <c r="E3327" s="307">
        <f>$E$3104</f>
        <v>0</v>
      </c>
      <c r="F3327" s="307">
        <f>$F$3104</f>
        <v>0</v>
      </c>
      <c r="G3327" s="307">
        <f>$G$3104</f>
        <v>0</v>
      </c>
      <c r="H3327" s="307">
        <f>$H$3104</f>
        <v>0</v>
      </c>
      <c r="I3327" s="307">
        <f>$I$3104</f>
        <v>0</v>
      </c>
      <c r="J3327" s="307">
        <f>$J$3104</f>
        <v>0.48256144096977732</v>
      </c>
      <c r="K3327" s="307">
        <f>$B$851</f>
        <v>0</v>
      </c>
      <c r="L3327" s="307">
        <f>$C$851</f>
        <v>0</v>
      </c>
      <c r="M3327" s="307">
        <f>$K$3104</f>
        <v>0</v>
      </c>
      <c r="N3327" s="307">
        <f>$L$3104</f>
        <v>0</v>
      </c>
      <c r="O3327" s="307">
        <f>$M$3104</f>
        <v>0</v>
      </c>
      <c r="P3327" s="307">
        <f>$N$3104</f>
        <v>0</v>
      </c>
      <c r="Q3327" s="307">
        <f>$O$3104</f>
        <v>0</v>
      </c>
      <c r="R3327" s="307">
        <f>$P$3104</f>
        <v>0</v>
      </c>
      <c r="S3327" s="307">
        <f>$Q$3104</f>
        <v>0</v>
      </c>
      <c r="T3327" s="307">
        <f>$R$3104</f>
        <v>0</v>
      </c>
      <c r="U3327" s="307">
        <f>$S$3104</f>
        <v>2.2387300935278236</v>
      </c>
      <c r="V3327" s="307">
        <f>$B$2597</f>
        <v>4.6726260362618319</v>
      </c>
      <c r="W3327" s="307">
        <f>$C$2597</f>
        <v>0</v>
      </c>
      <c r="X3327" s="291"/>
    </row>
    <row r="3328" spans="1:24">
      <c r="A3328" s="289" t="s">
        <v>98</v>
      </c>
      <c r="B3328" s="309"/>
      <c r="C3328" s="309"/>
      <c r="D3328" s="309"/>
      <c r="E3328" s="309"/>
      <c r="F3328" s="309"/>
      <c r="G3328" s="309"/>
      <c r="H3328" s="309"/>
      <c r="I3328" s="309"/>
      <c r="J3328" s="309"/>
      <c r="K3328" s="307">
        <f>$B$852</f>
        <v>0</v>
      </c>
      <c r="L3328" s="307">
        <f>$C$852</f>
        <v>0</v>
      </c>
      <c r="M3328" s="309"/>
      <c r="N3328" s="309"/>
      <c r="O3328" s="309"/>
      <c r="P3328" s="309"/>
      <c r="Q3328" s="309"/>
      <c r="R3328" s="309"/>
      <c r="S3328" s="309"/>
      <c r="T3328" s="309"/>
      <c r="U3328" s="309"/>
      <c r="V3328" s="307">
        <f>$B$2598</f>
        <v>9.5907113768651691</v>
      </c>
      <c r="W3328" s="307">
        <f>$C$2598</f>
        <v>0</v>
      </c>
      <c r="X3328" s="291"/>
    </row>
    <row r="3329" spans="1:24">
      <c r="A3329" s="289" t="s">
        <v>99</v>
      </c>
      <c r="B3329" s="309"/>
      <c r="C3329" s="309"/>
      <c r="D3329" s="309"/>
      <c r="E3329" s="309"/>
      <c r="F3329" s="309"/>
      <c r="G3329" s="309"/>
      <c r="H3329" s="309"/>
      <c r="I3329" s="309"/>
      <c r="J3329" s="309"/>
      <c r="K3329" s="307">
        <f>$B$853</f>
        <v>0</v>
      </c>
      <c r="L3329" s="307">
        <f>$C$853</f>
        <v>0</v>
      </c>
      <c r="M3329" s="309"/>
      <c r="N3329" s="309"/>
      <c r="O3329" s="309"/>
      <c r="P3329" s="309"/>
      <c r="Q3329" s="309"/>
      <c r="R3329" s="309"/>
      <c r="S3329" s="309"/>
      <c r="T3329" s="309"/>
      <c r="U3329" s="309"/>
      <c r="V3329" s="307">
        <f>$B$2599</f>
        <v>7.3868914397380232</v>
      </c>
      <c r="W3329" s="307">
        <f>$C$2599</f>
        <v>0</v>
      </c>
      <c r="X3329" s="291"/>
    </row>
    <row r="3330" spans="1:24">
      <c r="A3330" s="289" t="s">
        <v>111</v>
      </c>
      <c r="B3330" s="309"/>
      <c r="C3330" s="309"/>
      <c r="D3330" s="309"/>
      <c r="E3330" s="309"/>
      <c r="F3330" s="309"/>
      <c r="G3330" s="309"/>
      <c r="H3330" s="309"/>
      <c r="I3330" s="309"/>
      <c r="J3330" s="309"/>
      <c r="K3330" s="307">
        <f>$B$854</f>
        <v>0</v>
      </c>
      <c r="L3330" s="307">
        <f>$C$854</f>
        <v>0</v>
      </c>
      <c r="M3330" s="309"/>
      <c r="N3330" s="309"/>
      <c r="O3330" s="309"/>
      <c r="P3330" s="309"/>
      <c r="Q3330" s="309"/>
      <c r="R3330" s="309"/>
      <c r="S3330" s="309"/>
      <c r="T3330" s="309"/>
      <c r="U3330" s="309"/>
      <c r="V3330" s="307">
        <f>$B$2600</f>
        <v>0</v>
      </c>
      <c r="W3330" s="307">
        <f>$C$2600</f>
        <v>73.286534579214916</v>
      </c>
      <c r="X3330" s="291"/>
    </row>
    <row r="3331" spans="1:24">
      <c r="A3331" s="289" t="s">
        <v>131</v>
      </c>
      <c r="B3331" s="309"/>
      <c r="C3331" s="309"/>
      <c r="D3331" s="309"/>
      <c r="E3331" s="309"/>
      <c r="F3331" s="309"/>
      <c r="G3331" s="309"/>
      <c r="H3331" s="309"/>
      <c r="I3331" s="309"/>
      <c r="J3331" s="309"/>
      <c r="K3331" s="309"/>
      <c r="L3331" s="309"/>
      <c r="M3331" s="309"/>
      <c r="N3331" s="309"/>
      <c r="O3331" s="309"/>
      <c r="P3331" s="309"/>
      <c r="Q3331" s="309"/>
      <c r="R3331" s="309"/>
      <c r="S3331" s="309"/>
      <c r="T3331" s="309"/>
      <c r="U3331" s="309"/>
      <c r="V3331" s="309"/>
      <c r="W3331" s="309"/>
      <c r="X3331" s="291"/>
    </row>
    <row r="3332" spans="1:24">
      <c r="A3332" s="289" t="s">
        <v>132</v>
      </c>
      <c r="B3332" s="309"/>
      <c r="C3332" s="309"/>
      <c r="D3332" s="309"/>
      <c r="E3332" s="309"/>
      <c r="F3332" s="309"/>
      <c r="G3332" s="309"/>
      <c r="H3332" s="309"/>
      <c r="I3332" s="309"/>
      <c r="J3332" s="309"/>
      <c r="K3332" s="309"/>
      <c r="L3332" s="309"/>
      <c r="M3332" s="309"/>
      <c r="N3332" s="309"/>
      <c r="O3332" s="309"/>
      <c r="P3332" s="309"/>
      <c r="Q3332" s="309"/>
      <c r="R3332" s="309"/>
      <c r="S3332" s="309"/>
      <c r="T3332" s="309"/>
      <c r="U3332" s="309"/>
      <c r="V3332" s="309"/>
      <c r="W3332" s="309"/>
      <c r="X3332" s="291"/>
    </row>
    <row r="3333" spans="1:24">
      <c r="A3333" s="289" t="s">
        <v>133</v>
      </c>
      <c r="B3333" s="309"/>
      <c r="C3333" s="309"/>
      <c r="D3333" s="309"/>
      <c r="E3333" s="309"/>
      <c r="F3333" s="309"/>
      <c r="G3333" s="309"/>
      <c r="H3333" s="309"/>
      <c r="I3333" s="309"/>
      <c r="J3333" s="309"/>
      <c r="K3333" s="309"/>
      <c r="L3333" s="309"/>
      <c r="M3333" s="309"/>
      <c r="N3333" s="309"/>
      <c r="O3333" s="309"/>
      <c r="P3333" s="309"/>
      <c r="Q3333" s="309"/>
      <c r="R3333" s="309"/>
      <c r="S3333" s="309"/>
      <c r="T3333" s="309"/>
      <c r="U3333" s="309"/>
      <c r="V3333" s="309"/>
      <c r="W3333" s="309"/>
      <c r="X3333" s="291"/>
    </row>
    <row r="3334" spans="1:24">
      <c r="A3334" s="289" t="s">
        <v>134</v>
      </c>
      <c r="B3334" s="309"/>
      <c r="C3334" s="309"/>
      <c r="D3334" s="309"/>
      <c r="E3334" s="309"/>
      <c r="F3334" s="309"/>
      <c r="G3334" s="309"/>
      <c r="H3334" s="309"/>
      <c r="I3334" s="309"/>
      <c r="J3334" s="309"/>
      <c r="K3334" s="309"/>
      <c r="L3334" s="309"/>
      <c r="M3334" s="309"/>
      <c r="N3334" s="309"/>
      <c r="O3334" s="309"/>
      <c r="P3334" s="309"/>
      <c r="Q3334" s="309"/>
      <c r="R3334" s="309"/>
      <c r="S3334" s="309"/>
      <c r="T3334" s="309"/>
      <c r="U3334" s="309"/>
      <c r="V3334" s="309"/>
      <c r="W3334" s="309"/>
      <c r="X3334" s="291"/>
    </row>
    <row r="3335" spans="1:24">
      <c r="A3335" s="289" t="s">
        <v>135</v>
      </c>
      <c r="B3335" s="309"/>
      <c r="C3335" s="309"/>
      <c r="D3335" s="309"/>
      <c r="E3335" s="309"/>
      <c r="F3335" s="309"/>
      <c r="G3335" s="309"/>
      <c r="H3335" s="309"/>
      <c r="I3335" s="309"/>
      <c r="J3335" s="309"/>
      <c r="K3335" s="309"/>
      <c r="L3335" s="309"/>
      <c r="M3335" s="309"/>
      <c r="N3335" s="309"/>
      <c r="O3335" s="309"/>
      <c r="P3335" s="309"/>
      <c r="Q3335" s="309"/>
      <c r="R3335" s="309"/>
      <c r="S3335" s="309"/>
      <c r="T3335" s="309"/>
      <c r="U3335" s="309"/>
      <c r="V3335" s="309"/>
      <c r="W3335" s="309"/>
      <c r="X3335" s="291"/>
    </row>
    <row r="3336" spans="1:24">
      <c r="A3336" s="289" t="s">
        <v>1534</v>
      </c>
      <c r="B3336" s="309"/>
      <c r="C3336" s="309"/>
      <c r="D3336" s="309"/>
      <c r="E3336" s="309"/>
      <c r="F3336" s="309"/>
      <c r="G3336" s="309"/>
      <c r="H3336" s="309"/>
      <c r="I3336" s="309"/>
      <c r="J3336" s="309"/>
      <c r="K3336" s="307">
        <f>$B$860</f>
        <v>0</v>
      </c>
      <c r="L3336" s="307">
        <f>$C$860</f>
        <v>0</v>
      </c>
      <c r="M3336" s="309"/>
      <c r="N3336" s="309"/>
      <c r="O3336" s="309"/>
      <c r="P3336" s="309"/>
      <c r="Q3336" s="309"/>
      <c r="R3336" s="309"/>
      <c r="S3336" s="309"/>
      <c r="T3336" s="309"/>
      <c r="U3336" s="309"/>
      <c r="V3336" s="307">
        <f>$B$2606</f>
        <v>0</v>
      </c>
      <c r="W3336" s="307">
        <f>$C$2606</f>
        <v>0</v>
      </c>
      <c r="X3336" s="291"/>
    </row>
    <row r="3337" spans="1:24">
      <c r="A3337" s="289" t="s">
        <v>100</v>
      </c>
      <c r="B3337" s="309"/>
      <c r="C3337" s="309"/>
      <c r="D3337" s="309"/>
      <c r="E3337" s="309"/>
      <c r="F3337" s="309"/>
      <c r="G3337" s="309"/>
      <c r="H3337" s="309"/>
      <c r="I3337" s="309"/>
      <c r="J3337" s="309"/>
      <c r="K3337" s="307">
        <f>$B$861</f>
        <v>0</v>
      </c>
      <c r="L3337" s="307">
        <f>$C$861</f>
        <v>0</v>
      </c>
      <c r="M3337" s="309"/>
      <c r="N3337" s="309"/>
      <c r="O3337" s="309"/>
      <c r="P3337" s="309"/>
      <c r="Q3337" s="309"/>
      <c r="R3337" s="309"/>
      <c r="S3337" s="309"/>
      <c r="T3337" s="309"/>
      <c r="U3337" s="309"/>
      <c r="V3337" s="307">
        <f>$B$2607</f>
        <v>0</v>
      </c>
      <c r="W3337" s="307">
        <f>$C$2607</f>
        <v>0</v>
      </c>
      <c r="X3337" s="291"/>
    </row>
    <row r="3338" spans="1:24">
      <c r="A3338" s="289" t="s">
        <v>101</v>
      </c>
      <c r="B3338" s="309"/>
      <c r="C3338" s="309"/>
      <c r="D3338" s="309"/>
      <c r="E3338" s="309"/>
      <c r="F3338" s="309"/>
      <c r="G3338" s="309"/>
      <c r="H3338" s="309"/>
      <c r="I3338" s="309"/>
      <c r="J3338" s="309"/>
      <c r="K3338" s="307">
        <f>$B$862</f>
        <v>0</v>
      </c>
      <c r="L3338" s="307">
        <f>$C$862</f>
        <v>0</v>
      </c>
      <c r="M3338" s="309"/>
      <c r="N3338" s="309"/>
      <c r="O3338" s="309"/>
      <c r="P3338" s="309"/>
      <c r="Q3338" s="309"/>
      <c r="R3338" s="309"/>
      <c r="S3338" s="309"/>
      <c r="T3338" s="309"/>
      <c r="U3338" s="309"/>
      <c r="V3338" s="307">
        <f>$B$2608</f>
        <v>0</v>
      </c>
      <c r="W3338" s="307">
        <f>$C$2608</f>
        <v>0</v>
      </c>
      <c r="X3338" s="291"/>
    </row>
    <row r="3339" spans="1:24">
      <c r="A3339" s="289" t="s">
        <v>102</v>
      </c>
      <c r="B3339" s="309"/>
      <c r="C3339" s="309"/>
      <c r="D3339" s="309"/>
      <c r="E3339" s="309"/>
      <c r="F3339" s="309"/>
      <c r="G3339" s="309"/>
      <c r="H3339" s="309"/>
      <c r="I3339" s="309"/>
      <c r="J3339" s="309"/>
      <c r="K3339" s="307">
        <f>$B$863</f>
        <v>0</v>
      </c>
      <c r="L3339" s="307">
        <f>$C$863</f>
        <v>0</v>
      </c>
      <c r="M3339" s="309"/>
      <c r="N3339" s="309"/>
      <c r="O3339" s="309"/>
      <c r="P3339" s="309"/>
      <c r="Q3339" s="309"/>
      <c r="R3339" s="309"/>
      <c r="S3339" s="309"/>
      <c r="T3339" s="309"/>
      <c r="U3339" s="309"/>
      <c r="V3339" s="307">
        <f>$B$2609</f>
        <v>0</v>
      </c>
      <c r="W3339" s="307">
        <f>$C$2609</f>
        <v>0</v>
      </c>
      <c r="X3339" s="291"/>
    </row>
    <row r="3340" spans="1:24">
      <c r="A3340" s="289" t="s">
        <v>103</v>
      </c>
      <c r="B3340" s="309"/>
      <c r="C3340" s="309"/>
      <c r="D3340" s="309"/>
      <c r="E3340" s="309"/>
      <c r="F3340" s="309"/>
      <c r="G3340" s="309"/>
      <c r="H3340" s="309"/>
      <c r="I3340" s="309"/>
      <c r="J3340" s="309"/>
      <c r="K3340" s="307">
        <f>$B$864</f>
        <v>0</v>
      </c>
      <c r="L3340" s="307">
        <f>$C$864</f>
        <v>0</v>
      </c>
      <c r="M3340" s="309"/>
      <c r="N3340" s="309"/>
      <c r="O3340" s="309"/>
      <c r="P3340" s="309"/>
      <c r="Q3340" s="309"/>
      <c r="R3340" s="309"/>
      <c r="S3340" s="309"/>
      <c r="T3340" s="309"/>
      <c r="U3340" s="309"/>
      <c r="V3340" s="307">
        <f>$B$2610</f>
        <v>0</v>
      </c>
      <c r="W3340" s="307">
        <f>$C$2610</f>
        <v>0</v>
      </c>
      <c r="X3340" s="291"/>
    </row>
    <row r="3341" spans="1:24">
      <c r="A3341" s="289" t="s">
        <v>104</v>
      </c>
      <c r="B3341" s="309"/>
      <c r="C3341" s="309"/>
      <c r="D3341" s="309"/>
      <c r="E3341" s="309"/>
      <c r="F3341" s="309"/>
      <c r="G3341" s="309"/>
      <c r="H3341" s="309"/>
      <c r="I3341" s="309"/>
      <c r="J3341" s="309"/>
      <c r="K3341" s="307">
        <f>$B$865</f>
        <v>0</v>
      </c>
      <c r="L3341" s="307">
        <f>$C$865</f>
        <v>0</v>
      </c>
      <c r="M3341" s="309"/>
      <c r="N3341" s="309"/>
      <c r="O3341" s="309"/>
      <c r="P3341" s="309"/>
      <c r="Q3341" s="309"/>
      <c r="R3341" s="309"/>
      <c r="S3341" s="309"/>
      <c r="T3341" s="309"/>
      <c r="U3341" s="309"/>
      <c r="V3341" s="307">
        <f>$B$2611</f>
        <v>0</v>
      </c>
      <c r="W3341" s="307">
        <f>$C$2611</f>
        <v>0</v>
      </c>
      <c r="X3341" s="291"/>
    </row>
    <row r="3342" spans="1:24">
      <c r="A3342" s="289" t="s">
        <v>112</v>
      </c>
      <c r="B3342" s="309"/>
      <c r="C3342" s="309"/>
      <c r="D3342" s="309"/>
      <c r="E3342" s="309"/>
      <c r="F3342" s="309"/>
      <c r="G3342" s="309"/>
      <c r="H3342" s="309"/>
      <c r="I3342" s="309"/>
      <c r="J3342" s="309"/>
      <c r="K3342" s="307">
        <f>$B$866</f>
        <v>0</v>
      </c>
      <c r="L3342" s="307">
        <f>$C$866</f>
        <v>0</v>
      </c>
      <c r="M3342" s="309"/>
      <c r="N3342" s="309"/>
      <c r="O3342" s="309"/>
      <c r="P3342" s="309"/>
      <c r="Q3342" s="309"/>
      <c r="R3342" s="309"/>
      <c r="S3342" s="309"/>
      <c r="T3342" s="309"/>
      <c r="U3342" s="309"/>
      <c r="V3342" s="307">
        <f>$B$2612</f>
        <v>0</v>
      </c>
      <c r="W3342" s="307">
        <f>$C$2612</f>
        <v>35.333914022225869</v>
      </c>
      <c r="X3342" s="291"/>
    </row>
    <row r="3343" spans="1:24">
      <c r="A3343" s="289" t="s">
        <v>113</v>
      </c>
      <c r="B3343" s="309"/>
      <c r="C3343" s="309"/>
      <c r="D3343" s="309"/>
      <c r="E3343" s="309"/>
      <c r="F3343" s="309"/>
      <c r="G3343" s="309"/>
      <c r="H3343" s="309"/>
      <c r="I3343" s="309"/>
      <c r="J3343" s="309"/>
      <c r="K3343" s="307">
        <f>$B$867</f>
        <v>0</v>
      </c>
      <c r="L3343" s="307">
        <f>$C$867</f>
        <v>0</v>
      </c>
      <c r="M3343" s="309"/>
      <c r="N3343" s="309"/>
      <c r="O3343" s="309"/>
      <c r="P3343" s="309"/>
      <c r="Q3343" s="309"/>
      <c r="R3343" s="309"/>
      <c r="S3343" s="309"/>
      <c r="T3343" s="309"/>
      <c r="U3343" s="309"/>
      <c r="V3343" s="307">
        <f>$B$2613</f>
        <v>0</v>
      </c>
      <c r="W3343" s="307">
        <f>$C$2613</f>
        <v>35.333914022225869</v>
      </c>
      <c r="X3343" s="291"/>
    </row>
    <row r="3345" spans="1:24" ht="21" customHeight="1">
      <c r="A3345" s="1" t="s">
        <v>760</v>
      </c>
    </row>
    <row r="3346" spans="1:24">
      <c r="A3346" s="287" t="s">
        <v>255</v>
      </c>
    </row>
    <row r="3347" spans="1:24">
      <c r="A3347" s="301" t="s">
        <v>761</v>
      </c>
    </row>
    <row r="3348" spans="1:24">
      <c r="A3348" s="287" t="s">
        <v>635</v>
      </c>
    </row>
    <row r="3350" spans="1:24" ht="30">
      <c r="B3350" s="288" t="s">
        <v>60</v>
      </c>
      <c r="C3350" s="288" t="s">
        <v>220</v>
      </c>
      <c r="D3350" s="288" t="s">
        <v>221</v>
      </c>
      <c r="E3350" s="288" t="s">
        <v>222</v>
      </c>
      <c r="F3350" s="288" t="s">
        <v>223</v>
      </c>
      <c r="G3350" s="288" t="s">
        <v>224</v>
      </c>
      <c r="H3350" s="288" t="s">
        <v>225</v>
      </c>
      <c r="I3350" s="288" t="s">
        <v>226</v>
      </c>
      <c r="J3350" s="288" t="s">
        <v>227</v>
      </c>
      <c r="K3350" s="288" t="s">
        <v>364</v>
      </c>
      <c r="L3350" s="288" t="s">
        <v>371</v>
      </c>
      <c r="M3350" s="288" t="s">
        <v>208</v>
      </c>
      <c r="N3350" s="288" t="s">
        <v>618</v>
      </c>
      <c r="O3350" s="288" t="s">
        <v>619</v>
      </c>
      <c r="P3350" s="288" t="s">
        <v>620</v>
      </c>
      <c r="Q3350" s="288" t="s">
        <v>621</v>
      </c>
      <c r="R3350" s="288" t="s">
        <v>622</v>
      </c>
      <c r="S3350" s="288" t="s">
        <v>623</v>
      </c>
      <c r="T3350" s="288" t="s">
        <v>624</v>
      </c>
      <c r="U3350" s="288" t="s">
        <v>625</v>
      </c>
      <c r="V3350" s="288" t="s">
        <v>626</v>
      </c>
      <c r="W3350" s="288" t="s">
        <v>627</v>
      </c>
    </row>
    <row r="3351" spans="1:24">
      <c r="A3351" s="289" t="s">
        <v>92</v>
      </c>
      <c r="B3351" s="309"/>
      <c r="C3351" s="309"/>
      <c r="D3351" s="309"/>
      <c r="E3351" s="309"/>
      <c r="F3351" s="309"/>
      <c r="G3351" s="309"/>
      <c r="H3351" s="309"/>
      <c r="I3351" s="309"/>
      <c r="J3351" s="309"/>
      <c r="K3351" s="309"/>
      <c r="L3351" s="309"/>
      <c r="M3351" s="309"/>
      <c r="N3351" s="309"/>
      <c r="O3351" s="309"/>
      <c r="P3351" s="309"/>
      <c r="Q3351" s="309"/>
      <c r="R3351" s="309"/>
      <c r="S3351" s="309"/>
      <c r="T3351" s="309"/>
      <c r="U3351" s="309"/>
      <c r="V3351" s="309"/>
      <c r="W3351" s="309"/>
      <c r="X3351" s="291"/>
    </row>
    <row r="3352" spans="1:24">
      <c r="A3352" s="289" t="s">
        <v>93</v>
      </c>
      <c r="B3352" s="309"/>
      <c r="C3352" s="309"/>
      <c r="D3352" s="309"/>
      <c r="E3352" s="309"/>
      <c r="F3352" s="309"/>
      <c r="G3352" s="309"/>
      <c r="H3352" s="309"/>
      <c r="I3352" s="309"/>
      <c r="J3352" s="309"/>
      <c r="K3352" s="309"/>
      <c r="L3352" s="309"/>
      <c r="M3352" s="309"/>
      <c r="N3352" s="309"/>
      <c r="O3352" s="309"/>
      <c r="P3352" s="309"/>
      <c r="Q3352" s="309"/>
      <c r="R3352" s="309"/>
      <c r="S3352" s="309"/>
      <c r="T3352" s="309"/>
      <c r="U3352" s="309"/>
      <c r="V3352" s="309"/>
      <c r="W3352" s="309"/>
      <c r="X3352" s="291"/>
    </row>
    <row r="3353" spans="1:24">
      <c r="A3353" s="289" t="s">
        <v>129</v>
      </c>
      <c r="B3353" s="309"/>
      <c r="C3353" s="309"/>
      <c r="D3353" s="309"/>
      <c r="E3353" s="309"/>
      <c r="F3353" s="309"/>
      <c r="G3353" s="309"/>
      <c r="H3353" s="309"/>
      <c r="I3353" s="309"/>
      <c r="J3353" s="309"/>
      <c r="K3353" s="309"/>
      <c r="L3353" s="309"/>
      <c r="M3353" s="309"/>
      <c r="N3353" s="309"/>
      <c r="O3353" s="309"/>
      <c r="P3353" s="309"/>
      <c r="Q3353" s="309"/>
      <c r="R3353" s="309"/>
      <c r="S3353" s="309"/>
      <c r="T3353" s="309"/>
      <c r="U3353" s="309"/>
      <c r="V3353" s="309"/>
      <c r="W3353" s="309"/>
      <c r="X3353" s="291"/>
    </row>
    <row r="3354" spans="1:24">
      <c r="A3354" s="289" t="s">
        <v>94</v>
      </c>
      <c r="B3354" s="309"/>
      <c r="C3354" s="309"/>
      <c r="D3354" s="309"/>
      <c r="E3354" s="309"/>
      <c r="F3354" s="309"/>
      <c r="G3354" s="309"/>
      <c r="H3354" s="309"/>
      <c r="I3354" s="309"/>
      <c r="J3354" s="309"/>
      <c r="K3354" s="309"/>
      <c r="L3354" s="309"/>
      <c r="M3354" s="309"/>
      <c r="N3354" s="309"/>
      <c r="O3354" s="309"/>
      <c r="P3354" s="309"/>
      <c r="Q3354" s="309"/>
      <c r="R3354" s="309"/>
      <c r="S3354" s="309"/>
      <c r="T3354" s="309"/>
      <c r="U3354" s="309"/>
      <c r="V3354" s="309"/>
      <c r="W3354" s="309"/>
      <c r="X3354" s="291"/>
    </row>
    <row r="3355" spans="1:24">
      <c r="A3355" s="289" t="s">
        <v>95</v>
      </c>
      <c r="B3355" s="309"/>
      <c r="C3355" s="309"/>
      <c r="D3355" s="309"/>
      <c r="E3355" s="309"/>
      <c r="F3355" s="309"/>
      <c r="G3355" s="309"/>
      <c r="H3355" s="309"/>
      <c r="I3355" s="309"/>
      <c r="J3355" s="309"/>
      <c r="K3355" s="309"/>
      <c r="L3355" s="309"/>
      <c r="M3355" s="309"/>
      <c r="N3355" s="309"/>
      <c r="O3355" s="309"/>
      <c r="P3355" s="309"/>
      <c r="Q3355" s="309"/>
      <c r="R3355" s="309"/>
      <c r="S3355" s="309"/>
      <c r="T3355" s="309"/>
      <c r="U3355" s="309"/>
      <c r="V3355" s="309"/>
      <c r="W3355" s="309"/>
      <c r="X3355" s="291"/>
    </row>
    <row r="3356" spans="1:24">
      <c r="A3356" s="289" t="s">
        <v>130</v>
      </c>
      <c r="B3356" s="309"/>
      <c r="C3356" s="309"/>
      <c r="D3356" s="309"/>
      <c r="E3356" s="309"/>
      <c r="F3356" s="309"/>
      <c r="G3356" s="309"/>
      <c r="H3356" s="309"/>
      <c r="I3356" s="309"/>
      <c r="J3356" s="309"/>
      <c r="K3356" s="309"/>
      <c r="L3356" s="309"/>
      <c r="M3356" s="309"/>
      <c r="N3356" s="309"/>
      <c r="O3356" s="309"/>
      <c r="P3356" s="309"/>
      <c r="Q3356" s="309"/>
      <c r="R3356" s="309"/>
      <c r="S3356" s="309"/>
      <c r="T3356" s="309"/>
      <c r="U3356" s="309"/>
      <c r="V3356" s="309"/>
      <c r="W3356" s="309"/>
      <c r="X3356" s="291"/>
    </row>
    <row r="3357" spans="1:24">
      <c r="A3357" s="289" t="s">
        <v>96</v>
      </c>
      <c r="B3357" s="309"/>
      <c r="C3357" s="309"/>
      <c r="D3357" s="309"/>
      <c r="E3357" s="309"/>
      <c r="F3357" s="309"/>
      <c r="G3357" s="309"/>
      <c r="H3357" s="309"/>
      <c r="I3357" s="309"/>
      <c r="J3357" s="309"/>
      <c r="K3357" s="309"/>
      <c r="L3357" s="309"/>
      <c r="M3357" s="309"/>
      <c r="N3357" s="309"/>
      <c r="O3357" s="309"/>
      <c r="P3357" s="309"/>
      <c r="Q3357" s="309"/>
      <c r="R3357" s="309"/>
      <c r="S3357" s="309"/>
      <c r="T3357" s="309"/>
      <c r="U3357" s="309"/>
      <c r="V3357" s="309"/>
      <c r="W3357" s="309"/>
      <c r="X3357" s="291"/>
    </row>
    <row r="3358" spans="1:24">
      <c r="A3358" s="289" t="s">
        <v>97</v>
      </c>
      <c r="B3358" s="309"/>
      <c r="C3358" s="309"/>
      <c r="D3358" s="309"/>
      <c r="E3358" s="309"/>
      <c r="F3358" s="309"/>
      <c r="G3358" s="309"/>
      <c r="H3358" s="309"/>
      <c r="I3358" s="309"/>
      <c r="J3358" s="309"/>
      <c r="K3358" s="309"/>
      <c r="L3358" s="309"/>
      <c r="M3358" s="309"/>
      <c r="N3358" s="309"/>
      <c r="O3358" s="309"/>
      <c r="P3358" s="309"/>
      <c r="Q3358" s="309"/>
      <c r="R3358" s="309"/>
      <c r="S3358" s="309"/>
      <c r="T3358" s="309"/>
      <c r="U3358" s="309"/>
      <c r="V3358" s="309"/>
      <c r="W3358" s="309"/>
      <c r="X3358" s="291"/>
    </row>
    <row r="3359" spans="1:24">
      <c r="A3359" s="289" t="s">
        <v>110</v>
      </c>
      <c r="B3359" s="309"/>
      <c r="C3359" s="309"/>
      <c r="D3359" s="309"/>
      <c r="E3359" s="309"/>
      <c r="F3359" s="309"/>
      <c r="G3359" s="309"/>
      <c r="H3359" s="309"/>
      <c r="I3359" s="309"/>
      <c r="J3359" s="309"/>
      <c r="K3359" s="309"/>
      <c r="L3359" s="309"/>
      <c r="M3359" s="309"/>
      <c r="N3359" s="309"/>
      <c r="O3359" s="309"/>
      <c r="P3359" s="309"/>
      <c r="Q3359" s="309"/>
      <c r="R3359" s="309"/>
      <c r="S3359" s="309"/>
      <c r="T3359" s="309"/>
      <c r="U3359" s="309"/>
      <c r="V3359" s="309"/>
      <c r="W3359" s="309"/>
      <c r="X3359" s="291"/>
    </row>
    <row r="3360" spans="1:24">
      <c r="A3360" s="289" t="s">
        <v>1536</v>
      </c>
      <c r="B3360" s="309"/>
      <c r="C3360" s="309"/>
      <c r="D3360" s="309"/>
      <c r="E3360" s="309"/>
      <c r="F3360" s="309"/>
      <c r="G3360" s="309"/>
      <c r="H3360" s="309"/>
      <c r="I3360" s="309"/>
      <c r="J3360" s="309"/>
      <c r="K3360" s="309"/>
      <c r="L3360" s="309"/>
      <c r="M3360" s="309"/>
      <c r="N3360" s="309"/>
      <c r="O3360" s="309"/>
      <c r="P3360" s="309"/>
      <c r="Q3360" s="309"/>
      <c r="R3360" s="309"/>
      <c r="S3360" s="309"/>
      <c r="T3360" s="309"/>
      <c r="U3360" s="309"/>
      <c r="V3360" s="309"/>
      <c r="W3360" s="309"/>
      <c r="X3360" s="291"/>
    </row>
    <row r="3361" spans="1:24">
      <c r="A3361" s="289" t="s">
        <v>1535</v>
      </c>
      <c r="B3361" s="309"/>
      <c r="C3361" s="309"/>
      <c r="D3361" s="309"/>
      <c r="E3361" s="309"/>
      <c r="F3361" s="309"/>
      <c r="G3361" s="309"/>
      <c r="H3361" s="309"/>
      <c r="I3361" s="309"/>
      <c r="J3361" s="309"/>
      <c r="K3361" s="309"/>
      <c r="L3361" s="309"/>
      <c r="M3361" s="309"/>
      <c r="N3361" s="309"/>
      <c r="O3361" s="309"/>
      <c r="P3361" s="309"/>
      <c r="Q3361" s="309"/>
      <c r="R3361" s="309"/>
      <c r="S3361" s="309"/>
      <c r="T3361" s="309"/>
      <c r="U3361" s="309"/>
      <c r="V3361" s="309"/>
      <c r="W3361" s="309"/>
      <c r="X3361" s="291"/>
    </row>
    <row r="3362" spans="1:24">
      <c r="A3362" s="289" t="s">
        <v>98</v>
      </c>
      <c r="B3362" s="307">
        <f>$B$2912</f>
        <v>0</v>
      </c>
      <c r="C3362" s="307">
        <f>$C$2912</f>
        <v>0</v>
      </c>
      <c r="D3362" s="307">
        <f>$D$2912</f>
        <v>0</v>
      </c>
      <c r="E3362" s="307">
        <f>$E$2912</f>
        <v>0</v>
      </c>
      <c r="F3362" s="307">
        <f>$F$2912</f>
        <v>0</v>
      </c>
      <c r="G3362" s="307">
        <f>$G$2912</f>
        <v>0</v>
      </c>
      <c r="H3362" s="307">
        <f>$H$2912</f>
        <v>0.44449427770343153</v>
      </c>
      <c r="I3362" s="307">
        <f>$I$2912</f>
        <v>0.58673370454610729</v>
      </c>
      <c r="J3362" s="307">
        <f>$J$2912</f>
        <v>0.3459869400822928</v>
      </c>
      <c r="K3362" s="309"/>
      <c r="L3362" s="309"/>
      <c r="M3362" s="307">
        <f>$K$2912</f>
        <v>0</v>
      </c>
      <c r="N3362" s="307">
        <f>$L$2912</f>
        <v>0</v>
      </c>
      <c r="O3362" s="307">
        <f>$M$2912</f>
        <v>0</v>
      </c>
      <c r="P3362" s="307">
        <f>$N$2912</f>
        <v>0</v>
      </c>
      <c r="Q3362" s="307">
        <f>$O$2912</f>
        <v>0</v>
      </c>
      <c r="R3362" s="307">
        <f>$P$2912</f>
        <v>0</v>
      </c>
      <c r="S3362" s="307">
        <f>$Q$2912</f>
        <v>0.35095712087016057</v>
      </c>
      <c r="T3362" s="307">
        <f>$R$2912</f>
        <v>0.79177511291778979</v>
      </c>
      <c r="U3362" s="307">
        <f>$S$2912</f>
        <v>1.6051248793795525</v>
      </c>
      <c r="V3362" s="309"/>
      <c r="W3362" s="309"/>
      <c r="X3362" s="291"/>
    </row>
    <row r="3363" spans="1:24">
      <c r="A3363" s="289" t="s">
        <v>99</v>
      </c>
      <c r="B3363" s="307">
        <f>$B$2913</f>
        <v>0</v>
      </c>
      <c r="C3363" s="307">
        <f>$C$2913</f>
        <v>0</v>
      </c>
      <c r="D3363" s="307">
        <f>$D$2913</f>
        <v>0</v>
      </c>
      <c r="E3363" s="307">
        <f>$E$2913</f>
        <v>0</v>
      </c>
      <c r="F3363" s="307">
        <f>$F$2913</f>
        <v>0</v>
      </c>
      <c r="G3363" s="307">
        <f>$G$2913</f>
        <v>0</v>
      </c>
      <c r="H3363" s="307">
        <f>$H$2913</f>
        <v>2.1877133263232369</v>
      </c>
      <c r="I3363" s="307">
        <f>$I$2913</f>
        <v>0.57755755645292994</v>
      </c>
      <c r="J3363" s="307">
        <f>$J$2913</f>
        <v>0</v>
      </c>
      <c r="K3363" s="309"/>
      <c r="L3363" s="309"/>
      <c r="M3363" s="307">
        <f>$K$2913</f>
        <v>0</v>
      </c>
      <c r="N3363" s="307">
        <f>$L$2913</f>
        <v>0</v>
      </c>
      <c r="O3363" s="307">
        <f>$M$2913</f>
        <v>0</v>
      </c>
      <c r="P3363" s="307">
        <f>$N$2913</f>
        <v>0</v>
      </c>
      <c r="Q3363" s="307">
        <f>$O$2913</f>
        <v>0</v>
      </c>
      <c r="R3363" s="307">
        <f>$P$2913</f>
        <v>0</v>
      </c>
      <c r="S3363" s="307">
        <f>$Q$2913</f>
        <v>1.7273418552487203</v>
      </c>
      <c r="T3363" s="307">
        <f>$R$2913</f>
        <v>0.7793922454664538</v>
      </c>
      <c r="U3363" s="307">
        <f>$S$2913</f>
        <v>0</v>
      </c>
      <c r="V3363" s="309"/>
      <c r="W3363" s="309"/>
      <c r="X3363" s="291"/>
    </row>
    <row r="3364" spans="1:24">
      <c r="A3364" s="289" t="s">
        <v>111</v>
      </c>
      <c r="B3364" s="307">
        <f>$B$2914</f>
        <v>0</v>
      </c>
      <c r="C3364" s="307">
        <f>$C$2914</f>
        <v>0.21642419332644136</v>
      </c>
      <c r="D3364" s="307">
        <f>$D$2914</f>
        <v>0</v>
      </c>
      <c r="E3364" s="307">
        <f>$E$2914</f>
        <v>7.1799114239151654E-2</v>
      </c>
      <c r="F3364" s="307">
        <f>$F$2914</f>
        <v>0.50361516947224383</v>
      </c>
      <c r="G3364" s="307">
        <f>$G$2914</f>
        <v>0.55117864676645878</v>
      </c>
      <c r="H3364" s="307">
        <f>$H$2914</f>
        <v>1.6987576536778661</v>
      </c>
      <c r="I3364" s="307">
        <f>$I$2914</f>
        <v>0</v>
      </c>
      <c r="J3364" s="307">
        <f>$J$2914</f>
        <v>0</v>
      </c>
      <c r="K3364" s="309"/>
      <c r="L3364" s="309"/>
      <c r="M3364" s="307">
        <f>$K$2914</f>
        <v>0</v>
      </c>
      <c r="N3364" s="307">
        <f>$L$2914</f>
        <v>0.10477571638905227</v>
      </c>
      <c r="O3364" s="307">
        <f>$M$2914</f>
        <v>0</v>
      </c>
      <c r="P3364" s="307">
        <f>$N$2914</f>
        <v>3.475953180132485E-2</v>
      </c>
      <c r="Q3364" s="307">
        <f>$O$2914</f>
        <v>0.32842763815457776</v>
      </c>
      <c r="R3364" s="307">
        <f>$P$2914</f>
        <v>0.35944568815995759</v>
      </c>
      <c r="S3364" s="307">
        <f>$Q$2914</f>
        <v>1.6966694297816871</v>
      </c>
      <c r="T3364" s="307">
        <f>$R$2914</f>
        <v>0</v>
      </c>
      <c r="U3364" s="307">
        <f>$S$2914</f>
        <v>0</v>
      </c>
      <c r="V3364" s="309"/>
      <c r="W3364" s="309"/>
      <c r="X3364" s="291"/>
    </row>
    <row r="3365" spans="1:24">
      <c r="A3365" s="289" t="s">
        <v>131</v>
      </c>
      <c r="B3365" s="309"/>
      <c r="C3365" s="309"/>
      <c r="D3365" s="309"/>
      <c r="E3365" s="309"/>
      <c r="F3365" s="309"/>
      <c r="G3365" s="309"/>
      <c r="H3365" s="309"/>
      <c r="I3365" s="309"/>
      <c r="J3365" s="309"/>
      <c r="K3365" s="309"/>
      <c r="L3365" s="309"/>
      <c r="M3365" s="309"/>
      <c r="N3365" s="309"/>
      <c r="O3365" s="309"/>
      <c r="P3365" s="309"/>
      <c r="Q3365" s="309"/>
      <c r="R3365" s="309"/>
      <c r="S3365" s="309"/>
      <c r="T3365" s="309"/>
      <c r="U3365" s="309"/>
      <c r="V3365" s="309"/>
      <c r="W3365" s="309"/>
      <c r="X3365" s="291"/>
    </row>
    <row r="3366" spans="1:24">
      <c r="A3366" s="289" t="s">
        <v>132</v>
      </c>
      <c r="B3366" s="309"/>
      <c r="C3366" s="309"/>
      <c r="D3366" s="309"/>
      <c r="E3366" s="309"/>
      <c r="F3366" s="309"/>
      <c r="G3366" s="309"/>
      <c r="H3366" s="309"/>
      <c r="I3366" s="309"/>
      <c r="J3366" s="309"/>
      <c r="K3366" s="309"/>
      <c r="L3366" s="309"/>
      <c r="M3366" s="309"/>
      <c r="N3366" s="309"/>
      <c r="O3366" s="309"/>
      <c r="P3366" s="309"/>
      <c r="Q3366" s="309"/>
      <c r="R3366" s="309"/>
      <c r="S3366" s="309"/>
      <c r="T3366" s="309"/>
      <c r="U3366" s="309"/>
      <c r="V3366" s="309"/>
      <c r="W3366" s="309"/>
      <c r="X3366" s="291"/>
    </row>
    <row r="3367" spans="1:24">
      <c r="A3367" s="289" t="s">
        <v>133</v>
      </c>
      <c r="B3367" s="309"/>
      <c r="C3367" s="309"/>
      <c r="D3367" s="309"/>
      <c r="E3367" s="309"/>
      <c r="F3367" s="309"/>
      <c r="G3367" s="309"/>
      <c r="H3367" s="309"/>
      <c r="I3367" s="309"/>
      <c r="J3367" s="309"/>
      <c r="K3367" s="309"/>
      <c r="L3367" s="309"/>
      <c r="M3367" s="309"/>
      <c r="N3367" s="309"/>
      <c r="O3367" s="309"/>
      <c r="P3367" s="309"/>
      <c r="Q3367" s="309"/>
      <c r="R3367" s="309"/>
      <c r="S3367" s="309"/>
      <c r="T3367" s="309"/>
      <c r="U3367" s="309"/>
      <c r="V3367" s="309"/>
      <c r="W3367" s="309"/>
      <c r="X3367" s="291"/>
    </row>
    <row r="3368" spans="1:24">
      <c r="A3368" s="289" t="s">
        <v>134</v>
      </c>
      <c r="B3368" s="309"/>
      <c r="C3368" s="309"/>
      <c r="D3368" s="309"/>
      <c r="E3368" s="309"/>
      <c r="F3368" s="309"/>
      <c r="G3368" s="309"/>
      <c r="H3368" s="309"/>
      <c r="I3368" s="309"/>
      <c r="J3368" s="309"/>
      <c r="K3368" s="309"/>
      <c r="L3368" s="309"/>
      <c r="M3368" s="309"/>
      <c r="N3368" s="309"/>
      <c r="O3368" s="309"/>
      <c r="P3368" s="309"/>
      <c r="Q3368" s="309"/>
      <c r="R3368" s="309"/>
      <c r="S3368" s="309"/>
      <c r="T3368" s="309"/>
      <c r="U3368" s="309"/>
      <c r="V3368" s="309"/>
      <c r="W3368" s="309"/>
      <c r="X3368" s="291"/>
    </row>
    <row r="3369" spans="1:24">
      <c r="A3369" s="289" t="s">
        <v>135</v>
      </c>
      <c r="B3369" s="309"/>
      <c r="C3369" s="309"/>
      <c r="D3369" s="309"/>
      <c r="E3369" s="309"/>
      <c r="F3369" s="309"/>
      <c r="G3369" s="309"/>
      <c r="H3369" s="309"/>
      <c r="I3369" s="309"/>
      <c r="J3369" s="309"/>
      <c r="K3369" s="309"/>
      <c r="L3369" s="309"/>
      <c r="M3369" s="309"/>
      <c r="N3369" s="309"/>
      <c r="O3369" s="309"/>
      <c r="P3369" s="309"/>
      <c r="Q3369" s="309"/>
      <c r="R3369" s="309"/>
      <c r="S3369" s="309"/>
      <c r="T3369" s="309"/>
      <c r="U3369" s="309"/>
      <c r="V3369" s="309"/>
      <c r="W3369" s="309"/>
      <c r="X3369" s="291"/>
    </row>
    <row r="3370" spans="1:24">
      <c r="A3370" s="289" t="s">
        <v>1534</v>
      </c>
      <c r="B3370" s="309"/>
      <c r="C3370" s="309"/>
      <c r="D3370" s="309"/>
      <c r="E3370" s="309"/>
      <c r="F3370" s="309"/>
      <c r="G3370" s="309"/>
      <c r="H3370" s="309"/>
      <c r="I3370" s="309"/>
      <c r="J3370" s="309"/>
      <c r="K3370" s="309"/>
      <c r="L3370" s="309"/>
      <c r="M3370" s="309"/>
      <c r="N3370" s="309"/>
      <c r="O3370" s="309"/>
      <c r="P3370" s="309"/>
      <c r="Q3370" s="309"/>
      <c r="R3370" s="309"/>
      <c r="S3370" s="309"/>
      <c r="T3370" s="309"/>
      <c r="U3370" s="309"/>
      <c r="V3370" s="309"/>
      <c r="W3370" s="309"/>
      <c r="X3370" s="291"/>
    </row>
    <row r="3371" spans="1:24">
      <c r="A3371" s="289" t="s">
        <v>100</v>
      </c>
      <c r="B3371" s="309"/>
      <c r="C3371" s="309"/>
      <c r="D3371" s="309"/>
      <c r="E3371" s="309"/>
      <c r="F3371" s="309"/>
      <c r="G3371" s="309"/>
      <c r="H3371" s="309"/>
      <c r="I3371" s="309"/>
      <c r="J3371" s="309"/>
      <c r="K3371" s="309"/>
      <c r="L3371" s="309"/>
      <c r="M3371" s="309"/>
      <c r="N3371" s="309"/>
      <c r="O3371" s="309"/>
      <c r="P3371" s="309"/>
      <c r="Q3371" s="309"/>
      <c r="R3371" s="309"/>
      <c r="S3371" s="309"/>
      <c r="T3371" s="309"/>
      <c r="U3371" s="309"/>
      <c r="V3371" s="309"/>
      <c r="W3371" s="309"/>
      <c r="X3371" s="291"/>
    </row>
    <row r="3372" spans="1:24">
      <c r="A3372" s="289" t="s">
        <v>101</v>
      </c>
      <c r="B3372" s="309"/>
      <c r="C3372" s="309"/>
      <c r="D3372" s="309"/>
      <c r="E3372" s="309"/>
      <c r="F3372" s="309"/>
      <c r="G3372" s="309"/>
      <c r="H3372" s="309"/>
      <c r="I3372" s="309"/>
      <c r="J3372" s="309"/>
      <c r="K3372" s="309"/>
      <c r="L3372" s="309"/>
      <c r="M3372" s="309"/>
      <c r="N3372" s="309"/>
      <c r="O3372" s="309"/>
      <c r="P3372" s="309"/>
      <c r="Q3372" s="309"/>
      <c r="R3372" s="309"/>
      <c r="S3372" s="309"/>
      <c r="T3372" s="309"/>
      <c r="U3372" s="309"/>
      <c r="V3372" s="309"/>
      <c r="W3372" s="309"/>
      <c r="X3372" s="291"/>
    </row>
    <row r="3373" spans="1:24">
      <c r="A3373" s="289" t="s">
        <v>102</v>
      </c>
      <c r="B3373" s="309"/>
      <c r="C3373" s="309"/>
      <c r="D3373" s="309"/>
      <c r="E3373" s="309"/>
      <c r="F3373" s="309"/>
      <c r="G3373" s="309"/>
      <c r="H3373" s="309"/>
      <c r="I3373" s="309"/>
      <c r="J3373" s="309"/>
      <c r="K3373" s="309"/>
      <c r="L3373" s="309"/>
      <c r="M3373" s="309"/>
      <c r="N3373" s="309"/>
      <c r="O3373" s="309"/>
      <c r="P3373" s="309"/>
      <c r="Q3373" s="309"/>
      <c r="R3373" s="309"/>
      <c r="S3373" s="309"/>
      <c r="T3373" s="309"/>
      <c r="U3373" s="309"/>
      <c r="V3373" s="309"/>
      <c r="W3373" s="309"/>
      <c r="X3373" s="291"/>
    </row>
    <row r="3374" spans="1:24">
      <c r="A3374" s="289" t="s">
        <v>103</v>
      </c>
      <c r="B3374" s="309"/>
      <c r="C3374" s="309"/>
      <c r="D3374" s="309"/>
      <c r="E3374" s="309"/>
      <c r="F3374" s="309"/>
      <c r="G3374" s="309"/>
      <c r="H3374" s="309"/>
      <c r="I3374" s="309"/>
      <c r="J3374" s="309"/>
      <c r="K3374" s="309"/>
      <c r="L3374" s="309"/>
      <c r="M3374" s="309"/>
      <c r="N3374" s="309"/>
      <c r="O3374" s="309"/>
      <c r="P3374" s="309"/>
      <c r="Q3374" s="309"/>
      <c r="R3374" s="309"/>
      <c r="S3374" s="309"/>
      <c r="T3374" s="309"/>
      <c r="U3374" s="309"/>
      <c r="V3374" s="309"/>
      <c r="W3374" s="309"/>
      <c r="X3374" s="291"/>
    </row>
    <row r="3375" spans="1:24">
      <c r="A3375" s="289" t="s">
        <v>104</v>
      </c>
      <c r="B3375" s="309"/>
      <c r="C3375" s="309"/>
      <c r="D3375" s="309"/>
      <c r="E3375" s="309"/>
      <c r="F3375" s="309"/>
      <c r="G3375" s="309"/>
      <c r="H3375" s="309"/>
      <c r="I3375" s="309"/>
      <c r="J3375" s="309"/>
      <c r="K3375" s="309"/>
      <c r="L3375" s="309"/>
      <c r="M3375" s="309"/>
      <c r="N3375" s="309"/>
      <c r="O3375" s="309"/>
      <c r="P3375" s="309"/>
      <c r="Q3375" s="309"/>
      <c r="R3375" s="309"/>
      <c r="S3375" s="309"/>
      <c r="T3375" s="309"/>
      <c r="U3375" s="309"/>
      <c r="V3375" s="309"/>
      <c r="W3375" s="309"/>
      <c r="X3375" s="291"/>
    </row>
    <row r="3376" spans="1:24">
      <c r="A3376" s="289" t="s">
        <v>112</v>
      </c>
      <c r="B3376" s="309"/>
      <c r="C3376" s="309"/>
      <c r="D3376" s="309"/>
      <c r="E3376" s="309"/>
      <c r="F3376" s="309"/>
      <c r="G3376" s="309"/>
      <c r="H3376" s="309"/>
      <c r="I3376" s="309"/>
      <c r="J3376" s="309"/>
      <c r="K3376" s="309"/>
      <c r="L3376" s="309"/>
      <c r="M3376" s="309"/>
      <c r="N3376" s="309"/>
      <c r="O3376" s="309"/>
      <c r="P3376" s="309"/>
      <c r="Q3376" s="309"/>
      <c r="R3376" s="309"/>
      <c r="S3376" s="309"/>
      <c r="T3376" s="309"/>
      <c r="U3376" s="309"/>
      <c r="V3376" s="309"/>
      <c r="W3376" s="309"/>
      <c r="X3376" s="291"/>
    </row>
    <row r="3377" spans="1:24">
      <c r="A3377" s="289" t="s">
        <v>113</v>
      </c>
      <c r="B3377" s="309"/>
      <c r="C3377" s="309"/>
      <c r="D3377" s="309"/>
      <c r="E3377" s="309"/>
      <c r="F3377" s="309"/>
      <c r="G3377" s="309"/>
      <c r="H3377" s="309"/>
      <c r="I3377" s="309"/>
      <c r="J3377" s="309"/>
      <c r="K3377" s="309"/>
      <c r="L3377" s="309"/>
      <c r="M3377" s="309"/>
      <c r="N3377" s="309"/>
      <c r="O3377" s="309"/>
      <c r="P3377" s="309"/>
      <c r="Q3377" s="309"/>
      <c r="R3377" s="309"/>
      <c r="S3377" s="309"/>
      <c r="T3377" s="309"/>
      <c r="U3377" s="309"/>
      <c r="V3377" s="309"/>
      <c r="W3377" s="309"/>
      <c r="X3377" s="291"/>
    </row>
    <row r="3379" spans="1:24" ht="21" customHeight="1">
      <c r="A3379" s="1" t="s">
        <v>762</v>
      </c>
    </row>
    <row r="3380" spans="1:24">
      <c r="A3380" s="287" t="s">
        <v>255</v>
      </c>
    </row>
    <row r="3381" spans="1:24">
      <c r="A3381" s="301" t="s">
        <v>763</v>
      </c>
    </row>
    <row r="3382" spans="1:24">
      <c r="A3382" s="301" t="s">
        <v>1743</v>
      </c>
    </row>
    <row r="3383" spans="1:24">
      <c r="A3383" s="287" t="s">
        <v>273</v>
      </c>
    </row>
    <row r="3385" spans="1:24" ht="30">
      <c r="B3385" s="288" t="s">
        <v>60</v>
      </c>
      <c r="C3385" s="288" t="s">
        <v>220</v>
      </c>
      <c r="D3385" s="288" t="s">
        <v>221</v>
      </c>
      <c r="E3385" s="288" t="s">
        <v>222</v>
      </c>
      <c r="F3385" s="288" t="s">
        <v>223</v>
      </c>
      <c r="G3385" s="288" t="s">
        <v>224</v>
      </c>
      <c r="H3385" s="288" t="s">
        <v>225</v>
      </c>
      <c r="I3385" s="288" t="s">
        <v>226</v>
      </c>
      <c r="J3385" s="288" t="s">
        <v>227</v>
      </c>
      <c r="K3385" s="288" t="s">
        <v>364</v>
      </c>
      <c r="L3385" s="288" t="s">
        <v>371</v>
      </c>
      <c r="M3385" s="288" t="s">
        <v>208</v>
      </c>
      <c r="N3385" s="288" t="s">
        <v>618</v>
      </c>
      <c r="O3385" s="288" t="s">
        <v>619</v>
      </c>
      <c r="P3385" s="288" t="s">
        <v>620</v>
      </c>
      <c r="Q3385" s="288" t="s">
        <v>621</v>
      </c>
      <c r="R3385" s="288" t="s">
        <v>622</v>
      </c>
      <c r="S3385" s="288" t="s">
        <v>623</v>
      </c>
      <c r="T3385" s="288" t="s">
        <v>624</v>
      </c>
      <c r="U3385" s="288" t="s">
        <v>625</v>
      </c>
      <c r="V3385" s="288" t="s">
        <v>626</v>
      </c>
      <c r="W3385" s="288" t="s">
        <v>627</v>
      </c>
    </row>
    <row r="3386" spans="1:24">
      <c r="A3386" s="289" t="s">
        <v>92</v>
      </c>
      <c r="B3386" s="309"/>
      <c r="C3386" s="309"/>
      <c r="D3386" s="309"/>
      <c r="E3386" s="309"/>
      <c r="F3386" s="309"/>
      <c r="G3386" s="309"/>
      <c r="H3386" s="309"/>
      <c r="I3386" s="309"/>
      <c r="J3386" s="309"/>
      <c r="K3386" s="309"/>
      <c r="L3386" s="309"/>
      <c r="M3386" s="309"/>
      <c r="N3386" s="309"/>
      <c r="O3386" s="309"/>
      <c r="P3386" s="309"/>
      <c r="Q3386" s="309"/>
      <c r="R3386" s="309"/>
      <c r="S3386" s="309"/>
      <c r="T3386" s="309"/>
      <c r="U3386" s="309"/>
      <c r="V3386" s="309"/>
      <c r="W3386" s="309"/>
      <c r="X3386" s="291"/>
    </row>
    <row r="3387" spans="1:24">
      <c r="A3387" s="289" t="s">
        <v>93</v>
      </c>
      <c r="B3387" s="309"/>
      <c r="C3387" s="309"/>
      <c r="D3387" s="309"/>
      <c r="E3387" s="309"/>
      <c r="F3387" s="309"/>
      <c r="G3387" s="309"/>
      <c r="H3387" s="309"/>
      <c r="I3387" s="309"/>
      <c r="J3387" s="309"/>
      <c r="K3387" s="309"/>
      <c r="L3387" s="309"/>
      <c r="M3387" s="309"/>
      <c r="N3387" s="309"/>
      <c r="O3387" s="309"/>
      <c r="P3387" s="309"/>
      <c r="Q3387" s="309"/>
      <c r="R3387" s="309"/>
      <c r="S3387" s="309"/>
      <c r="T3387" s="309"/>
      <c r="U3387" s="309"/>
      <c r="V3387" s="309"/>
      <c r="W3387" s="309"/>
      <c r="X3387" s="291"/>
    </row>
    <row r="3388" spans="1:24">
      <c r="A3388" s="289" t="s">
        <v>129</v>
      </c>
      <c r="B3388" s="309"/>
      <c r="C3388" s="309"/>
      <c r="D3388" s="309"/>
      <c r="E3388" s="309"/>
      <c r="F3388" s="309"/>
      <c r="G3388" s="309"/>
      <c r="H3388" s="309"/>
      <c r="I3388" s="309"/>
      <c r="J3388" s="309"/>
      <c r="K3388" s="309"/>
      <c r="L3388" s="309"/>
      <c r="M3388" s="309"/>
      <c r="N3388" s="309"/>
      <c r="O3388" s="309"/>
      <c r="P3388" s="309"/>
      <c r="Q3388" s="309"/>
      <c r="R3388" s="309"/>
      <c r="S3388" s="309"/>
      <c r="T3388" s="309"/>
      <c r="U3388" s="309"/>
      <c r="V3388" s="309"/>
      <c r="W3388" s="309"/>
      <c r="X3388" s="291"/>
    </row>
    <row r="3389" spans="1:24">
      <c r="A3389" s="289" t="s">
        <v>94</v>
      </c>
      <c r="B3389" s="309"/>
      <c r="C3389" s="309"/>
      <c r="D3389" s="309"/>
      <c r="E3389" s="309"/>
      <c r="F3389" s="309"/>
      <c r="G3389" s="309"/>
      <c r="H3389" s="309"/>
      <c r="I3389" s="309"/>
      <c r="J3389" s="309"/>
      <c r="K3389" s="309"/>
      <c r="L3389" s="309"/>
      <c r="M3389" s="309"/>
      <c r="N3389" s="309"/>
      <c r="O3389" s="309"/>
      <c r="P3389" s="309"/>
      <c r="Q3389" s="309"/>
      <c r="R3389" s="309"/>
      <c r="S3389" s="309"/>
      <c r="T3389" s="309"/>
      <c r="U3389" s="309"/>
      <c r="V3389" s="309"/>
      <c r="W3389" s="309"/>
      <c r="X3389" s="291"/>
    </row>
    <row r="3390" spans="1:24">
      <c r="A3390" s="289" t="s">
        <v>95</v>
      </c>
      <c r="B3390" s="309"/>
      <c r="C3390" s="309"/>
      <c r="D3390" s="309"/>
      <c r="E3390" s="309"/>
      <c r="F3390" s="309"/>
      <c r="G3390" s="309"/>
      <c r="H3390" s="309"/>
      <c r="I3390" s="309"/>
      <c r="J3390" s="309"/>
      <c r="K3390" s="309"/>
      <c r="L3390" s="309"/>
      <c r="M3390" s="309"/>
      <c r="N3390" s="309"/>
      <c r="O3390" s="309"/>
      <c r="P3390" s="309"/>
      <c r="Q3390" s="309"/>
      <c r="R3390" s="309"/>
      <c r="S3390" s="309"/>
      <c r="T3390" s="309"/>
      <c r="U3390" s="309"/>
      <c r="V3390" s="309"/>
      <c r="W3390" s="309"/>
      <c r="X3390" s="291"/>
    </row>
    <row r="3391" spans="1:24">
      <c r="A3391" s="289" t="s">
        <v>130</v>
      </c>
      <c r="B3391" s="309"/>
      <c r="C3391" s="309"/>
      <c r="D3391" s="309"/>
      <c r="E3391" s="309"/>
      <c r="F3391" s="309"/>
      <c r="G3391" s="309"/>
      <c r="H3391" s="309"/>
      <c r="I3391" s="309"/>
      <c r="J3391" s="309"/>
      <c r="K3391" s="309"/>
      <c r="L3391" s="309"/>
      <c r="M3391" s="309"/>
      <c r="N3391" s="309"/>
      <c r="O3391" s="309"/>
      <c r="P3391" s="309"/>
      <c r="Q3391" s="309"/>
      <c r="R3391" s="309"/>
      <c r="S3391" s="309"/>
      <c r="T3391" s="309"/>
      <c r="U3391" s="309"/>
      <c r="V3391" s="309"/>
      <c r="W3391" s="309"/>
      <c r="X3391" s="291"/>
    </row>
    <row r="3392" spans="1:24">
      <c r="A3392" s="289" t="s">
        <v>96</v>
      </c>
      <c r="B3392" s="309"/>
      <c r="C3392" s="309"/>
      <c r="D3392" s="309"/>
      <c r="E3392" s="309"/>
      <c r="F3392" s="309"/>
      <c r="G3392" s="309"/>
      <c r="H3392" s="309"/>
      <c r="I3392" s="309"/>
      <c r="J3392" s="309"/>
      <c r="K3392" s="309"/>
      <c r="L3392" s="309"/>
      <c r="M3392" s="309"/>
      <c r="N3392" s="309"/>
      <c r="O3392" s="309"/>
      <c r="P3392" s="309"/>
      <c r="Q3392" s="309"/>
      <c r="R3392" s="309"/>
      <c r="S3392" s="309"/>
      <c r="T3392" s="309"/>
      <c r="U3392" s="309"/>
      <c r="V3392" s="309"/>
      <c r="W3392" s="309"/>
      <c r="X3392" s="291"/>
    </row>
    <row r="3393" spans="1:24">
      <c r="A3393" s="289" t="s">
        <v>97</v>
      </c>
      <c r="B3393" s="309"/>
      <c r="C3393" s="309"/>
      <c r="D3393" s="309"/>
      <c r="E3393" s="309"/>
      <c r="F3393" s="309"/>
      <c r="G3393" s="309"/>
      <c r="H3393" s="309"/>
      <c r="I3393" s="309"/>
      <c r="J3393" s="309"/>
      <c r="K3393" s="309"/>
      <c r="L3393" s="309"/>
      <c r="M3393" s="309"/>
      <c r="N3393" s="309"/>
      <c r="O3393" s="309"/>
      <c r="P3393" s="309"/>
      <c r="Q3393" s="309"/>
      <c r="R3393" s="309"/>
      <c r="S3393" s="309"/>
      <c r="T3393" s="309"/>
      <c r="U3393" s="309"/>
      <c r="V3393" s="309"/>
      <c r="W3393" s="309"/>
      <c r="X3393" s="291"/>
    </row>
    <row r="3394" spans="1:24">
      <c r="A3394" s="289" t="s">
        <v>110</v>
      </c>
      <c r="B3394" s="309"/>
      <c r="C3394" s="309"/>
      <c r="D3394" s="309"/>
      <c r="E3394" s="309"/>
      <c r="F3394" s="309"/>
      <c r="G3394" s="309"/>
      <c r="H3394" s="309"/>
      <c r="I3394" s="309"/>
      <c r="J3394" s="309"/>
      <c r="K3394" s="309"/>
      <c r="L3394" s="309"/>
      <c r="M3394" s="309"/>
      <c r="N3394" s="309"/>
      <c r="O3394" s="309"/>
      <c r="P3394" s="309"/>
      <c r="Q3394" s="309"/>
      <c r="R3394" s="309"/>
      <c r="S3394" s="309"/>
      <c r="T3394" s="309"/>
      <c r="U3394" s="309"/>
      <c r="V3394" s="309"/>
      <c r="W3394" s="309"/>
      <c r="X3394" s="291"/>
    </row>
    <row r="3395" spans="1:24">
      <c r="A3395" s="289" t="s">
        <v>1536</v>
      </c>
      <c r="B3395" s="309"/>
      <c r="C3395" s="309"/>
      <c r="D3395" s="309"/>
      <c r="E3395" s="309"/>
      <c r="F3395" s="309"/>
      <c r="G3395" s="309"/>
      <c r="H3395" s="309"/>
      <c r="I3395" s="309"/>
      <c r="J3395" s="309"/>
      <c r="K3395" s="309"/>
      <c r="L3395" s="309"/>
      <c r="M3395" s="309"/>
      <c r="N3395" s="309"/>
      <c r="O3395" s="309"/>
      <c r="P3395" s="309"/>
      <c r="Q3395" s="309"/>
      <c r="R3395" s="309"/>
      <c r="S3395" s="309"/>
      <c r="T3395" s="309"/>
      <c r="U3395" s="309"/>
      <c r="V3395" s="309"/>
      <c r="W3395" s="309"/>
      <c r="X3395" s="291"/>
    </row>
    <row r="3396" spans="1:24">
      <c r="A3396" s="289" t="s">
        <v>1535</v>
      </c>
      <c r="B3396" s="309"/>
      <c r="C3396" s="309"/>
      <c r="D3396" s="309"/>
      <c r="E3396" s="309"/>
      <c r="F3396" s="309"/>
      <c r="G3396" s="309"/>
      <c r="H3396" s="309"/>
      <c r="I3396" s="309"/>
      <c r="J3396" s="309"/>
      <c r="K3396" s="309"/>
      <c r="L3396" s="309"/>
      <c r="M3396" s="309"/>
      <c r="N3396" s="309"/>
      <c r="O3396" s="309"/>
      <c r="P3396" s="309"/>
      <c r="Q3396" s="309"/>
      <c r="R3396" s="309"/>
      <c r="S3396" s="309"/>
      <c r="T3396" s="309"/>
      <c r="U3396" s="309"/>
      <c r="V3396" s="309"/>
      <c r="W3396" s="309"/>
      <c r="X3396" s="291"/>
    </row>
    <row r="3397" spans="1:24">
      <c r="A3397" s="289" t="s">
        <v>98</v>
      </c>
      <c r="B3397" s="307">
        <f>$B$3138</f>
        <v>0</v>
      </c>
      <c r="C3397" s="307">
        <f>$C$3138</f>
        <v>3.0292579312743702E-2</v>
      </c>
      <c r="D3397" s="307">
        <f>$D$3138</f>
        <v>6.9343913287703736E-3</v>
      </c>
      <c r="E3397" s="307">
        <f>$E$3138</f>
        <v>7.145376109907748E-3</v>
      </c>
      <c r="F3397" s="307">
        <f>$F$3138</f>
        <v>1.3502707763248412E-2</v>
      </c>
      <c r="G3397" s="307">
        <f>$G$3138</f>
        <v>1.4394607357383002E-2</v>
      </c>
      <c r="H3397" s="307">
        <f>$H$3138</f>
        <v>4.5850084324210644E-2</v>
      </c>
      <c r="I3397" s="307">
        <f>$I$3138</f>
        <v>0</v>
      </c>
      <c r="J3397" s="307">
        <f>$J$3138</f>
        <v>0</v>
      </c>
      <c r="K3397" s="309"/>
      <c r="L3397" s="309"/>
      <c r="M3397" s="307">
        <f>$K$3138</f>
        <v>1.7248861987778037E-2</v>
      </c>
      <c r="N3397" s="307">
        <f>$L$3138</f>
        <v>1.4665304511393251E-2</v>
      </c>
      <c r="O3397" s="307">
        <f>$M$3138</f>
        <v>3.3570914971509415E-3</v>
      </c>
      <c r="P3397" s="307">
        <f>$N$3138</f>
        <v>3.459233874355103E-3</v>
      </c>
      <c r="Q3397" s="307">
        <f>$O$3138</f>
        <v>6.5369580791387605E-3</v>
      </c>
      <c r="R3397" s="307">
        <f>$P$3138</f>
        <v>6.9687463070916469E-3</v>
      </c>
      <c r="S3397" s="307">
        <f>$Q$3138</f>
        <v>3.6201621467926534E-2</v>
      </c>
      <c r="T3397" s="307">
        <f>$R$3138</f>
        <v>0</v>
      </c>
      <c r="U3397" s="307">
        <f>$S$3138</f>
        <v>0</v>
      </c>
      <c r="V3397" s="309"/>
      <c r="W3397" s="309"/>
      <c r="X3397" s="291"/>
    </row>
    <row r="3398" spans="1:24">
      <c r="A3398" s="289" t="s">
        <v>99</v>
      </c>
      <c r="B3398" s="307">
        <f>$B$3139</f>
        <v>0</v>
      </c>
      <c r="C3398" s="307">
        <f>$C$3139</f>
        <v>3.0943171025812417E-2</v>
      </c>
      <c r="D3398" s="307">
        <f>$D$3139</f>
        <v>7.0833207905734363E-3</v>
      </c>
      <c r="E3398" s="307">
        <f>$E$3139</f>
        <v>7.2988368778361297E-3</v>
      </c>
      <c r="F3398" s="307">
        <f>$F$3139</f>
        <v>1.3792704520674159E-2</v>
      </c>
      <c r="G3398" s="307">
        <f>$G$3139</f>
        <v>1.4703759383128514E-2</v>
      </c>
      <c r="H3398" s="307">
        <f>$H$3139</f>
        <v>0</v>
      </c>
      <c r="I3398" s="307">
        <f>$I$3139</f>
        <v>0</v>
      </c>
      <c r="J3398" s="307">
        <f>$J$3139</f>
        <v>0</v>
      </c>
      <c r="K3398" s="309"/>
      <c r="L3398" s="309"/>
      <c r="M3398" s="307">
        <f>$K$3139</f>
        <v>1.7619314650565761E-2</v>
      </c>
      <c r="N3398" s="307">
        <f>$L$3139</f>
        <v>1.4980270281928604E-2</v>
      </c>
      <c r="O3398" s="307">
        <f>$M$3139</f>
        <v>3.4291915281688028E-3</v>
      </c>
      <c r="P3398" s="307">
        <f>$N$3139</f>
        <v>3.5335276104211909E-3</v>
      </c>
      <c r="Q3398" s="307">
        <f>$O$3139</f>
        <v>6.6773518934474694E-3</v>
      </c>
      <c r="R3398" s="307">
        <f>$P$3139</f>
        <v>7.1184136084813509E-3</v>
      </c>
      <c r="S3398" s="307">
        <f>$Q$3139</f>
        <v>0</v>
      </c>
      <c r="T3398" s="307">
        <f>$R$3139</f>
        <v>0</v>
      </c>
      <c r="U3398" s="307">
        <f>$S$3139</f>
        <v>0</v>
      </c>
      <c r="V3398" s="309"/>
      <c r="W3398" s="309"/>
      <c r="X3398" s="291"/>
    </row>
    <row r="3399" spans="1:24">
      <c r="A3399" s="289" t="s">
        <v>111</v>
      </c>
      <c r="B3399" s="307">
        <f>$B$3140</f>
        <v>0</v>
      </c>
      <c r="C3399" s="307">
        <f>$C$3140</f>
        <v>2.0367551389606137E-2</v>
      </c>
      <c r="D3399" s="307">
        <f>$D$3140</f>
        <v>5.4120555907521883E-3</v>
      </c>
      <c r="E3399" s="307">
        <f>$E$3140</f>
        <v>4.4613776050635E-3</v>
      </c>
      <c r="F3399" s="307">
        <f>$F$3140</f>
        <v>0</v>
      </c>
      <c r="G3399" s="307">
        <f>$G$3140</f>
        <v>0</v>
      </c>
      <c r="H3399" s="307">
        <f>$H$3140</f>
        <v>0</v>
      </c>
      <c r="I3399" s="307">
        <f>$I$3140</f>
        <v>0</v>
      </c>
      <c r="J3399" s="307">
        <f>$J$3140</f>
        <v>0</v>
      </c>
      <c r="K3399" s="309"/>
      <c r="L3399" s="309"/>
      <c r="M3399" s="307">
        <f>$K$3140</f>
        <v>1.3462147653501472E-2</v>
      </c>
      <c r="N3399" s="307">
        <f>$L$3140</f>
        <v>9.8603800025165583E-3</v>
      </c>
      <c r="O3399" s="307">
        <f>$M$3140</f>
        <v>2.6200952534134138E-3</v>
      </c>
      <c r="P3399" s="307">
        <f>$N$3140</f>
        <v>2.1598511121514855E-3</v>
      </c>
      <c r="Q3399" s="307">
        <f>$O$3140</f>
        <v>0</v>
      </c>
      <c r="R3399" s="307">
        <f>$P$3140</f>
        <v>0</v>
      </c>
      <c r="S3399" s="307">
        <f>$Q$3140</f>
        <v>0</v>
      </c>
      <c r="T3399" s="307">
        <f>$R$3140</f>
        <v>0</v>
      </c>
      <c r="U3399" s="307">
        <f>$S$3140</f>
        <v>0</v>
      </c>
      <c r="V3399" s="309"/>
      <c r="W3399" s="309"/>
      <c r="X3399" s="291"/>
    </row>
    <row r="3400" spans="1:24">
      <c r="A3400" s="289" t="s">
        <v>131</v>
      </c>
      <c r="B3400" s="309"/>
      <c r="C3400" s="309"/>
      <c r="D3400" s="309"/>
      <c r="E3400" s="309"/>
      <c r="F3400" s="309"/>
      <c r="G3400" s="309"/>
      <c r="H3400" s="309"/>
      <c r="I3400" s="309"/>
      <c r="J3400" s="309"/>
      <c r="K3400" s="309"/>
      <c r="L3400" s="309"/>
      <c r="M3400" s="309"/>
      <c r="N3400" s="309"/>
      <c r="O3400" s="309"/>
      <c r="P3400" s="309"/>
      <c r="Q3400" s="309"/>
      <c r="R3400" s="309"/>
      <c r="S3400" s="309"/>
      <c r="T3400" s="309"/>
      <c r="U3400" s="309"/>
      <c r="V3400" s="309"/>
      <c r="W3400" s="309"/>
      <c r="X3400" s="291"/>
    </row>
    <row r="3401" spans="1:24">
      <c r="A3401" s="289" t="s">
        <v>132</v>
      </c>
      <c r="B3401" s="309"/>
      <c r="C3401" s="309"/>
      <c r="D3401" s="309"/>
      <c r="E3401" s="309"/>
      <c r="F3401" s="309"/>
      <c r="G3401" s="309"/>
      <c r="H3401" s="309"/>
      <c r="I3401" s="309"/>
      <c r="J3401" s="309"/>
      <c r="K3401" s="309"/>
      <c r="L3401" s="309"/>
      <c r="M3401" s="309"/>
      <c r="N3401" s="309"/>
      <c r="O3401" s="309"/>
      <c r="P3401" s="309"/>
      <c r="Q3401" s="309"/>
      <c r="R3401" s="309"/>
      <c r="S3401" s="309"/>
      <c r="T3401" s="309"/>
      <c r="U3401" s="309"/>
      <c r="V3401" s="309"/>
      <c r="W3401" s="309"/>
      <c r="X3401" s="291"/>
    </row>
    <row r="3402" spans="1:24">
      <c r="A3402" s="289" t="s">
        <v>133</v>
      </c>
      <c r="B3402" s="309"/>
      <c r="C3402" s="309"/>
      <c r="D3402" s="309"/>
      <c r="E3402" s="309"/>
      <c r="F3402" s="309"/>
      <c r="G3402" s="309"/>
      <c r="H3402" s="309"/>
      <c r="I3402" s="309"/>
      <c r="J3402" s="309"/>
      <c r="K3402" s="309"/>
      <c r="L3402" s="309"/>
      <c r="M3402" s="309"/>
      <c r="N3402" s="309"/>
      <c r="O3402" s="309"/>
      <c r="P3402" s="309"/>
      <c r="Q3402" s="309"/>
      <c r="R3402" s="309"/>
      <c r="S3402" s="309"/>
      <c r="T3402" s="309"/>
      <c r="U3402" s="309"/>
      <c r="V3402" s="309"/>
      <c r="W3402" s="309"/>
      <c r="X3402" s="291"/>
    </row>
    <row r="3403" spans="1:24">
      <c r="A3403" s="289" t="s">
        <v>134</v>
      </c>
      <c r="B3403" s="309"/>
      <c r="C3403" s="309"/>
      <c r="D3403" s="309"/>
      <c r="E3403" s="309"/>
      <c r="F3403" s="309"/>
      <c r="G3403" s="309"/>
      <c r="H3403" s="309"/>
      <c r="I3403" s="309"/>
      <c r="J3403" s="309"/>
      <c r="K3403" s="309"/>
      <c r="L3403" s="309"/>
      <c r="M3403" s="309"/>
      <c r="N3403" s="309"/>
      <c r="O3403" s="309"/>
      <c r="P3403" s="309"/>
      <c r="Q3403" s="309"/>
      <c r="R3403" s="309"/>
      <c r="S3403" s="309"/>
      <c r="T3403" s="309"/>
      <c r="U3403" s="309"/>
      <c r="V3403" s="309"/>
      <c r="W3403" s="309"/>
      <c r="X3403" s="291"/>
    </row>
    <row r="3404" spans="1:24">
      <c r="A3404" s="289" t="s">
        <v>135</v>
      </c>
      <c r="B3404" s="309"/>
      <c r="C3404" s="309"/>
      <c r="D3404" s="309"/>
      <c r="E3404" s="309"/>
      <c r="F3404" s="309"/>
      <c r="G3404" s="309"/>
      <c r="H3404" s="309"/>
      <c r="I3404" s="309"/>
      <c r="J3404" s="309"/>
      <c r="K3404" s="309"/>
      <c r="L3404" s="309"/>
      <c r="M3404" s="309"/>
      <c r="N3404" s="309"/>
      <c r="O3404" s="309"/>
      <c r="P3404" s="309"/>
      <c r="Q3404" s="309"/>
      <c r="R3404" s="309"/>
      <c r="S3404" s="309"/>
      <c r="T3404" s="309"/>
      <c r="U3404" s="309"/>
      <c r="V3404" s="309"/>
      <c r="W3404" s="309"/>
      <c r="X3404" s="291"/>
    </row>
    <row r="3405" spans="1:24">
      <c r="A3405" s="289" t="s">
        <v>1534</v>
      </c>
      <c r="B3405" s="309"/>
      <c r="C3405" s="309"/>
      <c r="D3405" s="309"/>
      <c r="E3405" s="309"/>
      <c r="F3405" s="309"/>
      <c r="G3405" s="309"/>
      <c r="H3405" s="309"/>
      <c r="I3405" s="309"/>
      <c r="J3405" s="309"/>
      <c r="K3405" s="309"/>
      <c r="L3405" s="309"/>
      <c r="M3405" s="309"/>
      <c r="N3405" s="309"/>
      <c r="O3405" s="309"/>
      <c r="P3405" s="309"/>
      <c r="Q3405" s="309"/>
      <c r="R3405" s="309"/>
      <c r="S3405" s="309"/>
      <c r="T3405" s="309"/>
      <c r="U3405" s="309"/>
      <c r="V3405" s="309"/>
      <c r="W3405" s="309"/>
      <c r="X3405" s="291"/>
    </row>
    <row r="3406" spans="1:24">
      <c r="A3406" s="289" t="s">
        <v>100</v>
      </c>
      <c r="B3406" s="309"/>
      <c r="C3406" s="309"/>
      <c r="D3406" s="309"/>
      <c r="E3406" s="309"/>
      <c r="F3406" s="309"/>
      <c r="G3406" s="309"/>
      <c r="H3406" s="309"/>
      <c r="I3406" s="309"/>
      <c r="J3406" s="309"/>
      <c r="K3406" s="309"/>
      <c r="L3406" s="309"/>
      <c r="M3406" s="309"/>
      <c r="N3406" s="309"/>
      <c r="O3406" s="309"/>
      <c r="P3406" s="309"/>
      <c r="Q3406" s="309"/>
      <c r="R3406" s="309"/>
      <c r="S3406" s="309"/>
      <c r="T3406" s="309"/>
      <c r="U3406" s="309"/>
      <c r="V3406" s="309"/>
      <c r="W3406" s="309"/>
      <c r="X3406" s="291"/>
    </row>
    <row r="3407" spans="1:24">
      <c r="A3407" s="289" t="s">
        <v>101</v>
      </c>
      <c r="B3407" s="307">
        <f>$B$3182</f>
        <v>0</v>
      </c>
      <c r="C3407" s="307">
        <f>$C$3182</f>
        <v>2.0505156765747146E-2</v>
      </c>
      <c r="D3407" s="307">
        <f>$D$3182</f>
        <v>1.526802165650473E-2</v>
      </c>
      <c r="E3407" s="307">
        <f>$E$3182</f>
        <v>1.5732564260876256E-2</v>
      </c>
      <c r="F3407" s="307">
        <f>$F$3182</f>
        <v>2.973002600752965E-2</v>
      </c>
      <c r="G3407" s="307">
        <f>$G$3182</f>
        <v>1.4069080963615185E-2</v>
      </c>
      <c r="H3407" s="307">
        <f>$H$3182</f>
        <v>3.8795110391736692E-2</v>
      </c>
      <c r="I3407" s="307">
        <f>$I$3182</f>
        <v>1.0241931102476879E-2</v>
      </c>
      <c r="J3407" s="307">
        <f>$J$3182</f>
        <v>6.7882603818960191E-3</v>
      </c>
      <c r="K3407" s="309"/>
      <c r="L3407" s="309"/>
      <c r="M3407" s="307">
        <f>$K$3182</f>
        <v>1.1675817217100839E-2</v>
      </c>
      <c r="N3407" s="307">
        <f>$L$3182</f>
        <v>9.9269977943750309E-3</v>
      </c>
      <c r="O3407" s="307">
        <f>$M$3182</f>
        <v>7.3915853967903133E-3</v>
      </c>
      <c r="P3407" s="307">
        <f>$N$3182</f>
        <v>7.6164806980880163E-3</v>
      </c>
      <c r="Q3407" s="307">
        <f>$O$3182</f>
        <v>1.4392960072193116E-2</v>
      </c>
      <c r="R3407" s="307">
        <f>$P$3182</f>
        <v>6.8111518136741633E-3</v>
      </c>
      <c r="S3407" s="307">
        <f>$Q$3182</f>
        <v>3.0631261030559825E-2</v>
      </c>
      <c r="T3407" s="307">
        <f>$R$3182</f>
        <v>1.382110162127664E-2</v>
      </c>
      <c r="U3407" s="307">
        <f>$S$3182</f>
        <v>3.1492534441028994E-2</v>
      </c>
      <c r="V3407" s="309"/>
      <c r="W3407" s="309"/>
      <c r="X3407" s="291"/>
    </row>
    <row r="3408" spans="1:24">
      <c r="A3408" s="289" t="s">
        <v>102</v>
      </c>
      <c r="B3408" s="307">
        <f>$B$3183</f>
        <v>0</v>
      </c>
      <c r="C3408" s="307">
        <f>$C$3183</f>
        <v>2.0505156765747146E-2</v>
      </c>
      <c r="D3408" s="307">
        <f>$D$3183</f>
        <v>1.526802165650473E-2</v>
      </c>
      <c r="E3408" s="307">
        <f>$E$3183</f>
        <v>1.5732564260876256E-2</v>
      </c>
      <c r="F3408" s="307">
        <f>$F$3183</f>
        <v>2.973002600752965E-2</v>
      </c>
      <c r="G3408" s="307">
        <f>$G$3183</f>
        <v>1.4069080963615185E-2</v>
      </c>
      <c r="H3408" s="307">
        <f>$H$3183</f>
        <v>3.8795110391736692E-2</v>
      </c>
      <c r="I3408" s="307">
        <f>$I$3183</f>
        <v>1.0241931102476879E-2</v>
      </c>
      <c r="J3408" s="307">
        <f>$J$3183</f>
        <v>6.7882603818960191E-3</v>
      </c>
      <c r="K3408" s="309"/>
      <c r="L3408" s="309"/>
      <c r="M3408" s="307">
        <f>$K$3183</f>
        <v>1.1675817217100839E-2</v>
      </c>
      <c r="N3408" s="307">
        <f>$L$3183</f>
        <v>9.9269977943750309E-3</v>
      </c>
      <c r="O3408" s="307">
        <f>$M$3183</f>
        <v>7.3915853967903133E-3</v>
      </c>
      <c r="P3408" s="307">
        <f>$N$3183</f>
        <v>7.6164806980880163E-3</v>
      </c>
      <c r="Q3408" s="307">
        <f>$O$3183</f>
        <v>1.4392960072193116E-2</v>
      </c>
      <c r="R3408" s="307">
        <f>$P$3183</f>
        <v>6.8111518136741633E-3</v>
      </c>
      <c r="S3408" s="307">
        <f>$Q$3183</f>
        <v>3.0631261030559825E-2</v>
      </c>
      <c r="T3408" s="307">
        <f>$R$3183</f>
        <v>1.382110162127664E-2</v>
      </c>
      <c r="U3408" s="307">
        <f>$S$3183</f>
        <v>3.1492534441028994E-2</v>
      </c>
      <c r="V3408" s="309"/>
      <c r="W3408" s="309"/>
      <c r="X3408" s="291"/>
    </row>
    <row r="3409" spans="1:24">
      <c r="A3409" s="289" t="s">
        <v>103</v>
      </c>
      <c r="B3409" s="307">
        <f>$B$3184</f>
        <v>0</v>
      </c>
      <c r="C3409" s="307">
        <f>$C$3184</f>
        <v>2.0184468941443833E-2</v>
      </c>
      <c r="D3409" s="307">
        <f>$D$3184</f>
        <v>1.5029239349089294E-2</v>
      </c>
      <c r="E3409" s="307">
        <f>$E$3184</f>
        <v>1.5486516797734683E-2</v>
      </c>
      <c r="F3409" s="307">
        <f>$F$3184</f>
        <v>2.9265066999132231E-2</v>
      </c>
      <c r="G3409" s="307">
        <f>$G$3184</f>
        <v>1.3849049338609244E-2</v>
      </c>
      <c r="H3409" s="307">
        <f>$H$3184</f>
        <v>3.8188379134460222E-2</v>
      </c>
      <c r="I3409" s="307">
        <f>$I$3184</f>
        <v>1.0081753707129954E-2</v>
      </c>
      <c r="J3409" s="307">
        <f>$J$3184</f>
        <v>0</v>
      </c>
      <c r="K3409" s="309"/>
      <c r="L3409" s="309"/>
      <c r="M3409" s="307">
        <f>$K$3184</f>
        <v>1.1493214739924469E-2</v>
      </c>
      <c r="N3409" s="307">
        <f>$L$3184</f>
        <v>9.7717457589524253E-3</v>
      </c>
      <c r="O3409" s="307">
        <f>$M$3184</f>
        <v>7.2759856251753789E-3</v>
      </c>
      <c r="P3409" s="307">
        <f>$N$3184</f>
        <v>7.4973637046496606E-3</v>
      </c>
      <c r="Q3409" s="307">
        <f>$O$3184</f>
        <v>1.4167863180539685E-2</v>
      </c>
      <c r="R3409" s="307">
        <f>$P$3184</f>
        <v>6.7046296601944392E-3</v>
      </c>
      <c r="S3409" s="307">
        <f>$Q$3184</f>
        <v>3.0152207270192279E-2</v>
      </c>
      <c r="T3409" s="307">
        <f>$R$3184</f>
        <v>1.3604948238055208E-2</v>
      </c>
      <c r="U3409" s="307">
        <f>$S$3184</f>
        <v>0</v>
      </c>
      <c r="V3409" s="309"/>
      <c r="W3409" s="309"/>
      <c r="X3409" s="291"/>
    </row>
    <row r="3410" spans="1:24">
      <c r="A3410" s="289" t="s">
        <v>104</v>
      </c>
      <c r="B3410" s="307">
        <f>$B$3185</f>
        <v>0</v>
      </c>
      <c r="C3410" s="307">
        <f>$C$3185</f>
        <v>2.0184468941443833E-2</v>
      </c>
      <c r="D3410" s="307">
        <f>$D$3185</f>
        <v>1.5029239349089294E-2</v>
      </c>
      <c r="E3410" s="307">
        <f>$E$3185</f>
        <v>1.5486516797734683E-2</v>
      </c>
      <c r="F3410" s="307">
        <f>$F$3185</f>
        <v>2.9265066999132231E-2</v>
      </c>
      <c r="G3410" s="307">
        <f>$G$3185</f>
        <v>1.3849049338609244E-2</v>
      </c>
      <c r="H3410" s="307">
        <f>$H$3185</f>
        <v>3.8188379134460222E-2</v>
      </c>
      <c r="I3410" s="307">
        <f>$I$3185</f>
        <v>1.0081753707129954E-2</v>
      </c>
      <c r="J3410" s="307">
        <f>$J$3185</f>
        <v>0</v>
      </c>
      <c r="K3410" s="309"/>
      <c r="L3410" s="309"/>
      <c r="M3410" s="307">
        <f>$K$3185</f>
        <v>1.1493214739924469E-2</v>
      </c>
      <c r="N3410" s="307">
        <f>$L$3185</f>
        <v>9.7717457589524253E-3</v>
      </c>
      <c r="O3410" s="307">
        <f>$M$3185</f>
        <v>7.2759856251753789E-3</v>
      </c>
      <c r="P3410" s="307">
        <f>$N$3185</f>
        <v>7.4973637046496606E-3</v>
      </c>
      <c r="Q3410" s="307">
        <f>$O$3185</f>
        <v>1.4167863180539685E-2</v>
      </c>
      <c r="R3410" s="307">
        <f>$P$3185</f>
        <v>6.7046296601944392E-3</v>
      </c>
      <c r="S3410" s="307">
        <f>$Q$3185</f>
        <v>3.0152207270192279E-2</v>
      </c>
      <c r="T3410" s="307">
        <f>$R$3185</f>
        <v>1.3604948238055208E-2</v>
      </c>
      <c r="U3410" s="307">
        <f>$S$3185</f>
        <v>0</v>
      </c>
      <c r="V3410" s="309"/>
      <c r="W3410" s="309"/>
      <c r="X3410" s="291"/>
    </row>
    <row r="3411" spans="1:24">
      <c r="A3411" s="289" t="s">
        <v>112</v>
      </c>
      <c r="B3411" s="307">
        <f>$B$3186</f>
        <v>0</v>
      </c>
      <c r="C3411" s="307">
        <f>$C$3186</f>
        <v>1.9826053137810721E-2</v>
      </c>
      <c r="D3411" s="307">
        <f>$D$3186</f>
        <v>1.4762365005507334E-2</v>
      </c>
      <c r="E3411" s="307">
        <f>$E$3186</f>
        <v>1.52115225742235E-2</v>
      </c>
      <c r="F3411" s="307">
        <f>$F$3186</f>
        <v>2.1339409546562532E-2</v>
      </c>
      <c r="G3411" s="307">
        <f>$G$3186</f>
        <v>1.0098406256028621E-2</v>
      </c>
      <c r="H3411" s="307">
        <f>$H$3186</f>
        <v>2.9653245951216278E-2</v>
      </c>
      <c r="I3411" s="307">
        <f>$I$3186</f>
        <v>0</v>
      </c>
      <c r="J3411" s="307">
        <f>$J$3186</f>
        <v>0</v>
      </c>
      <c r="K3411" s="309"/>
      <c r="L3411" s="309"/>
      <c r="M3411" s="307">
        <f>$K$3186</f>
        <v>1.1289129618374407E-2</v>
      </c>
      <c r="N3411" s="307">
        <f>$L$3186</f>
        <v>9.5982287781859795E-3</v>
      </c>
      <c r="O3411" s="307">
        <f>$M$3186</f>
        <v>7.1467858804292721E-3</v>
      </c>
      <c r="P3411" s="307">
        <f>$N$3186</f>
        <v>7.3642329472773747E-3</v>
      </c>
      <c r="Q3411" s="307">
        <f>$O$3186</f>
        <v>1.3916284301632904E-2</v>
      </c>
      <c r="R3411" s="307">
        <f>$P$3186</f>
        <v>6.5855754886582751E-3</v>
      </c>
      <c r="S3411" s="307">
        <f>$Q$3186</f>
        <v>2.9616794243899142E-2</v>
      </c>
      <c r="T3411" s="307">
        <f>$R$3186</f>
        <v>0</v>
      </c>
      <c r="U3411" s="307">
        <f>$S$3186</f>
        <v>0</v>
      </c>
      <c r="V3411" s="309"/>
      <c r="W3411" s="309"/>
      <c r="X3411" s="291"/>
    </row>
    <row r="3412" spans="1:24">
      <c r="A3412" s="289" t="s">
        <v>113</v>
      </c>
      <c r="B3412" s="307">
        <f>$B$3187</f>
        <v>0</v>
      </c>
      <c r="C3412" s="307">
        <f>$C$3187</f>
        <v>1.9826053137810721E-2</v>
      </c>
      <c r="D3412" s="307">
        <f>$D$3187</f>
        <v>1.4762365005507334E-2</v>
      </c>
      <c r="E3412" s="307">
        <f>$E$3187</f>
        <v>1.52115225742235E-2</v>
      </c>
      <c r="F3412" s="307">
        <f>$F$3187</f>
        <v>2.1339409546562532E-2</v>
      </c>
      <c r="G3412" s="307">
        <f>$G$3187</f>
        <v>1.0098406256028621E-2</v>
      </c>
      <c r="H3412" s="307">
        <f>$H$3187</f>
        <v>2.9653245951216278E-2</v>
      </c>
      <c r="I3412" s="307">
        <f>$I$3187</f>
        <v>0</v>
      </c>
      <c r="J3412" s="307">
        <f>$J$3187</f>
        <v>0</v>
      </c>
      <c r="K3412" s="309"/>
      <c r="L3412" s="309"/>
      <c r="M3412" s="307">
        <f>$K$3187</f>
        <v>1.1289129618374407E-2</v>
      </c>
      <c r="N3412" s="307">
        <f>$L$3187</f>
        <v>9.5982287781859795E-3</v>
      </c>
      <c r="O3412" s="307">
        <f>$M$3187</f>
        <v>7.1467858804292721E-3</v>
      </c>
      <c r="P3412" s="307">
        <f>$N$3187</f>
        <v>7.3642329472773747E-3</v>
      </c>
      <c r="Q3412" s="307">
        <f>$O$3187</f>
        <v>1.3916284301632904E-2</v>
      </c>
      <c r="R3412" s="307">
        <f>$P$3187</f>
        <v>6.5855754886582751E-3</v>
      </c>
      <c r="S3412" s="307">
        <f>$Q$3187</f>
        <v>2.9616794243899142E-2</v>
      </c>
      <c r="T3412" s="307">
        <f>$R$3187</f>
        <v>0</v>
      </c>
      <c r="U3412" s="307">
        <f>$S$3187</f>
        <v>0</v>
      </c>
      <c r="V3412" s="309"/>
      <c r="W3412" s="309"/>
      <c r="X3412" s="291"/>
    </row>
    <row r="3414" spans="1:24" ht="21" customHeight="1">
      <c r="A3414" s="1" t="s">
        <v>764</v>
      </c>
    </row>
    <row r="3415" spans="1:24">
      <c r="A3415" s="287" t="s">
        <v>255</v>
      </c>
    </row>
    <row r="3416" spans="1:24">
      <c r="A3416" s="301" t="s">
        <v>765</v>
      </c>
    </row>
    <row r="3417" spans="1:24">
      <c r="A3417" s="301" t="s">
        <v>766</v>
      </c>
    </row>
    <row r="3418" spans="1:24">
      <c r="A3418" s="301" t="s">
        <v>767</v>
      </c>
    </row>
    <row r="3419" spans="1:24">
      <c r="A3419" s="301" t="s">
        <v>768</v>
      </c>
    </row>
    <row r="3420" spans="1:24">
      <c r="A3420" s="301" t="s">
        <v>769</v>
      </c>
    </row>
    <row r="3421" spans="1:24">
      <c r="A3421" s="301" t="s">
        <v>770</v>
      </c>
    </row>
    <row r="3422" spans="1:24">
      <c r="A3422" s="302" t="s">
        <v>258</v>
      </c>
      <c r="B3422" s="302" t="s">
        <v>381</v>
      </c>
      <c r="C3422" s="302" t="s">
        <v>381</v>
      </c>
      <c r="D3422" s="302" t="s">
        <v>381</v>
      </c>
      <c r="E3422" s="302" t="s">
        <v>381</v>
      </c>
      <c r="F3422" s="302" t="s">
        <v>381</v>
      </c>
      <c r="G3422" s="302" t="s">
        <v>381</v>
      </c>
    </row>
    <row r="3423" spans="1:24">
      <c r="A3423" s="302" t="s">
        <v>261</v>
      </c>
      <c r="B3423" s="302" t="s">
        <v>431</v>
      </c>
      <c r="C3423" s="302" t="s">
        <v>432</v>
      </c>
      <c r="D3423" s="302" t="s">
        <v>433</v>
      </c>
      <c r="E3423" s="302" t="s">
        <v>434</v>
      </c>
      <c r="F3423" s="302" t="s">
        <v>383</v>
      </c>
      <c r="G3423" s="302" t="s">
        <v>435</v>
      </c>
    </row>
    <row r="3425" spans="1:8" ht="30">
      <c r="B3425" s="288" t="s">
        <v>771</v>
      </c>
      <c r="C3425" s="288" t="s">
        <v>772</v>
      </c>
      <c r="D3425" s="288" t="s">
        <v>773</v>
      </c>
      <c r="E3425" s="288" t="s">
        <v>774</v>
      </c>
      <c r="F3425" s="288" t="s">
        <v>775</v>
      </c>
      <c r="G3425" s="288" t="s">
        <v>776</v>
      </c>
    </row>
    <row r="3426" spans="1:8">
      <c r="A3426" s="289" t="s">
        <v>92</v>
      </c>
      <c r="B3426" s="306">
        <f t="shared" ref="B3426:B3452" si="692">SUM($B3203:$W3203)</f>
        <v>1.2794750313256049</v>
      </c>
      <c r="C3426" s="306">
        <f t="shared" ref="C3426:C3452" si="693">SUM($B3241:$W3241)</f>
        <v>0</v>
      </c>
      <c r="D3426" s="306">
        <f t="shared" ref="D3426:D3452" si="694">SUM($B3279:$W3279)</f>
        <v>0</v>
      </c>
      <c r="E3426" s="306">
        <f t="shared" ref="E3426:E3452" si="695">SUM($B3317:$W3317)</f>
        <v>4.7981987923226406</v>
      </c>
      <c r="F3426" s="306">
        <f t="shared" ref="F3426:F3452" si="696">SUM($B3351:$W3351)</f>
        <v>0</v>
      </c>
      <c r="G3426" s="306">
        <f t="shared" ref="G3426:G3452" si="697">SUM($B3386:$W3386)</f>
        <v>0</v>
      </c>
      <c r="H3426" s="291"/>
    </row>
    <row r="3427" spans="1:8">
      <c r="A3427" s="289" t="s">
        <v>93</v>
      </c>
      <c r="B3427" s="306">
        <f t="shared" si="692"/>
        <v>1.522020351506419</v>
      </c>
      <c r="C3427" s="306">
        <f t="shared" si="693"/>
        <v>8.0898643999178746E-2</v>
      </c>
      <c r="D3427" s="306">
        <f t="shared" si="694"/>
        <v>0</v>
      </c>
      <c r="E3427" s="306">
        <f t="shared" si="695"/>
        <v>4.7981987923226406</v>
      </c>
      <c r="F3427" s="306">
        <f t="shared" si="696"/>
        <v>0</v>
      </c>
      <c r="G3427" s="306">
        <f t="shared" si="697"/>
        <v>0</v>
      </c>
      <c r="H3427" s="291"/>
    </row>
    <row r="3428" spans="1:8">
      <c r="A3428" s="289" t="s">
        <v>129</v>
      </c>
      <c r="B3428" s="306">
        <f t="shared" si="692"/>
        <v>0.14777429101652062</v>
      </c>
      <c r="C3428" s="306">
        <f t="shared" si="693"/>
        <v>0</v>
      </c>
      <c r="D3428" s="306">
        <f t="shared" si="694"/>
        <v>0</v>
      </c>
      <c r="E3428" s="306">
        <f t="shared" si="695"/>
        <v>0</v>
      </c>
      <c r="F3428" s="306">
        <f t="shared" si="696"/>
        <v>0</v>
      </c>
      <c r="G3428" s="306">
        <f t="shared" si="697"/>
        <v>0</v>
      </c>
      <c r="H3428" s="291"/>
    </row>
    <row r="3429" spans="1:8">
      <c r="A3429" s="289" t="s">
        <v>94</v>
      </c>
      <c r="B3429" s="306">
        <f t="shared" si="692"/>
        <v>1.2086648889597951</v>
      </c>
      <c r="C3429" s="306">
        <f t="shared" si="693"/>
        <v>0</v>
      </c>
      <c r="D3429" s="306">
        <f t="shared" si="694"/>
        <v>0</v>
      </c>
      <c r="E3429" s="306">
        <f t="shared" si="695"/>
        <v>7.3939175707594327</v>
      </c>
      <c r="F3429" s="306">
        <f t="shared" si="696"/>
        <v>0</v>
      </c>
      <c r="G3429" s="306">
        <f t="shared" si="697"/>
        <v>0</v>
      </c>
      <c r="H3429" s="291"/>
    </row>
    <row r="3430" spans="1:8">
      <c r="A3430" s="289" t="s">
        <v>95</v>
      </c>
      <c r="B3430" s="306">
        <f t="shared" si="692"/>
        <v>1.3829971899395608</v>
      </c>
      <c r="C3430" s="306">
        <f t="shared" si="693"/>
        <v>7.7220643040610562E-2</v>
      </c>
      <c r="D3430" s="306">
        <f t="shared" si="694"/>
        <v>0</v>
      </c>
      <c r="E3430" s="306">
        <f t="shared" si="695"/>
        <v>7.3939175707594327</v>
      </c>
      <c r="F3430" s="306">
        <f t="shared" si="696"/>
        <v>0</v>
      </c>
      <c r="G3430" s="306">
        <f t="shared" si="697"/>
        <v>0</v>
      </c>
      <c r="H3430" s="291"/>
    </row>
    <row r="3431" spans="1:8">
      <c r="A3431" s="289" t="s">
        <v>130</v>
      </c>
      <c r="B3431" s="306">
        <f t="shared" si="692"/>
        <v>0.24122289506183334</v>
      </c>
      <c r="C3431" s="306">
        <f t="shared" si="693"/>
        <v>0</v>
      </c>
      <c r="D3431" s="306">
        <f t="shared" si="694"/>
        <v>0</v>
      </c>
      <c r="E3431" s="306">
        <f t="shared" si="695"/>
        <v>0</v>
      </c>
      <c r="F3431" s="306">
        <f t="shared" si="696"/>
        <v>0</v>
      </c>
      <c r="G3431" s="306">
        <f t="shared" si="697"/>
        <v>0</v>
      </c>
      <c r="H3431" s="291"/>
    </row>
    <row r="3432" spans="1:8">
      <c r="A3432" s="289" t="s">
        <v>96</v>
      </c>
      <c r="B3432" s="306">
        <f t="shared" si="692"/>
        <v>1.0073779134473244</v>
      </c>
      <c r="C3432" s="306">
        <f t="shared" si="693"/>
        <v>5.4661366256107138E-2</v>
      </c>
      <c r="D3432" s="306">
        <f t="shared" si="694"/>
        <v>0</v>
      </c>
      <c r="E3432" s="306">
        <f t="shared" si="695"/>
        <v>5.6888889091662147</v>
      </c>
      <c r="F3432" s="306">
        <f t="shared" si="696"/>
        <v>0</v>
      </c>
      <c r="G3432" s="306">
        <f t="shared" si="697"/>
        <v>0</v>
      </c>
      <c r="H3432" s="291"/>
    </row>
    <row r="3433" spans="1:8">
      <c r="A3433" s="289" t="s">
        <v>97</v>
      </c>
      <c r="B3433" s="306">
        <f t="shared" si="692"/>
        <v>0.84349035279718743</v>
      </c>
      <c r="C3433" s="306">
        <f t="shared" si="693"/>
        <v>4.4403869301890747E-2</v>
      </c>
      <c r="D3433" s="306">
        <f t="shared" si="694"/>
        <v>0</v>
      </c>
      <c r="E3433" s="306">
        <f t="shared" si="695"/>
        <v>4.218993607525519</v>
      </c>
      <c r="F3433" s="306">
        <f t="shared" si="696"/>
        <v>0</v>
      </c>
      <c r="G3433" s="306">
        <f t="shared" si="697"/>
        <v>0</v>
      </c>
      <c r="H3433" s="291"/>
    </row>
    <row r="3434" spans="1:8">
      <c r="A3434" s="289" t="s">
        <v>110</v>
      </c>
      <c r="B3434" s="306">
        <f t="shared" si="692"/>
        <v>0.27533847824288549</v>
      </c>
      <c r="C3434" s="306">
        <f t="shared" si="693"/>
        <v>7.9675680043526688E-3</v>
      </c>
      <c r="D3434" s="306">
        <f t="shared" si="694"/>
        <v>0</v>
      </c>
      <c r="E3434" s="306">
        <f t="shared" si="695"/>
        <v>73.286534579214916</v>
      </c>
      <c r="F3434" s="306">
        <f t="shared" si="696"/>
        <v>0</v>
      </c>
      <c r="G3434" s="306">
        <f t="shared" si="697"/>
        <v>0</v>
      </c>
      <c r="H3434" s="291"/>
    </row>
    <row r="3435" spans="1:8">
      <c r="A3435" s="289" t="s">
        <v>1536</v>
      </c>
      <c r="B3435" s="306">
        <f t="shared" si="692"/>
        <v>6.9901535422773087</v>
      </c>
      <c r="C3435" s="306">
        <f t="shared" si="693"/>
        <v>0.53136115196044065</v>
      </c>
      <c r="D3435" s="306">
        <f t="shared" si="694"/>
        <v>6.8308084670004612E-2</v>
      </c>
      <c r="E3435" s="306">
        <f t="shared" si="695"/>
        <v>4.7981987923226406</v>
      </c>
      <c r="F3435" s="306">
        <f t="shared" si="696"/>
        <v>0</v>
      </c>
      <c r="G3435" s="306">
        <f t="shared" si="697"/>
        <v>0</v>
      </c>
      <c r="H3435" s="291"/>
    </row>
    <row r="3436" spans="1:8">
      <c r="A3436" s="289" t="s">
        <v>1535</v>
      </c>
      <c r="B3436" s="306">
        <f t="shared" si="692"/>
        <v>7.0294059388710739</v>
      </c>
      <c r="C3436" s="306">
        <f t="shared" si="693"/>
        <v>0.53433561271827312</v>
      </c>
      <c r="D3436" s="306">
        <f t="shared" si="694"/>
        <v>6.8690473142338074E-2</v>
      </c>
      <c r="E3436" s="306">
        <f t="shared" si="695"/>
        <v>7.3939175707594327</v>
      </c>
      <c r="F3436" s="306">
        <f t="shared" si="696"/>
        <v>0</v>
      </c>
      <c r="G3436" s="306">
        <f t="shared" si="697"/>
        <v>0</v>
      </c>
      <c r="H3436" s="291"/>
    </row>
    <row r="3437" spans="1:8">
      <c r="A3437" s="289" t="s">
        <v>98</v>
      </c>
      <c r="B3437" s="306">
        <f t="shared" si="692"/>
        <v>5.3203065754017134</v>
      </c>
      <c r="C3437" s="306">
        <f t="shared" si="693"/>
        <v>0.41046320650708257</v>
      </c>
      <c r="D3437" s="306">
        <f t="shared" si="694"/>
        <v>4.7832292130284511E-2</v>
      </c>
      <c r="E3437" s="306">
        <f t="shared" si="695"/>
        <v>9.5907113768651691</v>
      </c>
      <c r="F3437" s="306">
        <f t="shared" si="696"/>
        <v>4.1250720354993344</v>
      </c>
      <c r="G3437" s="306">
        <f t="shared" si="697"/>
        <v>0.20655756392109814</v>
      </c>
      <c r="H3437" s="291"/>
    </row>
    <row r="3438" spans="1:8">
      <c r="A3438" s="289" t="s">
        <v>99</v>
      </c>
      <c r="B3438" s="306">
        <f t="shared" si="692"/>
        <v>3.3935290025244687</v>
      </c>
      <c r="C3438" s="306">
        <f t="shared" si="693"/>
        <v>0.27364652468104739</v>
      </c>
      <c r="D3438" s="306">
        <f t="shared" si="694"/>
        <v>2.2368772412873269E-2</v>
      </c>
      <c r="E3438" s="306">
        <f t="shared" si="695"/>
        <v>7.3868914397380232</v>
      </c>
      <c r="F3438" s="306">
        <f t="shared" si="696"/>
        <v>5.2720049834913407</v>
      </c>
      <c r="G3438" s="306">
        <f t="shared" si="697"/>
        <v>0.12717986217103783</v>
      </c>
      <c r="H3438" s="291"/>
    </row>
    <row r="3439" spans="1:8">
      <c r="A3439" s="289" t="s">
        <v>111</v>
      </c>
      <c r="B3439" s="306">
        <f t="shared" si="692"/>
        <v>1.702662847412252</v>
      </c>
      <c r="C3439" s="306">
        <f t="shared" si="693"/>
        <v>0.13440867332638681</v>
      </c>
      <c r="D3439" s="306">
        <f t="shared" si="694"/>
        <v>8.6713596024272453E-3</v>
      </c>
      <c r="E3439" s="306">
        <f t="shared" si="695"/>
        <v>73.286534579214916</v>
      </c>
      <c r="F3439" s="306">
        <f t="shared" si="696"/>
        <v>5.5658527817687613</v>
      </c>
      <c r="G3439" s="306">
        <f t="shared" si="697"/>
        <v>5.834345860700476E-2</v>
      </c>
      <c r="H3439" s="291"/>
    </row>
    <row r="3440" spans="1:8">
      <c r="A3440" s="289" t="s">
        <v>131</v>
      </c>
      <c r="B3440" s="306">
        <f t="shared" si="692"/>
        <v>1.6032807741400079</v>
      </c>
      <c r="C3440" s="306">
        <f t="shared" si="693"/>
        <v>0</v>
      </c>
      <c r="D3440" s="306">
        <f t="shared" si="694"/>
        <v>0</v>
      </c>
      <c r="E3440" s="306">
        <f t="shared" si="695"/>
        <v>0</v>
      </c>
      <c r="F3440" s="306">
        <f t="shared" si="696"/>
        <v>0</v>
      </c>
      <c r="G3440" s="306">
        <f t="shared" si="697"/>
        <v>0</v>
      </c>
      <c r="H3440" s="291"/>
    </row>
    <row r="3441" spans="1:8">
      <c r="A3441" s="289" t="s">
        <v>132</v>
      </c>
      <c r="B3441" s="306">
        <f t="shared" si="692"/>
        <v>1.9363287535194593</v>
      </c>
      <c r="C3441" s="306">
        <f t="shared" si="693"/>
        <v>0</v>
      </c>
      <c r="D3441" s="306">
        <f t="shared" si="694"/>
        <v>0</v>
      </c>
      <c r="E3441" s="306">
        <f t="shared" si="695"/>
        <v>0</v>
      </c>
      <c r="F3441" s="306">
        <f t="shared" si="696"/>
        <v>0</v>
      </c>
      <c r="G3441" s="306">
        <f t="shared" si="697"/>
        <v>0</v>
      </c>
      <c r="H3441" s="291"/>
    </row>
    <row r="3442" spans="1:8">
      <c r="A3442" s="289" t="s">
        <v>133</v>
      </c>
      <c r="B3442" s="306">
        <f t="shared" si="692"/>
        <v>2.8986892390898875</v>
      </c>
      <c r="C3442" s="306">
        <f t="shared" si="693"/>
        <v>0</v>
      </c>
      <c r="D3442" s="306">
        <f t="shared" si="694"/>
        <v>0</v>
      </c>
      <c r="E3442" s="306">
        <f t="shared" si="695"/>
        <v>0</v>
      </c>
      <c r="F3442" s="306">
        <f t="shared" si="696"/>
        <v>0</v>
      </c>
      <c r="G3442" s="306">
        <f t="shared" si="697"/>
        <v>0</v>
      </c>
      <c r="H3442" s="291"/>
    </row>
    <row r="3443" spans="1:8">
      <c r="A3443" s="289" t="s">
        <v>134</v>
      </c>
      <c r="B3443" s="306">
        <f t="shared" si="692"/>
        <v>1.2638385970965269</v>
      </c>
      <c r="C3443" s="306">
        <f t="shared" si="693"/>
        <v>0</v>
      </c>
      <c r="D3443" s="306">
        <f t="shared" si="694"/>
        <v>0</v>
      </c>
      <c r="E3443" s="306">
        <f t="shared" si="695"/>
        <v>0</v>
      </c>
      <c r="F3443" s="306">
        <f t="shared" si="696"/>
        <v>0</v>
      </c>
      <c r="G3443" s="306">
        <f t="shared" si="697"/>
        <v>0</v>
      </c>
      <c r="H3443" s="291"/>
    </row>
    <row r="3444" spans="1:8">
      <c r="A3444" s="289" t="s">
        <v>135</v>
      </c>
      <c r="B3444" s="306">
        <f t="shared" si="692"/>
        <v>23.90022185766291</v>
      </c>
      <c r="C3444" s="306">
        <f t="shared" si="693"/>
        <v>1.1895937675134385</v>
      </c>
      <c r="D3444" s="306">
        <f t="shared" si="694"/>
        <v>0.76739700332346183</v>
      </c>
      <c r="E3444" s="306">
        <f t="shared" si="695"/>
        <v>0</v>
      </c>
      <c r="F3444" s="306">
        <f t="shared" si="696"/>
        <v>0</v>
      </c>
      <c r="G3444" s="306">
        <f t="shared" si="697"/>
        <v>0</v>
      </c>
      <c r="H3444" s="291"/>
    </row>
    <row r="3445" spans="1:8">
      <c r="A3445" s="289" t="s">
        <v>1534</v>
      </c>
      <c r="B3445" s="306">
        <f t="shared" si="692"/>
        <v>-0.66577478723361794</v>
      </c>
      <c r="C3445" s="306">
        <f t="shared" si="693"/>
        <v>0</v>
      </c>
      <c r="D3445" s="306">
        <f t="shared" si="694"/>
        <v>0</v>
      </c>
      <c r="E3445" s="306">
        <f t="shared" si="695"/>
        <v>0</v>
      </c>
      <c r="F3445" s="306">
        <f t="shared" si="696"/>
        <v>0</v>
      </c>
      <c r="G3445" s="306">
        <f t="shared" si="697"/>
        <v>0</v>
      </c>
      <c r="H3445" s="291"/>
    </row>
    <row r="3446" spans="1:8">
      <c r="A3446" s="289" t="s">
        <v>100</v>
      </c>
      <c r="B3446" s="306">
        <f t="shared" si="692"/>
        <v>-0.56665124219375462</v>
      </c>
      <c r="C3446" s="306">
        <f t="shared" si="693"/>
        <v>0</v>
      </c>
      <c r="D3446" s="306">
        <f t="shared" si="694"/>
        <v>0</v>
      </c>
      <c r="E3446" s="306">
        <f t="shared" si="695"/>
        <v>0</v>
      </c>
      <c r="F3446" s="306">
        <f t="shared" si="696"/>
        <v>0</v>
      </c>
      <c r="G3446" s="306">
        <f t="shared" si="697"/>
        <v>0</v>
      </c>
      <c r="H3446" s="291"/>
    </row>
    <row r="3447" spans="1:8">
      <c r="A3447" s="289" t="s">
        <v>101</v>
      </c>
      <c r="B3447" s="306">
        <f t="shared" si="692"/>
        <v>-0.66577478723361794</v>
      </c>
      <c r="C3447" s="306">
        <f t="shared" si="693"/>
        <v>0</v>
      </c>
      <c r="D3447" s="306">
        <f t="shared" si="694"/>
        <v>0</v>
      </c>
      <c r="E3447" s="306">
        <f t="shared" si="695"/>
        <v>0</v>
      </c>
      <c r="F3447" s="306">
        <f t="shared" si="696"/>
        <v>0</v>
      </c>
      <c r="G3447" s="306">
        <f t="shared" si="697"/>
        <v>0.28489004161546949</v>
      </c>
      <c r="H3447" s="291"/>
    </row>
    <row r="3448" spans="1:8">
      <c r="A3448" s="289" t="s">
        <v>102</v>
      </c>
      <c r="B3448" s="306">
        <f t="shared" si="692"/>
        <v>-5.5944982554061342</v>
      </c>
      <c r="C3448" s="306">
        <f t="shared" si="693"/>
        <v>-0.42527303695799529</v>
      </c>
      <c r="D3448" s="306">
        <f t="shared" si="694"/>
        <v>-5.4661366256107138E-2</v>
      </c>
      <c r="E3448" s="306">
        <f t="shared" si="695"/>
        <v>0</v>
      </c>
      <c r="F3448" s="306">
        <f t="shared" si="696"/>
        <v>0</v>
      </c>
      <c r="G3448" s="306">
        <f t="shared" si="697"/>
        <v>0.28489004161546949</v>
      </c>
      <c r="H3448" s="291"/>
    </row>
    <row r="3449" spans="1:8">
      <c r="A3449" s="289" t="s">
        <v>103</v>
      </c>
      <c r="B3449" s="306">
        <f t="shared" si="692"/>
        <v>-0.56665124219375462</v>
      </c>
      <c r="C3449" s="306">
        <f t="shared" si="693"/>
        <v>0</v>
      </c>
      <c r="D3449" s="306">
        <f t="shared" si="694"/>
        <v>0</v>
      </c>
      <c r="E3449" s="306">
        <f t="shared" si="695"/>
        <v>0</v>
      </c>
      <c r="F3449" s="306">
        <f t="shared" si="696"/>
        <v>0</v>
      </c>
      <c r="G3449" s="306">
        <f t="shared" si="697"/>
        <v>0.242752432445283</v>
      </c>
      <c r="H3449" s="291"/>
    </row>
    <row r="3450" spans="1:8">
      <c r="A3450" s="289" t="s">
        <v>104</v>
      </c>
      <c r="B3450" s="306">
        <f t="shared" si="692"/>
        <v>-4.764140575022175</v>
      </c>
      <c r="C3450" s="306">
        <f t="shared" si="693"/>
        <v>-0.36526982294310362</v>
      </c>
      <c r="D3450" s="306">
        <f t="shared" si="694"/>
        <v>-4.4403869301890747E-2</v>
      </c>
      <c r="E3450" s="306">
        <f t="shared" si="695"/>
        <v>0</v>
      </c>
      <c r="F3450" s="306">
        <f t="shared" si="696"/>
        <v>0</v>
      </c>
      <c r="G3450" s="306">
        <f t="shared" si="697"/>
        <v>0.242752432445283</v>
      </c>
      <c r="H3450" s="291"/>
    </row>
    <row r="3451" spans="1:8">
      <c r="A3451" s="289" t="s">
        <v>112</v>
      </c>
      <c r="B3451" s="306">
        <f t="shared" si="692"/>
        <v>-0.28756768674820427</v>
      </c>
      <c r="C3451" s="306">
        <f t="shared" si="693"/>
        <v>0</v>
      </c>
      <c r="D3451" s="306">
        <f t="shared" si="694"/>
        <v>0</v>
      </c>
      <c r="E3451" s="306">
        <f t="shared" si="695"/>
        <v>35.333914022225869</v>
      </c>
      <c r="F3451" s="306">
        <f t="shared" si="696"/>
        <v>0</v>
      </c>
      <c r="G3451" s="306">
        <f t="shared" si="697"/>
        <v>0.19640803372980634</v>
      </c>
      <c r="H3451" s="291"/>
    </row>
    <row r="3452" spans="1:8">
      <c r="A3452" s="289" t="s">
        <v>113</v>
      </c>
      <c r="B3452" s="306">
        <f t="shared" si="692"/>
        <v>-2.4282988565257835</v>
      </c>
      <c r="C3452" s="306">
        <f t="shared" si="693"/>
        <v>-0.1955460971701572</v>
      </c>
      <c r="D3452" s="306">
        <f t="shared" si="694"/>
        <v>-1.5628922364129803E-2</v>
      </c>
      <c r="E3452" s="306">
        <f t="shared" si="695"/>
        <v>35.333914022225869</v>
      </c>
      <c r="F3452" s="306">
        <f t="shared" si="696"/>
        <v>0</v>
      </c>
      <c r="G3452" s="306">
        <f t="shared" si="697"/>
        <v>0.19640803372980634</v>
      </c>
      <c r="H3452" s="291"/>
    </row>
    <row r="3454" spans="1:8" ht="21" customHeight="1">
      <c r="A3454" s="1" t="str">
        <f>"Revenue shortfall or surplus for "&amp;CDCM!B7&amp;" in "&amp;CDCM!C7&amp;" ("&amp;CDCM!D7&amp;")"</f>
        <v>Revenue shortfall or surplus for West Mids in 0 (Forecast)</v>
      </c>
    </row>
    <row r="3456" spans="1:8" ht="21" customHeight="1">
      <c r="A3456" s="1" t="s">
        <v>777</v>
      </c>
    </row>
    <row r="3457" spans="1:1">
      <c r="A3457" s="287" t="s">
        <v>255</v>
      </c>
    </row>
    <row r="3458" spans="1:1">
      <c r="A3458" s="301" t="s">
        <v>376</v>
      </c>
    </row>
    <row r="3459" spans="1:1">
      <c r="A3459" s="301" t="s">
        <v>778</v>
      </c>
    </row>
    <row r="3460" spans="1:1">
      <c r="A3460" s="301" t="s">
        <v>779</v>
      </c>
    </row>
    <row r="3461" spans="1:1">
      <c r="A3461" s="301" t="s">
        <v>780</v>
      </c>
    </row>
    <row r="3462" spans="1:1">
      <c r="A3462" s="301" t="s">
        <v>781</v>
      </c>
    </row>
    <row r="3463" spans="1:1">
      <c r="A3463" s="301" t="s">
        <v>782</v>
      </c>
    </row>
    <row r="3464" spans="1:1">
      <c r="A3464" s="301" t="s">
        <v>783</v>
      </c>
    </row>
    <row r="3465" spans="1:1">
      <c r="A3465" s="301" t="s">
        <v>784</v>
      </c>
    </row>
    <row r="3466" spans="1:1">
      <c r="A3466" s="301" t="s">
        <v>785</v>
      </c>
    </row>
    <row r="3467" spans="1:1">
      <c r="A3467" s="301" t="s">
        <v>786</v>
      </c>
    </row>
    <row r="3468" spans="1:1">
      <c r="A3468" s="301" t="s">
        <v>787</v>
      </c>
    </row>
    <row r="3469" spans="1:1">
      <c r="A3469" s="301" t="s">
        <v>788</v>
      </c>
    </row>
    <row r="3470" spans="1:1">
      <c r="A3470" s="301" t="s">
        <v>789</v>
      </c>
    </row>
    <row r="3471" spans="1:1">
      <c r="A3471" s="287" t="s">
        <v>790</v>
      </c>
    </row>
    <row r="3473" spans="1:3">
      <c r="B3473" s="288" t="s">
        <v>791</v>
      </c>
    </row>
    <row r="3474" spans="1:3">
      <c r="A3474" s="289" t="s">
        <v>92</v>
      </c>
      <c r="B3474" s="312">
        <f t="shared" ref="B3474:B3500" si="698">0.01*F$14*(E3426*E1170+F3426*F1170)+10*(B3426*B1170+C3426*C1170+D3426*D1170+G3426*G1170)</f>
        <v>125293320.53293797</v>
      </c>
      <c r="C3474" s="291"/>
    </row>
    <row r="3475" spans="1:3">
      <c r="A3475" s="289" t="s">
        <v>93</v>
      </c>
      <c r="B3475" s="312">
        <f t="shared" si="698"/>
        <v>20122668.794461969</v>
      </c>
      <c r="C3475" s="291"/>
    </row>
    <row r="3476" spans="1:3">
      <c r="A3476" s="289" t="s">
        <v>129</v>
      </c>
      <c r="B3476" s="312">
        <f t="shared" si="698"/>
        <v>53356.069989686701</v>
      </c>
      <c r="C3476" s="291"/>
    </row>
    <row r="3477" spans="1:3">
      <c r="A3477" s="289" t="s">
        <v>94</v>
      </c>
      <c r="B3477" s="312">
        <f t="shared" si="698"/>
        <v>23509713.83626717</v>
      </c>
      <c r="C3477" s="291"/>
    </row>
    <row r="3478" spans="1:3">
      <c r="A3478" s="289" t="s">
        <v>95</v>
      </c>
      <c r="B3478" s="312">
        <f t="shared" si="698"/>
        <v>8114678.4531383533</v>
      </c>
      <c r="C3478" s="291"/>
    </row>
    <row r="3479" spans="1:3">
      <c r="A3479" s="289" t="s">
        <v>130</v>
      </c>
      <c r="B3479" s="312">
        <f t="shared" si="698"/>
        <v>16053.034950137891</v>
      </c>
      <c r="C3479" s="291"/>
    </row>
    <row r="3480" spans="1:3">
      <c r="A3480" s="289" t="s">
        <v>96</v>
      </c>
      <c r="B3480" s="312">
        <f t="shared" si="698"/>
        <v>0</v>
      </c>
      <c r="C3480" s="291"/>
    </row>
    <row r="3481" spans="1:3">
      <c r="A3481" s="289" t="s">
        <v>97</v>
      </c>
      <c r="B3481" s="312">
        <f t="shared" si="698"/>
        <v>0</v>
      </c>
      <c r="C3481" s="291"/>
    </row>
    <row r="3482" spans="1:3">
      <c r="A3482" s="289" t="s">
        <v>110</v>
      </c>
      <c r="B3482" s="312">
        <f t="shared" si="698"/>
        <v>0</v>
      </c>
      <c r="C3482" s="291"/>
    </row>
    <row r="3483" spans="1:3">
      <c r="A3483" s="289" t="s">
        <v>1536</v>
      </c>
      <c r="B3483" s="312">
        <f t="shared" si="698"/>
        <v>0</v>
      </c>
      <c r="C3483" s="291"/>
    </row>
    <row r="3484" spans="1:3">
      <c r="A3484" s="289" t="s">
        <v>1535</v>
      </c>
      <c r="B3484" s="312">
        <f t="shared" si="698"/>
        <v>6709745.8107507257</v>
      </c>
      <c r="C3484" s="291"/>
    </row>
    <row r="3485" spans="1:3">
      <c r="A3485" s="289" t="s">
        <v>98</v>
      </c>
      <c r="B3485" s="312">
        <f t="shared" si="698"/>
        <v>45983376.913222402</v>
      </c>
      <c r="C3485" s="291"/>
    </row>
    <row r="3486" spans="1:3">
      <c r="A3486" s="289" t="s">
        <v>99</v>
      </c>
      <c r="B3486" s="312">
        <f t="shared" si="698"/>
        <v>1370726.7074583289</v>
      </c>
      <c r="C3486" s="291"/>
    </row>
    <row r="3487" spans="1:3">
      <c r="A3487" s="289" t="s">
        <v>111</v>
      </c>
      <c r="B3487" s="312">
        <f t="shared" si="698"/>
        <v>79322397.58462958</v>
      </c>
      <c r="C3487" s="291"/>
    </row>
    <row r="3488" spans="1:3">
      <c r="A3488" s="289" t="s">
        <v>131</v>
      </c>
      <c r="B3488" s="312">
        <f t="shared" si="698"/>
        <v>862334.07700644934</v>
      </c>
      <c r="C3488" s="291"/>
    </row>
    <row r="3489" spans="1:3">
      <c r="A3489" s="289" t="s">
        <v>132</v>
      </c>
      <c r="B3489" s="312">
        <f t="shared" si="698"/>
        <v>320359.03318095842</v>
      </c>
      <c r="C3489" s="291"/>
    </row>
    <row r="3490" spans="1:3">
      <c r="A3490" s="289" t="s">
        <v>133</v>
      </c>
      <c r="B3490" s="312">
        <f t="shared" si="698"/>
        <v>22736.186953864817</v>
      </c>
      <c r="C3490" s="291"/>
    </row>
    <row r="3491" spans="1:3">
      <c r="A3491" s="289" t="s">
        <v>134</v>
      </c>
      <c r="B3491" s="312">
        <f t="shared" si="698"/>
        <v>60882.306167377072</v>
      </c>
      <c r="C3491" s="291"/>
    </row>
    <row r="3492" spans="1:3">
      <c r="A3492" s="289" t="s">
        <v>135</v>
      </c>
      <c r="B3492" s="312">
        <f t="shared" si="698"/>
        <v>4969349.4705102742</v>
      </c>
      <c r="C3492" s="291"/>
    </row>
    <row r="3493" spans="1:3">
      <c r="A3493" s="289" t="s">
        <v>1534</v>
      </c>
      <c r="B3493" s="312">
        <f t="shared" si="698"/>
        <v>-11056.635228156911</v>
      </c>
      <c r="C3493" s="291"/>
    </row>
    <row r="3494" spans="1:3">
      <c r="A3494" s="289" t="s">
        <v>100</v>
      </c>
      <c r="B3494" s="312">
        <f t="shared" si="698"/>
        <v>0</v>
      </c>
      <c r="C3494" s="291"/>
    </row>
    <row r="3495" spans="1:3">
      <c r="A3495" s="289" t="s">
        <v>101</v>
      </c>
      <c r="B3495" s="312">
        <f t="shared" si="698"/>
        <v>-161532.8930941328</v>
      </c>
      <c r="C3495" s="291"/>
    </row>
    <row r="3496" spans="1:3">
      <c r="A3496" s="289" t="s">
        <v>102</v>
      </c>
      <c r="B3496" s="312">
        <f t="shared" si="698"/>
        <v>-63470.73867711104</v>
      </c>
      <c r="C3496" s="291"/>
    </row>
    <row r="3497" spans="1:3">
      <c r="A3497" s="289" t="s">
        <v>103</v>
      </c>
      <c r="B3497" s="312">
        <f t="shared" si="698"/>
        <v>-6574.7395267479906</v>
      </c>
      <c r="C3497" s="291"/>
    </row>
    <row r="3498" spans="1:3">
      <c r="A3498" s="289" t="s">
        <v>104</v>
      </c>
      <c r="B3498" s="312">
        <f t="shared" si="698"/>
        <v>-80939.917881575428</v>
      </c>
      <c r="C3498" s="291"/>
    </row>
    <row r="3499" spans="1:3">
      <c r="A3499" s="289" t="s">
        <v>112</v>
      </c>
      <c r="B3499" s="312">
        <f t="shared" si="698"/>
        <v>-261436.96052071938</v>
      </c>
      <c r="C3499" s="291"/>
    </row>
    <row r="3500" spans="1:3">
      <c r="A3500" s="289" t="s">
        <v>113</v>
      </c>
      <c r="B3500" s="312">
        <f t="shared" si="698"/>
        <v>-2007067.4625737576</v>
      </c>
      <c r="C3500" s="291"/>
    </row>
    <row r="3502" spans="1:3" ht="21" customHeight="1">
      <c r="A3502" s="1" t="s">
        <v>1488</v>
      </c>
    </row>
    <row r="3503" spans="1:3">
      <c r="A3503" s="287" t="s">
        <v>255</v>
      </c>
    </row>
    <row r="3504" spans="1:3">
      <c r="A3504" s="301" t="s">
        <v>792</v>
      </c>
    </row>
    <row r="3505" spans="1:4">
      <c r="A3505" s="301" t="s">
        <v>1487</v>
      </c>
    </row>
    <row r="3506" spans="1:4">
      <c r="A3506" s="301" t="s">
        <v>793</v>
      </c>
    </row>
    <row r="3507" spans="1:4">
      <c r="A3507" s="302" t="s">
        <v>258</v>
      </c>
      <c r="B3507" s="302" t="s">
        <v>381</v>
      </c>
      <c r="C3507" s="302" t="s">
        <v>380</v>
      </c>
    </row>
    <row r="3508" spans="1:4">
      <c r="A3508" s="302" t="s">
        <v>261</v>
      </c>
      <c r="B3508" s="302" t="s">
        <v>431</v>
      </c>
      <c r="C3508" s="302" t="s">
        <v>794</v>
      </c>
    </row>
    <row r="3510" spans="1:4" ht="30">
      <c r="B3510" s="288" t="s">
        <v>795</v>
      </c>
      <c r="C3510" s="288" t="s">
        <v>796</v>
      </c>
    </row>
    <row r="3511" spans="1:4">
      <c r="A3511" s="289" t="s">
        <v>797</v>
      </c>
      <c r="B3511" s="312">
        <f>SUM(B$3474:B$3500)</f>
        <v>314139619.46412307</v>
      </c>
      <c r="C3511" s="312">
        <f>B325-B3511</f>
        <v>218011219.027475</v>
      </c>
      <c r="D3511" s="291"/>
    </row>
    <row r="3513" spans="1:4" ht="21" customHeight="1">
      <c r="A3513" s="1" t="str">
        <f>"Revenue matching for "&amp;CDCM!B7&amp;" in "&amp;CDCM!C7&amp;" ("&amp;CDCM!D7&amp;")"</f>
        <v>Revenue matching for West Mids in 0 (Forecast)</v>
      </c>
    </row>
    <row r="3514" spans="1:4">
      <c r="A3514" s="287" t="s">
        <v>798</v>
      </c>
    </row>
    <row r="3516" spans="1:4" ht="21" customHeight="1">
      <c r="A3516" s="1" t="s">
        <v>799</v>
      </c>
    </row>
    <row r="3517" spans="1:4">
      <c r="A3517" s="287" t="s">
        <v>255</v>
      </c>
    </row>
    <row r="3518" spans="1:4">
      <c r="A3518" s="301" t="s">
        <v>713</v>
      </c>
    </row>
    <row r="3519" spans="1:4">
      <c r="A3519" s="287" t="s">
        <v>800</v>
      </c>
    </row>
    <row r="3521" spans="1:24" ht="30">
      <c r="B3521" s="288" t="s">
        <v>208</v>
      </c>
    </row>
    <row r="3522" spans="1:24">
      <c r="A3522" s="289" t="s">
        <v>801</v>
      </c>
      <c r="B3522" s="306">
        <f>IF($K2759,1/$K2759,0)</f>
        <v>0.28376842968192789</v>
      </c>
      <c r="C3522" s="291"/>
    </row>
    <row r="3524" spans="1:24" ht="21" customHeight="1">
      <c r="A3524" s="1" t="s">
        <v>802</v>
      </c>
    </row>
    <row r="3525" spans="1:24">
      <c r="A3525" s="287" t="s">
        <v>255</v>
      </c>
    </row>
    <row r="3526" spans="1:24">
      <c r="A3526" s="301" t="s">
        <v>803</v>
      </c>
    </row>
    <row r="3527" spans="1:24">
      <c r="A3527" s="287" t="s">
        <v>804</v>
      </c>
    </row>
    <row r="3528" spans="1:24">
      <c r="A3528" s="287" t="s">
        <v>273</v>
      </c>
    </row>
    <row r="3530" spans="1:24" ht="30">
      <c r="B3530" s="288" t="s">
        <v>60</v>
      </c>
      <c r="C3530" s="288" t="s">
        <v>220</v>
      </c>
      <c r="D3530" s="288" t="s">
        <v>221</v>
      </c>
      <c r="E3530" s="288" t="s">
        <v>222</v>
      </c>
      <c r="F3530" s="288" t="s">
        <v>223</v>
      </c>
      <c r="G3530" s="288" t="s">
        <v>224</v>
      </c>
      <c r="H3530" s="288" t="s">
        <v>225</v>
      </c>
      <c r="I3530" s="288" t="s">
        <v>226</v>
      </c>
      <c r="J3530" s="288" t="s">
        <v>227</v>
      </c>
      <c r="K3530" s="288" t="s">
        <v>364</v>
      </c>
      <c r="L3530" s="288" t="s">
        <v>371</v>
      </c>
      <c r="M3530" s="288" t="s">
        <v>208</v>
      </c>
      <c r="N3530" s="288" t="s">
        <v>618</v>
      </c>
      <c r="O3530" s="288" t="s">
        <v>619</v>
      </c>
      <c r="P3530" s="288" t="s">
        <v>620</v>
      </c>
      <c r="Q3530" s="288" t="s">
        <v>621</v>
      </c>
      <c r="R3530" s="288" t="s">
        <v>622</v>
      </c>
      <c r="S3530" s="288" t="s">
        <v>623</v>
      </c>
      <c r="T3530" s="288" t="s">
        <v>624</v>
      </c>
      <c r="U3530" s="288" t="s">
        <v>625</v>
      </c>
      <c r="V3530" s="288" t="s">
        <v>626</v>
      </c>
      <c r="W3530" s="288" t="s">
        <v>627</v>
      </c>
    </row>
    <row r="3531" spans="1:24">
      <c r="A3531" s="289" t="s">
        <v>805</v>
      </c>
      <c r="B3531" s="294">
        <v>0</v>
      </c>
      <c r="C3531" s="294">
        <v>0</v>
      </c>
      <c r="D3531" s="294">
        <v>0</v>
      </c>
      <c r="E3531" s="294">
        <v>0</v>
      </c>
      <c r="F3531" s="294">
        <v>0</v>
      </c>
      <c r="G3531" s="294">
        <v>0</v>
      </c>
      <c r="H3531" s="294">
        <v>0</v>
      </c>
      <c r="I3531" s="294">
        <v>0</v>
      </c>
      <c r="J3531" s="294">
        <v>0</v>
      </c>
      <c r="K3531" s="294">
        <v>0</v>
      </c>
      <c r="L3531" s="294">
        <v>0</v>
      </c>
      <c r="M3531" s="307">
        <f>$B3522</f>
        <v>0.28376842968192789</v>
      </c>
      <c r="N3531" s="294">
        <v>0</v>
      </c>
      <c r="O3531" s="294">
        <v>0</v>
      </c>
      <c r="P3531" s="294">
        <v>0</v>
      </c>
      <c r="Q3531" s="294">
        <v>0</v>
      </c>
      <c r="R3531" s="294">
        <v>0</v>
      </c>
      <c r="S3531" s="294">
        <v>0</v>
      </c>
      <c r="T3531" s="294">
        <v>0</v>
      </c>
      <c r="U3531" s="294">
        <v>0</v>
      </c>
      <c r="V3531" s="294">
        <v>0</v>
      </c>
      <c r="W3531" s="294">
        <v>0</v>
      </c>
      <c r="X3531" s="291"/>
    </row>
    <row r="3533" spans="1:24" ht="21" customHeight="1">
      <c r="A3533" s="1" t="s">
        <v>806</v>
      </c>
    </row>
    <row r="3534" spans="1:24">
      <c r="A3534" s="287" t="s">
        <v>255</v>
      </c>
    </row>
    <row r="3535" spans="1:24">
      <c r="A3535" s="301" t="s">
        <v>765</v>
      </c>
    </row>
    <row r="3536" spans="1:24">
      <c r="A3536" s="301" t="s">
        <v>807</v>
      </c>
    </row>
    <row r="3537" spans="1:8">
      <c r="A3537" s="301" t="s">
        <v>808</v>
      </c>
    </row>
    <row r="3538" spans="1:8">
      <c r="A3538" s="301" t="s">
        <v>809</v>
      </c>
    </row>
    <row r="3539" spans="1:8">
      <c r="A3539" s="301" t="s">
        <v>810</v>
      </c>
    </row>
    <row r="3540" spans="1:8">
      <c r="A3540" s="301" t="s">
        <v>811</v>
      </c>
    </row>
    <row r="3541" spans="1:8">
      <c r="A3541" s="301" t="s">
        <v>812</v>
      </c>
    </row>
    <row r="3542" spans="1:8">
      <c r="A3542" s="302" t="s">
        <v>258</v>
      </c>
      <c r="B3542" s="302" t="s">
        <v>260</v>
      </c>
      <c r="C3542" s="302" t="s">
        <v>260</v>
      </c>
      <c r="D3542" s="302" t="s">
        <v>260</v>
      </c>
      <c r="E3542" s="302" t="s">
        <v>260</v>
      </c>
      <c r="F3542" s="302" t="s">
        <v>260</v>
      </c>
      <c r="G3542" s="302" t="s">
        <v>260</v>
      </c>
    </row>
    <row r="3543" spans="1:8">
      <c r="A3543" s="302" t="s">
        <v>261</v>
      </c>
      <c r="B3543" s="302" t="s">
        <v>263</v>
      </c>
      <c r="C3543" s="302" t="s">
        <v>813</v>
      </c>
      <c r="D3543" s="302" t="s">
        <v>814</v>
      </c>
      <c r="E3543" s="302" t="s">
        <v>815</v>
      </c>
      <c r="F3543" s="302" t="s">
        <v>816</v>
      </c>
      <c r="G3543" s="302" t="s">
        <v>817</v>
      </c>
    </row>
    <row r="3545" spans="1:8" ht="30">
      <c r="B3545" s="288" t="s">
        <v>818</v>
      </c>
      <c r="C3545" s="288" t="s">
        <v>819</v>
      </c>
      <c r="D3545" s="288" t="s">
        <v>820</v>
      </c>
      <c r="E3545" s="288" t="s">
        <v>821</v>
      </c>
      <c r="F3545" s="288" t="s">
        <v>822</v>
      </c>
      <c r="G3545" s="288" t="s">
        <v>823</v>
      </c>
    </row>
    <row r="3546" spans="1:8">
      <c r="A3546" s="289" t="s">
        <v>92</v>
      </c>
      <c r="B3546" s="306">
        <f t="shared" ref="B3546:B3572" si="699">SUMPRODUCT($B3203:$W3203,$B$3531:$W$3531)</f>
        <v>2.4867092316600066E-2</v>
      </c>
      <c r="C3546" s="306">
        <f t="shared" ref="C3546:C3572" si="700">SUMPRODUCT($B3241:$W3241,$B$3531:$W$3531)</f>
        <v>0</v>
      </c>
      <c r="D3546" s="306">
        <f t="shared" ref="D3546:D3572" si="701">SUMPRODUCT($B3279:$W3279,$B$3531:$W$3531)</f>
        <v>0</v>
      </c>
      <c r="E3546" s="306">
        <f t="shared" ref="E3546:E3572" si="702">SUMPRODUCT($B3317:$W3317,$B$3531:$W$3531)</f>
        <v>0</v>
      </c>
      <c r="F3546" s="306">
        <f t="shared" ref="F3546:F3572" si="703">SUMPRODUCT($B3351:$W3351,$B$3531:$W$3531)</f>
        <v>0</v>
      </c>
      <c r="G3546" s="306">
        <f t="shared" ref="G3546:G3572" si="704">SUMPRODUCT($B3386:$W3386,$B$3531:$W$3531)</f>
        <v>0</v>
      </c>
      <c r="H3546" s="291"/>
    </row>
    <row r="3547" spans="1:8">
      <c r="A3547" s="289" t="s">
        <v>93</v>
      </c>
      <c r="B3547" s="306">
        <f t="shared" si="699"/>
        <v>2.9527772207138897E-2</v>
      </c>
      <c r="C3547" s="306">
        <f t="shared" si="700"/>
        <v>0</v>
      </c>
      <c r="D3547" s="306">
        <f t="shared" si="701"/>
        <v>0</v>
      </c>
      <c r="E3547" s="306">
        <f t="shared" si="702"/>
        <v>0</v>
      </c>
      <c r="F3547" s="306">
        <f t="shared" si="703"/>
        <v>0</v>
      </c>
      <c r="G3547" s="306">
        <f t="shared" si="704"/>
        <v>0</v>
      </c>
      <c r="H3547" s="291"/>
    </row>
    <row r="3548" spans="1:8">
      <c r="A3548" s="289" t="s">
        <v>129</v>
      </c>
      <c r="B3548" s="306">
        <f t="shared" si="699"/>
        <v>1.5396065784974093E-3</v>
      </c>
      <c r="C3548" s="306">
        <f t="shared" si="700"/>
        <v>0</v>
      </c>
      <c r="D3548" s="306">
        <f t="shared" si="701"/>
        <v>0</v>
      </c>
      <c r="E3548" s="306">
        <f t="shared" si="702"/>
        <v>0</v>
      </c>
      <c r="F3548" s="306">
        <f t="shared" si="703"/>
        <v>0</v>
      </c>
      <c r="G3548" s="306">
        <f t="shared" si="704"/>
        <v>0</v>
      </c>
      <c r="H3548" s="291"/>
    </row>
    <row r="3549" spans="1:8">
      <c r="A3549" s="289" t="s">
        <v>94</v>
      </c>
      <c r="B3549" s="306">
        <f t="shared" si="699"/>
        <v>2.29412447326891E-2</v>
      </c>
      <c r="C3549" s="306">
        <f t="shared" si="700"/>
        <v>0</v>
      </c>
      <c r="D3549" s="306">
        <f t="shared" si="701"/>
        <v>0</v>
      </c>
      <c r="E3549" s="306">
        <f t="shared" si="702"/>
        <v>0</v>
      </c>
      <c r="F3549" s="306">
        <f t="shared" si="703"/>
        <v>0</v>
      </c>
      <c r="G3549" s="306">
        <f t="shared" si="704"/>
        <v>0</v>
      </c>
      <c r="H3549" s="291"/>
    </row>
    <row r="3550" spans="1:8">
      <c r="A3550" s="289" t="s">
        <v>95</v>
      </c>
      <c r="B3550" s="306">
        <f t="shared" si="699"/>
        <v>2.6323018048437417E-2</v>
      </c>
      <c r="C3550" s="306">
        <f t="shared" si="700"/>
        <v>0</v>
      </c>
      <c r="D3550" s="306">
        <f t="shared" si="701"/>
        <v>0</v>
      </c>
      <c r="E3550" s="306">
        <f t="shared" si="702"/>
        <v>0</v>
      </c>
      <c r="F3550" s="306">
        <f t="shared" si="703"/>
        <v>0</v>
      </c>
      <c r="G3550" s="306">
        <f t="shared" si="704"/>
        <v>0</v>
      </c>
      <c r="H3550" s="291"/>
    </row>
    <row r="3551" spans="1:8">
      <c r="A3551" s="289" t="s">
        <v>130</v>
      </c>
      <c r="B3551" s="306">
        <f t="shared" si="699"/>
        <v>3.5869517817733575E-3</v>
      </c>
      <c r="C3551" s="306">
        <f t="shared" si="700"/>
        <v>0</v>
      </c>
      <c r="D3551" s="306">
        <f t="shared" si="701"/>
        <v>0</v>
      </c>
      <c r="E3551" s="306">
        <f t="shared" si="702"/>
        <v>0</v>
      </c>
      <c r="F3551" s="306">
        <f t="shared" si="703"/>
        <v>0</v>
      </c>
      <c r="G3551" s="306">
        <f t="shared" si="704"/>
        <v>0</v>
      </c>
      <c r="H3551" s="291"/>
    </row>
    <row r="3552" spans="1:8">
      <c r="A3552" s="289" t="s">
        <v>96</v>
      </c>
      <c r="B3552" s="306">
        <f t="shared" si="699"/>
        <v>1.9260728018526897E-2</v>
      </c>
      <c r="C3552" s="306">
        <f t="shared" si="700"/>
        <v>0</v>
      </c>
      <c r="D3552" s="306">
        <f t="shared" si="701"/>
        <v>0</v>
      </c>
      <c r="E3552" s="306">
        <f t="shared" si="702"/>
        <v>0</v>
      </c>
      <c r="F3552" s="306">
        <f t="shared" si="703"/>
        <v>0</v>
      </c>
      <c r="G3552" s="306">
        <f t="shared" si="704"/>
        <v>0</v>
      </c>
      <c r="H3552" s="291"/>
    </row>
    <row r="3553" spans="1:8">
      <c r="A3553" s="289" t="s">
        <v>97</v>
      </c>
      <c r="B3553" s="306">
        <f t="shared" si="699"/>
        <v>1.8546106125086368E-2</v>
      </c>
      <c r="C3553" s="306">
        <f t="shared" si="700"/>
        <v>0</v>
      </c>
      <c r="D3553" s="306">
        <f t="shared" si="701"/>
        <v>0</v>
      </c>
      <c r="E3553" s="306">
        <f t="shared" si="702"/>
        <v>0</v>
      </c>
      <c r="F3553" s="306">
        <f t="shared" si="703"/>
        <v>0</v>
      </c>
      <c r="G3553" s="306">
        <f t="shared" si="704"/>
        <v>0</v>
      </c>
      <c r="H3553" s="291"/>
    </row>
    <row r="3554" spans="1:8">
      <c r="A3554" s="289" t="s">
        <v>110</v>
      </c>
      <c r="B3554" s="306">
        <f t="shared" si="699"/>
        <v>1.8077147991636035E-2</v>
      </c>
      <c r="C3554" s="306">
        <f t="shared" si="700"/>
        <v>0</v>
      </c>
      <c r="D3554" s="306">
        <f t="shared" si="701"/>
        <v>0</v>
      </c>
      <c r="E3554" s="306">
        <f t="shared" si="702"/>
        <v>0</v>
      </c>
      <c r="F3554" s="306">
        <f t="shared" si="703"/>
        <v>0</v>
      </c>
      <c r="G3554" s="306">
        <f t="shared" si="704"/>
        <v>0</v>
      </c>
      <c r="H3554" s="291"/>
    </row>
    <row r="3555" spans="1:8">
      <c r="A3555" s="289" t="s">
        <v>1536</v>
      </c>
      <c r="B3555" s="306">
        <f t="shared" si="699"/>
        <v>0.14813039442156462</v>
      </c>
      <c r="C3555" s="306">
        <f t="shared" si="700"/>
        <v>7.1944940689538245E-3</v>
      </c>
      <c r="D3555" s="306">
        <f t="shared" si="701"/>
        <v>0</v>
      </c>
      <c r="E3555" s="306">
        <f t="shared" si="702"/>
        <v>0</v>
      </c>
      <c r="F3555" s="306">
        <f t="shared" si="703"/>
        <v>0</v>
      </c>
      <c r="G3555" s="306">
        <f t="shared" si="704"/>
        <v>0</v>
      </c>
      <c r="H3555" s="291"/>
    </row>
    <row r="3556" spans="1:8">
      <c r="A3556" s="289" t="s">
        <v>1535</v>
      </c>
      <c r="B3556" s="306">
        <f t="shared" si="699"/>
        <v>0.14902159900351744</v>
      </c>
      <c r="C3556" s="306">
        <f t="shared" si="700"/>
        <v>7.2377786771135504E-3</v>
      </c>
      <c r="D3556" s="306">
        <f t="shared" si="701"/>
        <v>0</v>
      </c>
      <c r="E3556" s="306">
        <f t="shared" si="702"/>
        <v>0</v>
      </c>
      <c r="F3556" s="306">
        <f t="shared" si="703"/>
        <v>0</v>
      </c>
      <c r="G3556" s="306">
        <f t="shared" si="704"/>
        <v>0</v>
      </c>
      <c r="H3556" s="291"/>
    </row>
    <row r="3557" spans="1:8">
      <c r="A3557" s="289" t="s">
        <v>98</v>
      </c>
      <c r="B3557" s="306">
        <f t="shared" si="699"/>
        <v>0.14333068320661177</v>
      </c>
      <c r="C3557" s="306">
        <f t="shared" si="700"/>
        <v>6.9613785493232204E-3</v>
      </c>
      <c r="D3557" s="306">
        <f t="shared" si="701"/>
        <v>0</v>
      </c>
      <c r="E3557" s="306">
        <f t="shared" si="702"/>
        <v>0</v>
      </c>
      <c r="F3557" s="306">
        <f t="shared" si="703"/>
        <v>0</v>
      </c>
      <c r="G3557" s="306">
        <f t="shared" si="704"/>
        <v>4.8946824800720707E-3</v>
      </c>
      <c r="H3557" s="291"/>
    </row>
    <row r="3558" spans="1:8">
      <c r="A3558" s="289" t="s">
        <v>99</v>
      </c>
      <c r="B3558" s="306">
        <f t="shared" si="699"/>
        <v>0.15123444622595983</v>
      </c>
      <c r="C3558" s="306">
        <f t="shared" si="700"/>
        <v>7.3452536911343463E-3</v>
      </c>
      <c r="D3558" s="306">
        <f t="shared" si="701"/>
        <v>0</v>
      </c>
      <c r="E3558" s="306">
        <f t="shared" si="702"/>
        <v>0</v>
      </c>
      <c r="F3558" s="306">
        <f t="shared" si="703"/>
        <v>0</v>
      </c>
      <c r="G3558" s="306">
        <f t="shared" si="704"/>
        <v>4.9998052504628323E-3</v>
      </c>
      <c r="H3558" s="291"/>
    </row>
    <row r="3559" spans="1:8">
      <c r="A3559" s="289" t="s">
        <v>111</v>
      </c>
      <c r="B3559" s="306">
        <f t="shared" si="699"/>
        <v>0.12485907496747055</v>
      </c>
      <c r="C3559" s="306">
        <f t="shared" si="700"/>
        <v>6.0642373755656091E-3</v>
      </c>
      <c r="D3559" s="306">
        <f t="shared" si="701"/>
        <v>0</v>
      </c>
      <c r="E3559" s="306">
        <f t="shared" si="702"/>
        <v>0</v>
      </c>
      <c r="F3559" s="306">
        <f t="shared" si="703"/>
        <v>0</v>
      </c>
      <c r="G3559" s="306">
        <f t="shared" si="704"/>
        <v>3.8201324997803633E-3</v>
      </c>
      <c r="H3559" s="291"/>
    </row>
    <row r="3560" spans="1:8">
      <c r="A3560" s="289" t="s">
        <v>131</v>
      </c>
      <c r="B3560" s="306">
        <f t="shared" si="699"/>
        <v>1.4028617660546321E-2</v>
      </c>
      <c r="C3560" s="306">
        <f t="shared" si="700"/>
        <v>0</v>
      </c>
      <c r="D3560" s="306">
        <f t="shared" si="701"/>
        <v>0</v>
      </c>
      <c r="E3560" s="306">
        <f t="shared" si="702"/>
        <v>0</v>
      </c>
      <c r="F3560" s="306">
        <f t="shared" si="703"/>
        <v>0</v>
      </c>
      <c r="G3560" s="306">
        <f t="shared" si="704"/>
        <v>0</v>
      </c>
      <c r="H3560" s="291"/>
    </row>
    <row r="3561" spans="1:8">
      <c r="A3561" s="289" t="s">
        <v>132</v>
      </c>
      <c r="B3561" s="306">
        <f t="shared" si="699"/>
        <v>2.0336374053526209E-2</v>
      </c>
      <c r="C3561" s="306">
        <f t="shared" si="700"/>
        <v>0</v>
      </c>
      <c r="D3561" s="306">
        <f t="shared" si="701"/>
        <v>0</v>
      </c>
      <c r="E3561" s="306">
        <f t="shared" si="702"/>
        <v>0</v>
      </c>
      <c r="F3561" s="306">
        <f t="shared" si="703"/>
        <v>0</v>
      </c>
      <c r="G3561" s="306">
        <f t="shared" si="704"/>
        <v>0</v>
      </c>
      <c r="H3561" s="291"/>
    </row>
    <row r="3562" spans="1:8">
      <c r="A3562" s="289" t="s">
        <v>133</v>
      </c>
      <c r="B3562" s="306">
        <f t="shared" si="699"/>
        <v>3.7096298875360513E-2</v>
      </c>
      <c r="C3562" s="306">
        <f t="shared" si="700"/>
        <v>0</v>
      </c>
      <c r="D3562" s="306">
        <f t="shared" si="701"/>
        <v>0</v>
      </c>
      <c r="E3562" s="306">
        <f t="shared" si="702"/>
        <v>0</v>
      </c>
      <c r="F3562" s="306">
        <f t="shared" si="703"/>
        <v>0</v>
      </c>
      <c r="G3562" s="306">
        <f t="shared" si="704"/>
        <v>0</v>
      </c>
      <c r="H3562" s="291"/>
    </row>
    <row r="3563" spans="1:8">
      <c r="A3563" s="289" t="s">
        <v>134</v>
      </c>
      <c r="B3563" s="306">
        <f t="shared" si="699"/>
        <v>7.6434550851552738E-3</v>
      </c>
      <c r="C3563" s="306">
        <f t="shared" si="700"/>
        <v>0</v>
      </c>
      <c r="D3563" s="306">
        <f t="shared" si="701"/>
        <v>0</v>
      </c>
      <c r="E3563" s="306">
        <f t="shared" si="702"/>
        <v>0</v>
      </c>
      <c r="F3563" s="306">
        <f t="shared" si="703"/>
        <v>0</v>
      </c>
      <c r="G3563" s="306">
        <f t="shared" si="704"/>
        <v>0</v>
      </c>
      <c r="H3563" s="291"/>
    </row>
    <row r="3564" spans="1:8">
      <c r="A3564" s="289" t="s">
        <v>135</v>
      </c>
      <c r="B3564" s="306">
        <f t="shared" si="699"/>
        <v>0.40536666449304404</v>
      </c>
      <c r="C3564" s="306">
        <f t="shared" si="700"/>
        <v>5.7361918858594299E-3</v>
      </c>
      <c r="D3564" s="306">
        <f t="shared" si="701"/>
        <v>0</v>
      </c>
      <c r="E3564" s="306">
        <f t="shared" si="702"/>
        <v>0</v>
      </c>
      <c r="F3564" s="306">
        <f t="shared" si="703"/>
        <v>0</v>
      </c>
      <c r="G3564" s="306">
        <f t="shared" si="704"/>
        <v>0</v>
      </c>
      <c r="H3564" s="291"/>
    </row>
    <row r="3565" spans="1:8">
      <c r="A3565" s="289" t="s">
        <v>1534</v>
      </c>
      <c r="B3565" s="306">
        <f t="shared" si="699"/>
        <v>-1.240867579908676E-2</v>
      </c>
      <c r="C3565" s="306">
        <f t="shared" si="700"/>
        <v>0</v>
      </c>
      <c r="D3565" s="306">
        <f t="shared" si="701"/>
        <v>0</v>
      </c>
      <c r="E3565" s="306">
        <f t="shared" si="702"/>
        <v>0</v>
      </c>
      <c r="F3565" s="306">
        <f t="shared" si="703"/>
        <v>0</v>
      </c>
      <c r="G3565" s="306">
        <f t="shared" si="704"/>
        <v>0</v>
      </c>
      <c r="H3565" s="291"/>
    </row>
    <row r="3566" spans="1:8">
      <c r="A3566" s="289" t="s">
        <v>100</v>
      </c>
      <c r="B3566" s="306">
        <f t="shared" si="699"/>
        <v>-1.2214611872146121E-2</v>
      </c>
      <c r="C3566" s="306">
        <f t="shared" si="700"/>
        <v>0</v>
      </c>
      <c r="D3566" s="306">
        <f t="shared" si="701"/>
        <v>0</v>
      </c>
      <c r="E3566" s="306">
        <f t="shared" si="702"/>
        <v>0</v>
      </c>
      <c r="F3566" s="306">
        <f t="shared" si="703"/>
        <v>0</v>
      </c>
      <c r="G3566" s="306">
        <f t="shared" si="704"/>
        <v>0</v>
      </c>
      <c r="H3566" s="291"/>
    </row>
    <row r="3567" spans="1:8">
      <c r="A3567" s="289" t="s">
        <v>101</v>
      </c>
      <c r="B3567" s="306">
        <f t="shared" si="699"/>
        <v>-1.240867579908676E-2</v>
      </c>
      <c r="C3567" s="306">
        <f t="shared" si="700"/>
        <v>0</v>
      </c>
      <c r="D3567" s="306">
        <f t="shared" si="701"/>
        <v>0</v>
      </c>
      <c r="E3567" s="306">
        <f t="shared" si="702"/>
        <v>0</v>
      </c>
      <c r="F3567" s="306">
        <f t="shared" si="703"/>
        <v>0</v>
      </c>
      <c r="G3567" s="306">
        <f t="shared" si="704"/>
        <v>3.3132283169499226E-3</v>
      </c>
      <c r="H3567" s="291"/>
    </row>
    <row r="3568" spans="1:8">
      <c r="A3568" s="289" t="s">
        <v>102</v>
      </c>
      <c r="B3568" s="306">
        <f t="shared" si="699"/>
        <v>-0.11865485781022497</v>
      </c>
      <c r="C3568" s="306">
        <f t="shared" si="700"/>
        <v>-5.7629068909300632E-3</v>
      </c>
      <c r="D3568" s="306">
        <f t="shared" si="701"/>
        <v>0</v>
      </c>
      <c r="E3568" s="306">
        <f t="shared" si="702"/>
        <v>0</v>
      </c>
      <c r="F3568" s="306">
        <f t="shared" si="703"/>
        <v>0</v>
      </c>
      <c r="G3568" s="306">
        <f t="shared" si="704"/>
        <v>3.3132283169499226E-3</v>
      </c>
      <c r="H3568" s="291"/>
    </row>
    <row r="3569" spans="1:8">
      <c r="A3569" s="289" t="s">
        <v>103</v>
      </c>
      <c r="B3569" s="306">
        <f t="shared" si="699"/>
        <v>-1.2214611872146121E-2</v>
      </c>
      <c r="C3569" s="306">
        <f t="shared" si="700"/>
        <v>0</v>
      </c>
      <c r="D3569" s="306">
        <f t="shared" si="701"/>
        <v>0</v>
      </c>
      <c r="E3569" s="306">
        <f t="shared" si="702"/>
        <v>0</v>
      </c>
      <c r="F3569" s="306">
        <f t="shared" si="703"/>
        <v>0</v>
      </c>
      <c r="G3569" s="306">
        <f t="shared" si="704"/>
        <v>3.2614114987455536E-3</v>
      </c>
      <c r="H3569" s="291"/>
    </row>
    <row r="3570" spans="1:8">
      <c r="A3570" s="289" t="s">
        <v>104</v>
      </c>
      <c r="B3570" s="306">
        <f t="shared" si="699"/>
        <v>-0.11679917006158301</v>
      </c>
      <c r="C3570" s="306">
        <f t="shared" si="700"/>
        <v>-5.6727786322862631E-3</v>
      </c>
      <c r="D3570" s="306">
        <f t="shared" si="701"/>
        <v>0</v>
      </c>
      <c r="E3570" s="306">
        <f t="shared" si="702"/>
        <v>0</v>
      </c>
      <c r="F3570" s="306">
        <f t="shared" si="703"/>
        <v>0</v>
      </c>
      <c r="G3570" s="306">
        <f t="shared" si="704"/>
        <v>3.2614114987455536E-3</v>
      </c>
      <c r="H3570" s="291"/>
    </row>
    <row r="3571" spans="1:8">
      <c r="A3571" s="289" t="s">
        <v>112</v>
      </c>
      <c r="B3571" s="306">
        <f t="shared" si="699"/>
        <v>-1.1997716894977169E-2</v>
      </c>
      <c r="C3571" s="306">
        <f t="shared" si="700"/>
        <v>0</v>
      </c>
      <c r="D3571" s="306">
        <f t="shared" si="701"/>
        <v>0</v>
      </c>
      <c r="E3571" s="306">
        <f t="shared" si="702"/>
        <v>0</v>
      </c>
      <c r="F3571" s="306">
        <f t="shared" si="703"/>
        <v>0</v>
      </c>
      <c r="G3571" s="306">
        <f t="shared" si="704"/>
        <v>3.2034985842818477E-3</v>
      </c>
      <c r="H3571" s="291"/>
    </row>
    <row r="3572" spans="1:8">
      <c r="A3572" s="289" t="s">
        <v>113</v>
      </c>
      <c r="B3572" s="306">
        <f t="shared" si="699"/>
        <v>-0.11472516610721843</v>
      </c>
      <c r="C3572" s="306">
        <f t="shared" si="700"/>
        <v>-5.5720470490961318E-3</v>
      </c>
      <c r="D3572" s="306">
        <f t="shared" si="701"/>
        <v>0</v>
      </c>
      <c r="E3572" s="306">
        <f t="shared" si="702"/>
        <v>0</v>
      </c>
      <c r="F3572" s="306">
        <f t="shared" si="703"/>
        <v>0</v>
      </c>
      <c r="G3572" s="306">
        <f t="shared" si="704"/>
        <v>3.2034985842818477E-3</v>
      </c>
      <c r="H3572" s="291"/>
    </row>
    <row r="3574" spans="1:8" ht="21" customHeight="1">
      <c r="A3574" s="1" t="s">
        <v>1744</v>
      </c>
    </row>
    <row r="3575" spans="1:8">
      <c r="A3575" s="287" t="s">
        <v>255</v>
      </c>
    </row>
    <row r="3576" spans="1:8">
      <c r="A3576" s="301" t="s">
        <v>739</v>
      </c>
    </row>
    <row r="3577" spans="1:8">
      <c r="A3577" s="301" t="s">
        <v>847</v>
      </c>
    </row>
    <row r="3578" spans="1:8">
      <c r="A3578" s="301" t="s">
        <v>848</v>
      </c>
    </row>
    <row r="3579" spans="1:8">
      <c r="A3579" s="301" t="s">
        <v>849</v>
      </c>
    </row>
    <row r="3580" spans="1:8">
      <c r="A3580" s="301" t="s">
        <v>850</v>
      </c>
    </row>
    <row r="3581" spans="1:8">
      <c r="A3581" s="301" t="s">
        <v>851</v>
      </c>
    </row>
    <row r="3582" spans="1:8">
      <c r="A3582" s="301" t="s">
        <v>852</v>
      </c>
    </row>
    <row r="3583" spans="1:8">
      <c r="A3583" s="301" t="s">
        <v>853</v>
      </c>
    </row>
    <row r="3584" spans="1:8">
      <c r="A3584" s="301" t="s">
        <v>854</v>
      </c>
    </row>
    <row r="3585" spans="1:8">
      <c r="A3585" s="301" t="s">
        <v>855</v>
      </c>
    </row>
    <row r="3586" spans="1:8">
      <c r="A3586" s="301" t="s">
        <v>856</v>
      </c>
    </row>
    <row r="3587" spans="1:8">
      <c r="A3587" s="301" t="s">
        <v>857</v>
      </c>
    </row>
    <row r="3588" spans="1:8">
      <c r="A3588" s="301" t="s">
        <v>858</v>
      </c>
    </row>
    <row r="3589" spans="1:8">
      <c r="A3589" s="301" t="s">
        <v>859</v>
      </c>
    </row>
    <row r="3590" spans="1:8">
      <c r="A3590" s="302" t="s">
        <v>258</v>
      </c>
      <c r="B3590" s="302" t="s">
        <v>380</v>
      </c>
      <c r="C3590" s="302" t="s">
        <v>380</v>
      </c>
      <c r="D3590" s="302" t="s">
        <v>380</v>
      </c>
      <c r="E3590" s="302" t="s">
        <v>380</v>
      </c>
      <c r="F3590" s="302" t="s">
        <v>380</v>
      </c>
      <c r="G3590" s="302" t="s">
        <v>380</v>
      </c>
    </row>
    <row r="3591" spans="1:8">
      <c r="A3591" s="302" t="s">
        <v>261</v>
      </c>
      <c r="B3591" s="302" t="s">
        <v>860</v>
      </c>
      <c r="C3591" s="302" t="s">
        <v>861</v>
      </c>
      <c r="D3591" s="302" t="s">
        <v>862</v>
      </c>
      <c r="E3591" s="302" t="s">
        <v>863</v>
      </c>
      <c r="F3591" s="302" t="s">
        <v>864</v>
      </c>
      <c r="G3591" s="302" t="s">
        <v>865</v>
      </c>
    </row>
    <row r="3593" spans="1:8" ht="30">
      <c r="B3593" s="288" t="s">
        <v>866</v>
      </c>
      <c r="C3593" s="288" t="s">
        <v>867</v>
      </c>
      <c r="D3593" s="288" t="s">
        <v>868</v>
      </c>
      <c r="E3593" s="288" t="s">
        <v>869</v>
      </c>
      <c r="F3593" s="288" t="s">
        <v>870</v>
      </c>
      <c r="G3593" s="288" t="s">
        <v>871</v>
      </c>
    </row>
    <row r="3594" spans="1:8">
      <c r="A3594" s="289" t="s">
        <v>92</v>
      </c>
      <c r="B3594" s="306">
        <f t="shared" ref="B3594:B3620" si="705">IF(B914&lt;0,0,B3546*B1170*10)</f>
        <v>1758210.9372496787</v>
      </c>
      <c r="C3594" s="306">
        <f t="shared" ref="C3594:C3620" si="706">IF(B914&lt;0,0,C3546*C1170*10)</f>
        <v>0</v>
      </c>
      <c r="D3594" s="306">
        <f t="shared" ref="D3594:D3620" si="707">IF(B914&lt;0,0,D3546*D1170*10)</f>
        <v>0</v>
      </c>
      <c r="E3594" s="306">
        <f t="shared" ref="E3594:E3620" si="708">E3546*F$14*E1170/100</f>
        <v>0</v>
      </c>
      <c r="F3594" s="306">
        <f t="shared" ref="F3594:F3620" si="709">F3546*F$14*F1170/100</f>
        <v>0</v>
      </c>
      <c r="G3594" s="306">
        <f t="shared" ref="G3594:G3620" si="710">IF(B914&lt;0,0,G3546*G1170*10)</f>
        <v>0</v>
      </c>
      <c r="H3594" s="291"/>
    </row>
    <row r="3595" spans="1:8">
      <c r="A3595" s="289" t="s">
        <v>93</v>
      </c>
      <c r="B3595" s="306">
        <f t="shared" si="705"/>
        <v>276583.00427776924</v>
      </c>
      <c r="C3595" s="306">
        <f t="shared" si="706"/>
        <v>0</v>
      </c>
      <c r="D3595" s="306">
        <f t="shared" si="707"/>
        <v>0</v>
      </c>
      <c r="E3595" s="306">
        <f t="shared" si="708"/>
        <v>0</v>
      </c>
      <c r="F3595" s="306">
        <f t="shared" si="709"/>
        <v>0</v>
      </c>
      <c r="G3595" s="306">
        <f t="shared" si="710"/>
        <v>0</v>
      </c>
      <c r="H3595" s="291"/>
    </row>
    <row r="3596" spans="1:8">
      <c r="A3596" s="289" t="s">
        <v>129</v>
      </c>
      <c r="B3596" s="306">
        <f t="shared" si="705"/>
        <v>555.897482531018</v>
      </c>
      <c r="C3596" s="306">
        <f t="shared" si="706"/>
        <v>0</v>
      </c>
      <c r="D3596" s="306">
        <f t="shared" si="707"/>
        <v>0</v>
      </c>
      <c r="E3596" s="306">
        <f t="shared" si="708"/>
        <v>0</v>
      </c>
      <c r="F3596" s="306">
        <f t="shared" si="709"/>
        <v>0</v>
      </c>
      <c r="G3596" s="306">
        <f t="shared" si="710"/>
        <v>0</v>
      </c>
      <c r="H3596" s="291"/>
    </row>
    <row r="3597" spans="1:8">
      <c r="A3597" s="289" t="s">
        <v>94</v>
      </c>
      <c r="B3597" s="306">
        <f t="shared" si="705"/>
        <v>373708.98090410593</v>
      </c>
      <c r="C3597" s="306">
        <f t="shared" si="706"/>
        <v>0</v>
      </c>
      <c r="D3597" s="306">
        <f t="shared" si="707"/>
        <v>0</v>
      </c>
      <c r="E3597" s="306">
        <f t="shared" si="708"/>
        <v>0</v>
      </c>
      <c r="F3597" s="306">
        <f t="shared" si="709"/>
        <v>0</v>
      </c>
      <c r="G3597" s="306">
        <f t="shared" si="710"/>
        <v>0</v>
      </c>
      <c r="H3597" s="291"/>
    </row>
    <row r="3598" spans="1:8">
      <c r="A3598" s="289" t="s">
        <v>95</v>
      </c>
      <c r="B3598" s="306">
        <f t="shared" si="705"/>
        <v>133632.76164962718</v>
      </c>
      <c r="C3598" s="306">
        <f t="shared" si="706"/>
        <v>0</v>
      </c>
      <c r="D3598" s="306">
        <f t="shared" si="707"/>
        <v>0</v>
      </c>
      <c r="E3598" s="306">
        <f t="shared" si="708"/>
        <v>0</v>
      </c>
      <c r="F3598" s="306">
        <f t="shared" si="709"/>
        <v>0</v>
      </c>
      <c r="G3598" s="306">
        <f t="shared" si="710"/>
        <v>0</v>
      </c>
      <c r="H3598" s="291"/>
    </row>
    <row r="3599" spans="1:8">
      <c r="A3599" s="289" t="s">
        <v>130</v>
      </c>
      <c r="B3599" s="306">
        <f t="shared" si="705"/>
        <v>238.70645571394488</v>
      </c>
      <c r="C3599" s="306">
        <f t="shared" si="706"/>
        <v>0</v>
      </c>
      <c r="D3599" s="306">
        <f t="shared" si="707"/>
        <v>0</v>
      </c>
      <c r="E3599" s="306">
        <f t="shared" si="708"/>
        <v>0</v>
      </c>
      <c r="F3599" s="306">
        <f t="shared" si="709"/>
        <v>0</v>
      </c>
      <c r="G3599" s="306">
        <f t="shared" si="710"/>
        <v>0</v>
      </c>
      <c r="H3599" s="291"/>
    </row>
    <row r="3600" spans="1:8">
      <c r="A3600" s="289" t="s">
        <v>96</v>
      </c>
      <c r="B3600" s="306">
        <f t="shared" si="705"/>
        <v>0</v>
      </c>
      <c r="C3600" s="306">
        <f t="shared" si="706"/>
        <v>0</v>
      </c>
      <c r="D3600" s="306">
        <f t="shared" si="707"/>
        <v>0</v>
      </c>
      <c r="E3600" s="306">
        <f t="shared" si="708"/>
        <v>0</v>
      </c>
      <c r="F3600" s="306">
        <f t="shared" si="709"/>
        <v>0</v>
      </c>
      <c r="G3600" s="306">
        <f t="shared" si="710"/>
        <v>0</v>
      </c>
      <c r="H3600" s="291"/>
    </row>
    <row r="3601" spans="1:8">
      <c r="A3601" s="289" t="s">
        <v>97</v>
      </c>
      <c r="B3601" s="306">
        <f t="shared" si="705"/>
        <v>0</v>
      </c>
      <c r="C3601" s="306">
        <f t="shared" si="706"/>
        <v>0</v>
      </c>
      <c r="D3601" s="306">
        <f t="shared" si="707"/>
        <v>0</v>
      </c>
      <c r="E3601" s="306">
        <f t="shared" si="708"/>
        <v>0</v>
      </c>
      <c r="F3601" s="306">
        <f t="shared" si="709"/>
        <v>0</v>
      </c>
      <c r="G3601" s="306">
        <f t="shared" si="710"/>
        <v>0</v>
      </c>
      <c r="H3601" s="291"/>
    </row>
    <row r="3602" spans="1:8">
      <c r="A3602" s="289" t="s">
        <v>110</v>
      </c>
      <c r="B3602" s="306">
        <f t="shared" si="705"/>
        <v>0</v>
      </c>
      <c r="C3602" s="306">
        <f t="shared" si="706"/>
        <v>0</v>
      </c>
      <c r="D3602" s="306">
        <f t="shared" si="707"/>
        <v>0</v>
      </c>
      <c r="E3602" s="306">
        <f t="shared" si="708"/>
        <v>0</v>
      </c>
      <c r="F3602" s="306">
        <f t="shared" si="709"/>
        <v>0</v>
      </c>
      <c r="G3602" s="306">
        <f t="shared" si="710"/>
        <v>0</v>
      </c>
      <c r="H3602" s="291"/>
    </row>
    <row r="3603" spans="1:8">
      <c r="A3603" s="289" t="s">
        <v>1536</v>
      </c>
      <c r="B3603" s="306">
        <f t="shared" si="705"/>
        <v>0</v>
      </c>
      <c r="C3603" s="306">
        <f t="shared" si="706"/>
        <v>0</v>
      </c>
      <c r="D3603" s="306">
        <f t="shared" si="707"/>
        <v>0</v>
      </c>
      <c r="E3603" s="306">
        <f t="shared" si="708"/>
        <v>0</v>
      </c>
      <c r="F3603" s="306">
        <f t="shared" si="709"/>
        <v>0</v>
      </c>
      <c r="G3603" s="306">
        <f t="shared" si="710"/>
        <v>0</v>
      </c>
      <c r="H3603" s="291"/>
    </row>
    <row r="3604" spans="1:8">
      <c r="A3604" s="289" t="s">
        <v>1535</v>
      </c>
      <c r="B3604" s="306">
        <f t="shared" si="705"/>
        <v>102343.13665465158</v>
      </c>
      <c r="C3604" s="306">
        <f t="shared" si="706"/>
        <v>18946.171347618259</v>
      </c>
      <c r="D3604" s="306">
        <f t="shared" si="707"/>
        <v>0</v>
      </c>
      <c r="E3604" s="306">
        <f t="shared" si="708"/>
        <v>0</v>
      </c>
      <c r="F3604" s="306">
        <f t="shared" si="709"/>
        <v>0</v>
      </c>
      <c r="G3604" s="306">
        <f t="shared" si="710"/>
        <v>0</v>
      </c>
      <c r="H3604" s="291"/>
    </row>
    <row r="3605" spans="1:8">
      <c r="A3605" s="289" t="s">
        <v>98</v>
      </c>
      <c r="B3605" s="306">
        <f t="shared" si="705"/>
        <v>438165.59812457365</v>
      </c>
      <c r="C3605" s="306">
        <f t="shared" si="706"/>
        <v>83550.451574409904</v>
      </c>
      <c r="D3605" s="306">
        <f t="shared" si="707"/>
        <v>0</v>
      </c>
      <c r="E3605" s="306">
        <f t="shared" si="708"/>
        <v>0</v>
      </c>
      <c r="F3605" s="306">
        <f t="shared" si="709"/>
        <v>0</v>
      </c>
      <c r="G3605" s="306">
        <f t="shared" si="710"/>
        <v>9704.7641285247028</v>
      </c>
      <c r="H3605" s="291"/>
    </row>
    <row r="3606" spans="1:8">
      <c r="A3606" s="289" t="s">
        <v>99</v>
      </c>
      <c r="B3606" s="306">
        <f t="shared" si="705"/>
        <v>11162.040054592457</v>
      </c>
      <c r="C3606" s="306">
        <f t="shared" si="706"/>
        <v>2141.9688054589687</v>
      </c>
      <c r="D3606" s="306">
        <f t="shared" si="707"/>
        <v>0</v>
      </c>
      <c r="E3606" s="306">
        <f t="shared" si="708"/>
        <v>0</v>
      </c>
      <c r="F3606" s="306">
        <f t="shared" si="709"/>
        <v>0</v>
      </c>
      <c r="G3606" s="306">
        <f t="shared" si="710"/>
        <v>297.69215195781533</v>
      </c>
      <c r="H3606" s="291"/>
    </row>
    <row r="3607" spans="1:8">
      <c r="A3607" s="289" t="s">
        <v>111</v>
      </c>
      <c r="B3607" s="306">
        <f t="shared" si="705"/>
        <v>941931.33090455155</v>
      </c>
      <c r="C3607" s="306">
        <f t="shared" si="706"/>
        <v>183503.40459505111</v>
      </c>
      <c r="D3607" s="306">
        <f t="shared" si="707"/>
        <v>0</v>
      </c>
      <c r="E3607" s="306">
        <f t="shared" si="708"/>
        <v>0</v>
      </c>
      <c r="F3607" s="306">
        <f t="shared" si="709"/>
        <v>0</v>
      </c>
      <c r="G3607" s="306">
        <f t="shared" si="710"/>
        <v>40196.970486372637</v>
      </c>
      <c r="H3607" s="291"/>
    </row>
    <row r="3608" spans="1:8">
      <c r="A3608" s="289" t="s">
        <v>131</v>
      </c>
      <c r="B3608" s="306">
        <f t="shared" si="705"/>
        <v>7545.3752437545136</v>
      </c>
      <c r="C3608" s="306">
        <f t="shared" si="706"/>
        <v>0</v>
      </c>
      <c r="D3608" s="306">
        <f t="shared" si="707"/>
        <v>0</v>
      </c>
      <c r="E3608" s="306">
        <f t="shared" si="708"/>
        <v>0</v>
      </c>
      <c r="F3608" s="306">
        <f t="shared" si="709"/>
        <v>0</v>
      </c>
      <c r="G3608" s="306">
        <f t="shared" si="710"/>
        <v>0</v>
      </c>
      <c r="H3608" s="291"/>
    </row>
    <row r="3609" spans="1:8">
      <c r="A3609" s="289" t="s">
        <v>132</v>
      </c>
      <c r="B3609" s="306">
        <f t="shared" si="705"/>
        <v>3364.5842000499488</v>
      </c>
      <c r="C3609" s="306">
        <f t="shared" si="706"/>
        <v>0</v>
      </c>
      <c r="D3609" s="306">
        <f t="shared" si="707"/>
        <v>0</v>
      </c>
      <c r="E3609" s="306">
        <f t="shared" si="708"/>
        <v>0</v>
      </c>
      <c r="F3609" s="306">
        <f t="shared" si="709"/>
        <v>0</v>
      </c>
      <c r="G3609" s="306">
        <f t="shared" si="710"/>
        <v>0</v>
      </c>
      <c r="H3609" s="291"/>
    </row>
    <row r="3610" spans="1:8">
      <c r="A3610" s="289" t="s">
        <v>133</v>
      </c>
      <c r="B3610" s="306">
        <f t="shared" si="705"/>
        <v>290.96888867999388</v>
      </c>
      <c r="C3610" s="306">
        <f t="shared" si="706"/>
        <v>0</v>
      </c>
      <c r="D3610" s="306">
        <f t="shared" si="707"/>
        <v>0</v>
      </c>
      <c r="E3610" s="306">
        <f t="shared" si="708"/>
        <v>0</v>
      </c>
      <c r="F3610" s="306">
        <f t="shared" si="709"/>
        <v>0</v>
      </c>
      <c r="G3610" s="306">
        <f t="shared" si="710"/>
        <v>0</v>
      </c>
      <c r="H3610" s="291"/>
    </row>
    <row r="3611" spans="1:8">
      <c r="A3611" s="289" t="s">
        <v>134</v>
      </c>
      <c r="B3611" s="306">
        <f t="shared" si="705"/>
        <v>368.20459015897342</v>
      </c>
      <c r="C3611" s="306">
        <f t="shared" si="706"/>
        <v>0</v>
      </c>
      <c r="D3611" s="306">
        <f t="shared" si="707"/>
        <v>0</v>
      </c>
      <c r="E3611" s="306">
        <f t="shared" si="708"/>
        <v>0</v>
      </c>
      <c r="F3611" s="306">
        <f t="shared" si="709"/>
        <v>0</v>
      </c>
      <c r="G3611" s="306">
        <f t="shared" si="710"/>
        <v>0</v>
      </c>
      <c r="H3611" s="291"/>
    </row>
    <row r="3612" spans="1:8">
      <c r="A3612" s="289" t="s">
        <v>135</v>
      </c>
      <c r="B3612" s="306">
        <f t="shared" si="705"/>
        <v>51396.810343003453</v>
      </c>
      <c r="C3612" s="306">
        <f t="shared" si="706"/>
        <v>1722.5619688569338</v>
      </c>
      <c r="D3612" s="306">
        <f t="shared" si="707"/>
        <v>0</v>
      </c>
      <c r="E3612" s="306">
        <f t="shared" si="708"/>
        <v>0</v>
      </c>
      <c r="F3612" s="306">
        <f t="shared" si="709"/>
        <v>0</v>
      </c>
      <c r="G3612" s="306">
        <f t="shared" si="710"/>
        <v>0</v>
      </c>
      <c r="H3612" s="291"/>
    </row>
    <row r="3613" spans="1:8">
      <c r="A3613" s="289" t="s">
        <v>1534</v>
      </c>
      <c r="B3613" s="306">
        <f t="shared" si="705"/>
        <v>0</v>
      </c>
      <c r="C3613" s="306">
        <f t="shared" si="706"/>
        <v>0</v>
      </c>
      <c r="D3613" s="306">
        <f t="shared" si="707"/>
        <v>0</v>
      </c>
      <c r="E3613" s="306">
        <f t="shared" si="708"/>
        <v>0</v>
      </c>
      <c r="F3613" s="306">
        <f t="shared" si="709"/>
        <v>0</v>
      </c>
      <c r="G3613" s="306">
        <f t="shared" si="710"/>
        <v>0</v>
      </c>
      <c r="H3613" s="291"/>
    </row>
    <row r="3614" spans="1:8">
      <c r="A3614" s="289" t="s">
        <v>100</v>
      </c>
      <c r="B3614" s="306">
        <f t="shared" si="705"/>
        <v>0</v>
      </c>
      <c r="C3614" s="306">
        <f t="shared" si="706"/>
        <v>0</v>
      </c>
      <c r="D3614" s="306">
        <f t="shared" si="707"/>
        <v>0</v>
      </c>
      <c r="E3614" s="306">
        <f t="shared" si="708"/>
        <v>0</v>
      </c>
      <c r="F3614" s="306">
        <f t="shared" si="709"/>
        <v>0</v>
      </c>
      <c r="G3614" s="306">
        <f t="shared" si="710"/>
        <v>0</v>
      </c>
      <c r="H3614" s="291"/>
    </row>
    <row r="3615" spans="1:8">
      <c r="A3615" s="289" t="s">
        <v>101</v>
      </c>
      <c r="B3615" s="306">
        <f t="shared" si="705"/>
        <v>0</v>
      </c>
      <c r="C3615" s="306">
        <f t="shared" si="706"/>
        <v>0</v>
      </c>
      <c r="D3615" s="306">
        <f t="shared" si="707"/>
        <v>0</v>
      </c>
      <c r="E3615" s="306">
        <f t="shared" si="708"/>
        <v>0</v>
      </c>
      <c r="F3615" s="306">
        <f t="shared" si="709"/>
        <v>0</v>
      </c>
      <c r="G3615" s="306">
        <f t="shared" si="710"/>
        <v>0</v>
      </c>
      <c r="H3615" s="291"/>
    </row>
    <row r="3616" spans="1:8">
      <c r="A3616" s="289" t="s">
        <v>102</v>
      </c>
      <c r="B3616" s="306">
        <f t="shared" si="705"/>
        <v>0</v>
      </c>
      <c r="C3616" s="306">
        <f t="shared" si="706"/>
        <v>0</v>
      </c>
      <c r="D3616" s="306">
        <f t="shared" si="707"/>
        <v>0</v>
      </c>
      <c r="E3616" s="306">
        <f t="shared" si="708"/>
        <v>0</v>
      </c>
      <c r="F3616" s="306">
        <f t="shared" si="709"/>
        <v>0</v>
      </c>
      <c r="G3616" s="306">
        <f t="shared" si="710"/>
        <v>0</v>
      </c>
      <c r="H3616" s="291"/>
    </row>
    <row r="3617" spans="1:8">
      <c r="A3617" s="289" t="s">
        <v>103</v>
      </c>
      <c r="B3617" s="306">
        <f t="shared" si="705"/>
        <v>0</v>
      </c>
      <c r="C3617" s="306">
        <f t="shared" si="706"/>
        <v>0</v>
      </c>
      <c r="D3617" s="306">
        <f t="shared" si="707"/>
        <v>0</v>
      </c>
      <c r="E3617" s="306">
        <f t="shared" si="708"/>
        <v>0</v>
      </c>
      <c r="F3617" s="306">
        <f t="shared" si="709"/>
        <v>0</v>
      </c>
      <c r="G3617" s="306">
        <f t="shared" si="710"/>
        <v>0</v>
      </c>
      <c r="H3617" s="291"/>
    </row>
    <row r="3618" spans="1:8">
      <c r="A3618" s="289" t="s">
        <v>104</v>
      </c>
      <c r="B3618" s="306">
        <f t="shared" si="705"/>
        <v>0</v>
      </c>
      <c r="C3618" s="306">
        <f t="shared" si="706"/>
        <v>0</v>
      </c>
      <c r="D3618" s="306">
        <f t="shared" si="707"/>
        <v>0</v>
      </c>
      <c r="E3618" s="306">
        <f t="shared" si="708"/>
        <v>0</v>
      </c>
      <c r="F3618" s="306">
        <f t="shared" si="709"/>
        <v>0</v>
      </c>
      <c r="G3618" s="306">
        <f t="shared" si="710"/>
        <v>0</v>
      </c>
      <c r="H3618" s="291"/>
    </row>
    <row r="3619" spans="1:8">
      <c r="A3619" s="289" t="s">
        <v>112</v>
      </c>
      <c r="B3619" s="306">
        <f t="shared" si="705"/>
        <v>0</v>
      </c>
      <c r="C3619" s="306">
        <f t="shared" si="706"/>
        <v>0</v>
      </c>
      <c r="D3619" s="306">
        <f t="shared" si="707"/>
        <v>0</v>
      </c>
      <c r="E3619" s="306">
        <f t="shared" si="708"/>
        <v>0</v>
      </c>
      <c r="F3619" s="306">
        <f t="shared" si="709"/>
        <v>0</v>
      </c>
      <c r="G3619" s="306">
        <f t="shared" si="710"/>
        <v>0</v>
      </c>
      <c r="H3619" s="291"/>
    </row>
    <row r="3620" spans="1:8">
      <c r="A3620" s="289" t="s">
        <v>113</v>
      </c>
      <c r="B3620" s="306">
        <f t="shared" si="705"/>
        <v>0</v>
      </c>
      <c r="C3620" s="306">
        <f t="shared" si="706"/>
        <v>0</v>
      </c>
      <c r="D3620" s="306">
        <f t="shared" si="707"/>
        <v>0</v>
      </c>
      <c r="E3620" s="306">
        <f t="shared" si="708"/>
        <v>0</v>
      </c>
      <c r="F3620" s="306">
        <f t="shared" si="709"/>
        <v>0</v>
      </c>
      <c r="G3620" s="306">
        <f t="shared" si="710"/>
        <v>0</v>
      </c>
      <c r="H3620" s="291"/>
    </row>
    <row r="3622" spans="1:8" ht="21" customHeight="1">
      <c r="A3622" s="1" t="s">
        <v>1745</v>
      </c>
    </row>
    <row r="3623" spans="1:8">
      <c r="A3623" s="287" t="s">
        <v>255</v>
      </c>
    </row>
    <row r="3624" spans="1:8">
      <c r="A3624" s="301" t="s">
        <v>824</v>
      </c>
    </row>
    <row r="3625" spans="1:8">
      <c r="A3625" s="301" t="s">
        <v>825</v>
      </c>
    </row>
    <row r="3626" spans="1:8">
      <c r="A3626" s="301" t="s">
        <v>826</v>
      </c>
    </row>
    <row r="3627" spans="1:8">
      <c r="A3627" s="301" t="s">
        <v>827</v>
      </c>
    </row>
    <row r="3628" spans="1:8">
      <c r="A3628" s="301" t="s">
        <v>828</v>
      </c>
    </row>
    <row r="3629" spans="1:8">
      <c r="A3629" s="301" t="s">
        <v>829</v>
      </c>
    </row>
    <row r="3630" spans="1:8">
      <c r="A3630" s="301" t="s">
        <v>830</v>
      </c>
    </row>
    <row r="3631" spans="1:8">
      <c r="A3631" s="301" t="s">
        <v>831</v>
      </c>
    </row>
    <row r="3632" spans="1:8">
      <c r="A3632" s="301" t="s">
        <v>832</v>
      </c>
    </row>
    <row r="3633" spans="1:8">
      <c r="A3633" s="301" t="s">
        <v>833</v>
      </c>
    </row>
    <row r="3634" spans="1:8">
      <c r="A3634" s="301" t="s">
        <v>834</v>
      </c>
    </row>
    <row r="3635" spans="1:8">
      <c r="A3635" s="301" t="s">
        <v>788</v>
      </c>
    </row>
    <row r="3636" spans="1:8">
      <c r="A3636" s="302" t="s">
        <v>258</v>
      </c>
      <c r="B3636" s="302" t="s">
        <v>380</v>
      </c>
      <c r="C3636" s="302" t="s">
        <v>380</v>
      </c>
      <c r="D3636" s="302" t="s">
        <v>380</v>
      </c>
      <c r="E3636" s="302" t="s">
        <v>380</v>
      </c>
      <c r="F3636" s="302" t="s">
        <v>380</v>
      </c>
      <c r="G3636" s="302" t="s">
        <v>380</v>
      </c>
    </row>
    <row r="3637" spans="1:8">
      <c r="A3637" s="302" t="s">
        <v>261</v>
      </c>
      <c r="B3637" s="302" t="s">
        <v>835</v>
      </c>
      <c r="C3637" s="302" t="s">
        <v>836</v>
      </c>
      <c r="D3637" s="302" t="s">
        <v>837</v>
      </c>
      <c r="E3637" s="302" t="s">
        <v>838</v>
      </c>
      <c r="F3637" s="302" t="s">
        <v>839</v>
      </c>
      <c r="G3637" s="302" t="s">
        <v>840</v>
      </c>
    </row>
    <row r="3639" spans="1:8" ht="30">
      <c r="B3639" s="288" t="s">
        <v>841</v>
      </c>
      <c r="C3639" s="288" t="s">
        <v>842</v>
      </c>
      <c r="D3639" s="288" t="s">
        <v>843</v>
      </c>
      <c r="E3639" s="288" t="s">
        <v>844</v>
      </c>
      <c r="F3639" s="288" t="s">
        <v>845</v>
      </c>
      <c r="G3639" s="288" t="s">
        <v>846</v>
      </c>
    </row>
    <row r="3640" spans="1:8">
      <c r="A3640" s="289" t="s">
        <v>92</v>
      </c>
      <c r="B3640" s="306">
        <f t="shared" ref="B3640:B3666" si="711">IF(B3546,0-B3426/B3546,0)</f>
        <v>-51.452538762301913</v>
      </c>
      <c r="C3640" s="309"/>
      <c r="D3640" s="309"/>
      <c r="E3640" s="306">
        <f>IF(E3546,0-E3426/E3546,0)</f>
        <v>0</v>
      </c>
      <c r="F3640" s="309"/>
      <c r="G3640" s="309"/>
      <c r="H3640" s="291"/>
    </row>
    <row r="3641" spans="1:8">
      <c r="A3641" s="289" t="s">
        <v>93</v>
      </c>
      <c r="B3641" s="306">
        <f t="shared" si="711"/>
        <v>-51.545383811191883</v>
      </c>
      <c r="C3641" s="306">
        <f>IF(C3547,0-C3427/C3547,0)</f>
        <v>0</v>
      </c>
      <c r="D3641" s="309"/>
      <c r="E3641" s="306">
        <f>IF(E3547,0-E3427/E3547,0)</f>
        <v>0</v>
      </c>
      <c r="F3641" s="309"/>
      <c r="G3641" s="309"/>
      <c r="H3641" s="291"/>
    </row>
    <row r="3642" spans="1:8">
      <c r="A3642" s="289" t="s">
        <v>129</v>
      </c>
      <c r="B3642" s="306">
        <f t="shared" si="711"/>
        <v>-95.981852169495184</v>
      </c>
      <c r="C3642" s="309"/>
      <c r="D3642" s="309"/>
      <c r="E3642" s="309"/>
      <c r="F3642" s="309"/>
      <c r="G3642" s="309"/>
      <c r="H3642" s="291"/>
    </row>
    <row r="3643" spans="1:8">
      <c r="A3643" s="289" t="s">
        <v>94</v>
      </c>
      <c r="B3643" s="306">
        <f t="shared" si="711"/>
        <v>-52.68523582931671</v>
      </c>
      <c r="C3643" s="309"/>
      <c r="D3643" s="309"/>
      <c r="E3643" s="306">
        <f>IF(E3549,0-E3429/E3549,0)</f>
        <v>0</v>
      </c>
      <c r="F3643" s="309"/>
      <c r="G3643" s="309"/>
      <c r="H3643" s="291"/>
    </row>
    <row r="3644" spans="1:8">
      <c r="A3644" s="289" t="s">
        <v>95</v>
      </c>
      <c r="B3644" s="306">
        <f t="shared" si="711"/>
        <v>-52.539461371590633</v>
      </c>
      <c r="C3644" s="306">
        <f>IF(C3550,0-C3430/C3550,0)</f>
        <v>0</v>
      </c>
      <c r="D3644" s="309"/>
      <c r="E3644" s="306">
        <f>IF(E3550,0-E3430/E3550,0)</f>
        <v>0</v>
      </c>
      <c r="F3644" s="309"/>
      <c r="G3644" s="309"/>
      <c r="H3644" s="291"/>
    </row>
    <row r="3645" spans="1:8">
      <c r="A3645" s="289" t="s">
        <v>130</v>
      </c>
      <c r="B3645" s="306">
        <f t="shared" si="711"/>
        <v>-67.250108096678915</v>
      </c>
      <c r="C3645" s="309"/>
      <c r="D3645" s="309"/>
      <c r="E3645" s="309"/>
      <c r="F3645" s="309"/>
      <c r="G3645" s="309"/>
      <c r="H3645" s="291"/>
    </row>
    <row r="3646" spans="1:8">
      <c r="A3646" s="289" t="s">
        <v>96</v>
      </c>
      <c r="B3646" s="306">
        <f t="shared" si="711"/>
        <v>-52.302172196104294</v>
      </c>
      <c r="C3646" s="306">
        <f t="shared" ref="C3646:C3653" si="712">IF(C3552,0-C3432/C3552,0)</f>
        <v>0</v>
      </c>
      <c r="D3646" s="309"/>
      <c r="E3646" s="306">
        <f t="shared" ref="E3646:E3653" si="713">IF(E3552,0-E3432/E3552,0)</f>
        <v>0</v>
      </c>
      <c r="F3646" s="309"/>
      <c r="G3646" s="309"/>
      <c r="H3646" s="291"/>
    </row>
    <row r="3647" spans="1:8">
      <c r="A3647" s="289" t="s">
        <v>97</v>
      </c>
      <c r="B3647" s="306">
        <f t="shared" si="711"/>
        <v>-45.480725016247007</v>
      </c>
      <c r="C3647" s="306">
        <f t="shared" si="712"/>
        <v>0</v>
      </c>
      <c r="D3647" s="309"/>
      <c r="E3647" s="306">
        <f t="shared" si="713"/>
        <v>0</v>
      </c>
      <c r="F3647" s="309"/>
      <c r="G3647" s="309"/>
      <c r="H3647" s="291"/>
    </row>
    <row r="3648" spans="1:8">
      <c r="A3648" s="289" t="s">
        <v>110</v>
      </c>
      <c r="B3648" s="306">
        <f t="shared" si="711"/>
        <v>-15.231300776553887</v>
      </c>
      <c r="C3648" s="306">
        <f t="shared" si="712"/>
        <v>0</v>
      </c>
      <c r="D3648" s="309"/>
      <c r="E3648" s="306">
        <f t="shared" si="713"/>
        <v>0</v>
      </c>
      <c r="F3648" s="309"/>
      <c r="G3648" s="309"/>
      <c r="H3648" s="291"/>
    </row>
    <row r="3649" spans="1:8">
      <c r="A3649" s="289" t="s">
        <v>1536</v>
      </c>
      <c r="B3649" s="306">
        <f t="shared" si="711"/>
        <v>-47.189191452390354</v>
      </c>
      <c r="C3649" s="306">
        <f t="shared" si="712"/>
        <v>-73.856639100365214</v>
      </c>
      <c r="D3649" s="306">
        <f>IF(D3555,0-D3435/D3555,0)</f>
        <v>0</v>
      </c>
      <c r="E3649" s="306">
        <f t="shared" si="713"/>
        <v>0</v>
      </c>
      <c r="F3649" s="309"/>
      <c r="G3649" s="309"/>
      <c r="H3649" s="291"/>
    </row>
    <row r="3650" spans="1:8">
      <c r="A3650" s="289" t="s">
        <v>1535</v>
      </c>
      <c r="B3650" s="306">
        <f t="shared" si="711"/>
        <v>-47.17038325904123</v>
      </c>
      <c r="C3650" s="306">
        <f t="shared" si="712"/>
        <v>-73.825912141785452</v>
      </c>
      <c r="D3650" s="306">
        <f>IF(D3556,0-D3436/D3556,0)</f>
        <v>0</v>
      </c>
      <c r="E3650" s="306">
        <f t="shared" si="713"/>
        <v>0</v>
      </c>
      <c r="F3650" s="309"/>
      <c r="G3650" s="309"/>
      <c r="H3650" s="291"/>
    </row>
    <row r="3651" spans="1:8">
      <c r="A3651" s="289" t="s">
        <v>98</v>
      </c>
      <c r="B3651" s="306">
        <f t="shared" si="711"/>
        <v>-37.119104272547624</v>
      </c>
      <c r="C3651" s="306">
        <f t="shared" si="712"/>
        <v>-58.962920001956718</v>
      </c>
      <c r="D3651" s="306">
        <f>IF(D3557,0-D3437/D3557,0)</f>
        <v>0</v>
      </c>
      <c r="E3651" s="306">
        <f t="shared" si="713"/>
        <v>0</v>
      </c>
      <c r="F3651" s="306">
        <f t="shared" ref="F3651:G3653" si="714">IF(F3557,0-F3437/F3557,0)</f>
        <v>0</v>
      </c>
      <c r="G3651" s="306">
        <f t="shared" si="714"/>
        <v>-42.200401101003948</v>
      </c>
      <c r="H3651" s="291"/>
    </row>
    <row r="3652" spans="1:8">
      <c r="A3652" s="289" t="s">
        <v>99</v>
      </c>
      <c r="B3652" s="306">
        <f t="shared" si="711"/>
        <v>-22.438862886132348</v>
      </c>
      <c r="C3652" s="306">
        <f t="shared" si="712"/>
        <v>-37.254877256497785</v>
      </c>
      <c r="D3652" s="306">
        <f>IF(D3558,0-D3438/D3558,0)</f>
        <v>0</v>
      </c>
      <c r="E3652" s="306">
        <f t="shared" si="713"/>
        <v>0</v>
      </c>
      <c r="F3652" s="306">
        <f t="shared" si="714"/>
        <v>0</v>
      </c>
      <c r="G3652" s="306">
        <f t="shared" si="714"/>
        <v>-25.436963201569657</v>
      </c>
      <c r="H3652" s="291"/>
    </row>
    <row r="3653" spans="1:8">
      <c r="A3653" s="289" t="s">
        <v>111</v>
      </c>
      <c r="B3653" s="306">
        <f t="shared" si="711"/>
        <v>-13.636676772239788</v>
      </c>
      <c r="C3653" s="306">
        <f t="shared" si="712"/>
        <v>-22.164151071650714</v>
      </c>
      <c r="D3653" s="306">
        <f>IF(D3559,0-D3439/D3559,0)</f>
        <v>0</v>
      </c>
      <c r="E3653" s="306">
        <f t="shared" si="713"/>
        <v>0</v>
      </c>
      <c r="F3653" s="306">
        <f t="shared" si="714"/>
        <v>0</v>
      </c>
      <c r="G3653" s="306">
        <f t="shared" si="714"/>
        <v>-15.272626960022771</v>
      </c>
      <c r="H3653" s="291"/>
    </row>
    <row r="3654" spans="1:8">
      <c r="A3654" s="289" t="s">
        <v>131</v>
      </c>
      <c r="B3654" s="306">
        <f t="shared" si="711"/>
        <v>-114.28644025626477</v>
      </c>
      <c r="C3654" s="309"/>
      <c r="D3654" s="309"/>
      <c r="E3654" s="309"/>
      <c r="F3654" s="309"/>
      <c r="G3654" s="309"/>
      <c r="H3654" s="291"/>
    </row>
    <row r="3655" spans="1:8">
      <c r="A3655" s="289" t="s">
        <v>132</v>
      </c>
      <c r="B3655" s="306">
        <f t="shared" si="711"/>
        <v>-95.215044157968322</v>
      </c>
      <c r="C3655" s="309"/>
      <c r="D3655" s="309"/>
      <c r="E3655" s="309"/>
      <c r="F3655" s="309"/>
      <c r="G3655" s="309"/>
      <c r="H3655" s="291"/>
    </row>
    <row r="3656" spans="1:8">
      <c r="A3656" s="289" t="s">
        <v>133</v>
      </c>
      <c r="B3656" s="306">
        <f t="shared" si="711"/>
        <v>-78.13958068510189</v>
      </c>
      <c r="C3656" s="309"/>
      <c r="D3656" s="309"/>
      <c r="E3656" s="309"/>
      <c r="F3656" s="309"/>
      <c r="G3656" s="309"/>
      <c r="H3656" s="291"/>
    </row>
    <row r="3657" spans="1:8">
      <c r="A3657" s="289" t="s">
        <v>134</v>
      </c>
      <c r="B3657" s="306">
        <f t="shared" si="711"/>
        <v>-165.34912327163266</v>
      </c>
      <c r="C3657" s="309"/>
      <c r="D3657" s="309"/>
      <c r="E3657" s="309"/>
      <c r="F3657" s="309"/>
      <c r="G3657" s="309"/>
      <c r="H3657" s="291"/>
    </row>
    <row r="3658" spans="1:8">
      <c r="A3658" s="289" t="s">
        <v>135</v>
      </c>
      <c r="B3658" s="306">
        <f t="shared" si="711"/>
        <v>-58.959514807545382</v>
      </c>
      <c r="C3658" s="306">
        <f>IF(C3564,0-C3444/C3564,0)</f>
        <v>-207.38388658963186</v>
      </c>
      <c r="D3658" s="306">
        <f>IF(D3564,0-D3444/D3564,0)</f>
        <v>0</v>
      </c>
      <c r="E3658" s="309"/>
      <c r="F3658" s="309"/>
      <c r="G3658" s="309"/>
      <c r="H3658" s="291"/>
    </row>
    <row r="3659" spans="1:8">
      <c r="A3659" s="289" t="s">
        <v>1534</v>
      </c>
      <c r="B3659" s="306">
        <f t="shared" si="711"/>
        <v>-53.653975493711982</v>
      </c>
      <c r="C3659" s="309"/>
      <c r="D3659" s="309"/>
      <c r="E3659" s="306">
        <f t="shared" ref="E3659:E3666" si="715">IF(E3565,0-E3445/E3565,0)</f>
        <v>0</v>
      </c>
      <c r="F3659" s="309"/>
      <c r="G3659" s="309"/>
      <c r="H3659" s="291"/>
    </row>
    <row r="3660" spans="1:8">
      <c r="A3660" s="289" t="s">
        <v>100</v>
      </c>
      <c r="B3660" s="306">
        <f t="shared" si="711"/>
        <v>-46.391260575862518</v>
      </c>
      <c r="C3660" s="309"/>
      <c r="D3660" s="309"/>
      <c r="E3660" s="306">
        <f t="shared" si="715"/>
        <v>0</v>
      </c>
      <c r="F3660" s="309"/>
      <c r="G3660" s="309"/>
      <c r="H3660" s="291"/>
    </row>
    <row r="3661" spans="1:8">
      <c r="A3661" s="289" t="s">
        <v>101</v>
      </c>
      <c r="B3661" s="306">
        <f t="shared" si="711"/>
        <v>-53.653975493711982</v>
      </c>
      <c r="C3661" s="309"/>
      <c r="D3661" s="309"/>
      <c r="E3661" s="306">
        <f t="shared" si="715"/>
        <v>0</v>
      </c>
      <c r="F3661" s="309"/>
      <c r="G3661" s="306">
        <f t="shared" ref="G3661:G3666" si="716">IF(G3567,0-G3447/G3567,0)</f>
        <v>-85.985635266371361</v>
      </c>
      <c r="H3661" s="291"/>
    </row>
    <row r="3662" spans="1:8">
      <c r="A3662" s="289" t="s">
        <v>102</v>
      </c>
      <c r="B3662" s="306">
        <f t="shared" si="711"/>
        <v>-47.149340184233345</v>
      </c>
      <c r="C3662" s="306">
        <f>IF(C3568,0-C3448/C3568,0)</f>
        <v>-73.794882514466821</v>
      </c>
      <c r="D3662" s="306">
        <f>IF(D3568,0-D3448/D3568,0)</f>
        <v>0</v>
      </c>
      <c r="E3662" s="306">
        <f t="shared" si="715"/>
        <v>0</v>
      </c>
      <c r="F3662" s="309"/>
      <c r="G3662" s="306">
        <f t="shared" si="716"/>
        <v>-85.985635266371361</v>
      </c>
      <c r="H3662" s="291"/>
    </row>
    <row r="3663" spans="1:8">
      <c r="A3663" s="289" t="s">
        <v>103</v>
      </c>
      <c r="B3663" s="306">
        <f t="shared" si="711"/>
        <v>-46.391260575862518</v>
      </c>
      <c r="C3663" s="309"/>
      <c r="D3663" s="309"/>
      <c r="E3663" s="306">
        <f t="shared" si="715"/>
        <v>0</v>
      </c>
      <c r="F3663" s="309"/>
      <c r="G3663" s="306">
        <f t="shared" si="716"/>
        <v>-74.431709257986483</v>
      </c>
      <c r="H3663" s="291"/>
    </row>
    <row r="3664" spans="1:8">
      <c r="A3664" s="289" t="s">
        <v>104</v>
      </c>
      <c r="B3664" s="306">
        <f t="shared" si="711"/>
        <v>-40.78916461915145</v>
      </c>
      <c r="C3664" s="306">
        <f>IF(C3570,0-C3450/C3570,0)</f>
        <v>-64.389930688321485</v>
      </c>
      <c r="D3664" s="306">
        <f>IF(D3570,0-D3450/D3570,0)</f>
        <v>0</v>
      </c>
      <c r="E3664" s="306">
        <f t="shared" si="715"/>
        <v>0</v>
      </c>
      <c r="F3664" s="309"/>
      <c r="G3664" s="306">
        <f t="shared" si="716"/>
        <v>-74.431709257986483</v>
      </c>
      <c r="H3664" s="291"/>
    </row>
    <row r="3665" spans="1:8">
      <c r="A3665" s="289" t="s">
        <v>112</v>
      </c>
      <c r="B3665" s="306">
        <f t="shared" si="711"/>
        <v>-23.968534119070117</v>
      </c>
      <c r="C3665" s="309"/>
      <c r="D3665" s="309"/>
      <c r="E3665" s="306">
        <f t="shared" si="715"/>
        <v>0</v>
      </c>
      <c r="F3665" s="309"/>
      <c r="G3665" s="306">
        <f t="shared" si="716"/>
        <v>-61.310479328286199</v>
      </c>
      <c r="H3665" s="291"/>
    </row>
    <row r="3666" spans="1:8">
      <c r="A3666" s="289" t="s">
        <v>113</v>
      </c>
      <c r="B3666" s="306">
        <f t="shared" si="711"/>
        <v>-21.166226547507229</v>
      </c>
      <c r="C3666" s="306">
        <f>IF(C3572,0-C3452/C3572,0)</f>
        <v>-35.094121684036686</v>
      </c>
      <c r="D3666" s="306">
        <f>IF(D3572,0-D3452/D3572,0)</f>
        <v>0</v>
      </c>
      <c r="E3666" s="306">
        <f t="shared" si="715"/>
        <v>0</v>
      </c>
      <c r="F3666" s="309"/>
      <c r="G3666" s="306">
        <f t="shared" si="716"/>
        <v>-61.310479328286199</v>
      </c>
      <c r="H3666" s="291"/>
    </row>
    <row r="3668" spans="1:8" ht="21" customHeight="1">
      <c r="A3668" s="1" t="s">
        <v>872</v>
      </c>
    </row>
    <row r="3669" spans="1:8">
      <c r="A3669" s="287" t="s">
        <v>255</v>
      </c>
    </row>
    <row r="3670" spans="1:8">
      <c r="A3670" s="301" t="s">
        <v>1486</v>
      </c>
    </row>
    <row r="3671" spans="1:8">
      <c r="A3671" s="301" t="s">
        <v>1746</v>
      </c>
    </row>
    <row r="3672" spans="1:8">
      <c r="A3672" s="301" t="s">
        <v>1747</v>
      </c>
    </row>
    <row r="3673" spans="1:8">
      <c r="A3673" s="301" t="s">
        <v>1748</v>
      </c>
    </row>
    <row r="3674" spans="1:8">
      <c r="A3674" s="301" t="s">
        <v>1749</v>
      </c>
    </row>
    <row r="3675" spans="1:8">
      <c r="A3675" s="301" t="s">
        <v>1750</v>
      </c>
    </row>
    <row r="3676" spans="1:8">
      <c r="A3676" s="301" t="s">
        <v>1751</v>
      </c>
    </row>
    <row r="3677" spans="1:8">
      <c r="A3677" s="287" t="s">
        <v>873</v>
      </c>
    </row>
    <row r="3679" spans="1:8">
      <c r="B3679" s="288" t="s">
        <v>874</v>
      </c>
    </row>
    <row r="3680" spans="1:8">
      <c r="A3680" s="289" t="s">
        <v>874</v>
      </c>
      <c r="B3680" s="306">
        <f>C3511/SUM($B$3594:$B$3620,$C$3594:$C$3620,$D$3594:$D$3620,$E$3594:$E$3620,$F$3594:$F$3620,$G$3594:$G$3620)</f>
        <v>49.106466631433712</v>
      </c>
      <c r="C3680" s="291"/>
    </row>
    <row r="3682" spans="1:3" ht="21" customHeight="1">
      <c r="A3682" s="1" t="s">
        <v>875</v>
      </c>
    </row>
    <row r="3683" spans="1:3">
      <c r="A3683" s="287" t="s">
        <v>255</v>
      </c>
    </row>
    <row r="3684" spans="1:3">
      <c r="A3684" s="301" t="s">
        <v>876</v>
      </c>
    </row>
    <row r="3685" spans="1:3">
      <c r="A3685" s="301" t="s">
        <v>1752</v>
      </c>
    </row>
    <row r="3686" spans="1:3">
      <c r="A3686" s="301" t="s">
        <v>1753</v>
      </c>
    </row>
    <row r="3687" spans="1:3">
      <c r="A3687" s="301" t="s">
        <v>1754</v>
      </c>
    </row>
    <row r="3688" spans="1:3">
      <c r="A3688" s="301" t="s">
        <v>1755</v>
      </c>
    </row>
    <row r="3689" spans="1:3">
      <c r="A3689" s="301" t="s">
        <v>1756</v>
      </c>
    </row>
    <row r="3690" spans="1:3">
      <c r="A3690" s="301" t="s">
        <v>1757</v>
      </c>
    </row>
    <row r="3691" spans="1:3">
      <c r="A3691" s="287" t="s">
        <v>877</v>
      </c>
    </row>
    <row r="3693" spans="1:3">
      <c r="B3693" s="288" t="s">
        <v>878</v>
      </c>
    </row>
    <row r="3694" spans="1:3">
      <c r="A3694" s="289" t="s">
        <v>878</v>
      </c>
      <c r="B3694" s="306">
        <f>MIN(B3680,$B$3640:$B$3666,$C$3640:$C$3666,$D$3640:$D$3666,$E$3640:$E$3666,$F$3640:$F$3666,$G$3640:$G$3666)</f>
        <v>-207.38388658963186</v>
      </c>
      <c r="C3694" s="291"/>
    </row>
    <row r="3696" spans="1:3" ht="21" customHeight="1">
      <c r="A3696" s="1" t="s">
        <v>879</v>
      </c>
    </row>
    <row r="3697" spans="1:1">
      <c r="A3697" s="287" t="s">
        <v>255</v>
      </c>
    </row>
    <row r="3698" spans="1:1">
      <c r="A3698" s="301" t="s">
        <v>880</v>
      </c>
    </row>
    <row r="3699" spans="1:1">
      <c r="A3699" s="301" t="s">
        <v>1746</v>
      </c>
    </row>
    <row r="3700" spans="1:1">
      <c r="A3700" s="301" t="s">
        <v>1747</v>
      </c>
    </row>
    <row r="3701" spans="1:1">
      <c r="A3701" s="301" t="s">
        <v>1748</v>
      </c>
    </row>
    <row r="3702" spans="1:1">
      <c r="A3702" s="301" t="s">
        <v>1749</v>
      </c>
    </row>
    <row r="3703" spans="1:1">
      <c r="A3703" s="301" t="s">
        <v>1750</v>
      </c>
    </row>
    <row r="3704" spans="1:1">
      <c r="A3704" s="301" t="s">
        <v>1751</v>
      </c>
    </row>
    <row r="3705" spans="1:1">
      <c r="A3705" s="301" t="s">
        <v>1758</v>
      </c>
    </row>
    <row r="3706" spans="1:1">
      <c r="A3706" s="301" t="s">
        <v>1759</v>
      </c>
    </row>
    <row r="3707" spans="1:1">
      <c r="A3707" s="301" t="s">
        <v>1760</v>
      </c>
    </row>
    <row r="3708" spans="1:1">
      <c r="A3708" s="301" t="s">
        <v>1761</v>
      </c>
    </row>
    <row r="3709" spans="1:1">
      <c r="A3709" s="301" t="s">
        <v>1762</v>
      </c>
    </row>
    <row r="3710" spans="1:1">
      <c r="A3710" s="301" t="s">
        <v>1763</v>
      </c>
    </row>
    <row r="3711" spans="1:1">
      <c r="A3711" s="301" t="s">
        <v>1764</v>
      </c>
    </row>
    <row r="3712" spans="1:1">
      <c r="A3712" s="301" t="s">
        <v>1765</v>
      </c>
    </row>
    <row r="3713" spans="1:15">
      <c r="A3713" s="301" t="s">
        <v>1766</v>
      </c>
    </row>
    <row r="3714" spans="1:15">
      <c r="A3714" s="301" t="s">
        <v>1767</v>
      </c>
    </row>
    <row r="3715" spans="1:15">
      <c r="A3715" s="301" t="s">
        <v>1768</v>
      </c>
    </row>
    <row r="3716" spans="1:15">
      <c r="A3716" s="301" t="s">
        <v>1769</v>
      </c>
    </row>
    <row r="3717" spans="1:15">
      <c r="A3717" s="301" t="s">
        <v>1770</v>
      </c>
    </row>
    <row r="3718" spans="1:15">
      <c r="A3718" s="301" t="s">
        <v>1771</v>
      </c>
    </row>
    <row r="3719" spans="1:15">
      <c r="A3719" s="302" t="s">
        <v>258</v>
      </c>
      <c r="B3719" s="302" t="s">
        <v>323</v>
      </c>
      <c r="C3719" s="302" t="s">
        <v>323</v>
      </c>
      <c r="D3719" s="302" t="s">
        <v>323</v>
      </c>
      <c r="E3719" s="302" t="s">
        <v>323</v>
      </c>
      <c r="F3719" s="302" t="s">
        <v>323</v>
      </c>
      <c r="G3719" s="302" t="s">
        <v>259</v>
      </c>
      <c r="H3719" s="302" t="s">
        <v>380</v>
      </c>
      <c r="I3719" s="302" t="s">
        <v>323</v>
      </c>
      <c r="J3719" s="302" t="s">
        <v>323</v>
      </c>
      <c r="K3719" s="302" t="s">
        <v>323</v>
      </c>
      <c r="L3719" s="302" t="s">
        <v>323</v>
      </c>
      <c r="M3719" s="302" t="s">
        <v>323</v>
      </c>
      <c r="N3719" s="302" t="s">
        <v>323</v>
      </c>
    </row>
    <row r="3720" spans="1:15">
      <c r="A3720" s="302" t="s">
        <v>261</v>
      </c>
      <c r="B3720" s="302" t="s">
        <v>316</v>
      </c>
      <c r="C3720" s="302" t="s">
        <v>323</v>
      </c>
      <c r="D3720" s="302" t="s">
        <v>1772</v>
      </c>
      <c r="E3720" s="302" t="s">
        <v>1773</v>
      </c>
      <c r="F3720" s="302" t="s">
        <v>1774</v>
      </c>
      <c r="G3720" s="302" t="s">
        <v>262</v>
      </c>
      <c r="H3720" s="302" t="s">
        <v>1775</v>
      </c>
      <c r="I3720" s="302" t="s">
        <v>1776</v>
      </c>
      <c r="J3720" s="302" t="s">
        <v>1777</v>
      </c>
      <c r="K3720" s="302" t="s">
        <v>1778</v>
      </c>
      <c r="L3720" s="302" t="s">
        <v>323</v>
      </c>
      <c r="M3720" s="302" t="s">
        <v>323</v>
      </c>
      <c r="N3720" s="302" t="s">
        <v>323</v>
      </c>
    </row>
    <row r="3722" spans="1:15">
      <c r="B3722" s="288" t="s">
        <v>881</v>
      </c>
      <c r="C3722" s="288" t="s">
        <v>882</v>
      </c>
      <c r="D3722" s="288" t="s">
        <v>883</v>
      </c>
      <c r="E3722" s="288" t="s">
        <v>884</v>
      </c>
      <c r="F3722" s="288" t="s">
        <v>885</v>
      </c>
      <c r="G3722" s="288" t="s">
        <v>886</v>
      </c>
      <c r="H3722" s="288" t="s">
        <v>887</v>
      </c>
      <c r="I3722" s="288" t="s">
        <v>888</v>
      </c>
      <c r="J3722" s="288" t="s">
        <v>889</v>
      </c>
      <c r="K3722" s="288" t="s">
        <v>890</v>
      </c>
      <c r="L3722" s="288" t="s">
        <v>891</v>
      </c>
      <c r="M3722" s="288" t="s">
        <v>6</v>
      </c>
      <c r="N3722" s="288" t="s">
        <v>892</v>
      </c>
    </row>
    <row r="3723" spans="1:15">
      <c r="A3723" s="289" t="s">
        <v>878</v>
      </c>
      <c r="B3723" s="306">
        <f>B3694</f>
        <v>-207.38388658963186</v>
      </c>
      <c r="C3723" s="309"/>
      <c r="D3723" s="309"/>
      <c r="E3723" s="309"/>
      <c r="F3723" s="309"/>
      <c r="G3723" s="305">
        <v>0</v>
      </c>
      <c r="H3723" s="312">
        <f t="shared" ref="H3723:H3754" si="717">F3723*162+G3723</f>
        <v>0</v>
      </c>
      <c r="I3723" s="309"/>
      <c r="J3723" s="309"/>
      <c r="K3723" s="306">
        <f>B3723</f>
        <v>-207.38388658963186</v>
      </c>
      <c r="L3723" s="306">
        <f>SUM(D$3723:D$3884)</f>
        <v>0</v>
      </c>
      <c r="M3723" s="306">
        <f>SUM($E$3723:$E$3884)-$C$3511</f>
        <v>-399855714.64496481</v>
      </c>
      <c r="N3723" s="306">
        <f>IF(M$3723&gt;0,K3723,IF(M$3885&gt;0,"",$B$3680))</f>
        <v>49.106466631433712</v>
      </c>
      <c r="O3723" s="291"/>
    </row>
    <row r="3724" spans="1:15">
      <c r="A3724" s="289" t="s">
        <v>893</v>
      </c>
      <c r="B3724" s="306">
        <f t="shared" ref="B3724:B3750" si="718">B3640</f>
        <v>-51.452538762301913</v>
      </c>
      <c r="C3724" s="306">
        <f t="shared" ref="C3724:C3750" si="719">B3594</f>
        <v>1758210.9372496787</v>
      </c>
      <c r="D3724" s="306">
        <f t="shared" ref="D3724:D3755" si="720">IF(ISERROR(B3724),C3724,0)</f>
        <v>0</v>
      </c>
      <c r="E3724" s="306">
        <f t="shared" ref="E3724:E3755" si="721">MAX($B$3694,B3724)*C3724</f>
        <v>-90464416.401142269</v>
      </c>
      <c r="F3724" s="312">
        <f t="shared" ref="F3724:F3755" si="722">RANK(B3724,B$3724:B$3885,1)</f>
        <v>26</v>
      </c>
      <c r="G3724" s="305">
        <v>1</v>
      </c>
      <c r="H3724" s="312">
        <f t="shared" si="717"/>
        <v>4213</v>
      </c>
      <c r="I3724" s="312">
        <f t="shared" ref="I3724:I3755" si="723">RANK(H3724,H$3724:H$3885,1)</f>
        <v>26</v>
      </c>
      <c r="J3724" s="312">
        <f t="shared" ref="J3724:J3755" si="724">MATCH(G3724,I$3724:I$3885,0)</f>
        <v>46</v>
      </c>
      <c r="K3724" s="306">
        <f t="shared" ref="K3724:K3755" si="725">INDEX(B$3724:B$3885,J3724,1)</f>
        <v>-207.38388658963186</v>
      </c>
      <c r="L3724" s="306">
        <f t="shared" ref="L3724:L3755" si="726">L3723+INDEX(C$3724:C$3885,J3724,1)</f>
        <v>1722.5619688569338</v>
      </c>
      <c r="M3724" s="306">
        <f t="shared" ref="M3724:M3755" si="727">M3723+(K3724-K3723)*L3723</f>
        <v>-399855714.64496481</v>
      </c>
      <c r="N3724" s="306" t="str">
        <f t="shared" ref="N3724:N3755" si="728">IF((M3723&gt;0)=(M3724&gt;0),"",K3724-M3724/L3723)</f>
        <v/>
      </c>
      <c r="O3724" s="291"/>
    </row>
    <row r="3725" spans="1:15">
      <c r="A3725" s="289" t="s">
        <v>894</v>
      </c>
      <c r="B3725" s="306">
        <f t="shared" si="718"/>
        <v>-51.545383811191883</v>
      </c>
      <c r="C3725" s="306">
        <f t="shared" si="719"/>
        <v>276583.00427776924</v>
      </c>
      <c r="D3725" s="306">
        <f t="shared" si="720"/>
        <v>0</v>
      </c>
      <c r="E3725" s="306">
        <f t="shared" si="721"/>
        <v>-14256577.111150142</v>
      </c>
      <c r="F3725" s="312">
        <f t="shared" si="722"/>
        <v>25</v>
      </c>
      <c r="G3725" s="305">
        <v>2</v>
      </c>
      <c r="H3725" s="312">
        <f t="shared" si="717"/>
        <v>4052</v>
      </c>
      <c r="I3725" s="312">
        <f t="shared" si="723"/>
        <v>25</v>
      </c>
      <c r="J3725" s="312">
        <f t="shared" si="724"/>
        <v>18</v>
      </c>
      <c r="K3725" s="306">
        <f t="shared" si="725"/>
        <v>-165.34912327163266</v>
      </c>
      <c r="L3725" s="306">
        <f t="shared" si="726"/>
        <v>2090.7665590159072</v>
      </c>
      <c r="M3725" s="306">
        <f t="shared" si="727"/>
        <v>-399783307.16030335</v>
      </c>
      <c r="N3725" s="306" t="str">
        <f t="shared" si="728"/>
        <v/>
      </c>
      <c r="O3725" s="291"/>
    </row>
    <row r="3726" spans="1:15">
      <c r="A3726" s="289" t="s">
        <v>895</v>
      </c>
      <c r="B3726" s="306">
        <f t="shared" si="718"/>
        <v>-95.981852169495184</v>
      </c>
      <c r="C3726" s="306">
        <f t="shared" si="719"/>
        <v>555.897482531018</v>
      </c>
      <c r="D3726" s="306">
        <f t="shared" si="720"/>
        <v>0</v>
      </c>
      <c r="E3726" s="306">
        <f t="shared" si="721"/>
        <v>-53356.069989686701</v>
      </c>
      <c r="F3726" s="312">
        <f t="shared" si="722"/>
        <v>4</v>
      </c>
      <c r="G3726" s="305">
        <v>3</v>
      </c>
      <c r="H3726" s="312">
        <f t="shared" si="717"/>
        <v>651</v>
      </c>
      <c r="I3726" s="312">
        <f t="shared" si="723"/>
        <v>4</v>
      </c>
      <c r="J3726" s="312">
        <f t="shared" si="724"/>
        <v>15</v>
      </c>
      <c r="K3726" s="306">
        <f t="shared" si="725"/>
        <v>-114.28644025626477</v>
      </c>
      <c r="L3726" s="306">
        <f t="shared" si="726"/>
        <v>9636.1418027704203</v>
      </c>
      <c r="M3726" s="306">
        <f t="shared" si="727"/>
        <v>-399676547.01024121</v>
      </c>
      <c r="N3726" s="306" t="str">
        <f t="shared" si="728"/>
        <v/>
      </c>
      <c r="O3726" s="291"/>
    </row>
    <row r="3727" spans="1:15">
      <c r="A3727" s="289" t="s">
        <v>896</v>
      </c>
      <c r="B3727" s="306">
        <f t="shared" si="718"/>
        <v>-52.68523582931671</v>
      </c>
      <c r="C3727" s="306">
        <f t="shared" si="719"/>
        <v>373708.98090410593</v>
      </c>
      <c r="D3727" s="306">
        <f t="shared" si="720"/>
        <v>0</v>
      </c>
      <c r="E3727" s="306">
        <f t="shared" si="721"/>
        <v>-19688945.790466435</v>
      </c>
      <c r="F3727" s="312">
        <f t="shared" si="722"/>
        <v>22</v>
      </c>
      <c r="G3727" s="305">
        <v>4</v>
      </c>
      <c r="H3727" s="312">
        <f t="shared" si="717"/>
        <v>3568</v>
      </c>
      <c r="I3727" s="312">
        <f t="shared" si="723"/>
        <v>22</v>
      </c>
      <c r="J3727" s="312">
        <f t="shared" si="724"/>
        <v>3</v>
      </c>
      <c r="K3727" s="306">
        <f t="shared" si="725"/>
        <v>-95.981852169495184</v>
      </c>
      <c r="L3727" s="306">
        <f t="shared" si="726"/>
        <v>10192.039285301438</v>
      </c>
      <c r="M3727" s="306">
        <f t="shared" si="727"/>
        <v>-399500161.40379578</v>
      </c>
      <c r="N3727" s="306" t="str">
        <f t="shared" si="728"/>
        <v/>
      </c>
      <c r="O3727" s="291"/>
    </row>
    <row r="3728" spans="1:15">
      <c r="A3728" s="289" t="s">
        <v>897</v>
      </c>
      <c r="B3728" s="306">
        <f t="shared" si="718"/>
        <v>-52.539461371590633</v>
      </c>
      <c r="C3728" s="306">
        <f t="shared" si="719"/>
        <v>133632.76164962718</v>
      </c>
      <c r="D3728" s="306">
        <f t="shared" si="720"/>
        <v>0</v>
      </c>
      <c r="E3728" s="306">
        <f t="shared" si="721"/>
        <v>-7020993.318669565</v>
      </c>
      <c r="F3728" s="312">
        <f t="shared" si="722"/>
        <v>23</v>
      </c>
      <c r="G3728" s="305">
        <v>5</v>
      </c>
      <c r="H3728" s="312">
        <f t="shared" si="717"/>
        <v>3731</v>
      </c>
      <c r="I3728" s="312">
        <f t="shared" si="723"/>
        <v>23</v>
      </c>
      <c r="J3728" s="312">
        <f t="shared" si="724"/>
        <v>16</v>
      </c>
      <c r="K3728" s="306">
        <f t="shared" si="725"/>
        <v>-95.215044157968322</v>
      </c>
      <c r="L3728" s="306">
        <f t="shared" si="726"/>
        <v>13556.623485351387</v>
      </c>
      <c r="M3728" s="306">
        <f t="shared" si="727"/>
        <v>-399492346.06641799</v>
      </c>
      <c r="N3728" s="306" t="str">
        <f t="shared" si="728"/>
        <v/>
      </c>
      <c r="O3728" s="291"/>
    </row>
    <row r="3729" spans="1:15">
      <c r="A3729" s="289" t="s">
        <v>898</v>
      </c>
      <c r="B3729" s="306">
        <f t="shared" si="718"/>
        <v>-67.250108096678915</v>
      </c>
      <c r="C3729" s="306">
        <f t="shared" si="719"/>
        <v>238.70645571394488</v>
      </c>
      <c r="D3729" s="306">
        <f t="shared" si="720"/>
        <v>0</v>
      </c>
      <c r="E3729" s="306">
        <f t="shared" si="721"/>
        <v>-16053.034950137891</v>
      </c>
      <c r="F3729" s="312">
        <f t="shared" si="722"/>
        <v>14</v>
      </c>
      <c r="G3729" s="305">
        <v>6</v>
      </c>
      <c r="H3729" s="312">
        <f t="shared" si="717"/>
        <v>2274</v>
      </c>
      <c r="I3729" s="312">
        <f t="shared" si="723"/>
        <v>14</v>
      </c>
      <c r="J3729" s="312">
        <f t="shared" si="724"/>
        <v>157</v>
      </c>
      <c r="K3729" s="306">
        <f t="shared" si="725"/>
        <v>-85.985635266371361</v>
      </c>
      <c r="L3729" s="306">
        <f t="shared" si="726"/>
        <v>13556.623485351387</v>
      </c>
      <c r="M3729" s="306">
        <f t="shared" si="727"/>
        <v>-399367226.44508225</v>
      </c>
      <c r="N3729" s="306" t="str">
        <f t="shared" si="728"/>
        <v/>
      </c>
      <c r="O3729" s="291"/>
    </row>
    <row r="3730" spans="1:15">
      <c r="A3730" s="289" t="s">
        <v>899</v>
      </c>
      <c r="B3730" s="306">
        <f t="shared" si="718"/>
        <v>-52.302172196104294</v>
      </c>
      <c r="C3730" s="306">
        <f t="shared" si="719"/>
        <v>0</v>
      </c>
      <c r="D3730" s="306">
        <f t="shared" si="720"/>
        <v>0</v>
      </c>
      <c r="E3730" s="306">
        <f t="shared" si="721"/>
        <v>0</v>
      </c>
      <c r="F3730" s="312">
        <f t="shared" si="722"/>
        <v>24</v>
      </c>
      <c r="G3730" s="305">
        <v>7</v>
      </c>
      <c r="H3730" s="312">
        <f t="shared" si="717"/>
        <v>3895</v>
      </c>
      <c r="I3730" s="312">
        <f t="shared" si="723"/>
        <v>24</v>
      </c>
      <c r="J3730" s="312">
        <f t="shared" si="724"/>
        <v>158</v>
      </c>
      <c r="K3730" s="306">
        <f t="shared" si="725"/>
        <v>-85.985635266371361</v>
      </c>
      <c r="L3730" s="306">
        <f t="shared" si="726"/>
        <v>13556.623485351387</v>
      </c>
      <c r="M3730" s="306">
        <f t="shared" si="727"/>
        <v>-399367226.44508225</v>
      </c>
      <c r="N3730" s="306" t="str">
        <f t="shared" si="728"/>
        <v/>
      </c>
      <c r="O3730" s="291"/>
    </row>
    <row r="3731" spans="1:15">
      <c r="A3731" s="289" t="s">
        <v>900</v>
      </c>
      <c r="B3731" s="306">
        <f t="shared" si="718"/>
        <v>-45.480725016247007</v>
      </c>
      <c r="C3731" s="306">
        <f t="shared" si="719"/>
        <v>0</v>
      </c>
      <c r="D3731" s="306">
        <f t="shared" si="720"/>
        <v>0</v>
      </c>
      <c r="E3731" s="306">
        <f t="shared" si="721"/>
        <v>0</v>
      </c>
      <c r="F3731" s="312">
        <f t="shared" si="722"/>
        <v>32</v>
      </c>
      <c r="G3731" s="305">
        <v>8</v>
      </c>
      <c r="H3731" s="312">
        <f t="shared" si="717"/>
        <v>5192</v>
      </c>
      <c r="I3731" s="312">
        <f t="shared" si="723"/>
        <v>32</v>
      </c>
      <c r="J3731" s="312">
        <f t="shared" si="724"/>
        <v>17</v>
      </c>
      <c r="K3731" s="306">
        <f t="shared" si="725"/>
        <v>-78.13958068510189</v>
      </c>
      <c r="L3731" s="306">
        <f t="shared" si="726"/>
        <v>13847.592374031381</v>
      </c>
      <c r="M3731" s="306">
        <f t="shared" si="727"/>
        <v>-399260860.43727845</v>
      </c>
      <c r="N3731" s="306" t="str">
        <f t="shared" si="728"/>
        <v/>
      </c>
      <c r="O3731" s="291"/>
    </row>
    <row r="3732" spans="1:15">
      <c r="A3732" s="289" t="s">
        <v>901</v>
      </c>
      <c r="B3732" s="306">
        <f t="shared" si="718"/>
        <v>-15.231300776553887</v>
      </c>
      <c r="C3732" s="306">
        <f t="shared" si="719"/>
        <v>0</v>
      </c>
      <c r="D3732" s="306">
        <f t="shared" si="720"/>
        <v>0</v>
      </c>
      <c r="E3732" s="306">
        <f t="shared" si="721"/>
        <v>0</v>
      </c>
      <c r="F3732" s="312">
        <f t="shared" si="722"/>
        <v>44</v>
      </c>
      <c r="G3732" s="305">
        <v>9</v>
      </c>
      <c r="H3732" s="312">
        <f t="shared" si="717"/>
        <v>7137</v>
      </c>
      <c r="I3732" s="312">
        <f t="shared" si="723"/>
        <v>44</v>
      </c>
      <c r="J3732" s="312">
        <f t="shared" si="724"/>
        <v>159</v>
      </c>
      <c r="K3732" s="306">
        <f t="shared" si="725"/>
        <v>-74.431709257986483</v>
      </c>
      <c r="L3732" s="306">
        <f t="shared" si="726"/>
        <v>13847.592374031381</v>
      </c>
      <c r="M3732" s="306">
        <f t="shared" si="727"/>
        <v>-399209515.34518045</v>
      </c>
      <c r="N3732" s="306" t="str">
        <f t="shared" si="728"/>
        <v/>
      </c>
      <c r="O3732" s="291"/>
    </row>
    <row r="3733" spans="1:15">
      <c r="A3733" s="289" t="s">
        <v>902</v>
      </c>
      <c r="B3733" s="306">
        <f t="shared" si="718"/>
        <v>-47.189191452390354</v>
      </c>
      <c r="C3733" s="306">
        <f t="shared" si="719"/>
        <v>0</v>
      </c>
      <c r="D3733" s="306">
        <f t="shared" si="720"/>
        <v>0</v>
      </c>
      <c r="E3733" s="306">
        <f t="shared" si="721"/>
        <v>0</v>
      </c>
      <c r="F3733" s="312">
        <f t="shared" si="722"/>
        <v>27</v>
      </c>
      <c r="G3733" s="305">
        <v>10</v>
      </c>
      <c r="H3733" s="312">
        <f t="shared" si="717"/>
        <v>4384</v>
      </c>
      <c r="I3733" s="312">
        <f t="shared" si="723"/>
        <v>27</v>
      </c>
      <c r="J3733" s="312">
        <f t="shared" si="724"/>
        <v>160</v>
      </c>
      <c r="K3733" s="306">
        <f t="shared" si="725"/>
        <v>-74.431709257986483</v>
      </c>
      <c r="L3733" s="306">
        <f t="shared" si="726"/>
        <v>13847.592374031381</v>
      </c>
      <c r="M3733" s="306">
        <f t="shared" si="727"/>
        <v>-399209515.34518045</v>
      </c>
      <c r="N3733" s="306" t="str">
        <f t="shared" si="728"/>
        <v/>
      </c>
      <c r="O3733" s="291"/>
    </row>
    <row r="3734" spans="1:15">
      <c r="A3734" s="289" t="s">
        <v>903</v>
      </c>
      <c r="B3734" s="306">
        <f t="shared" si="718"/>
        <v>-47.17038325904123</v>
      </c>
      <c r="C3734" s="306">
        <f t="shared" si="719"/>
        <v>102343.13665465158</v>
      </c>
      <c r="D3734" s="306">
        <f t="shared" si="720"/>
        <v>0</v>
      </c>
      <c r="E3734" s="306">
        <f t="shared" si="721"/>
        <v>-4827564.9799323454</v>
      </c>
      <c r="F3734" s="312">
        <f t="shared" si="722"/>
        <v>28</v>
      </c>
      <c r="G3734" s="305">
        <v>11</v>
      </c>
      <c r="H3734" s="312">
        <f t="shared" si="717"/>
        <v>4547</v>
      </c>
      <c r="I3734" s="312">
        <f t="shared" si="723"/>
        <v>28</v>
      </c>
      <c r="J3734" s="312">
        <f t="shared" si="724"/>
        <v>37</v>
      </c>
      <c r="K3734" s="306">
        <f t="shared" si="725"/>
        <v>-73.856639100365214</v>
      </c>
      <c r="L3734" s="306">
        <f t="shared" si="726"/>
        <v>13847.592374031381</v>
      </c>
      <c r="M3734" s="306">
        <f t="shared" si="727"/>
        <v>-399201552.00805122</v>
      </c>
      <c r="N3734" s="306" t="str">
        <f t="shared" si="728"/>
        <v/>
      </c>
      <c r="O3734" s="291"/>
    </row>
    <row r="3735" spans="1:15">
      <c r="A3735" s="289" t="s">
        <v>904</v>
      </c>
      <c r="B3735" s="306">
        <f t="shared" si="718"/>
        <v>-37.119104272547624</v>
      </c>
      <c r="C3735" s="306">
        <f t="shared" si="719"/>
        <v>438165.59812457365</v>
      </c>
      <c r="D3735" s="306">
        <f t="shared" si="720"/>
        <v>0</v>
      </c>
      <c r="E3735" s="306">
        <f t="shared" si="721"/>
        <v>-16264314.525429247</v>
      </c>
      <c r="F3735" s="312">
        <f t="shared" si="722"/>
        <v>36</v>
      </c>
      <c r="G3735" s="305">
        <v>12</v>
      </c>
      <c r="H3735" s="312">
        <f t="shared" si="717"/>
        <v>5844</v>
      </c>
      <c r="I3735" s="312">
        <f t="shared" si="723"/>
        <v>36</v>
      </c>
      <c r="J3735" s="312">
        <f t="shared" si="724"/>
        <v>38</v>
      </c>
      <c r="K3735" s="306">
        <f t="shared" si="725"/>
        <v>-73.825912141785452</v>
      </c>
      <c r="L3735" s="306">
        <f t="shared" si="726"/>
        <v>32793.763721649637</v>
      </c>
      <c r="M3735" s="306">
        <f t="shared" si="727"/>
        <v>-399201126.51365393</v>
      </c>
      <c r="N3735" s="306" t="str">
        <f t="shared" si="728"/>
        <v/>
      </c>
      <c r="O3735" s="291"/>
    </row>
    <row r="3736" spans="1:15">
      <c r="A3736" s="289" t="s">
        <v>905</v>
      </c>
      <c r="B3736" s="306">
        <f t="shared" si="718"/>
        <v>-22.438862886132348</v>
      </c>
      <c r="C3736" s="306">
        <f t="shared" si="719"/>
        <v>11162.040054592457</v>
      </c>
      <c r="D3736" s="306">
        <f t="shared" si="720"/>
        <v>0</v>
      </c>
      <c r="E3736" s="306">
        <f t="shared" si="721"/>
        <v>-250463.48631451736</v>
      </c>
      <c r="F3736" s="312">
        <f t="shared" si="722"/>
        <v>40</v>
      </c>
      <c r="G3736" s="305">
        <v>13</v>
      </c>
      <c r="H3736" s="312">
        <f t="shared" si="717"/>
        <v>6493</v>
      </c>
      <c r="I3736" s="312">
        <f t="shared" si="723"/>
        <v>40</v>
      </c>
      <c r="J3736" s="312">
        <f t="shared" si="724"/>
        <v>50</v>
      </c>
      <c r="K3736" s="306">
        <f t="shared" si="725"/>
        <v>-73.794882514466821</v>
      </c>
      <c r="L3736" s="306">
        <f t="shared" si="726"/>
        <v>32793.763721649637</v>
      </c>
      <c r="M3736" s="306">
        <f t="shared" si="727"/>
        <v>-399200108.93538725</v>
      </c>
      <c r="N3736" s="306" t="str">
        <f t="shared" si="728"/>
        <v/>
      </c>
      <c r="O3736" s="291"/>
    </row>
    <row r="3737" spans="1:15">
      <c r="A3737" s="289" t="s">
        <v>906</v>
      </c>
      <c r="B3737" s="306">
        <f t="shared" si="718"/>
        <v>-13.636676772239788</v>
      </c>
      <c r="C3737" s="306">
        <f t="shared" si="719"/>
        <v>941931.33090455155</v>
      </c>
      <c r="D3737" s="306">
        <f t="shared" si="720"/>
        <v>0</v>
      </c>
      <c r="E3737" s="306">
        <f t="shared" si="721"/>
        <v>-12844813.101191008</v>
      </c>
      <c r="F3737" s="312">
        <f t="shared" si="722"/>
        <v>45</v>
      </c>
      <c r="G3737" s="305">
        <v>14</v>
      </c>
      <c r="H3737" s="312">
        <f t="shared" si="717"/>
        <v>7304</v>
      </c>
      <c r="I3737" s="312">
        <f t="shared" si="723"/>
        <v>45</v>
      </c>
      <c r="J3737" s="312">
        <f t="shared" si="724"/>
        <v>6</v>
      </c>
      <c r="K3737" s="306">
        <f t="shared" si="725"/>
        <v>-67.250108096678915</v>
      </c>
      <c r="L3737" s="306">
        <f t="shared" si="726"/>
        <v>33032.470177363582</v>
      </c>
      <c r="M3737" s="306">
        <f t="shared" si="727"/>
        <v>-398985481.14951885</v>
      </c>
      <c r="N3737" s="306" t="str">
        <f t="shared" si="728"/>
        <v/>
      </c>
      <c r="O3737" s="291"/>
    </row>
    <row r="3738" spans="1:15">
      <c r="A3738" s="289" t="s">
        <v>907</v>
      </c>
      <c r="B3738" s="306">
        <f t="shared" si="718"/>
        <v>-114.28644025626477</v>
      </c>
      <c r="C3738" s="306">
        <f t="shared" si="719"/>
        <v>7545.3752437545136</v>
      </c>
      <c r="D3738" s="306">
        <f t="shared" si="720"/>
        <v>0</v>
      </c>
      <c r="E3738" s="306">
        <f t="shared" si="721"/>
        <v>-862334.07700644946</v>
      </c>
      <c r="F3738" s="312">
        <f t="shared" si="722"/>
        <v>3</v>
      </c>
      <c r="G3738" s="305">
        <v>15</v>
      </c>
      <c r="H3738" s="312">
        <f t="shared" si="717"/>
        <v>501</v>
      </c>
      <c r="I3738" s="312">
        <f t="shared" si="723"/>
        <v>3</v>
      </c>
      <c r="J3738" s="312">
        <f t="shared" si="724"/>
        <v>52</v>
      </c>
      <c r="K3738" s="306">
        <f t="shared" si="725"/>
        <v>-64.389930688321485</v>
      </c>
      <c r="L3738" s="306">
        <f t="shared" si="726"/>
        <v>33032.470177363582</v>
      </c>
      <c r="M3738" s="306">
        <f t="shared" si="727"/>
        <v>-398891002.42457533</v>
      </c>
      <c r="N3738" s="306" t="str">
        <f t="shared" si="728"/>
        <v/>
      </c>
      <c r="O3738" s="291"/>
    </row>
    <row r="3739" spans="1:15">
      <c r="A3739" s="289" t="s">
        <v>908</v>
      </c>
      <c r="B3739" s="306">
        <f t="shared" si="718"/>
        <v>-95.215044157968322</v>
      </c>
      <c r="C3739" s="306">
        <f t="shared" si="719"/>
        <v>3364.5842000499488</v>
      </c>
      <c r="D3739" s="306">
        <f t="shared" si="720"/>
        <v>0</v>
      </c>
      <c r="E3739" s="306">
        <f t="shared" si="721"/>
        <v>-320359.03318095842</v>
      </c>
      <c r="F3739" s="312">
        <f t="shared" si="722"/>
        <v>5</v>
      </c>
      <c r="G3739" s="305">
        <v>16</v>
      </c>
      <c r="H3739" s="312">
        <f t="shared" si="717"/>
        <v>826</v>
      </c>
      <c r="I3739" s="312">
        <f t="shared" si="723"/>
        <v>5</v>
      </c>
      <c r="J3739" s="312">
        <f t="shared" si="724"/>
        <v>161</v>
      </c>
      <c r="K3739" s="306">
        <f t="shared" si="725"/>
        <v>-61.310479328286199</v>
      </c>
      <c r="L3739" s="306">
        <f t="shared" si="726"/>
        <v>33032.470177363582</v>
      </c>
      <c r="M3739" s="306">
        <f t="shared" si="727"/>
        <v>-398789280.53936231</v>
      </c>
      <c r="N3739" s="306" t="str">
        <f t="shared" si="728"/>
        <v/>
      </c>
      <c r="O3739" s="291"/>
    </row>
    <row r="3740" spans="1:15">
      <c r="A3740" s="289" t="s">
        <v>909</v>
      </c>
      <c r="B3740" s="306">
        <f t="shared" si="718"/>
        <v>-78.13958068510189</v>
      </c>
      <c r="C3740" s="306">
        <f t="shared" si="719"/>
        <v>290.96888867999388</v>
      </c>
      <c r="D3740" s="306">
        <f t="shared" si="720"/>
        <v>0</v>
      </c>
      <c r="E3740" s="306">
        <f t="shared" si="721"/>
        <v>-22736.186953864813</v>
      </c>
      <c r="F3740" s="312">
        <f t="shared" si="722"/>
        <v>8</v>
      </c>
      <c r="G3740" s="305">
        <v>17</v>
      </c>
      <c r="H3740" s="312">
        <f t="shared" si="717"/>
        <v>1313</v>
      </c>
      <c r="I3740" s="312">
        <f t="shared" si="723"/>
        <v>8</v>
      </c>
      <c r="J3740" s="312">
        <f t="shared" si="724"/>
        <v>162</v>
      </c>
      <c r="K3740" s="306">
        <f t="shared" si="725"/>
        <v>-61.310479328286199</v>
      </c>
      <c r="L3740" s="306">
        <f t="shared" si="726"/>
        <v>33032.470177363582</v>
      </c>
      <c r="M3740" s="306">
        <f t="shared" si="727"/>
        <v>-398789280.53936231</v>
      </c>
      <c r="N3740" s="306" t="str">
        <f t="shared" si="728"/>
        <v/>
      </c>
      <c r="O3740" s="291"/>
    </row>
    <row r="3741" spans="1:15">
      <c r="A3741" s="289" t="s">
        <v>910</v>
      </c>
      <c r="B3741" s="306">
        <f t="shared" si="718"/>
        <v>-165.34912327163266</v>
      </c>
      <c r="C3741" s="306">
        <f t="shared" si="719"/>
        <v>368.20459015897342</v>
      </c>
      <c r="D3741" s="306">
        <f t="shared" si="720"/>
        <v>0</v>
      </c>
      <c r="E3741" s="306">
        <f t="shared" si="721"/>
        <v>-60882.306167377079</v>
      </c>
      <c r="F3741" s="312">
        <f t="shared" si="722"/>
        <v>2</v>
      </c>
      <c r="G3741" s="305">
        <v>18</v>
      </c>
      <c r="H3741" s="312">
        <f t="shared" si="717"/>
        <v>342</v>
      </c>
      <c r="I3741" s="312">
        <f t="shared" si="723"/>
        <v>2</v>
      </c>
      <c r="J3741" s="312">
        <f t="shared" si="724"/>
        <v>39</v>
      </c>
      <c r="K3741" s="306">
        <f t="shared" si="725"/>
        <v>-58.962920001956718</v>
      </c>
      <c r="L3741" s="306">
        <f t="shared" si="726"/>
        <v>116582.92175177348</v>
      </c>
      <c r="M3741" s="306">
        <f t="shared" si="727"/>
        <v>-398711734.85592574</v>
      </c>
      <c r="N3741" s="306" t="str">
        <f t="shared" si="728"/>
        <v/>
      </c>
      <c r="O3741" s="291"/>
    </row>
    <row r="3742" spans="1:15">
      <c r="A3742" s="289" t="s">
        <v>911</v>
      </c>
      <c r="B3742" s="306">
        <f t="shared" si="718"/>
        <v>-58.959514807545382</v>
      </c>
      <c r="C3742" s="306">
        <f t="shared" si="719"/>
        <v>51396.810343003453</v>
      </c>
      <c r="D3742" s="306">
        <f t="shared" si="720"/>
        <v>0</v>
      </c>
      <c r="E3742" s="306">
        <f t="shared" si="721"/>
        <v>-3030331.0004789135</v>
      </c>
      <c r="F3742" s="312">
        <f t="shared" si="722"/>
        <v>19</v>
      </c>
      <c r="G3742" s="305">
        <v>19</v>
      </c>
      <c r="H3742" s="312">
        <f t="shared" si="717"/>
        <v>3097</v>
      </c>
      <c r="I3742" s="312">
        <f t="shared" si="723"/>
        <v>19</v>
      </c>
      <c r="J3742" s="312">
        <f t="shared" si="724"/>
        <v>19</v>
      </c>
      <c r="K3742" s="306">
        <f t="shared" si="725"/>
        <v>-58.959514807545382</v>
      </c>
      <c r="L3742" s="306">
        <f t="shared" si="726"/>
        <v>167979.73209477693</v>
      </c>
      <c r="M3742" s="306">
        <f t="shared" si="727"/>
        <v>-398711337.86841214</v>
      </c>
      <c r="N3742" s="306" t="str">
        <f t="shared" si="728"/>
        <v/>
      </c>
      <c r="O3742" s="291"/>
    </row>
    <row r="3743" spans="1:15">
      <c r="A3743" s="289" t="s">
        <v>912</v>
      </c>
      <c r="B3743" s="306">
        <f t="shared" si="718"/>
        <v>-53.653975493711982</v>
      </c>
      <c r="C3743" s="306">
        <f t="shared" si="719"/>
        <v>0</v>
      </c>
      <c r="D3743" s="306">
        <f t="shared" si="720"/>
        <v>0</v>
      </c>
      <c r="E3743" s="306">
        <f t="shared" si="721"/>
        <v>0</v>
      </c>
      <c r="F3743" s="312">
        <f t="shared" si="722"/>
        <v>20</v>
      </c>
      <c r="G3743" s="305">
        <v>20</v>
      </c>
      <c r="H3743" s="312">
        <f t="shared" si="717"/>
        <v>3260</v>
      </c>
      <c r="I3743" s="312">
        <f t="shared" si="723"/>
        <v>20</v>
      </c>
      <c r="J3743" s="312">
        <f t="shared" si="724"/>
        <v>20</v>
      </c>
      <c r="K3743" s="306">
        <f t="shared" si="725"/>
        <v>-53.653975493711982</v>
      </c>
      <c r="L3743" s="306">
        <f t="shared" si="726"/>
        <v>167979.73209477693</v>
      </c>
      <c r="M3743" s="306">
        <f t="shared" si="727"/>
        <v>-397820114.79585612</v>
      </c>
      <c r="N3743" s="306" t="str">
        <f t="shared" si="728"/>
        <v/>
      </c>
      <c r="O3743" s="291"/>
    </row>
    <row r="3744" spans="1:15">
      <c r="A3744" s="289" t="s">
        <v>913</v>
      </c>
      <c r="B3744" s="306">
        <f t="shared" si="718"/>
        <v>-46.391260575862518</v>
      </c>
      <c r="C3744" s="306">
        <f t="shared" si="719"/>
        <v>0</v>
      </c>
      <c r="D3744" s="306">
        <f t="shared" si="720"/>
        <v>0</v>
      </c>
      <c r="E3744" s="306">
        <f t="shared" si="721"/>
        <v>0</v>
      </c>
      <c r="F3744" s="312">
        <f t="shared" si="722"/>
        <v>30</v>
      </c>
      <c r="G3744" s="305">
        <v>21</v>
      </c>
      <c r="H3744" s="312">
        <f t="shared" si="717"/>
        <v>4881</v>
      </c>
      <c r="I3744" s="312">
        <f t="shared" si="723"/>
        <v>30</v>
      </c>
      <c r="J3744" s="312">
        <f t="shared" si="724"/>
        <v>22</v>
      </c>
      <c r="K3744" s="306">
        <f t="shared" si="725"/>
        <v>-53.653975493711982</v>
      </c>
      <c r="L3744" s="306">
        <f t="shared" si="726"/>
        <v>167979.73209477693</v>
      </c>
      <c r="M3744" s="306">
        <f t="shared" si="727"/>
        <v>-397820114.79585612</v>
      </c>
      <c r="N3744" s="306" t="str">
        <f t="shared" si="728"/>
        <v/>
      </c>
      <c r="O3744" s="291"/>
    </row>
    <row r="3745" spans="1:15">
      <c r="A3745" s="289" t="s">
        <v>914</v>
      </c>
      <c r="B3745" s="306">
        <f t="shared" si="718"/>
        <v>-53.653975493711982</v>
      </c>
      <c r="C3745" s="306">
        <f t="shared" si="719"/>
        <v>0</v>
      </c>
      <c r="D3745" s="306">
        <f t="shared" si="720"/>
        <v>0</v>
      </c>
      <c r="E3745" s="306">
        <f t="shared" si="721"/>
        <v>0</v>
      </c>
      <c r="F3745" s="312">
        <f t="shared" si="722"/>
        <v>20</v>
      </c>
      <c r="G3745" s="305">
        <v>22</v>
      </c>
      <c r="H3745" s="312">
        <f t="shared" si="717"/>
        <v>3262</v>
      </c>
      <c r="I3745" s="312">
        <f t="shared" si="723"/>
        <v>21</v>
      </c>
      <c r="J3745" s="312">
        <f t="shared" si="724"/>
        <v>4</v>
      </c>
      <c r="K3745" s="306">
        <f t="shared" si="725"/>
        <v>-52.68523582931671</v>
      </c>
      <c r="L3745" s="306">
        <f t="shared" si="726"/>
        <v>541688.71299888287</v>
      </c>
      <c r="M3745" s="306">
        <f t="shared" si="727"/>
        <v>-397657386.16656142</v>
      </c>
      <c r="N3745" s="306" t="str">
        <f t="shared" si="728"/>
        <v/>
      </c>
      <c r="O3745" s="291"/>
    </row>
    <row r="3746" spans="1:15">
      <c r="A3746" s="289" t="s">
        <v>915</v>
      </c>
      <c r="B3746" s="306">
        <f t="shared" si="718"/>
        <v>-47.149340184233345</v>
      </c>
      <c r="C3746" s="306">
        <f t="shared" si="719"/>
        <v>0</v>
      </c>
      <c r="D3746" s="306">
        <f t="shared" si="720"/>
        <v>0</v>
      </c>
      <c r="E3746" s="306">
        <f t="shared" si="721"/>
        <v>0</v>
      </c>
      <c r="F3746" s="312">
        <f t="shared" si="722"/>
        <v>29</v>
      </c>
      <c r="G3746" s="305">
        <v>23</v>
      </c>
      <c r="H3746" s="312">
        <f t="shared" si="717"/>
        <v>4721</v>
      </c>
      <c r="I3746" s="312">
        <f t="shared" si="723"/>
        <v>29</v>
      </c>
      <c r="J3746" s="312">
        <f t="shared" si="724"/>
        <v>5</v>
      </c>
      <c r="K3746" s="306">
        <f t="shared" si="725"/>
        <v>-52.539461371590633</v>
      </c>
      <c r="L3746" s="306">
        <f t="shared" si="726"/>
        <v>675321.47464851011</v>
      </c>
      <c r="M3746" s="306">
        <f t="shared" si="727"/>
        <v>-397578421.78816766</v>
      </c>
      <c r="N3746" s="306" t="str">
        <f t="shared" si="728"/>
        <v/>
      </c>
      <c r="O3746" s="291"/>
    </row>
    <row r="3747" spans="1:15">
      <c r="A3747" s="289" t="s">
        <v>916</v>
      </c>
      <c r="B3747" s="306">
        <f t="shared" si="718"/>
        <v>-46.391260575862518</v>
      </c>
      <c r="C3747" s="306">
        <f t="shared" si="719"/>
        <v>0</v>
      </c>
      <c r="D3747" s="306">
        <f t="shared" si="720"/>
        <v>0</v>
      </c>
      <c r="E3747" s="306">
        <f t="shared" si="721"/>
        <v>0</v>
      </c>
      <c r="F3747" s="312">
        <f t="shared" si="722"/>
        <v>30</v>
      </c>
      <c r="G3747" s="305">
        <v>24</v>
      </c>
      <c r="H3747" s="312">
        <f t="shared" si="717"/>
        <v>4884</v>
      </c>
      <c r="I3747" s="312">
        <f t="shared" si="723"/>
        <v>31</v>
      </c>
      <c r="J3747" s="312">
        <f t="shared" si="724"/>
        <v>7</v>
      </c>
      <c r="K3747" s="306">
        <f t="shared" si="725"/>
        <v>-52.302172196104294</v>
      </c>
      <c r="L3747" s="306">
        <f t="shared" si="726"/>
        <v>675321.47464851011</v>
      </c>
      <c r="M3747" s="306">
        <f t="shared" si="727"/>
        <v>-397418175.31226009</v>
      </c>
      <c r="N3747" s="306" t="str">
        <f t="shared" si="728"/>
        <v/>
      </c>
      <c r="O3747" s="291"/>
    </row>
    <row r="3748" spans="1:15">
      <c r="A3748" s="289" t="s">
        <v>917</v>
      </c>
      <c r="B3748" s="306">
        <f t="shared" si="718"/>
        <v>-40.78916461915145</v>
      </c>
      <c r="C3748" s="306">
        <f t="shared" si="719"/>
        <v>0</v>
      </c>
      <c r="D3748" s="306">
        <f t="shared" si="720"/>
        <v>0</v>
      </c>
      <c r="E3748" s="306">
        <f t="shared" si="721"/>
        <v>0</v>
      </c>
      <c r="F3748" s="312">
        <f t="shared" si="722"/>
        <v>34</v>
      </c>
      <c r="G3748" s="305">
        <v>25</v>
      </c>
      <c r="H3748" s="312">
        <f t="shared" si="717"/>
        <v>5533</v>
      </c>
      <c r="I3748" s="312">
        <f t="shared" si="723"/>
        <v>34</v>
      </c>
      <c r="J3748" s="312">
        <f t="shared" si="724"/>
        <v>2</v>
      </c>
      <c r="K3748" s="306">
        <f t="shared" si="725"/>
        <v>-51.545383811191883</v>
      </c>
      <c r="L3748" s="306">
        <f t="shared" si="726"/>
        <v>951904.47892627935</v>
      </c>
      <c r="M3748" s="306">
        <f t="shared" si="727"/>
        <v>-396907099.86416417</v>
      </c>
      <c r="N3748" s="306" t="str">
        <f t="shared" si="728"/>
        <v/>
      </c>
      <c r="O3748" s="291"/>
    </row>
    <row r="3749" spans="1:15">
      <c r="A3749" s="289" t="s">
        <v>918</v>
      </c>
      <c r="B3749" s="306">
        <f t="shared" si="718"/>
        <v>-23.968534119070117</v>
      </c>
      <c r="C3749" s="306">
        <f t="shared" si="719"/>
        <v>0</v>
      </c>
      <c r="D3749" s="306">
        <f t="shared" si="720"/>
        <v>0</v>
      </c>
      <c r="E3749" s="306">
        <f t="shared" si="721"/>
        <v>0</v>
      </c>
      <c r="F3749" s="312">
        <f t="shared" si="722"/>
        <v>39</v>
      </c>
      <c r="G3749" s="305">
        <v>26</v>
      </c>
      <c r="H3749" s="312">
        <f t="shared" si="717"/>
        <v>6344</v>
      </c>
      <c r="I3749" s="312">
        <f t="shared" si="723"/>
        <v>39</v>
      </c>
      <c r="J3749" s="312">
        <f t="shared" si="724"/>
        <v>1</v>
      </c>
      <c r="K3749" s="306">
        <f t="shared" si="725"/>
        <v>-51.452538762301913</v>
      </c>
      <c r="L3749" s="306">
        <f t="shared" si="726"/>
        <v>2710115.4161759578</v>
      </c>
      <c r="M3749" s="306">
        <f t="shared" si="727"/>
        <v>-396818720.24627966</v>
      </c>
      <c r="N3749" s="306" t="str">
        <f t="shared" si="728"/>
        <v/>
      </c>
      <c r="O3749" s="291"/>
    </row>
    <row r="3750" spans="1:15">
      <c r="A3750" s="289" t="s">
        <v>919</v>
      </c>
      <c r="B3750" s="306">
        <f t="shared" si="718"/>
        <v>-21.166226547507229</v>
      </c>
      <c r="C3750" s="306">
        <f t="shared" si="719"/>
        <v>0</v>
      </c>
      <c r="D3750" s="306">
        <f t="shared" si="720"/>
        <v>0</v>
      </c>
      <c r="E3750" s="306">
        <f t="shared" si="721"/>
        <v>0</v>
      </c>
      <c r="F3750" s="312">
        <f t="shared" si="722"/>
        <v>42</v>
      </c>
      <c r="G3750" s="305">
        <v>27</v>
      </c>
      <c r="H3750" s="312">
        <f t="shared" si="717"/>
        <v>6831</v>
      </c>
      <c r="I3750" s="312">
        <f t="shared" si="723"/>
        <v>42</v>
      </c>
      <c r="J3750" s="312">
        <f t="shared" si="724"/>
        <v>10</v>
      </c>
      <c r="K3750" s="306">
        <f t="shared" si="725"/>
        <v>-47.189191452390354</v>
      </c>
      <c r="L3750" s="306">
        <f t="shared" si="726"/>
        <v>2710115.4161759578</v>
      </c>
      <c r="M3750" s="306">
        <f t="shared" si="727"/>
        <v>-385264556.97717607</v>
      </c>
      <c r="N3750" s="306" t="str">
        <f t="shared" si="728"/>
        <v/>
      </c>
      <c r="O3750" s="291"/>
    </row>
    <row r="3751" spans="1:15">
      <c r="A3751" s="289" t="s">
        <v>920</v>
      </c>
      <c r="B3751" s="306">
        <f t="shared" ref="B3751:B3777" si="729">C3640</f>
        <v>0</v>
      </c>
      <c r="C3751" s="306">
        <f t="shared" ref="C3751:C3777" si="730">C3594</f>
        <v>0</v>
      </c>
      <c r="D3751" s="306">
        <f t="shared" si="720"/>
        <v>0</v>
      </c>
      <c r="E3751" s="306">
        <f t="shared" si="721"/>
        <v>0</v>
      </c>
      <c r="F3751" s="312">
        <f t="shared" si="722"/>
        <v>46</v>
      </c>
      <c r="G3751" s="305">
        <v>28</v>
      </c>
      <c r="H3751" s="312">
        <f t="shared" si="717"/>
        <v>7480</v>
      </c>
      <c r="I3751" s="312">
        <f t="shared" si="723"/>
        <v>46</v>
      </c>
      <c r="J3751" s="312">
        <f t="shared" si="724"/>
        <v>11</v>
      </c>
      <c r="K3751" s="306">
        <f t="shared" si="725"/>
        <v>-47.17038325904123</v>
      </c>
      <c r="L3751" s="306">
        <f t="shared" si="726"/>
        <v>2812458.5528306095</v>
      </c>
      <c r="M3751" s="306">
        <f t="shared" si="727"/>
        <v>-385213584.60243016</v>
      </c>
      <c r="N3751" s="306" t="str">
        <f t="shared" si="728"/>
        <v/>
      </c>
      <c r="O3751" s="291"/>
    </row>
    <row r="3752" spans="1:15">
      <c r="A3752" s="289" t="s">
        <v>921</v>
      </c>
      <c r="B3752" s="306">
        <f t="shared" si="729"/>
        <v>0</v>
      </c>
      <c r="C3752" s="306">
        <f t="shared" si="730"/>
        <v>0</v>
      </c>
      <c r="D3752" s="306">
        <f t="shared" si="720"/>
        <v>0</v>
      </c>
      <c r="E3752" s="306">
        <f t="shared" si="721"/>
        <v>0</v>
      </c>
      <c r="F3752" s="312">
        <f t="shared" si="722"/>
        <v>46</v>
      </c>
      <c r="G3752" s="305">
        <v>29</v>
      </c>
      <c r="H3752" s="312">
        <f t="shared" si="717"/>
        <v>7481</v>
      </c>
      <c r="I3752" s="312">
        <f t="shared" si="723"/>
        <v>47</v>
      </c>
      <c r="J3752" s="312">
        <f t="shared" si="724"/>
        <v>23</v>
      </c>
      <c r="K3752" s="306">
        <f t="shared" si="725"/>
        <v>-47.149340184233345</v>
      </c>
      <c r="L3752" s="306">
        <f t="shared" si="726"/>
        <v>2812458.5528306095</v>
      </c>
      <c r="M3752" s="306">
        <f t="shared" si="727"/>
        <v>-385154401.82670885</v>
      </c>
      <c r="N3752" s="306" t="str">
        <f t="shared" si="728"/>
        <v/>
      </c>
      <c r="O3752" s="291"/>
    </row>
    <row r="3753" spans="1:15">
      <c r="A3753" s="289" t="s">
        <v>922</v>
      </c>
      <c r="B3753" s="306">
        <f t="shared" si="729"/>
        <v>0</v>
      </c>
      <c r="C3753" s="306">
        <f t="shared" si="730"/>
        <v>0</v>
      </c>
      <c r="D3753" s="306">
        <f t="shared" si="720"/>
        <v>0</v>
      </c>
      <c r="E3753" s="306">
        <f t="shared" si="721"/>
        <v>0</v>
      </c>
      <c r="F3753" s="312">
        <f t="shared" si="722"/>
        <v>46</v>
      </c>
      <c r="G3753" s="305">
        <v>30</v>
      </c>
      <c r="H3753" s="312">
        <f t="shared" si="717"/>
        <v>7482</v>
      </c>
      <c r="I3753" s="312">
        <f t="shared" si="723"/>
        <v>48</v>
      </c>
      <c r="J3753" s="312">
        <f t="shared" si="724"/>
        <v>21</v>
      </c>
      <c r="K3753" s="306">
        <f t="shared" si="725"/>
        <v>-46.391260575862518</v>
      </c>
      <c r="L3753" s="306">
        <f t="shared" si="726"/>
        <v>2812458.5528306095</v>
      </c>
      <c r="M3753" s="306">
        <f t="shared" si="727"/>
        <v>-383022334.34841985</v>
      </c>
      <c r="N3753" s="306" t="str">
        <f t="shared" si="728"/>
        <v/>
      </c>
      <c r="O3753" s="291"/>
    </row>
    <row r="3754" spans="1:15">
      <c r="A3754" s="289" t="s">
        <v>923</v>
      </c>
      <c r="B3754" s="306">
        <f t="shared" si="729"/>
        <v>0</v>
      </c>
      <c r="C3754" s="306">
        <f t="shared" si="730"/>
        <v>0</v>
      </c>
      <c r="D3754" s="306">
        <f t="shared" si="720"/>
        <v>0</v>
      </c>
      <c r="E3754" s="306">
        <f t="shared" si="721"/>
        <v>0</v>
      </c>
      <c r="F3754" s="312">
        <f t="shared" si="722"/>
        <v>46</v>
      </c>
      <c r="G3754" s="305">
        <v>31</v>
      </c>
      <c r="H3754" s="312">
        <f t="shared" si="717"/>
        <v>7483</v>
      </c>
      <c r="I3754" s="312">
        <f t="shared" si="723"/>
        <v>49</v>
      </c>
      <c r="J3754" s="312">
        <f t="shared" si="724"/>
        <v>24</v>
      </c>
      <c r="K3754" s="306">
        <f t="shared" si="725"/>
        <v>-46.391260575862518</v>
      </c>
      <c r="L3754" s="306">
        <f t="shared" si="726"/>
        <v>2812458.5528306095</v>
      </c>
      <c r="M3754" s="306">
        <f t="shared" si="727"/>
        <v>-383022334.34841985</v>
      </c>
      <c r="N3754" s="306" t="str">
        <f t="shared" si="728"/>
        <v/>
      </c>
      <c r="O3754" s="291"/>
    </row>
    <row r="3755" spans="1:15">
      <c r="A3755" s="289" t="s">
        <v>924</v>
      </c>
      <c r="B3755" s="306">
        <f t="shared" si="729"/>
        <v>0</v>
      </c>
      <c r="C3755" s="306">
        <f t="shared" si="730"/>
        <v>0</v>
      </c>
      <c r="D3755" s="306">
        <f t="shared" si="720"/>
        <v>0</v>
      </c>
      <c r="E3755" s="306">
        <f t="shared" si="721"/>
        <v>0</v>
      </c>
      <c r="F3755" s="312">
        <f t="shared" si="722"/>
        <v>46</v>
      </c>
      <c r="G3755" s="305">
        <v>32</v>
      </c>
      <c r="H3755" s="312">
        <f t="shared" ref="H3755:H3786" si="731">F3755*162+G3755</f>
        <v>7484</v>
      </c>
      <c r="I3755" s="312">
        <f t="shared" si="723"/>
        <v>50</v>
      </c>
      <c r="J3755" s="312">
        <f t="shared" si="724"/>
        <v>8</v>
      </c>
      <c r="K3755" s="306">
        <f t="shared" si="725"/>
        <v>-45.480725016247007</v>
      </c>
      <c r="L3755" s="306">
        <f t="shared" si="726"/>
        <v>2812458.5528306095</v>
      </c>
      <c r="M3755" s="306">
        <f t="shared" si="727"/>
        <v>-380461490.82612282</v>
      </c>
      <c r="N3755" s="306" t="str">
        <f t="shared" si="728"/>
        <v/>
      </c>
      <c r="O3755" s="291"/>
    </row>
    <row r="3756" spans="1:15">
      <c r="A3756" s="289" t="s">
        <v>925</v>
      </c>
      <c r="B3756" s="306">
        <f t="shared" si="729"/>
        <v>0</v>
      </c>
      <c r="C3756" s="306">
        <f t="shared" si="730"/>
        <v>0</v>
      </c>
      <c r="D3756" s="306">
        <f t="shared" ref="D3756:D3787" si="732">IF(ISERROR(B3756),C3756,0)</f>
        <v>0</v>
      </c>
      <c r="E3756" s="306">
        <f t="shared" ref="E3756:E3787" si="733">MAX($B$3694,B3756)*C3756</f>
        <v>0</v>
      </c>
      <c r="F3756" s="312">
        <f t="shared" ref="F3756:F3787" si="734">RANK(B3756,B$3724:B$3885,1)</f>
        <v>46</v>
      </c>
      <c r="G3756" s="305">
        <v>33</v>
      </c>
      <c r="H3756" s="312">
        <f t="shared" si="731"/>
        <v>7485</v>
      </c>
      <c r="I3756" s="312">
        <f t="shared" ref="I3756:I3787" si="735">RANK(H3756,H$3724:H$3885,1)</f>
        <v>51</v>
      </c>
      <c r="J3756" s="312">
        <f t="shared" ref="J3756:J3787" si="736">MATCH(G3756,I$3724:I$3885,0)</f>
        <v>147</v>
      </c>
      <c r="K3756" s="306">
        <f t="shared" ref="K3756:K3787" si="737">INDEX(B$3724:B$3885,J3756,1)</f>
        <v>-42.200401101003948</v>
      </c>
      <c r="L3756" s="306">
        <f t="shared" ref="L3756:L3787" si="738">L3755+INDEX(C$3724:C$3885,J3756,1)</f>
        <v>2822163.3169591343</v>
      </c>
      <c r="M3756" s="306">
        <f t="shared" ref="M3756:M3787" si="739">M3755+(K3756-K3755)*L3755</f>
        <v>-371235715.77464271</v>
      </c>
      <c r="N3756" s="306" t="str">
        <f t="shared" ref="N3756:N3787" si="740">IF((M3755&gt;0)=(M3756&gt;0),"",K3756-M3756/L3755)</f>
        <v/>
      </c>
      <c r="O3756" s="291"/>
    </row>
    <row r="3757" spans="1:15">
      <c r="A3757" s="289" t="s">
        <v>926</v>
      </c>
      <c r="B3757" s="306">
        <f t="shared" si="729"/>
        <v>0</v>
      </c>
      <c r="C3757" s="306">
        <f t="shared" si="730"/>
        <v>0</v>
      </c>
      <c r="D3757" s="306">
        <f t="shared" si="732"/>
        <v>0</v>
      </c>
      <c r="E3757" s="306">
        <f t="shared" si="733"/>
        <v>0</v>
      </c>
      <c r="F3757" s="312">
        <f t="shared" si="734"/>
        <v>46</v>
      </c>
      <c r="G3757" s="305">
        <v>34</v>
      </c>
      <c r="H3757" s="312">
        <f t="shared" si="731"/>
        <v>7486</v>
      </c>
      <c r="I3757" s="312">
        <f t="shared" si="735"/>
        <v>52</v>
      </c>
      <c r="J3757" s="312">
        <f t="shared" si="736"/>
        <v>25</v>
      </c>
      <c r="K3757" s="306">
        <f t="shared" si="737"/>
        <v>-40.78916461915145</v>
      </c>
      <c r="L3757" s="306">
        <f t="shared" si="738"/>
        <v>2822163.3169591343</v>
      </c>
      <c r="M3757" s="306">
        <f t="shared" si="739"/>
        <v>-367252975.94400412</v>
      </c>
      <c r="N3757" s="306" t="str">
        <f t="shared" si="740"/>
        <v/>
      </c>
      <c r="O3757" s="291"/>
    </row>
    <row r="3758" spans="1:15">
      <c r="A3758" s="289" t="s">
        <v>927</v>
      </c>
      <c r="B3758" s="306">
        <f t="shared" si="729"/>
        <v>0</v>
      </c>
      <c r="C3758" s="306">
        <f t="shared" si="730"/>
        <v>0</v>
      </c>
      <c r="D3758" s="306">
        <f t="shared" si="732"/>
        <v>0</v>
      </c>
      <c r="E3758" s="306">
        <f t="shared" si="733"/>
        <v>0</v>
      </c>
      <c r="F3758" s="312">
        <f t="shared" si="734"/>
        <v>46</v>
      </c>
      <c r="G3758" s="305">
        <v>35</v>
      </c>
      <c r="H3758" s="312">
        <f t="shared" si="731"/>
        <v>7487</v>
      </c>
      <c r="I3758" s="312">
        <f t="shared" si="735"/>
        <v>53</v>
      </c>
      <c r="J3758" s="312">
        <f t="shared" si="736"/>
        <v>40</v>
      </c>
      <c r="K3758" s="306">
        <f t="shared" si="737"/>
        <v>-37.254877256497785</v>
      </c>
      <c r="L3758" s="306">
        <f t="shared" si="738"/>
        <v>2824305.2857645932</v>
      </c>
      <c r="M3758" s="306">
        <f t="shared" si="739"/>
        <v>-357278639.79753071</v>
      </c>
      <c r="N3758" s="306" t="str">
        <f t="shared" si="740"/>
        <v/>
      </c>
      <c r="O3758" s="291"/>
    </row>
    <row r="3759" spans="1:15">
      <c r="A3759" s="289" t="s">
        <v>928</v>
      </c>
      <c r="B3759" s="306">
        <f t="shared" si="729"/>
        <v>0</v>
      </c>
      <c r="C3759" s="306">
        <f t="shared" si="730"/>
        <v>0</v>
      </c>
      <c r="D3759" s="306">
        <f t="shared" si="732"/>
        <v>0</v>
      </c>
      <c r="E3759" s="306">
        <f t="shared" si="733"/>
        <v>0</v>
      </c>
      <c r="F3759" s="312">
        <f t="shared" si="734"/>
        <v>46</v>
      </c>
      <c r="G3759" s="305">
        <v>36</v>
      </c>
      <c r="H3759" s="312">
        <f t="shared" si="731"/>
        <v>7488</v>
      </c>
      <c r="I3759" s="312">
        <f t="shared" si="735"/>
        <v>54</v>
      </c>
      <c r="J3759" s="312">
        <f t="shared" si="736"/>
        <v>12</v>
      </c>
      <c r="K3759" s="306">
        <f t="shared" si="737"/>
        <v>-37.119104272547624</v>
      </c>
      <c r="L3759" s="306">
        <f t="shared" si="738"/>
        <v>3262470.8838891666</v>
      </c>
      <c r="M3759" s="306">
        <f t="shared" si="739"/>
        <v>-356895175.44129622</v>
      </c>
      <c r="N3759" s="306" t="str">
        <f t="shared" si="740"/>
        <v/>
      </c>
      <c r="O3759" s="291"/>
    </row>
    <row r="3760" spans="1:15">
      <c r="A3760" s="289" t="s">
        <v>929</v>
      </c>
      <c r="B3760" s="306">
        <f t="shared" si="729"/>
        <v>-73.856639100365214</v>
      </c>
      <c r="C3760" s="306">
        <f t="shared" si="730"/>
        <v>0</v>
      </c>
      <c r="D3760" s="306">
        <f t="shared" si="732"/>
        <v>0</v>
      </c>
      <c r="E3760" s="306">
        <f t="shared" si="733"/>
        <v>0</v>
      </c>
      <c r="F3760" s="312">
        <f t="shared" si="734"/>
        <v>11</v>
      </c>
      <c r="G3760" s="305">
        <v>37</v>
      </c>
      <c r="H3760" s="312">
        <f t="shared" si="731"/>
        <v>1819</v>
      </c>
      <c r="I3760" s="312">
        <f t="shared" si="735"/>
        <v>11</v>
      </c>
      <c r="J3760" s="312">
        <f t="shared" si="736"/>
        <v>54</v>
      </c>
      <c r="K3760" s="306">
        <f t="shared" si="737"/>
        <v>-35.094121684036686</v>
      </c>
      <c r="L3760" s="306">
        <f t="shared" si="738"/>
        <v>3262470.8838891666</v>
      </c>
      <c r="M3760" s="306">
        <f t="shared" si="739"/>
        <v>-350288728.70589679</v>
      </c>
      <c r="N3760" s="306" t="str">
        <f t="shared" si="740"/>
        <v/>
      </c>
      <c r="O3760" s="291"/>
    </row>
    <row r="3761" spans="1:15">
      <c r="A3761" s="289" t="s">
        <v>930</v>
      </c>
      <c r="B3761" s="306">
        <f t="shared" si="729"/>
        <v>-73.825912141785452</v>
      </c>
      <c r="C3761" s="306">
        <f t="shared" si="730"/>
        <v>18946.171347618259</v>
      </c>
      <c r="D3761" s="306">
        <f t="shared" si="732"/>
        <v>0</v>
      </c>
      <c r="E3761" s="306">
        <f t="shared" si="733"/>
        <v>-1398718.3813324785</v>
      </c>
      <c r="F3761" s="312">
        <f t="shared" si="734"/>
        <v>12</v>
      </c>
      <c r="G3761" s="305">
        <v>38</v>
      </c>
      <c r="H3761" s="312">
        <f t="shared" si="731"/>
        <v>1982</v>
      </c>
      <c r="I3761" s="312">
        <f t="shared" si="735"/>
        <v>12</v>
      </c>
      <c r="J3761" s="312">
        <f t="shared" si="736"/>
        <v>148</v>
      </c>
      <c r="K3761" s="306">
        <f t="shared" si="737"/>
        <v>-25.436963201569657</v>
      </c>
      <c r="L3761" s="306">
        <f t="shared" si="738"/>
        <v>3262768.5760411243</v>
      </c>
      <c r="M3761" s="306">
        <f t="shared" si="739"/>
        <v>-318782530.3357448</v>
      </c>
      <c r="N3761" s="306" t="str">
        <f t="shared" si="740"/>
        <v/>
      </c>
      <c r="O3761" s="291"/>
    </row>
    <row r="3762" spans="1:15">
      <c r="A3762" s="289" t="s">
        <v>931</v>
      </c>
      <c r="B3762" s="306">
        <f t="shared" si="729"/>
        <v>-58.962920001956718</v>
      </c>
      <c r="C3762" s="306">
        <f t="shared" si="730"/>
        <v>83550.451574409904</v>
      </c>
      <c r="D3762" s="306">
        <f t="shared" si="732"/>
        <v>0</v>
      </c>
      <c r="E3762" s="306">
        <f t="shared" si="733"/>
        <v>-4926378.5923092896</v>
      </c>
      <c r="F3762" s="312">
        <f t="shared" si="734"/>
        <v>18</v>
      </c>
      <c r="G3762" s="305">
        <v>39</v>
      </c>
      <c r="H3762" s="312">
        <f t="shared" si="731"/>
        <v>2955</v>
      </c>
      <c r="I3762" s="312">
        <f t="shared" si="735"/>
        <v>18</v>
      </c>
      <c r="J3762" s="312">
        <f t="shared" si="736"/>
        <v>26</v>
      </c>
      <c r="K3762" s="306">
        <f t="shared" si="737"/>
        <v>-23.968534119070117</v>
      </c>
      <c r="L3762" s="306">
        <f t="shared" si="738"/>
        <v>3262768.5760411243</v>
      </c>
      <c r="M3762" s="306">
        <f t="shared" si="739"/>
        <v>-313991386.06922042</v>
      </c>
      <c r="N3762" s="306" t="str">
        <f t="shared" si="740"/>
        <v/>
      </c>
      <c r="O3762" s="291"/>
    </row>
    <row r="3763" spans="1:15">
      <c r="A3763" s="289" t="s">
        <v>932</v>
      </c>
      <c r="B3763" s="306">
        <f t="shared" si="729"/>
        <v>-37.254877256497785</v>
      </c>
      <c r="C3763" s="306">
        <f t="shared" si="730"/>
        <v>2141.9688054589687</v>
      </c>
      <c r="D3763" s="306">
        <f t="shared" si="732"/>
        <v>0</v>
      </c>
      <c r="E3763" s="306">
        <f t="shared" si="733"/>
        <v>-79798.784934621057</v>
      </c>
      <c r="F3763" s="312">
        <f t="shared" si="734"/>
        <v>35</v>
      </c>
      <c r="G3763" s="305">
        <v>40</v>
      </c>
      <c r="H3763" s="312">
        <f t="shared" si="731"/>
        <v>5710</v>
      </c>
      <c r="I3763" s="312">
        <f t="shared" si="735"/>
        <v>35</v>
      </c>
      <c r="J3763" s="312">
        <f t="shared" si="736"/>
        <v>13</v>
      </c>
      <c r="K3763" s="306">
        <f t="shared" si="737"/>
        <v>-22.438862886132348</v>
      </c>
      <c r="L3763" s="306">
        <f t="shared" si="738"/>
        <v>3273930.6160957166</v>
      </c>
      <c r="M3763" s="306">
        <f t="shared" si="739"/>
        <v>-309000422.83871698</v>
      </c>
      <c r="N3763" s="306" t="str">
        <f t="shared" si="740"/>
        <v/>
      </c>
      <c r="O3763" s="291"/>
    </row>
    <row r="3764" spans="1:15">
      <c r="A3764" s="289" t="s">
        <v>933</v>
      </c>
      <c r="B3764" s="306">
        <f t="shared" si="729"/>
        <v>-22.164151071650714</v>
      </c>
      <c r="C3764" s="306">
        <f t="shared" si="730"/>
        <v>183503.40459505111</v>
      </c>
      <c r="D3764" s="306">
        <f t="shared" si="732"/>
        <v>0</v>
      </c>
      <c r="E3764" s="306">
        <f t="shared" si="733"/>
        <v>-4067197.1816069568</v>
      </c>
      <c r="F3764" s="312">
        <f t="shared" si="734"/>
        <v>41</v>
      </c>
      <c r="G3764" s="305">
        <v>41</v>
      </c>
      <c r="H3764" s="312">
        <f t="shared" si="731"/>
        <v>6683</v>
      </c>
      <c r="I3764" s="312">
        <f t="shared" si="735"/>
        <v>41</v>
      </c>
      <c r="J3764" s="312">
        <f t="shared" si="736"/>
        <v>41</v>
      </c>
      <c r="K3764" s="306">
        <f t="shared" si="737"/>
        <v>-22.164151071650714</v>
      </c>
      <c r="L3764" s="306">
        <f t="shared" si="738"/>
        <v>3457434.0206907676</v>
      </c>
      <c r="M3764" s="306">
        <f t="shared" si="739"/>
        <v>-308101035.41868234</v>
      </c>
      <c r="N3764" s="306" t="str">
        <f t="shared" si="740"/>
        <v/>
      </c>
      <c r="O3764" s="291"/>
    </row>
    <row r="3765" spans="1:15">
      <c r="A3765" s="289" t="s">
        <v>934</v>
      </c>
      <c r="B3765" s="306">
        <f t="shared" si="729"/>
        <v>0</v>
      </c>
      <c r="C3765" s="306">
        <f t="shared" si="730"/>
        <v>0</v>
      </c>
      <c r="D3765" s="306">
        <f t="shared" si="732"/>
        <v>0</v>
      </c>
      <c r="E3765" s="306">
        <f t="shared" si="733"/>
        <v>0</v>
      </c>
      <c r="F3765" s="312">
        <f t="shared" si="734"/>
        <v>46</v>
      </c>
      <c r="G3765" s="305">
        <v>42</v>
      </c>
      <c r="H3765" s="312">
        <f t="shared" si="731"/>
        <v>7494</v>
      </c>
      <c r="I3765" s="312">
        <f t="shared" si="735"/>
        <v>55</v>
      </c>
      <c r="J3765" s="312">
        <f t="shared" si="736"/>
        <v>27</v>
      </c>
      <c r="K3765" s="306">
        <f t="shared" si="737"/>
        <v>-21.166226547507229</v>
      </c>
      <c r="L3765" s="306">
        <f t="shared" si="738"/>
        <v>3457434.0206907676</v>
      </c>
      <c r="M3765" s="306">
        <f t="shared" si="739"/>
        <v>-304650777.21882701</v>
      </c>
      <c r="N3765" s="306" t="str">
        <f t="shared" si="740"/>
        <v/>
      </c>
      <c r="O3765" s="291"/>
    </row>
    <row r="3766" spans="1:15">
      <c r="A3766" s="289" t="s">
        <v>935</v>
      </c>
      <c r="B3766" s="306">
        <f t="shared" si="729"/>
        <v>0</v>
      </c>
      <c r="C3766" s="306">
        <f t="shared" si="730"/>
        <v>0</v>
      </c>
      <c r="D3766" s="306">
        <f t="shared" si="732"/>
        <v>0</v>
      </c>
      <c r="E3766" s="306">
        <f t="shared" si="733"/>
        <v>0</v>
      </c>
      <c r="F3766" s="312">
        <f t="shared" si="734"/>
        <v>46</v>
      </c>
      <c r="G3766" s="305">
        <v>43</v>
      </c>
      <c r="H3766" s="312">
        <f t="shared" si="731"/>
        <v>7495</v>
      </c>
      <c r="I3766" s="312">
        <f t="shared" si="735"/>
        <v>56</v>
      </c>
      <c r="J3766" s="312">
        <f t="shared" si="736"/>
        <v>149</v>
      </c>
      <c r="K3766" s="306">
        <f t="shared" si="737"/>
        <v>-15.272626960022771</v>
      </c>
      <c r="L3766" s="306">
        <f t="shared" si="738"/>
        <v>3497630.9911771403</v>
      </c>
      <c r="M3766" s="306">
        <f t="shared" si="739"/>
        <v>-284274045.5007292</v>
      </c>
      <c r="N3766" s="306" t="str">
        <f t="shared" si="740"/>
        <v/>
      </c>
      <c r="O3766" s="291"/>
    </row>
    <row r="3767" spans="1:15">
      <c r="A3767" s="289" t="s">
        <v>936</v>
      </c>
      <c r="B3767" s="306">
        <f t="shared" si="729"/>
        <v>0</v>
      </c>
      <c r="C3767" s="306">
        <f t="shared" si="730"/>
        <v>0</v>
      </c>
      <c r="D3767" s="306">
        <f t="shared" si="732"/>
        <v>0</v>
      </c>
      <c r="E3767" s="306">
        <f t="shared" si="733"/>
        <v>0</v>
      </c>
      <c r="F3767" s="312">
        <f t="shared" si="734"/>
        <v>46</v>
      </c>
      <c r="G3767" s="305">
        <v>44</v>
      </c>
      <c r="H3767" s="312">
        <f t="shared" si="731"/>
        <v>7496</v>
      </c>
      <c r="I3767" s="312">
        <f t="shared" si="735"/>
        <v>57</v>
      </c>
      <c r="J3767" s="312">
        <f t="shared" si="736"/>
        <v>9</v>
      </c>
      <c r="K3767" s="306">
        <f t="shared" si="737"/>
        <v>-15.231300776553887</v>
      </c>
      <c r="L3767" s="306">
        <f t="shared" si="738"/>
        <v>3497630.9911771403</v>
      </c>
      <c r="M3767" s="306">
        <f t="shared" si="739"/>
        <v>-284129501.76068139</v>
      </c>
      <c r="N3767" s="306" t="str">
        <f t="shared" si="740"/>
        <v/>
      </c>
      <c r="O3767" s="291"/>
    </row>
    <row r="3768" spans="1:15">
      <c r="A3768" s="289" t="s">
        <v>937</v>
      </c>
      <c r="B3768" s="306">
        <f t="shared" si="729"/>
        <v>0</v>
      </c>
      <c r="C3768" s="306">
        <f t="shared" si="730"/>
        <v>0</v>
      </c>
      <c r="D3768" s="306">
        <f t="shared" si="732"/>
        <v>0</v>
      </c>
      <c r="E3768" s="306">
        <f t="shared" si="733"/>
        <v>0</v>
      </c>
      <c r="F3768" s="312">
        <f t="shared" si="734"/>
        <v>46</v>
      </c>
      <c r="G3768" s="305">
        <v>45</v>
      </c>
      <c r="H3768" s="312">
        <f t="shared" si="731"/>
        <v>7497</v>
      </c>
      <c r="I3768" s="312">
        <f t="shared" si="735"/>
        <v>58</v>
      </c>
      <c r="J3768" s="312">
        <f t="shared" si="736"/>
        <v>14</v>
      </c>
      <c r="K3768" s="306">
        <f t="shared" si="737"/>
        <v>-13.636676772239788</v>
      </c>
      <c r="L3768" s="306">
        <f t="shared" si="738"/>
        <v>4439562.3220816916</v>
      </c>
      <c r="M3768" s="306">
        <f t="shared" si="739"/>
        <v>-278552095.42391741</v>
      </c>
      <c r="N3768" s="306" t="str">
        <f t="shared" si="740"/>
        <v/>
      </c>
      <c r="O3768" s="291"/>
    </row>
    <row r="3769" spans="1:15">
      <c r="A3769" s="289" t="s">
        <v>938</v>
      </c>
      <c r="B3769" s="306">
        <f t="shared" si="729"/>
        <v>-207.38388658963186</v>
      </c>
      <c r="C3769" s="306">
        <f t="shared" si="730"/>
        <v>1722.5619688569338</v>
      </c>
      <c r="D3769" s="306">
        <f t="shared" si="732"/>
        <v>0</v>
      </c>
      <c r="E3769" s="306">
        <f t="shared" si="733"/>
        <v>-357231.59599303931</v>
      </c>
      <c r="F3769" s="312">
        <f t="shared" si="734"/>
        <v>1</v>
      </c>
      <c r="G3769" s="305">
        <v>46</v>
      </c>
      <c r="H3769" s="312">
        <f t="shared" si="731"/>
        <v>208</v>
      </c>
      <c r="I3769" s="312">
        <f t="shared" si="735"/>
        <v>1</v>
      </c>
      <c r="J3769" s="312">
        <f t="shared" si="736"/>
        <v>28</v>
      </c>
      <c r="K3769" s="306">
        <f t="shared" si="737"/>
        <v>0</v>
      </c>
      <c r="L3769" s="306">
        <f t="shared" si="738"/>
        <v>4439562.3220816916</v>
      </c>
      <c r="M3769" s="306">
        <f t="shared" si="739"/>
        <v>-218011219.02747506</v>
      </c>
      <c r="N3769" s="306" t="str">
        <f t="shared" si="740"/>
        <v/>
      </c>
      <c r="O3769" s="291"/>
    </row>
    <row r="3770" spans="1:15">
      <c r="A3770" s="289" t="s">
        <v>939</v>
      </c>
      <c r="B3770" s="306">
        <f t="shared" si="729"/>
        <v>0</v>
      </c>
      <c r="C3770" s="306">
        <f t="shared" si="730"/>
        <v>0</v>
      </c>
      <c r="D3770" s="306">
        <f t="shared" si="732"/>
        <v>0</v>
      </c>
      <c r="E3770" s="306">
        <f t="shared" si="733"/>
        <v>0</v>
      </c>
      <c r="F3770" s="312">
        <f t="shared" si="734"/>
        <v>46</v>
      </c>
      <c r="G3770" s="305">
        <v>47</v>
      </c>
      <c r="H3770" s="312">
        <f t="shared" si="731"/>
        <v>7499</v>
      </c>
      <c r="I3770" s="312">
        <f t="shared" si="735"/>
        <v>59</v>
      </c>
      <c r="J3770" s="312">
        <f t="shared" si="736"/>
        <v>29</v>
      </c>
      <c r="K3770" s="306">
        <f t="shared" si="737"/>
        <v>0</v>
      </c>
      <c r="L3770" s="306">
        <f t="shared" si="738"/>
        <v>4439562.3220816916</v>
      </c>
      <c r="M3770" s="306">
        <f t="shared" si="739"/>
        <v>-218011219.02747506</v>
      </c>
      <c r="N3770" s="306" t="str">
        <f t="shared" si="740"/>
        <v/>
      </c>
      <c r="O3770" s="291"/>
    </row>
    <row r="3771" spans="1:15">
      <c r="A3771" s="289" t="s">
        <v>940</v>
      </c>
      <c r="B3771" s="306">
        <f t="shared" si="729"/>
        <v>0</v>
      </c>
      <c r="C3771" s="306">
        <f t="shared" si="730"/>
        <v>0</v>
      </c>
      <c r="D3771" s="306">
        <f t="shared" si="732"/>
        <v>0</v>
      </c>
      <c r="E3771" s="306">
        <f t="shared" si="733"/>
        <v>0</v>
      </c>
      <c r="F3771" s="312">
        <f t="shared" si="734"/>
        <v>46</v>
      </c>
      <c r="G3771" s="305">
        <v>48</v>
      </c>
      <c r="H3771" s="312">
        <f t="shared" si="731"/>
        <v>7500</v>
      </c>
      <c r="I3771" s="312">
        <f t="shared" si="735"/>
        <v>60</v>
      </c>
      <c r="J3771" s="312">
        <f t="shared" si="736"/>
        <v>30</v>
      </c>
      <c r="K3771" s="306">
        <f t="shared" si="737"/>
        <v>0</v>
      </c>
      <c r="L3771" s="306">
        <f t="shared" si="738"/>
        <v>4439562.3220816916</v>
      </c>
      <c r="M3771" s="306">
        <f t="shared" si="739"/>
        <v>-218011219.02747506</v>
      </c>
      <c r="N3771" s="306" t="str">
        <f t="shared" si="740"/>
        <v/>
      </c>
      <c r="O3771" s="291"/>
    </row>
    <row r="3772" spans="1:15">
      <c r="A3772" s="289" t="s">
        <v>941</v>
      </c>
      <c r="B3772" s="306">
        <f t="shared" si="729"/>
        <v>0</v>
      </c>
      <c r="C3772" s="306">
        <f t="shared" si="730"/>
        <v>0</v>
      </c>
      <c r="D3772" s="306">
        <f t="shared" si="732"/>
        <v>0</v>
      </c>
      <c r="E3772" s="306">
        <f t="shared" si="733"/>
        <v>0</v>
      </c>
      <c r="F3772" s="312">
        <f t="shared" si="734"/>
        <v>46</v>
      </c>
      <c r="G3772" s="305">
        <v>49</v>
      </c>
      <c r="H3772" s="312">
        <f t="shared" si="731"/>
        <v>7501</v>
      </c>
      <c r="I3772" s="312">
        <f t="shared" si="735"/>
        <v>61</v>
      </c>
      <c r="J3772" s="312">
        <f t="shared" si="736"/>
        <v>31</v>
      </c>
      <c r="K3772" s="306">
        <f t="shared" si="737"/>
        <v>0</v>
      </c>
      <c r="L3772" s="306">
        <f t="shared" si="738"/>
        <v>4439562.3220816916</v>
      </c>
      <c r="M3772" s="306">
        <f t="shared" si="739"/>
        <v>-218011219.02747506</v>
      </c>
      <c r="N3772" s="306" t="str">
        <f t="shared" si="740"/>
        <v/>
      </c>
      <c r="O3772" s="291"/>
    </row>
    <row r="3773" spans="1:15">
      <c r="A3773" s="289" t="s">
        <v>942</v>
      </c>
      <c r="B3773" s="306">
        <f t="shared" si="729"/>
        <v>-73.794882514466821</v>
      </c>
      <c r="C3773" s="306">
        <f t="shared" si="730"/>
        <v>0</v>
      </c>
      <c r="D3773" s="306">
        <f t="shared" si="732"/>
        <v>0</v>
      </c>
      <c r="E3773" s="306">
        <f t="shared" si="733"/>
        <v>0</v>
      </c>
      <c r="F3773" s="312">
        <f t="shared" si="734"/>
        <v>13</v>
      </c>
      <c r="G3773" s="305">
        <v>50</v>
      </c>
      <c r="H3773" s="312">
        <f t="shared" si="731"/>
        <v>2156</v>
      </c>
      <c r="I3773" s="312">
        <f t="shared" si="735"/>
        <v>13</v>
      </c>
      <c r="J3773" s="312">
        <f t="shared" si="736"/>
        <v>32</v>
      </c>
      <c r="K3773" s="306">
        <f t="shared" si="737"/>
        <v>0</v>
      </c>
      <c r="L3773" s="306">
        <f t="shared" si="738"/>
        <v>4439562.3220816916</v>
      </c>
      <c r="M3773" s="306">
        <f t="shared" si="739"/>
        <v>-218011219.02747506</v>
      </c>
      <c r="N3773" s="306" t="str">
        <f t="shared" si="740"/>
        <v/>
      </c>
      <c r="O3773" s="291"/>
    </row>
    <row r="3774" spans="1:15">
      <c r="A3774" s="289" t="s">
        <v>943</v>
      </c>
      <c r="B3774" s="306">
        <f t="shared" si="729"/>
        <v>0</v>
      </c>
      <c r="C3774" s="306">
        <f t="shared" si="730"/>
        <v>0</v>
      </c>
      <c r="D3774" s="306">
        <f t="shared" si="732"/>
        <v>0</v>
      </c>
      <c r="E3774" s="306">
        <f t="shared" si="733"/>
        <v>0</v>
      </c>
      <c r="F3774" s="312">
        <f t="shared" si="734"/>
        <v>46</v>
      </c>
      <c r="G3774" s="305">
        <v>51</v>
      </c>
      <c r="H3774" s="312">
        <f t="shared" si="731"/>
        <v>7503</v>
      </c>
      <c r="I3774" s="312">
        <f t="shared" si="735"/>
        <v>62</v>
      </c>
      <c r="J3774" s="312">
        <f t="shared" si="736"/>
        <v>33</v>
      </c>
      <c r="K3774" s="306">
        <f t="shared" si="737"/>
        <v>0</v>
      </c>
      <c r="L3774" s="306">
        <f t="shared" si="738"/>
        <v>4439562.3220816916</v>
      </c>
      <c r="M3774" s="306">
        <f t="shared" si="739"/>
        <v>-218011219.02747506</v>
      </c>
      <c r="N3774" s="306" t="str">
        <f t="shared" si="740"/>
        <v/>
      </c>
      <c r="O3774" s="291"/>
    </row>
    <row r="3775" spans="1:15">
      <c r="A3775" s="289" t="s">
        <v>944</v>
      </c>
      <c r="B3775" s="306">
        <f t="shared" si="729"/>
        <v>-64.389930688321485</v>
      </c>
      <c r="C3775" s="306">
        <f t="shared" si="730"/>
        <v>0</v>
      </c>
      <c r="D3775" s="306">
        <f t="shared" si="732"/>
        <v>0</v>
      </c>
      <c r="E3775" s="306">
        <f t="shared" si="733"/>
        <v>0</v>
      </c>
      <c r="F3775" s="312">
        <f t="shared" si="734"/>
        <v>15</v>
      </c>
      <c r="G3775" s="305">
        <v>52</v>
      </c>
      <c r="H3775" s="312">
        <f t="shared" si="731"/>
        <v>2482</v>
      </c>
      <c r="I3775" s="312">
        <f t="shared" si="735"/>
        <v>15</v>
      </c>
      <c r="J3775" s="312">
        <f t="shared" si="736"/>
        <v>34</v>
      </c>
      <c r="K3775" s="306">
        <f t="shared" si="737"/>
        <v>0</v>
      </c>
      <c r="L3775" s="306">
        <f t="shared" si="738"/>
        <v>4439562.3220816916</v>
      </c>
      <c r="M3775" s="306">
        <f t="shared" si="739"/>
        <v>-218011219.02747506</v>
      </c>
      <c r="N3775" s="306" t="str">
        <f t="shared" si="740"/>
        <v/>
      </c>
      <c r="O3775" s="291"/>
    </row>
    <row r="3776" spans="1:15">
      <c r="A3776" s="289" t="s">
        <v>945</v>
      </c>
      <c r="B3776" s="306">
        <f t="shared" si="729"/>
        <v>0</v>
      </c>
      <c r="C3776" s="306">
        <f t="shared" si="730"/>
        <v>0</v>
      </c>
      <c r="D3776" s="306">
        <f t="shared" si="732"/>
        <v>0</v>
      </c>
      <c r="E3776" s="306">
        <f t="shared" si="733"/>
        <v>0</v>
      </c>
      <c r="F3776" s="312">
        <f t="shared" si="734"/>
        <v>46</v>
      </c>
      <c r="G3776" s="305">
        <v>53</v>
      </c>
      <c r="H3776" s="312">
        <f t="shared" si="731"/>
        <v>7505</v>
      </c>
      <c r="I3776" s="312">
        <f t="shared" si="735"/>
        <v>63</v>
      </c>
      <c r="J3776" s="312">
        <f t="shared" si="736"/>
        <v>35</v>
      </c>
      <c r="K3776" s="306">
        <f t="shared" si="737"/>
        <v>0</v>
      </c>
      <c r="L3776" s="306">
        <f t="shared" si="738"/>
        <v>4439562.3220816916</v>
      </c>
      <c r="M3776" s="306">
        <f t="shared" si="739"/>
        <v>-218011219.02747506</v>
      </c>
      <c r="N3776" s="306" t="str">
        <f t="shared" si="740"/>
        <v/>
      </c>
      <c r="O3776" s="291"/>
    </row>
    <row r="3777" spans="1:15">
      <c r="A3777" s="289" t="s">
        <v>946</v>
      </c>
      <c r="B3777" s="306">
        <f t="shared" si="729"/>
        <v>-35.094121684036686</v>
      </c>
      <c r="C3777" s="306">
        <f t="shared" si="730"/>
        <v>0</v>
      </c>
      <c r="D3777" s="306">
        <f t="shared" si="732"/>
        <v>0</v>
      </c>
      <c r="E3777" s="306">
        <f t="shared" si="733"/>
        <v>0</v>
      </c>
      <c r="F3777" s="312">
        <f t="shared" si="734"/>
        <v>37</v>
      </c>
      <c r="G3777" s="305">
        <v>54</v>
      </c>
      <c r="H3777" s="312">
        <f t="shared" si="731"/>
        <v>6048</v>
      </c>
      <c r="I3777" s="312">
        <f t="shared" si="735"/>
        <v>37</v>
      </c>
      <c r="J3777" s="312">
        <f t="shared" si="736"/>
        <v>36</v>
      </c>
      <c r="K3777" s="306">
        <f t="shared" si="737"/>
        <v>0</v>
      </c>
      <c r="L3777" s="306">
        <f t="shared" si="738"/>
        <v>4439562.3220816916</v>
      </c>
      <c r="M3777" s="306">
        <f t="shared" si="739"/>
        <v>-218011219.02747506</v>
      </c>
      <c r="N3777" s="306" t="str">
        <f t="shared" si="740"/>
        <v/>
      </c>
      <c r="O3777" s="291"/>
    </row>
    <row r="3778" spans="1:15">
      <c r="A3778" s="289" t="s">
        <v>947</v>
      </c>
      <c r="B3778" s="306">
        <f t="shared" ref="B3778:B3804" si="741">D3640</f>
        <v>0</v>
      </c>
      <c r="C3778" s="306">
        <f t="shared" ref="C3778:C3804" si="742">D3594</f>
        <v>0</v>
      </c>
      <c r="D3778" s="306">
        <f t="shared" si="732"/>
        <v>0</v>
      </c>
      <c r="E3778" s="306">
        <f t="shared" si="733"/>
        <v>0</v>
      </c>
      <c r="F3778" s="312">
        <f t="shared" si="734"/>
        <v>46</v>
      </c>
      <c r="G3778" s="305">
        <v>55</v>
      </c>
      <c r="H3778" s="312">
        <f t="shared" si="731"/>
        <v>7507</v>
      </c>
      <c r="I3778" s="312">
        <f t="shared" si="735"/>
        <v>64</v>
      </c>
      <c r="J3778" s="312">
        <f t="shared" si="736"/>
        <v>42</v>
      </c>
      <c r="K3778" s="306">
        <f t="shared" si="737"/>
        <v>0</v>
      </c>
      <c r="L3778" s="306">
        <f t="shared" si="738"/>
        <v>4439562.3220816916</v>
      </c>
      <c r="M3778" s="306">
        <f t="shared" si="739"/>
        <v>-218011219.02747506</v>
      </c>
      <c r="N3778" s="306" t="str">
        <f t="shared" si="740"/>
        <v/>
      </c>
      <c r="O3778" s="291"/>
    </row>
    <row r="3779" spans="1:15">
      <c r="A3779" s="289" t="s">
        <v>948</v>
      </c>
      <c r="B3779" s="306">
        <f t="shared" si="741"/>
        <v>0</v>
      </c>
      <c r="C3779" s="306">
        <f t="shared" si="742"/>
        <v>0</v>
      </c>
      <c r="D3779" s="306">
        <f t="shared" si="732"/>
        <v>0</v>
      </c>
      <c r="E3779" s="306">
        <f t="shared" si="733"/>
        <v>0</v>
      </c>
      <c r="F3779" s="312">
        <f t="shared" si="734"/>
        <v>46</v>
      </c>
      <c r="G3779" s="305">
        <v>56</v>
      </c>
      <c r="H3779" s="312">
        <f t="shared" si="731"/>
        <v>7508</v>
      </c>
      <c r="I3779" s="312">
        <f t="shared" si="735"/>
        <v>65</v>
      </c>
      <c r="J3779" s="312">
        <f t="shared" si="736"/>
        <v>43</v>
      </c>
      <c r="K3779" s="306">
        <f t="shared" si="737"/>
        <v>0</v>
      </c>
      <c r="L3779" s="306">
        <f t="shared" si="738"/>
        <v>4439562.3220816916</v>
      </c>
      <c r="M3779" s="306">
        <f t="shared" si="739"/>
        <v>-218011219.02747506</v>
      </c>
      <c r="N3779" s="306" t="str">
        <f t="shared" si="740"/>
        <v/>
      </c>
      <c r="O3779" s="291"/>
    </row>
    <row r="3780" spans="1:15">
      <c r="A3780" s="289" t="s">
        <v>949</v>
      </c>
      <c r="B3780" s="306">
        <f t="shared" si="741"/>
        <v>0</v>
      </c>
      <c r="C3780" s="306">
        <f t="shared" si="742"/>
        <v>0</v>
      </c>
      <c r="D3780" s="306">
        <f t="shared" si="732"/>
        <v>0</v>
      </c>
      <c r="E3780" s="306">
        <f t="shared" si="733"/>
        <v>0</v>
      </c>
      <c r="F3780" s="312">
        <f t="shared" si="734"/>
        <v>46</v>
      </c>
      <c r="G3780" s="305">
        <v>57</v>
      </c>
      <c r="H3780" s="312">
        <f t="shared" si="731"/>
        <v>7509</v>
      </c>
      <c r="I3780" s="312">
        <f t="shared" si="735"/>
        <v>66</v>
      </c>
      <c r="J3780" s="312">
        <f t="shared" si="736"/>
        <v>44</v>
      </c>
      <c r="K3780" s="306">
        <f t="shared" si="737"/>
        <v>0</v>
      </c>
      <c r="L3780" s="306">
        <f t="shared" si="738"/>
        <v>4439562.3220816916</v>
      </c>
      <c r="M3780" s="306">
        <f t="shared" si="739"/>
        <v>-218011219.02747506</v>
      </c>
      <c r="N3780" s="306" t="str">
        <f t="shared" si="740"/>
        <v/>
      </c>
      <c r="O3780" s="291"/>
    </row>
    <row r="3781" spans="1:15">
      <c r="A3781" s="289" t="s">
        <v>950</v>
      </c>
      <c r="B3781" s="306">
        <f t="shared" si="741"/>
        <v>0</v>
      </c>
      <c r="C3781" s="306">
        <f t="shared" si="742"/>
        <v>0</v>
      </c>
      <c r="D3781" s="306">
        <f t="shared" si="732"/>
        <v>0</v>
      </c>
      <c r="E3781" s="306">
        <f t="shared" si="733"/>
        <v>0</v>
      </c>
      <c r="F3781" s="312">
        <f t="shared" si="734"/>
        <v>46</v>
      </c>
      <c r="G3781" s="305">
        <v>58</v>
      </c>
      <c r="H3781" s="312">
        <f t="shared" si="731"/>
        <v>7510</v>
      </c>
      <c r="I3781" s="312">
        <f t="shared" si="735"/>
        <v>67</v>
      </c>
      <c r="J3781" s="312">
        <f t="shared" si="736"/>
        <v>45</v>
      </c>
      <c r="K3781" s="306">
        <f t="shared" si="737"/>
        <v>0</v>
      </c>
      <c r="L3781" s="306">
        <f t="shared" si="738"/>
        <v>4439562.3220816916</v>
      </c>
      <c r="M3781" s="306">
        <f t="shared" si="739"/>
        <v>-218011219.02747506</v>
      </c>
      <c r="N3781" s="306" t="str">
        <f t="shared" si="740"/>
        <v/>
      </c>
      <c r="O3781" s="291"/>
    </row>
    <row r="3782" spans="1:15">
      <c r="A3782" s="289" t="s">
        <v>951</v>
      </c>
      <c r="B3782" s="306">
        <f t="shared" si="741"/>
        <v>0</v>
      </c>
      <c r="C3782" s="306">
        <f t="shared" si="742"/>
        <v>0</v>
      </c>
      <c r="D3782" s="306">
        <f t="shared" si="732"/>
        <v>0</v>
      </c>
      <c r="E3782" s="306">
        <f t="shared" si="733"/>
        <v>0</v>
      </c>
      <c r="F3782" s="312">
        <f t="shared" si="734"/>
        <v>46</v>
      </c>
      <c r="G3782" s="305">
        <v>59</v>
      </c>
      <c r="H3782" s="312">
        <f t="shared" si="731"/>
        <v>7511</v>
      </c>
      <c r="I3782" s="312">
        <f t="shared" si="735"/>
        <v>68</v>
      </c>
      <c r="J3782" s="312">
        <f t="shared" si="736"/>
        <v>47</v>
      </c>
      <c r="K3782" s="306">
        <f t="shared" si="737"/>
        <v>0</v>
      </c>
      <c r="L3782" s="306">
        <f t="shared" si="738"/>
        <v>4439562.3220816916</v>
      </c>
      <c r="M3782" s="306">
        <f t="shared" si="739"/>
        <v>-218011219.02747506</v>
      </c>
      <c r="N3782" s="306" t="str">
        <f t="shared" si="740"/>
        <v/>
      </c>
      <c r="O3782" s="291"/>
    </row>
    <row r="3783" spans="1:15">
      <c r="A3783" s="289" t="s">
        <v>952</v>
      </c>
      <c r="B3783" s="306">
        <f t="shared" si="741"/>
        <v>0</v>
      </c>
      <c r="C3783" s="306">
        <f t="shared" si="742"/>
        <v>0</v>
      </c>
      <c r="D3783" s="306">
        <f t="shared" si="732"/>
        <v>0</v>
      </c>
      <c r="E3783" s="306">
        <f t="shared" si="733"/>
        <v>0</v>
      </c>
      <c r="F3783" s="312">
        <f t="shared" si="734"/>
        <v>46</v>
      </c>
      <c r="G3783" s="305">
        <v>60</v>
      </c>
      <c r="H3783" s="312">
        <f t="shared" si="731"/>
        <v>7512</v>
      </c>
      <c r="I3783" s="312">
        <f t="shared" si="735"/>
        <v>69</v>
      </c>
      <c r="J3783" s="312">
        <f t="shared" si="736"/>
        <v>48</v>
      </c>
      <c r="K3783" s="306">
        <f t="shared" si="737"/>
        <v>0</v>
      </c>
      <c r="L3783" s="306">
        <f t="shared" si="738"/>
        <v>4439562.3220816916</v>
      </c>
      <c r="M3783" s="306">
        <f t="shared" si="739"/>
        <v>-218011219.02747506</v>
      </c>
      <c r="N3783" s="306" t="str">
        <f t="shared" si="740"/>
        <v/>
      </c>
      <c r="O3783" s="291"/>
    </row>
    <row r="3784" spans="1:15">
      <c r="A3784" s="289" t="s">
        <v>953</v>
      </c>
      <c r="B3784" s="306">
        <f t="shared" si="741"/>
        <v>0</v>
      </c>
      <c r="C3784" s="306">
        <f t="shared" si="742"/>
        <v>0</v>
      </c>
      <c r="D3784" s="306">
        <f t="shared" si="732"/>
        <v>0</v>
      </c>
      <c r="E3784" s="306">
        <f t="shared" si="733"/>
        <v>0</v>
      </c>
      <c r="F3784" s="312">
        <f t="shared" si="734"/>
        <v>46</v>
      </c>
      <c r="G3784" s="305">
        <v>61</v>
      </c>
      <c r="H3784" s="312">
        <f t="shared" si="731"/>
        <v>7513</v>
      </c>
      <c r="I3784" s="312">
        <f t="shared" si="735"/>
        <v>70</v>
      </c>
      <c r="J3784" s="312">
        <f t="shared" si="736"/>
        <v>49</v>
      </c>
      <c r="K3784" s="306">
        <f t="shared" si="737"/>
        <v>0</v>
      </c>
      <c r="L3784" s="306">
        <f t="shared" si="738"/>
        <v>4439562.3220816916</v>
      </c>
      <c r="M3784" s="306">
        <f t="shared" si="739"/>
        <v>-218011219.02747506</v>
      </c>
      <c r="N3784" s="306" t="str">
        <f t="shared" si="740"/>
        <v/>
      </c>
      <c r="O3784" s="291"/>
    </row>
    <row r="3785" spans="1:15">
      <c r="A3785" s="289" t="s">
        <v>954</v>
      </c>
      <c r="B3785" s="306">
        <f t="shared" si="741"/>
        <v>0</v>
      </c>
      <c r="C3785" s="306">
        <f t="shared" si="742"/>
        <v>0</v>
      </c>
      <c r="D3785" s="306">
        <f t="shared" si="732"/>
        <v>0</v>
      </c>
      <c r="E3785" s="306">
        <f t="shared" si="733"/>
        <v>0</v>
      </c>
      <c r="F3785" s="312">
        <f t="shared" si="734"/>
        <v>46</v>
      </c>
      <c r="G3785" s="305">
        <v>62</v>
      </c>
      <c r="H3785" s="312">
        <f t="shared" si="731"/>
        <v>7514</v>
      </c>
      <c r="I3785" s="312">
        <f t="shared" si="735"/>
        <v>71</v>
      </c>
      <c r="J3785" s="312">
        <f t="shared" si="736"/>
        <v>51</v>
      </c>
      <c r="K3785" s="306">
        <f t="shared" si="737"/>
        <v>0</v>
      </c>
      <c r="L3785" s="306">
        <f t="shared" si="738"/>
        <v>4439562.3220816916</v>
      </c>
      <c r="M3785" s="306">
        <f t="shared" si="739"/>
        <v>-218011219.02747506</v>
      </c>
      <c r="N3785" s="306" t="str">
        <f t="shared" si="740"/>
        <v/>
      </c>
      <c r="O3785" s="291"/>
    </row>
    <row r="3786" spans="1:15">
      <c r="A3786" s="289" t="s">
        <v>955</v>
      </c>
      <c r="B3786" s="306">
        <f t="shared" si="741"/>
        <v>0</v>
      </c>
      <c r="C3786" s="306">
        <f t="shared" si="742"/>
        <v>0</v>
      </c>
      <c r="D3786" s="306">
        <f t="shared" si="732"/>
        <v>0</v>
      </c>
      <c r="E3786" s="306">
        <f t="shared" si="733"/>
        <v>0</v>
      </c>
      <c r="F3786" s="312">
        <f t="shared" si="734"/>
        <v>46</v>
      </c>
      <c r="G3786" s="305">
        <v>63</v>
      </c>
      <c r="H3786" s="312">
        <f t="shared" si="731"/>
        <v>7515</v>
      </c>
      <c r="I3786" s="312">
        <f t="shared" si="735"/>
        <v>72</v>
      </c>
      <c r="J3786" s="312">
        <f t="shared" si="736"/>
        <v>53</v>
      </c>
      <c r="K3786" s="306">
        <f t="shared" si="737"/>
        <v>0</v>
      </c>
      <c r="L3786" s="306">
        <f t="shared" si="738"/>
        <v>4439562.3220816916</v>
      </c>
      <c r="M3786" s="306">
        <f t="shared" si="739"/>
        <v>-218011219.02747506</v>
      </c>
      <c r="N3786" s="306" t="str">
        <f t="shared" si="740"/>
        <v/>
      </c>
      <c r="O3786" s="291"/>
    </row>
    <row r="3787" spans="1:15">
      <c r="A3787" s="289" t="s">
        <v>956</v>
      </c>
      <c r="B3787" s="306">
        <f t="shared" si="741"/>
        <v>0</v>
      </c>
      <c r="C3787" s="306">
        <f t="shared" si="742"/>
        <v>0</v>
      </c>
      <c r="D3787" s="306">
        <f t="shared" si="732"/>
        <v>0</v>
      </c>
      <c r="E3787" s="306">
        <f t="shared" si="733"/>
        <v>0</v>
      </c>
      <c r="F3787" s="312">
        <f t="shared" si="734"/>
        <v>46</v>
      </c>
      <c r="G3787" s="305">
        <v>64</v>
      </c>
      <c r="H3787" s="312">
        <f t="shared" ref="H3787:H3818" si="743">F3787*162+G3787</f>
        <v>7516</v>
      </c>
      <c r="I3787" s="312">
        <f t="shared" si="735"/>
        <v>73</v>
      </c>
      <c r="J3787" s="312">
        <f t="shared" si="736"/>
        <v>55</v>
      </c>
      <c r="K3787" s="306">
        <f t="shared" si="737"/>
        <v>0</v>
      </c>
      <c r="L3787" s="306">
        <f t="shared" si="738"/>
        <v>4439562.3220816916</v>
      </c>
      <c r="M3787" s="306">
        <f t="shared" si="739"/>
        <v>-218011219.02747506</v>
      </c>
      <c r="N3787" s="306" t="str">
        <f t="shared" si="740"/>
        <v/>
      </c>
      <c r="O3787" s="291"/>
    </row>
    <row r="3788" spans="1:15">
      <c r="A3788" s="289" t="s">
        <v>957</v>
      </c>
      <c r="B3788" s="306">
        <f t="shared" si="741"/>
        <v>0</v>
      </c>
      <c r="C3788" s="306">
        <f t="shared" si="742"/>
        <v>0</v>
      </c>
      <c r="D3788" s="306">
        <f t="shared" ref="D3788:D3819" si="744">IF(ISERROR(B3788),C3788,0)</f>
        <v>0</v>
      </c>
      <c r="E3788" s="306">
        <f t="shared" ref="E3788:E3819" si="745">MAX($B$3694,B3788)*C3788</f>
        <v>0</v>
      </c>
      <c r="F3788" s="312">
        <f t="shared" ref="F3788:F3819" si="746">RANK(B3788,B$3724:B$3885,1)</f>
        <v>46</v>
      </c>
      <c r="G3788" s="305">
        <v>65</v>
      </c>
      <c r="H3788" s="312">
        <f t="shared" si="743"/>
        <v>7517</v>
      </c>
      <c r="I3788" s="312">
        <f t="shared" ref="I3788:I3819" si="747">RANK(H3788,H$3724:H$3885,1)</f>
        <v>74</v>
      </c>
      <c r="J3788" s="312">
        <f t="shared" ref="J3788:J3819" si="748">MATCH(G3788,I$3724:I$3885,0)</f>
        <v>56</v>
      </c>
      <c r="K3788" s="306">
        <f t="shared" ref="K3788:K3819" si="749">INDEX(B$3724:B$3885,J3788,1)</f>
        <v>0</v>
      </c>
      <c r="L3788" s="306">
        <f t="shared" ref="L3788:L3819" si="750">L3787+INDEX(C$3724:C$3885,J3788,1)</f>
        <v>4439562.3220816916</v>
      </c>
      <c r="M3788" s="306">
        <f t="shared" ref="M3788:M3819" si="751">M3787+(K3788-K3787)*L3787</f>
        <v>-218011219.02747506</v>
      </c>
      <c r="N3788" s="306" t="str">
        <f t="shared" ref="N3788:N3819" si="752">IF((M3787&gt;0)=(M3788&gt;0),"",K3788-M3788/L3787)</f>
        <v/>
      </c>
      <c r="O3788" s="291"/>
    </row>
    <row r="3789" spans="1:15">
      <c r="A3789" s="289" t="s">
        <v>958</v>
      </c>
      <c r="B3789" s="306">
        <f t="shared" si="741"/>
        <v>0</v>
      </c>
      <c r="C3789" s="306">
        <f t="shared" si="742"/>
        <v>0</v>
      </c>
      <c r="D3789" s="306">
        <f t="shared" si="744"/>
        <v>0</v>
      </c>
      <c r="E3789" s="306">
        <f t="shared" si="745"/>
        <v>0</v>
      </c>
      <c r="F3789" s="312">
        <f t="shared" si="746"/>
        <v>46</v>
      </c>
      <c r="G3789" s="305">
        <v>66</v>
      </c>
      <c r="H3789" s="312">
        <f t="shared" si="743"/>
        <v>7518</v>
      </c>
      <c r="I3789" s="312">
        <f t="shared" si="747"/>
        <v>75</v>
      </c>
      <c r="J3789" s="312">
        <f t="shared" si="748"/>
        <v>57</v>
      </c>
      <c r="K3789" s="306">
        <f t="shared" si="749"/>
        <v>0</v>
      </c>
      <c r="L3789" s="306">
        <f t="shared" si="750"/>
        <v>4439562.3220816916</v>
      </c>
      <c r="M3789" s="306">
        <f t="shared" si="751"/>
        <v>-218011219.02747506</v>
      </c>
      <c r="N3789" s="306" t="str">
        <f t="shared" si="752"/>
        <v/>
      </c>
      <c r="O3789" s="291"/>
    </row>
    <row r="3790" spans="1:15">
      <c r="A3790" s="289" t="s">
        <v>959</v>
      </c>
      <c r="B3790" s="306">
        <f t="shared" si="741"/>
        <v>0</v>
      </c>
      <c r="C3790" s="306">
        <f t="shared" si="742"/>
        <v>0</v>
      </c>
      <c r="D3790" s="306">
        <f t="shared" si="744"/>
        <v>0</v>
      </c>
      <c r="E3790" s="306">
        <f t="shared" si="745"/>
        <v>0</v>
      </c>
      <c r="F3790" s="312">
        <f t="shared" si="746"/>
        <v>46</v>
      </c>
      <c r="G3790" s="305">
        <v>67</v>
      </c>
      <c r="H3790" s="312">
        <f t="shared" si="743"/>
        <v>7519</v>
      </c>
      <c r="I3790" s="312">
        <f t="shared" si="747"/>
        <v>76</v>
      </c>
      <c r="J3790" s="312">
        <f t="shared" si="748"/>
        <v>58</v>
      </c>
      <c r="K3790" s="306">
        <f t="shared" si="749"/>
        <v>0</v>
      </c>
      <c r="L3790" s="306">
        <f t="shared" si="750"/>
        <v>4439562.3220816916</v>
      </c>
      <c r="M3790" s="306">
        <f t="shared" si="751"/>
        <v>-218011219.02747506</v>
      </c>
      <c r="N3790" s="306" t="str">
        <f t="shared" si="752"/>
        <v/>
      </c>
      <c r="O3790" s="291"/>
    </row>
    <row r="3791" spans="1:15">
      <c r="A3791" s="289" t="s">
        <v>960</v>
      </c>
      <c r="B3791" s="306">
        <f t="shared" si="741"/>
        <v>0</v>
      </c>
      <c r="C3791" s="306">
        <f t="shared" si="742"/>
        <v>0</v>
      </c>
      <c r="D3791" s="306">
        <f t="shared" si="744"/>
        <v>0</v>
      </c>
      <c r="E3791" s="306">
        <f t="shared" si="745"/>
        <v>0</v>
      </c>
      <c r="F3791" s="312">
        <f t="shared" si="746"/>
        <v>46</v>
      </c>
      <c r="G3791" s="305">
        <v>68</v>
      </c>
      <c r="H3791" s="312">
        <f t="shared" si="743"/>
        <v>7520</v>
      </c>
      <c r="I3791" s="312">
        <f t="shared" si="747"/>
        <v>77</v>
      </c>
      <c r="J3791" s="312">
        <f t="shared" si="748"/>
        <v>59</v>
      </c>
      <c r="K3791" s="306">
        <f t="shared" si="749"/>
        <v>0</v>
      </c>
      <c r="L3791" s="306">
        <f t="shared" si="750"/>
        <v>4439562.3220816916</v>
      </c>
      <c r="M3791" s="306">
        <f t="shared" si="751"/>
        <v>-218011219.02747506</v>
      </c>
      <c r="N3791" s="306" t="str">
        <f t="shared" si="752"/>
        <v/>
      </c>
      <c r="O3791" s="291"/>
    </row>
    <row r="3792" spans="1:15">
      <c r="A3792" s="289" t="s">
        <v>961</v>
      </c>
      <c r="B3792" s="306">
        <f t="shared" si="741"/>
        <v>0</v>
      </c>
      <c r="C3792" s="306">
        <f t="shared" si="742"/>
        <v>0</v>
      </c>
      <c r="D3792" s="306">
        <f t="shared" si="744"/>
        <v>0</v>
      </c>
      <c r="E3792" s="306">
        <f t="shared" si="745"/>
        <v>0</v>
      </c>
      <c r="F3792" s="312">
        <f t="shared" si="746"/>
        <v>46</v>
      </c>
      <c r="G3792" s="305">
        <v>69</v>
      </c>
      <c r="H3792" s="312">
        <f t="shared" si="743"/>
        <v>7521</v>
      </c>
      <c r="I3792" s="312">
        <f t="shared" si="747"/>
        <v>78</v>
      </c>
      <c r="J3792" s="312">
        <f t="shared" si="748"/>
        <v>60</v>
      </c>
      <c r="K3792" s="306">
        <f t="shared" si="749"/>
        <v>0</v>
      </c>
      <c r="L3792" s="306">
        <f t="shared" si="750"/>
        <v>4439562.3220816916</v>
      </c>
      <c r="M3792" s="306">
        <f t="shared" si="751"/>
        <v>-218011219.02747506</v>
      </c>
      <c r="N3792" s="306" t="str">
        <f t="shared" si="752"/>
        <v/>
      </c>
      <c r="O3792" s="291"/>
    </row>
    <row r="3793" spans="1:15">
      <c r="A3793" s="289" t="s">
        <v>962</v>
      </c>
      <c r="B3793" s="306">
        <f t="shared" si="741"/>
        <v>0</v>
      </c>
      <c r="C3793" s="306">
        <f t="shared" si="742"/>
        <v>0</v>
      </c>
      <c r="D3793" s="306">
        <f t="shared" si="744"/>
        <v>0</v>
      </c>
      <c r="E3793" s="306">
        <f t="shared" si="745"/>
        <v>0</v>
      </c>
      <c r="F3793" s="312">
        <f t="shared" si="746"/>
        <v>46</v>
      </c>
      <c r="G3793" s="305">
        <v>70</v>
      </c>
      <c r="H3793" s="312">
        <f t="shared" si="743"/>
        <v>7522</v>
      </c>
      <c r="I3793" s="312">
        <f t="shared" si="747"/>
        <v>79</v>
      </c>
      <c r="J3793" s="312">
        <f t="shared" si="748"/>
        <v>61</v>
      </c>
      <c r="K3793" s="306">
        <f t="shared" si="749"/>
        <v>0</v>
      </c>
      <c r="L3793" s="306">
        <f t="shared" si="750"/>
        <v>4439562.3220816916</v>
      </c>
      <c r="M3793" s="306">
        <f t="shared" si="751"/>
        <v>-218011219.02747506</v>
      </c>
      <c r="N3793" s="306" t="str">
        <f t="shared" si="752"/>
        <v/>
      </c>
      <c r="O3793" s="291"/>
    </row>
    <row r="3794" spans="1:15">
      <c r="A3794" s="289" t="s">
        <v>963</v>
      </c>
      <c r="B3794" s="306">
        <f t="shared" si="741"/>
        <v>0</v>
      </c>
      <c r="C3794" s="306">
        <f t="shared" si="742"/>
        <v>0</v>
      </c>
      <c r="D3794" s="306">
        <f t="shared" si="744"/>
        <v>0</v>
      </c>
      <c r="E3794" s="306">
        <f t="shared" si="745"/>
        <v>0</v>
      </c>
      <c r="F3794" s="312">
        <f t="shared" si="746"/>
        <v>46</v>
      </c>
      <c r="G3794" s="305">
        <v>71</v>
      </c>
      <c r="H3794" s="312">
        <f t="shared" si="743"/>
        <v>7523</v>
      </c>
      <c r="I3794" s="312">
        <f t="shared" si="747"/>
        <v>80</v>
      </c>
      <c r="J3794" s="312">
        <f t="shared" si="748"/>
        <v>62</v>
      </c>
      <c r="K3794" s="306">
        <f t="shared" si="749"/>
        <v>0</v>
      </c>
      <c r="L3794" s="306">
        <f t="shared" si="750"/>
        <v>4439562.3220816916</v>
      </c>
      <c r="M3794" s="306">
        <f t="shared" si="751"/>
        <v>-218011219.02747506</v>
      </c>
      <c r="N3794" s="306" t="str">
        <f t="shared" si="752"/>
        <v/>
      </c>
      <c r="O3794" s="291"/>
    </row>
    <row r="3795" spans="1:15">
      <c r="A3795" s="289" t="s">
        <v>964</v>
      </c>
      <c r="B3795" s="306">
        <f t="shared" si="741"/>
        <v>0</v>
      </c>
      <c r="C3795" s="306">
        <f t="shared" si="742"/>
        <v>0</v>
      </c>
      <c r="D3795" s="306">
        <f t="shared" si="744"/>
        <v>0</v>
      </c>
      <c r="E3795" s="306">
        <f t="shared" si="745"/>
        <v>0</v>
      </c>
      <c r="F3795" s="312">
        <f t="shared" si="746"/>
        <v>46</v>
      </c>
      <c r="G3795" s="305">
        <v>72</v>
      </c>
      <c r="H3795" s="312">
        <f t="shared" si="743"/>
        <v>7524</v>
      </c>
      <c r="I3795" s="312">
        <f t="shared" si="747"/>
        <v>81</v>
      </c>
      <c r="J3795" s="312">
        <f t="shared" si="748"/>
        <v>63</v>
      </c>
      <c r="K3795" s="306">
        <f t="shared" si="749"/>
        <v>0</v>
      </c>
      <c r="L3795" s="306">
        <f t="shared" si="750"/>
        <v>4439562.3220816916</v>
      </c>
      <c r="M3795" s="306">
        <f t="shared" si="751"/>
        <v>-218011219.02747506</v>
      </c>
      <c r="N3795" s="306" t="str">
        <f t="shared" si="752"/>
        <v/>
      </c>
      <c r="O3795" s="291"/>
    </row>
    <row r="3796" spans="1:15">
      <c r="A3796" s="289" t="s">
        <v>965</v>
      </c>
      <c r="B3796" s="306">
        <f t="shared" si="741"/>
        <v>0</v>
      </c>
      <c r="C3796" s="306">
        <f t="shared" si="742"/>
        <v>0</v>
      </c>
      <c r="D3796" s="306">
        <f t="shared" si="744"/>
        <v>0</v>
      </c>
      <c r="E3796" s="306">
        <f t="shared" si="745"/>
        <v>0</v>
      </c>
      <c r="F3796" s="312">
        <f t="shared" si="746"/>
        <v>46</v>
      </c>
      <c r="G3796" s="305">
        <v>73</v>
      </c>
      <c r="H3796" s="312">
        <f t="shared" si="743"/>
        <v>7525</v>
      </c>
      <c r="I3796" s="312">
        <f t="shared" si="747"/>
        <v>82</v>
      </c>
      <c r="J3796" s="312">
        <f t="shared" si="748"/>
        <v>64</v>
      </c>
      <c r="K3796" s="306">
        <f t="shared" si="749"/>
        <v>0</v>
      </c>
      <c r="L3796" s="306">
        <f t="shared" si="750"/>
        <v>4439562.3220816916</v>
      </c>
      <c r="M3796" s="306">
        <f t="shared" si="751"/>
        <v>-218011219.02747506</v>
      </c>
      <c r="N3796" s="306" t="str">
        <f t="shared" si="752"/>
        <v/>
      </c>
      <c r="O3796" s="291"/>
    </row>
    <row r="3797" spans="1:15">
      <c r="A3797" s="289" t="s">
        <v>966</v>
      </c>
      <c r="B3797" s="306">
        <f t="shared" si="741"/>
        <v>0</v>
      </c>
      <c r="C3797" s="306">
        <f t="shared" si="742"/>
        <v>0</v>
      </c>
      <c r="D3797" s="306">
        <f t="shared" si="744"/>
        <v>0</v>
      </c>
      <c r="E3797" s="306">
        <f t="shared" si="745"/>
        <v>0</v>
      </c>
      <c r="F3797" s="312">
        <f t="shared" si="746"/>
        <v>46</v>
      </c>
      <c r="G3797" s="305">
        <v>74</v>
      </c>
      <c r="H3797" s="312">
        <f t="shared" si="743"/>
        <v>7526</v>
      </c>
      <c r="I3797" s="312">
        <f t="shared" si="747"/>
        <v>83</v>
      </c>
      <c r="J3797" s="312">
        <f t="shared" si="748"/>
        <v>65</v>
      </c>
      <c r="K3797" s="306">
        <f t="shared" si="749"/>
        <v>0</v>
      </c>
      <c r="L3797" s="306">
        <f t="shared" si="750"/>
        <v>4439562.3220816916</v>
      </c>
      <c r="M3797" s="306">
        <f t="shared" si="751"/>
        <v>-218011219.02747506</v>
      </c>
      <c r="N3797" s="306" t="str">
        <f t="shared" si="752"/>
        <v/>
      </c>
      <c r="O3797" s="291"/>
    </row>
    <row r="3798" spans="1:15">
      <c r="A3798" s="289" t="s">
        <v>967</v>
      </c>
      <c r="B3798" s="306">
        <f t="shared" si="741"/>
        <v>0</v>
      </c>
      <c r="C3798" s="306">
        <f t="shared" si="742"/>
        <v>0</v>
      </c>
      <c r="D3798" s="306">
        <f t="shared" si="744"/>
        <v>0</v>
      </c>
      <c r="E3798" s="306">
        <f t="shared" si="745"/>
        <v>0</v>
      </c>
      <c r="F3798" s="312">
        <f t="shared" si="746"/>
        <v>46</v>
      </c>
      <c r="G3798" s="305">
        <v>75</v>
      </c>
      <c r="H3798" s="312">
        <f t="shared" si="743"/>
        <v>7527</v>
      </c>
      <c r="I3798" s="312">
        <f t="shared" si="747"/>
        <v>84</v>
      </c>
      <c r="J3798" s="312">
        <f t="shared" si="748"/>
        <v>66</v>
      </c>
      <c r="K3798" s="306">
        <f t="shared" si="749"/>
        <v>0</v>
      </c>
      <c r="L3798" s="306">
        <f t="shared" si="750"/>
        <v>4439562.3220816916</v>
      </c>
      <c r="M3798" s="306">
        <f t="shared" si="751"/>
        <v>-218011219.02747506</v>
      </c>
      <c r="N3798" s="306" t="str">
        <f t="shared" si="752"/>
        <v/>
      </c>
      <c r="O3798" s="291"/>
    </row>
    <row r="3799" spans="1:15">
      <c r="A3799" s="289" t="s">
        <v>968</v>
      </c>
      <c r="B3799" s="306">
        <f t="shared" si="741"/>
        <v>0</v>
      </c>
      <c r="C3799" s="306">
        <f t="shared" si="742"/>
        <v>0</v>
      </c>
      <c r="D3799" s="306">
        <f t="shared" si="744"/>
        <v>0</v>
      </c>
      <c r="E3799" s="306">
        <f t="shared" si="745"/>
        <v>0</v>
      </c>
      <c r="F3799" s="312">
        <f t="shared" si="746"/>
        <v>46</v>
      </c>
      <c r="G3799" s="305">
        <v>76</v>
      </c>
      <c r="H3799" s="312">
        <f t="shared" si="743"/>
        <v>7528</v>
      </c>
      <c r="I3799" s="312">
        <f t="shared" si="747"/>
        <v>85</v>
      </c>
      <c r="J3799" s="312">
        <f t="shared" si="748"/>
        <v>67</v>
      </c>
      <c r="K3799" s="306">
        <f t="shared" si="749"/>
        <v>0</v>
      </c>
      <c r="L3799" s="306">
        <f t="shared" si="750"/>
        <v>4439562.3220816916</v>
      </c>
      <c r="M3799" s="306">
        <f t="shared" si="751"/>
        <v>-218011219.02747506</v>
      </c>
      <c r="N3799" s="306" t="str">
        <f t="shared" si="752"/>
        <v/>
      </c>
      <c r="O3799" s="291"/>
    </row>
    <row r="3800" spans="1:15">
      <c r="A3800" s="289" t="s">
        <v>969</v>
      </c>
      <c r="B3800" s="306">
        <f t="shared" si="741"/>
        <v>0</v>
      </c>
      <c r="C3800" s="306">
        <f t="shared" si="742"/>
        <v>0</v>
      </c>
      <c r="D3800" s="306">
        <f t="shared" si="744"/>
        <v>0</v>
      </c>
      <c r="E3800" s="306">
        <f t="shared" si="745"/>
        <v>0</v>
      </c>
      <c r="F3800" s="312">
        <f t="shared" si="746"/>
        <v>46</v>
      </c>
      <c r="G3800" s="305">
        <v>77</v>
      </c>
      <c r="H3800" s="312">
        <f t="shared" si="743"/>
        <v>7529</v>
      </c>
      <c r="I3800" s="312">
        <f t="shared" si="747"/>
        <v>86</v>
      </c>
      <c r="J3800" s="312">
        <f t="shared" si="748"/>
        <v>68</v>
      </c>
      <c r="K3800" s="306">
        <f t="shared" si="749"/>
        <v>0</v>
      </c>
      <c r="L3800" s="306">
        <f t="shared" si="750"/>
        <v>4439562.3220816916</v>
      </c>
      <c r="M3800" s="306">
        <f t="shared" si="751"/>
        <v>-218011219.02747506</v>
      </c>
      <c r="N3800" s="306" t="str">
        <f t="shared" si="752"/>
        <v/>
      </c>
      <c r="O3800" s="291"/>
    </row>
    <row r="3801" spans="1:15">
      <c r="A3801" s="289" t="s">
        <v>970</v>
      </c>
      <c r="B3801" s="306">
        <f t="shared" si="741"/>
        <v>0</v>
      </c>
      <c r="C3801" s="306">
        <f t="shared" si="742"/>
        <v>0</v>
      </c>
      <c r="D3801" s="306">
        <f t="shared" si="744"/>
        <v>0</v>
      </c>
      <c r="E3801" s="306">
        <f t="shared" si="745"/>
        <v>0</v>
      </c>
      <c r="F3801" s="312">
        <f t="shared" si="746"/>
        <v>46</v>
      </c>
      <c r="G3801" s="305">
        <v>78</v>
      </c>
      <c r="H3801" s="312">
        <f t="shared" si="743"/>
        <v>7530</v>
      </c>
      <c r="I3801" s="312">
        <f t="shared" si="747"/>
        <v>87</v>
      </c>
      <c r="J3801" s="312">
        <f t="shared" si="748"/>
        <v>69</v>
      </c>
      <c r="K3801" s="306">
        <f t="shared" si="749"/>
        <v>0</v>
      </c>
      <c r="L3801" s="306">
        <f t="shared" si="750"/>
        <v>4439562.3220816916</v>
      </c>
      <c r="M3801" s="306">
        <f t="shared" si="751"/>
        <v>-218011219.02747506</v>
      </c>
      <c r="N3801" s="306" t="str">
        <f t="shared" si="752"/>
        <v/>
      </c>
      <c r="O3801" s="291"/>
    </row>
    <row r="3802" spans="1:15">
      <c r="A3802" s="289" t="s">
        <v>971</v>
      </c>
      <c r="B3802" s="306">
        <f t="shared" si="741"/>
        <v>0</v>
      </c>
      <c r="C3802" s="306">
        <f t="shared" si="742"/>
        <v>0</v>
      </c>
      <c r="D3802" s="306">
        <f t="shared" si="744"/>
        <v>0</v>
      </c>
      <c r="E3802" s="306">
        <f t="shared" si="745"/>
        <v>0</v>
      </c>
      <c r="F3802" s="312">
        <f t="shared" si="746"/>
        <v>46</v>
      </c>
      <c r="G3802" s="305">
        <v>79</v>
      </c>
      <c r="H3802" s="312">
        <f t="shared" si="743"/>
        <v>7531</v>
      </c>
      <c r="I3802" s="312">
        <f t="shared" si="747"/>
        <v>88</v>
      </c>
      <c r="J3802" s="312">
        <f t="shared" si="748"/>
        <v>70</v>
      </c>
      <c r="K3802" s="306">
        <f t="shared" si="749"/>
        <v>0</v>
      </c>
      <c r="L3802" s="306">
        <f t="shared" si="750"/>
        <v>4439562.3220816916</v>
      </c>
      <c r="M3802" s="306">
        <f t="shared" si="751"/>
        <v>-218011219.02747506</v>
      </c>
      <c r="N3802" s="306" t="str">
        <f t="shared" si="752"/>
        <v/>
      </c>
      <c r="O3802" s="291"/>
    </row>
    <row r="3803" spans="1:15">
      <c r="A3803" s="289" t="s">
        <v>972</v>
      </c>
      <c r="B3803" s="306">
        <f t="shared" si="741"/>
        <v>0</v>
      </c>
      <c r="C3803" s="306">
        <f t="shared" si="742"/>
        <v>0</v>
      </c>
      <c r="D3803" s="306">
        <f t="shared" si="744"/>
        <v>0</v>
      </c>
      <c r="E3803" s="306">
        <f t="shared" si="745"/>
        <v>0</v>
      </c>
      <c r="F3803" s="312">
        <f t="shared" si="746"/>
        <v>46</v>
      </c>
      <c r="G3803" s="305">
        <v>80</v>
      </c>
      <c r="H3803" s="312">
        <f t="shared" si="743"/>
        <v>7532</v>
      </c>
      <c r="I3803" s="312">
        <f t="shared" si="747"/>
        <v>89</v>
      </c>
      <c r="J3803" s="312">
        <f t="shared" si="748"/>
        <v>71</v>
      </c>
      <c r="K3803" s="306">
        <f t="shared" si="749"/>
        <v>0</v>
      </c>
      <c r="L3803" s="306">
        <f t="shared" si="750"/>
        <v>4439562.3220816916</v>
      </c>
      <c r="M3803" s="306">
        <f t="shared" si="751"/>
        <v>-218011219.02747506</v>
      </c>
      <c r="N3803" s="306" t="str">
        <f t="shared" si="752"/>
        <v/>
      </c>
      <c r="O3803" s="291"/>
    </row>
    <row r="3804" spans="1:15">
      <c r="A3804" s="289" t="s">
        <v>973</v>
      </c>
      <c r="B3804" s="306">
        <f t="shared" si="741"/>
        <v>0</v>
      </c>
      <c r="C3804" s="306">
        <f t="shared" si="742"/>
        <v>0</v>
      </c>
      <c r="D3804" s="306">
        <f t="shared" si="744"/>
        <v>0</v>
      </c>
      <c r="E3804" s="306">
        <f t="shared" si="745"/>
        <v>0</v>
      </c>
      <c r="F3804" s="312">
        <f t="shared" si="746"/>
        <v>46</v>
      </c>
      <c r="G3804" s="305">
        <v>81</v>
      </c>
      <c r="H3804" s="312">
        <f t="shared" si="743"/>
        <v>7533</v>
      </c>
      <c r="I3804" s="312">
        <f t="shared" si="747"/>
        <v>90</v>
      </c>
      <c r="J3804" s="312">
        <f t="shared" si="748"/>
        <v>72</v>
      </c>
      <c r="K3804" s="306">
        <f t="shared" si="749"/>
        <v>0</v>
      </c>
      <c r="L3804" s="306">
        <f t="shared" si="750"/>
        <v>4439562.3220816916</v>
      </c>
      <c r="M3804" s="306">
        <f t="shared" si="751"/>
        <v>-218011219.02747506</v>
      </c>
      <c r="N3804" s="306" t="str">
        <f t="shared" si="752"/>
        <v/>
      </c>
      <c r="O3804" s="291"/>
    </row>
    <row r="3805" spans="1:15">
      <c r="A3805" s="289" t="s">
        <v>974</v>
      </c>
      <c r="B3805" s="306">
        <f t="shared" ref="B3805:B3831" si="753">E3640</f>
        <v>0</v>
      </c>
      <c r="C3805" s="306">
        <f t="shared" ref="C3805:C3831" si="754">E3594</f>
        <v>0</v>
      </c>
      <c r="D3805" s="306">
        <f t="shared" si="744"/>
        <v>0</v>
      </c>
      <c r="E3805" s="306">
        <f t="shared" si="745"/>
        <v>0</v>
      </c>
      <c r="F3805" s="312">
        <f t="shared" si="746"/>
        <v>46</v>
      </c>
      <c r="G3805" s="305">
        <v>82</v>
      </c>
      <c r="H3805" s="312">
        <f t="shared" si="743"/>
        <v>7534</v>
      </c>
      <c r="I3805" s="312">
        <f t="shared" si="747"/>
        <v>91</v>
      </c>
      <c r="J3805" s="312">
        <f t="shared" si="748"/>
        <v>73</v>
      </c>
      <c r="K3805" s="306">
        <f t="shared" si="749"/>
        <v>0</v>
      </c>
      <c r="L3805" s="306">
        <f t="shared" si="750"/>
        <v>4439562.3220816916</v>
      </c>
      <c r="M3805" s="306">
        <f t="shared" si="751"/>
        <v>-218011219.02747506</v>
      </c>
      <c r="N3805" s="306" t="str">
        <f t="shared" si="752"/>
        <v/>
      </c>
      <c r="O3805" s="291"/>
    </row>
    <row r="3806" spans="1:15">
      <c r="A3806" s="289" t="s">
        <v>975</v>
      </c>
      <c r="B3806" s="306">
        <f t="shared" si="753"/>
        <v>0</v>
      </c>
      <c r="C3806" s="306">
        <f t="shared" si="754"/>
        <v>0</v>
      </c>
      <c r="D3806" s="306">
        <f t="shared" si="744"/>
        <v>0</v>
      </c>
      <c r="E3806" s="306">
        <f t="shared" si="745"/>
        <v>0</v>
      </c>
      <c r="F3806" s="312">
        <f t="shared" si="746"/>
        <v>46</v>
      </c>
      <c r="G3806" s="305">
        <v>83</v>
      </c>
      <c r="H3806" s="312">
        <f t="shared" si="743"/>
        <v>7535</v>
      </c>
      <c r="I3806" s="312">
        <f t="shared" si="747"/>
        <v>92</v>
      </c>
      <c r="J3806" s="312">
        <f t="shared" si="748"/>
        <v>74</v>
      </c>
      <c r="K3806" s="306">
        <f t="shared" si="749"/>
        <v>0</v>
      </c>
      <c r="L3806" s="306">
        <f t="shared" si="750"/>
        <v>4439562.3220816916</v>
      </c>
      <c r="M3806" s="306">
        <f t="shared" si="751"/>
        <v>-218011219.02747506</v>
      </c>
      <c r="N3806" s="306" t="str">
        <f t="shared" si="752"/>
        <v/>
      </c>
      <c r="O3806" s="291"/>
    </row>
    <row r="3807" spans="1:15">
      <c r="A3807" s="289" t="s">
        <v>976</v>
      </c>
      <c r="B3807" s="306">
        <f t="shared" si="753"/>
        <v>0</v>
      </c>
      <c r="C3807" s="306">
        <f t="shared" si="754"/>
        <v>0</v>
      </c>
      <c r="D3807" s="306">
        <f t="shared" si="744"/>
        <v>0</v>
      </c>
      <c r="E3807" s="306">
        <f t="shared" si="745"/>
        <v>0</v>
      </c>
      <c r="F3807" s="312">
        <f t="shared" si="746"/>
        <v>46</v>
      </c>
      <c r="G3807" s="305">
        <v>84</v>
      </c>
      <c r="H3807" s="312">
        <f t="shared" si="743"/>
        <v>7536</v>
      </c>
      <c r="I3807" s="312">
        <f t="shared" si="747"/>
        <v>93</v>
      </c>
      <c r="J3807" s="312">
        <f t="shared" si="748"/>
        <v>75</v>
      </c>
      <c r="K3807" s="306">
        <f t="shared" si="749"/>
        <v>0</v>
      </c>
      <c r="L3807" s="306">
        <f t="shared" si="750"/>
        <v>4439562.3220816916</v>
      </c>
      <c r="M3807" s="306">
        <f t="shared" si="751"/>
        <v>-218011219.02747506</v>
      </c>
      <c r="N3807" s="306" t="str">
        <f t="shared" si="752"/>
        <v/>
      </c>
      <c r="O3807" s="291"/>
    </row>
    <row r="3808" spans="1:15">
      <c r="A3808" s="289" t="s">
        <v>977</v>
      </c>
      <c r="B3808" s="306">
        <f t="shared" si="753"/>
        <v>0</v>
      </c>
      <c r="C3808" s="306">
        <f t="shared" si="754"/>
        <v>0</v>
      </c>
      <c r="D3808" s="306">
        <f t="shared" si="744"/>
        <v>0</v>
      </c>
      <c r="E3808" s="306">
        <f t="shared" si="745"/>
        <v>0</v>
      </c>
      <c r="F3808" s="312">
        <f t="shared" si="746"/>
        <v>46</v>
      </c>
      <c r="G3808" s="305">
        <v>85</v>
      </c>
      <c r="H3808" s="312">
        <f t="shared" si="743"/>
        <v>7537</v>
      </c>
      <c r="I3808" s="312">
        <f t="shared" si="747"/>
        <v>94</v>
      </c>
      <c r="J3808" s="312">
        <f t="shared" si="748"/>
        <v>76</v>
      </c>
      <c r="K3808" s="306">
        <f t="shared" si="749"/>
        <v>0</v>
      </c>
      <c r="L3808" s="306">
        <f t="shared" si="750"/>
        <v>4439562.3220816916</v>
      </c>
      <c r="M3808" s="306">
        <f t="shared" si="751"/>
        <v>-218011219.02747506</v>
      </c>
      <c r="N3808" s="306" t="str">
        <f t="shared" si="752"/>
        <v/>
      </c>
      <c r="O3808" s="291"/>
    </row>
    <row r="3809" spans="1:15">
      <c r="A3809" s="289" t="s">
        <v>978</v>
      </c>
      <c r="B3809" s="306">
        <f t="shared" si="753"/>
        <v>0</v>
      </c>
      <c r="C3809" s="306">
        <f t="shared" si="754"/>
        <v>0</v>
      </c>
      <c r="D3809" s="306">
        <f t="shared" si="744"/>
        <v>0</v>
      </c>
      <c r="E3809" s="306">
        <f t="shared" si="745"/>
        <v>0</v>
      </c>
      <c r="F3809" s="312">
        <f t="shared" si="746"/>
        <v>46</v>
      </c>
      <c r="G3809" s="305">
        <v>86</v>
      </c>
      <c r="H3809" s="312">
        <f t="shared" si="743"/>
        <v>7538</v>
      </c>
      <c r="I3809" s="312">
        <f t="shared" si="747"/>
        <v>95</v>
      </c>
      <c r="J3809" s="312">
        <f t="shared" si="748"/>
        <v>77</v>
      </c>
      <c r="K3809" s="306">
        <f t="shared" si="749"/>
        <v>0</v>
      </c>
      <c r="L3809" s="306">
        <f t="shared" si="750"/>
        <v>4439562.3220816916</v>
      </c>
      <c r="M3809" s="306">
        <f t="shared" si="751"/>
        <v>-218011219.02747506</v>
      </c>
      <c r="N3809" s="306" t="str">
        <f t="shared" si="752"/>
        <v/>
      </c>
      <c r="O3809" s="291"/>
    </row>
    <row r="3810" spans="1:15">
      <c r="A3810" s="289" t="s">
        <v>979</v>
      </c>
      <c r="B3810" s="306">
        <f t="shared" si="753"/>
        <v>0</v>
      </c>
      <c r="C3810" s="306">
        <f t="shared" si="754"/>
        <v>0</v>
      </c>
      <c r="D3810" s="306">
        <f t="shared" si="744"/>
        <v>0</v>
      </c>
      <c r="E3810" s="306">
        <f t="shared" si="745"/>
        <v>0</v>
      </c>
      <c r="F3810" s="312">
        <f t="shared" si="746"/>
        <v>46</v>
      </c>
      <c r="G3810" s="305">
        <v>87</v>
      </c>
      <c r="H3810" s="312">
        <f t="shared" si="743"/>
        <v>7539</v>
      </c>
      <c r="I3810" s="312">
        <f t="shared" si="747"/>
        <v>96</v>
      </c>
      <c r="J3810" s="312">
        <f t="shared" si="748"/>
        <v>78</v>
      </c>
      <c r="K3810" s="306">
        <f t="shared" si="749"/>
        <v>0</v>
      </c>
      <c r="L3810" s="306">
        <f t="shared" si="750"/>
        <v>4439562.3220816916</v>
      </c>
      <c r="M3810" s="306">
        <f t="shared" si="751"/>
        <v>-218011219.02747506</v>
      </c>
      <c r="N3810" s="306" t="str">
        <f t="shared" si="752"/>
        <v/>
      </c>
      <c r="O3810" s="291"/>
    </row>
    <row r="3811" spans="1:15">
      <c r="A3811" s="289" t="s">
        <v>980</v>
      </c>
      <c r="B3811" s="306">
        <f t="shared" si="753"/>
        <v>0</v>
      </c>
      <c r="C3811" s="306">
        <f t="shared" si="754"/>
        <v>0</v>
      </c>
      <c r="D3811" s="306">
        <f t="shared" si="744"/>
        <v>0</v>
      </c>
      <c r="E3811" s="306">
        <f t="shared" si="745"/>
        <v>0</v>
      </c>
      <c r="F3811" s="312">
        <f t="shared" si="746"/>
        <v>46</v>
      </c>
      <c r="G3811" s="305">
        <v>88</v>
      </c>
      <c r="H3811" s="312">
        <f t="shared" si="743"/>
        <v>7540</v>
      </c>
      <c r="I3811" s="312">
        <f t="shared" si="747"/>
        <v>97</v>
      </c>
      <c r="J3811" s="312">
        <f t="shared" si="748"/>
        <v>79</v>
      </c>
      <c r="K3811" s="306">
        <f t="shared" si="749"/>
        <v>0</v>
      </c>
      <c r="L3811" s="306">
        <f t="shared" si="750"/>
        <v>4439562.3220816916</v>
      </c>
      <c r="M3811" s="306">
        <f t="shared" si="751"/>
        <v>-218011219.02747506</v>
      </c>
      <c r="N3811" s="306" t="str">
        <f t="shared" si="752"/>
        <v/>
      </c>
      <c r="O3811" s="291"/>
    </row>
    <row r="3812" spans="1:15">
      <c r="A3812" s="289" t="s">
        <v>981</v>
      </c>
      <c r="B3812" s="306">
        <f t="shared" si="753"/>
        <v>0</v>
      </c>
      <c r="C3812" s="306">
        <f t="shared" si="754"/>
        <v>0</v>
      </c>
      <c r="D3812" s="306">
        <f t="shared" si="744"/>
        <v>0</v>
      </c>
      <c r="E3812" s="306">
        <f t="shared" si="745"/>
        <v>0</v>
      </c>
      <c r="F3812" s="312">
        <f t="shared" si="746"/>
        <v>46</v>
      </c>
      <c r="G3812" s="305">
        <v>89</v>
      </c>
      <c r="H3812" s="312">
        <f t="shared" si="743"/>
        <v>7541</v>
      </c>
      <c r="I3812" s="312">
        <f t="shared" si="747"/>
        <v>98</v>
      </c>
      <c r="J3812" s="312">
        <f t="shared" si="748"/>
        <v>80</v>
      </c>
      <c r="K3812" s="306">
        <f t="shared" si="749"/>
        <v>0</v>
      </c>
      <c r="L3812" s="306">
        <f t="shared" si="750"/>
        <v>4439562.3220816916</v>
      </c>
      <c r="M3812" s="306">
        <f t="shared" si="751"/>
        <v>-218011219.02747506</v>
      </c>
      <c r="N3812" s="306" t="str">
        <f t="shared" si="752"/>
        <v/>
      </c>
      <c r="O3812" s="291"/>
    </row>
    <row r="3813" spans="1:15">
      <c r="A3813" s="289" t="s">
        <v>982</v>
      </c>
      <c r="B3813" s="306">
        <f t="shared" si="753"/>
        <v>0</v>
      </c>
      <c r="C3813" s="306">
        <f t="shared" si="754"/>
        <v>0</v>
      </c>
      <c r="D3813" s="306">
        <f t="shared" si="744"/>
        <v>0</v>
      </c>
      <c r="E3813" s="306">
        <f t="shared" si="745"/>
        <v>0</v>
      </c>
      <c r="F3813" s="312">
        <f t="shared" si="746"/>
        <v>46</v>
      </c>
      <c r="G3813" s="305">
        <v>90</v>
      </c>
      <c r="H3813" s="312">
        <f t="shared" si="743"/>
        <v>7542</v>
      </c>
      <c r="I3813" s="312">
        <f t="shared" si="747"/>
        <v>99</v>
      </c>
      <c r="J3813" s="312">
        <f t="shared" si="748"/>
        <v>81</v>
      </c>
      <c r="K3813" s="306">
        <f t="shared" si="749"/>
        <v>0</v>
      </c>
      <c r="L3813" s="306">
        <f t="shared" si="750"/>
        <v>4439562.3220816916</v>
      </c>
      <c r="M3813" s="306">
        <f t="shared" si="751"/>
        <v>-218011219.02747506</v>
      </c>
      <c r="N3813" s="306" t="str">
        <f t="shared" si="752"/>
        <v/>
      </c>
      <c r="O3813" s="291"/>
    </row>
    <row r="3814" spans="1:15">
      <c r="A3814" s="289" t="s">
        <v>983</v>
      </c>
      <c r="B3814" s="306">
        <f t="shared" si="753"/>
        <v>0</v>
      </c>
      <c r="C3814" s="306">
        <f t="shared" si="754"/>
        <v>0</v>
      </c>
      <c r="D3814" s="306">
        <f t="shared" si="744"/>
        <v>0</v>
      </c>
      <c r="E3814" s="306">
        <f t="shared" si="745"/>
        <v>0</v>
      </c>
      <c r="F3814" s="312">
        <f t="shared" si="746"/>
        <v>46</v>
      </c>
      <c r="G3814" s="305">
        <v>91</v>
      </c>
      <c r="H3814" s="312">
        <f t="shared" si="743"/>
        <v>7543</v>
      </c>
      <c r="I3814" s="312">
        <f t="shared" si="747"/>
        <v>100</v>
      </c>
      <c r="J3814" s="312">
        <f t="shared" si="748"/>
        <v>82</v>
      </c>
      <c r="K3814" s="306">
        <f t="shared" si="749"/>
        <v>0</v>
      </c>
      <c r="L3814" s="306">
        <f t="shared" si="750"/>
        <v>4439562.3220816916</v>
      </c>
      <c r="M3814" s="306">
        <f t="shared" si="751"/>
        <v>-218011219.02747506</v>
      </c>
      <c r="N3814" s="306" t="str">
        <f t="shared" si="752"/>
        <v/>
      </c>
      <c r="O3814" s="291"/>
    </row>
    <row r="3815" spans="1:15">
      <c r="A3815" s="289" t="s">
        <v>984</v>
      </c>
      <c r="B3815" s="306">
        <f t="shared" si="753"/>
        <v>0</v>
      </c>
      <c r="C3815" s="306">
        <f t="shared" si="754"/>
        <v>0</v>
      </c>
      <c r="D3815" s="306">
        <f t="shared" si="744"/>
        <v>0</v>
      </c>
      <c r="E3815" s="306">
        <f t="shared" si="745"/>
        <v>0</v>
      </c>
      <c r="F3815" s="312">
        <f t="shared" si="746"/>
        <v>46</v>
      </c>
      <c r="G3815" s="305">
        <v>92</v>
      </c>
      <c r="H3815" s="312">
        <f t="shared" si="743"/>
        <v>7544</v>
      </c>
      <c r="I3815" s="312">
        <f t="shared" si="747"/>
        <v>101</v>
      </c>
      <c r="J3815" s="312">
        <f t="shared" si="748"/>
        <v>83</v>
      </c>
      <c r="K3815" s="306">
        <f t="shared" si="749"/>
        <v>0</v>
      </c>
      <c r="L3815" s="306">
        <f t="shared" si="750"/>
        <v>4439562.3220816916</v>
      </c>
      <c r="M3815" s="306">
        <f t="shared" si="751"/>
        <v>-218011219.02747506</v>
      </c>
      <c r="N3815" s="306" t="str">
        <f t="shared" si="752"/>
        <v/>
      </c>
      <c r="O3815" s="291"/>
    </row>
    <row r="3816" spans="1:15">
      <c r="A3816" s="289" t="s">
        <v>985</v>
      </c>
      <c r="B3816" s="306">
        <f t="shared" si="753"/>
        <v>0</v>
      </c>
      <c r="C3816" s="306">
        <f t="shared" si="754"/>
        <v>0</v>
      </c>
      <c r="D3816" s="306">
        <f t="shared" si="744"/>
        <v>0</v>
      </c>
      <c r="E3816" s="306">
        <f t="shared" si="745"/>
        <v>0</v>
      </c>
      <c r="F3816" s="312">
        <f t="shared" si="746"/>
        <v>46</v>
      </c>
      <c r="G3816" s="305">
        <v>93</v>
      </c>
      <c r="H3816" s="312">
        <f t="shared" si="743"/>
        <v>7545</v>
      </c>
      <c r="I3816" s="312">
        <f t="shared" si="747"/>
        <v>102</v>
      </c>
      <c r="J3816" s="312">
        <f t="shared" si="748"/>
        <v>84</v>
      </c>
      <c r="K3816" s="306">
        <f t="shared" si="749"/>
        <v>0</v>
      </c>
      <c r="L3816" s="306">
        <f t="shared" si="750"/>
        <v>4439562.3220816916</v>
      </c>
      <c r="M3816" s="306">
        <f t="shared" si="751"/>
        <v>-218011219.02747506</v>
      </c>
      <c r="N3816" s="306" t="str">
        <f t="shared" si="752"/>
        <v/>
      </c>
      <c r="O3816" s="291"/>
    </row>
    <row r="3817" spans="1:15">
      <c r="A3817" s="289" t="s">
        <v>986</v>
      </c>
      <c r="B3817" s="306">
        <f t="shared" si="753"/>
        <v>0</v>
      </c>
      <c r="C3817" s="306">
        <f t="shared" si="754"/>
        <v>0</v>
      </c>
      <c r="D3817" s="306">
        <f t="shared" si="744"/>
        <v>0</v>
      </c>
      <c r="E3817" s="306">
        <f t="shared" si="745"/>
        <v>0</v>
      </c>
      <c r="F3817" s="312">
        <f t="shared" si="746"/>
        <v>46</v>
      </c>
      <c r="G3817" s="305">
        <v>94</v>
      </c>
      <c r="H3817" s="312">
        <f t="shared" si="743"/>
        <v>7546</v>
      </c>
      <c r="I3817" s="312">
        <f t="shared" si="747"/>
        <v>103</v>
      </c>
      <c r="J3817" s="312">
        <f t="shared" si="748"/>
        <v>85</v>
      </c>
      <c r="K3817" s="306">
        <f t="shared" si="749"/>
        <v>0</v>
      </c>
      <c r="L3817" s="306">
        <f t="shared" si="750"/>
        <v>4439562.3220816916</v>
      </c>
      <c r="M3817" s="306">
        <f t="shared" si="751"/>
        <v>-218011219.02747506</v>
      </c>
      <c r="N3817" s="306" t="str">
        <f t="shared" si="752"/>
        <v/>
      </c>
      <c r="O3817" s="291"/>
    </row>
    <row r="3818" spans="1:15">
      <c r="A3818" s="289" t="s">
        <v>987</v>
      </c>
      <c r="B3818" s="306">
        <f t="shared" si="753"/>
        <v>0</v>
      </c>
      <c r="C3818" s="306">
        <f t="shared" si="754"/>
        <v>0</v>
      </c>
      <c r="D3818" s="306">
        <f t="shared" si="744"/>
        <v>0</v>
      </c>
      <c r="E3818" s="306">
        <f t="shared" si="745"/>
        <v>0</v>
      </c>
      <c r="F3818" s="312">
        <f t="shared" si="746"/>
        <v>46</v>
      </c>
      <c r="G3818" s="305">
        <v>95</v>
      </c>
      <c r="H3818" s="312">
        <f t="shared" si="743"/>
        <v>7547</v>
      </c>
      <c r="I3818" s="312">
        <f t="shared" si="747"/>
        <v>104</v>
      </c>
      <c r="J3818" s="312">
        <f t="shared" si="748"/>
        <v>86</v>
      </c>
      <c r="K3818" s="306">
        <f t="shared" si="749"/>
        <v>0</v>
      </c>
      <c r="L3818" s="306">
        <f t="shared" si="750"/>
        <v>4439562.3220816916</v>
      </c>
      <c r="M3818" s="306">
        <f t="shared" si="751"/>
        <v>-218011219.02747506</v>
      </c>
      <c r="N3818" s="306" t="str">
        <f t="shared" si="752"/>
        <v/>
      </c>
      <c r="O3818" s="291"/>
    </row>
    <row r="3819" spans="1:15">
      <c r="A3819" s="289" t="s">
        <v>988</v>
      </c>
      <c r="B3819" s="306">
        <f t="shared" si="753"/>
        <v>0</v>
      </c>
      <c r="C3819" s="306">
        <f t="shared" si="754"/>
        <v>0</v>
      </c>
      <c r="D3819" s="306">
        <f t="shared" si="744"/>
        <v>0</v>
      </c>
      <c r="E3819" s="306">
        <f t="shared" si="745"/>
        <v>0</v>
      </c>
      <c r="F3819" s="312">
        <f t="shared" si="746"/>
        <v>46</v>
      </c>
      <c r="G3819" s="305">
        <v>96</v>
      </c>
      <c r="H3819" s="312">
        <f t="shared" ref="H3819:H3850" si="755">F3819*162+G3819</f>
        <v>7548</v>
      </c>
      <c r="I3819" s="312">
        <f t="shared" si="747"/>
        <v>105</v>
      </c>
      <c r="J3819" s="312">
        <f t="shared" si="748"/>
        <v>87</v>
      </c>
      <c r="K3819" s="306">
        <f t="shared" si="749"/>
        <v>0</v>
      </c>
      <c r="L3819" s="306">
        <f t="shared" si="750"/>
        <v>4439562.3220816916</v>
      </c>
      <c r="M3819" s="306">
        <f t="shared" si="751"/>
        <v>-218011219.02747506</v>
      </c>
      <c r="N3819" s="306" t="str">
        <f t="shared" si="752"/>
        <v/>
      </c>
      <c r="O3819" s="291"/>
    </row>
    <row r="3820" spans="1:15">
      <c r="A3820" s="289" t="s">
        <v>989</v>
      </c>
      <c r="B3820" s="306">
        <f t="shared" si="753"/>
        <v>0</v>
      </c>
      <c r="C3820" s="306">
        <f t="shared" si="754"/>
        <v>0</v>
      </c>
      <c r="D3820" s="306">
        <f t="shared" ref="D3820:D3851" si="756">IF(ISERROR(B3820),C3820,0)</f>
        <v>0</v>
      </c>
      <c r="E3820" s="306">
        <f t="shared" ref="E3820:E3851" si="757">MAX($B$3694,B3820)*C3820</f>
        <v>0</v>
      </c>
      <c r="F3820" s="312">
        <f t="shared" ref="F3820:F3851" si="758">RANK(B3820,B$3724:B$3885,1)</f>
        <v>46</v>
      </c>
      <c r="G3820" s="305">
        <v>97</v>
      </c>
      <c r="H3820" s="312">
        <f t="shared" si="755"/>
        <v>7549</v>
      </c>
      <c r="I3820" s="312">
        <f t="shared" ref="I3820:I3851" si="759">RANK(H3820,H$3724:H$3885,1)</f>
        <v>106</v>
      </c>
      <c r="J3820" s="312">
        <f t="shared" ref="J3820:J3851" si="760">MATCH(G3820,I$3724:I$3885,0)</f>
        <v>88</v>
      </c>
      <c r="K3820" s="306">
        <f t="shared" ref="K3820:K3851" si="761">INDEX(B$3724:B$3885,J3820,1)</f>
        <v>0</v>
      </c>
      <c r="L3820" s="306">
        <f t="shared" ref="L3820:L3851" si="762">L3819+INDEX(C$3724:C$3885,J3820,1)</f>
        <v>4439562.3220816916</v>
      </c>
      <c r="M3820" s="306">
        <f t="shared" ref="M3820:M3851" si="763">M3819+(K3820-K3819)*L3819</f>
        <v>-218011219.02747506</v>
      </c>
      <c r="N3820" s="306" t="str">
        <f t="shared" ref="N3820:N3851" si="764">IF((M3819&gt;0)=(M3820&gt;0),"",K3820-M3820/L3819)</f>
        <v/>
      </c>
      <c r="O3820" s="291"/>
    </row>
    <row r="3821" spans="1:15">
      <c r="A3821" s="289" t="s">
        <v>990</v>
      </c>
      <c r="B3821" s="306">
        <f t="shared" si="753"/>
        <v>0</v>
      </c>
      <c r="C3821" s="306">
        <f t="shared" si="754"/>
        <v>0</v>
      </c>
      <c r="D3821" s="306">
        <f t="shared" si="756"/>
        <v>0</v>
      </c>
      <c r="E3821" s="306">
        <f t="shared" si="757"/>
        <v>0</v>
      </c>
      <c r="F3821" s="312">
        <f t="shared" si="758"/>
        <v>46</v>
      </c>
      <c r="G3821" s="305">
        <v>98</v>
      </c>
      <c r="H3821" s="312">
        <f t="shared" si="755"/>
        <v>7550</v>
      </c>
      <c r="I3821" s="312">
        <f t="shared" si="759"/>
        <v>107</v>
      </c>
      <c r="J3821" s="312">
        <f t="shared" si="760"/>
        <v>89</v>
      </c>
      <c r="K3821" s="306">
        <f t="shared" si="761"/>
        <v>0</v>
      </c>
      <c r="L3821" s="306">
        <f t="shared" si="762"/>
        <v>4439562.3220816916</v>
      </c>
      <c r="M3821" s="306">
        <f t="shared" si="763"/>
        <v>-218011219.02747506</v>
      </c>
      <c r="N3821" s="306" t="str">
        <f t="shared" si="764"/>
        <v/>
      </c>
      <c r="O3821" s="291"/>
    </row>
    <row r="3822" spans="1:15">
      <c r="A3822" s="289" t="s">
        <v>991</v>
      </c>
      <c r="B3822" s="306">
        <f t="shared" si="753"/>
        <v>0</v>
      </c>
      <c r="C3822" s="306">
        <f t="shared" si="754"/>
        <v>0</v>
      </c>
      <c r="D3822" s="306">
        <f t="shared" si="756"/>
        <v>0</v>
      </c>
      <c r="E3822" s="306">
        <f t="shared" si="757"/>
        <v>0</v>
      </c>
      <c r="F3822" s="312">
        <f t="shared" si="758"/>
        <v>46</v>
      </c>
      <c r="G3822" s="305">
        <v>99</v>
      </c>
      <c r="H3822" s="312">
        <f t="shared" si="755"/>
        <v>7551</v>
      </c>
      <c r="I3822" s="312">
        <f t="shared" si="759"/>
        <v>108</v>
      </c>
      <c r="J3822" s="312">
        <f t="shared" si="760"/>
        <v>90</v>
      </c>
      <c r="K3822" s="306">
        <f t="shared" si="761"/>
        <v>0</v>
      </c>
      <c r="L3822" s="306">
        <f t="shared" si="762"/>
        <v>4439562.3220816916</v>
      </c>
      <c r="M3822" s="306">
        <f t="shared" si="763"/>
        <v>-218011219.02747506</v>
      </c>
      <c r="N3822" s="306" t="str">
        <f t="shared" si="764"/>
        <v/>
      </c>
      <c r="O3822" s="291"/>
    </row>
    <row r="3823" spans="1:15">
      <c r="A3823" s="289" t="s">
        <v>992</v>
      </c>
      <c r="B3823" s="306">
        <f t="shared" si="753"/>
        <v>0</v>
      </c>
      <c r="C3823" s="306">
        <f t="shared" si="754"/>
        <v>0</v>
      </c>
      <c r="D3823" s="306">
        <f t="shared" si="756"/>
        <v>0</v>
      </c>
      <c r="E3823" s="306">
        <f t="shared" si="757"/>
        <v>0</v>
      </c>
      <c r="F3823" s="312">
        <f t="shared" si="758"/>
        <v>46</v>
      </c>
      <c r="G3823" s="305">
        <v>100</v>
      </c>
      <c r="H3823" s="312">
        <f t="shared" si="755"/>
        <v>7552</v>
      </c>
      <c r="I3823" s="312">
        <f t="shared" si="759"/>
        <v>109</v>
      </c>
      <c r="J3823" s="312">
        <f t="shared" si="760"/>
        <v>91</v>
      </c>
      <c r="K3823" s="306">
        <f t="shared" si="761"/>
        <v>0</v>
      </c>
      <c r="L3823" s="306">
        <f t="shared" si="762"/>
        <v>4439562.3220816916</v>
      </c>
      <c r="M3823" s="306">
        <f t="shared" si="763"/>
        <v>-218011219.02747506</v>
      </c>
      <c r="N3823" s="306" t="str">
        <f t="shared" si="764"/>
        <v/>
      </c>
      <c r="O3823" s="291"/>
    </row>
    <row r="3824" spans="1:15">
      <c r="A3824" s="289" t="s">
        <v>993</v>
      </c>
      <c r="B3824" s="306">
        <f t="shared" si="753"/>
        <v>0</v>
      </c>
      <c r="C3824" s="306">
        <f t="shared" si="754"/>
        <v>0</v>
      </c>
      <c r="D3824" s="306">
        <f t="shared" si="756"/>
        <v>0</v>
      </c>
      <c r="E3824" s="306">
        <f t="shared" si="757"/>
        <v>0</v>
      </c>
      <c r="F3824" s="312">
        <f t="shared" si="758"/>
        <v>46</v>
      </c>
      <c r="G3824" s="305">
        <v>101</v>
      </c>
      <c r="H3824" s="312">
        <f t="shared" si="755"/>
        <v>7553</v>
      </c>
      <c r="I3824" s="312">
        <f t="shared" si="759"/>
        <v>110</v>
      </c>
      <c r="J3824" s="312">
        <f t="shared" si="760"/>
        <v>92</v>
      </c>
      <c r="K3824" s="306">
        <f t="shared" si="761"/>
        <v>0</v>
      </c>
      <c r="L3824" s="306">
        <f t="shared" si="762"/>
        <v>4439562.3220816916</v>
      </c>
      <c r="M3824" s="306">
        <f t="shared" si="763"/>
        <v>-218011219.02747506</v>
      </c>
      <c r="N3824" s="306" t="str">
        <f t="shared" si="764"/>
        <v/>
      </c>
      <c r="O3824" s="291"/>
    </row>
    <row r="3825" spans="1:15">
      <c r="A3825" s="289" t="s">
        <v>994</v>
      </c>
      <c r="B3825" s="306">
        <f t="shared" si="753"/>
        <v>0</v>
      </c>
      <c r="C3825" s="306">
        <f t="shared" si="754"/>
        <v>0</v>
      </c>
      <c r="D3825" s="306">
        <f t="shared" si="756"/>
        <v>0</v>
      </c>
      <c r="E3825" s="306">
        <f t="shared" si="757"/>
        <v>0</v>
      </c>
      <c r="F3825" s="312">
        <f t="shared" si="758"/>
        <v>46</v>
      </c>
      <c r="G3825" s="305">
        <v>102</v>
      </c>
      <c r="H3825" s="312">
        <f t="shared" si="755"/>
        <v>7554</v>
      </c>
      <c r="I3825" s="312">
        <f t="shared" si="759"/>
        <v>111</v>
      </c>
      <c r="J3825" s="312">
        <f t="shared" si="760"/>
        <v>93</v>
      </c>
      <c r="K3825" s="306">
        <f t="shared" si="761"/>
        <v>0</v>
      </c>
      <c r="L3825" s="306">
        <f t="shared" si="762"/>
        <v>4439562.3220816916</v>
      </c>
      <c r="M3825" s="306">
        <f t="shared" si="763"/>
        <v>-218011219.02747506</v>
      </c>
      <c r="N3825" s="306" t="str">
        <f t="shared" si="764"/>
        <v/>
      </c>
      <c r="O3825" s="291"/>
    </row>
    <row r="3826" spans="1:15">
      <c r="A3826" s="289" t="s">
        <v>995</v>
      </c>
      <c r="B3826" s="306">
        <f t="shared" si="753"/>
        <v>0</v>
      </c>
      <c r="C3826" s="306">
        <f t="shared" si="754"/>
        <v>0</v>
      </c>
      <c r="D3826" s="306">
        <f t="shared" si="756"/>
        <v>0</v>
      </c>
      <c r="E3826" s="306">
        <f t="shared" si="757"/>
        <v>0</v>
      </c>
      <c r="F3826" s="312">
        <f t="shared" si="758"/>
        <v>46</v>
      </c>
      <c r="G3826" s="305">
        <v>103</v>
      </c>
      <c r="H3826" s="312">
        <f t="shared" si="755"/>
        <v>7555</v>
      </c>
      <c r="I3826" s="312">
        <f t="shared" si="759"/>
        <v>112</v>
      </c>
      <c r="J3826" s="312">
        <f t="shared" si="760"/>
        <v>94</v>
      </c>
      <c r="K3826" s="306">
        <f t="shared" si="761"/>
        <v>0</v>
      </c>
      <c r="L3826" s="306">
        <f t="shared" si="762"/>
        <v>4439562.3220816916</v>
      </c>
      <c r="M3826" s="306">
        <f t="shared" si="763"/>
        <v>-218011219.02747506</v>
      </c>
      <c r="N3826" s="306" t="str">
        <f t="shared" si="764"/>
        <v/>
      </c>
      <c r="O3826" s="291"/>
    </row>
    <row r="3827" spans="1:15">
      <c r="A3827" s="289" t="s">
        <v>996</v>
      </c>
      <c r="B3827" s="306">
        <f t="shared" si="753"/>
        <v>0</v>
      </c>
      <c r="C3827" s="306">
        <f t="shared" si="754"/>
        <v>0</v>
      </c>
      <c r="D3827" s="306">
        <f t="shared" si="756"/>
        <v>0</v>
      </c>
      <c r="E3827" s="306">
        <f t="shared" si="757"/>
        <v>0</v>
      </c>
      <c r="F3827" s="312">
        <f t="shared" si="758"/>
        <v>46</v>
      </c>
      <c r="G3827" s="305">
        <v>104</v>
      </c>
      <c r="H3827" s="312">
        <f t="shared" si="755"/>
        <v>7556</v>
      </c>
      <c r="I3827" s="312">
        <f t="shared" si="759"/>
        <v>113</v>
      </c>
      <c r="J3827" s="312">
        <f t="shared" si="760"/>
        <v>95</v>
      </c>
      <c r="K3827" s="306">
        <f t="shared" si="761"/>
        <v>0</v>
      </c>
      <c r="L3827" s="306">
        <f t="shared" si="762"/>
        <v>4439562.3220816916</v>
      </c>
      <c r="M3827" s="306">
        <f t="shared" si="763"/>
        <v>-218011219.02747506</v>
      </c>
      <c r="N3827" s="306" t="str">
        <f t="shared" si="764"/>
        <v/>
      </c>
      <c r="O3827" s="291"/>
    </row>
    <row r="3828" spans="1:15">
      <c r="A3828" s="289" t="s">
        <v>997</v>
      </c>
      <c r="B3828" s="306">
        <f t="shared" si="753"/>
        <v>0</v>
      </c>
      <c r="C3828" s="306">
        <f t="shared" si="754"/>
        <v>0</v>
      </c>
      <c r="D3828" s="306">
        <f t="shared" si="756"/>
        <v>0</v>
      </c>
      <c r="E3828" s="306">
        <f t="shared" si="757"/>
        <v>0</v>
      </c>
      <c r="F3828" s="312">
        <f t="shared" si="758"/>
        <v>46</v>
      </c>
      <c r="G3828" s="305">
        <v>105</v>
      </c>
      <c r="H3828" s="312">
        <f t="shared" si="755"/>
        <v>7557</v>
      </c>
      <c r="I3828" s="312">
        <f t="shared" si="759"/>
        <v>114</v>
      </c>
      <c r="J3828" s="312">
        <f t="shared" si="760"/>
        <v>96</v>
      </c>
      <c r="K3828" s="306">
        <f t="shared" si="761"/>
        <v>0</v>
      </c>
      <c r="L3828" s="306">
        <f t="shared" si="762"/>
        <v>4439562.3220816916</v>
      </c>
      <c r="M3828" s="306">
        <f t="shared" si="763"/>
        <v>-218011219.02747506</v>
      </c>
      <c r="N3828" s="306" t="str">
        <f t="shared" si="764"/>
        <v/>
      </c>
      <c r="O3828" s="291"/>
    </row>
    <row r="3829" spans="1:15">
      <c r="A3829" s="289" t="s">
        <v>998</v>
      </c>
      <c r="B3829" s="306">
        <f t="shared" si="753"/>
        <v>0</v>
      </c>
      <c r="C3829" s="306">
        <f t="shared" si="754"/>
        <v>0</v>
      </c>
      <c r="D3829" s="306">
        <f t="shared" si="756"/>
        <v>0</v>
      </c>
      <c r="E3829" s="306">
        <f t="shared" si="757"/>
        <v>0</v>
      </c>
      <c r="F3829" s="312">
        <f t="shared" si="758"/>
        <v>46</v>
      </c>
      <c r="G3829" s="305">
        <v>106</v>
      </c>
      <c r="H3829" s="312">
        <f t="shared" si="755"/>
        <v>7558</v>
      </c>
      <c r="I3829" s="312">
        <f t="shared" si="759"/>
        <v>115</v>
      </c>
      <c r="J3829" s="312">
        <f t="shared" si="760"/>
        <v>97</v>
      </c>
      <c r="K3829" s="306">
        <f t="shared" si="761"/>
        <v>0</v>
      </c>
      <c r="L3829" s="306">
        <f t="shared" si="762"/>
        <v>4439562.3220816916</v>
      </c>
      <c r="M3829" s="306">
        <f t="shared" si="763"/>
        <v>-218011219.02747506</v>
      </c>
      <c r="N3829" s="306" t="str">
        <f t="shared" si="764"/>
        <v/>
      </c>
      <c r="O3829" s="291"/>
    </row>
    <row r="3830" spans="1:15">
      <c r="A3830" s="289" t="s">
        <v>999</v>
      </c>
      <c r="B3830" s="306">
        <f t="shared" si="753"/>
        <v>0</v>
      </c>
      <c r="C3830" s="306">
        <f t="shared" si="754"/>
        <v>0</v>
      </c>
      <c r="D3830" s="306">
        <f t="shared" si="756"/>
        <v>0</v>
      </c>
      <c r="E3830" s="306">
        <f t="shared" si="757"/>
        <v>0</v>
      </c>
      <c r="F3830" s="312">
        <f t="shared" si="758"/>
        <v>46</v>
      </c>
      <c r="G3830" s="305">
        <v>107</v>
      </c>
      <c r="H3830" s="312">
        <f t="shared" si="755"/>
        <v>7559</v>
      </c>
      <c r="I3830" s="312">
        <f t="shared" si="759"/>
        <v>116</v>
      </c>
      <c r="J3830" s="312">
        <f t="shared" si="760"/>
        <v>98</v>
      </c>
      <c r="K3830" s="306">
        <f t="shared" si="761"/>
        <v>0</v>
      </c>
      <c r="L3830" s="306">
        <f t="shared" si="762"/>
        <v>4439562.3220816916</v>
      </c>
      <c r="M3830" s="306">
        <f t="shared" si="763"/>
        <v>-218011219.02747506</v>
      </c>
      <c r="N3830" s="306" t="str">
        <f t="shared" si="764"/>
        <v/>
      </c>
      <c r="O3830" s="291"/>
    </row>
    <row r="3831" spans="1:15">
      <c r="A3831" s="289" t="s">
        <v>1000</v>
      </c>
      <c r="B3831" s="306">
        <f t="shared" si="753"/>
        <v>0</v>
      </c>
      <c r="C3831" s="306">
        <f t="shared" si="754"/>
        <v>0</v>
      </c>
      <c r="D3831" s="306">
        <f t="shared" si="756"/>
        <v>0</v>
      </c>
      <c r="E3831" s="306">
        <f t="shared" si="757"/>
        <v>0</v>
      </c>
      <c r="F3831" s="312">
        <f t="shared" si="758"/>
        <v>46</v>
      </c>
      <c r="G3831" s="305">
        <v>108</v>
      </c>
      <c r="H3831" s="312">
        <f t="shared" si="755"/>
        <v>7560</v>
      </c>
      <c r="I3831" s="312">
        <f t="shared" si="759"/>
        <v>117</v>
      </c>
      <c r="J3831" s="312">
        <f t="shared" si="760"/>
        <v>99</v>
      </c>
      <c r="K3831" s="306">
        <f t="shared" si="761"/>
        <v>0</v>
      </c>
      <c r="L3831" s="306">
        <f t="shared" si="762"/>
        <v>4439562.3220816916</v>
      </c>
      <c r="M3831" s="306">
        <f t="shared" si="763"/>
        <v>-218011219.02747506</v>
      </c>
      <c r="N3831" s="306" t="str">
        <f t="shared" si="764"/>
        <v/>
      </c>
      <c r="O3831" s="291"/>
    </row>
    <row r="3832" spans="1:15">
      <c r="A3832" s="289" t="s">
        <v>1001</v>
      </c>
      <c r="B3832" s="306">
        <f t="shared" ref="B3832:B3858" si="765">F3640</f>
        <v>0</v>
      </c>
      <c r="C3832" s="306">
        <f t="shared" ref="C3832:C3858" si="766">F3594</f>
        <v>0</v>
      </c>
      <c r="D3832" s="306">
        <f t="shared" si="756"/>
        <v>0</v>
      </c>
      <c r="E3832" s="306">
        <f t="shared" si="757"/>
        <v>0</v>
      </c>
      <c r="F3832" s="312">
        <f t="shared" si="758"/>
        <v>46</v>
      </c>
      <c r="G3832" s="305">
        <v>109</v>
      </c>
      <c r="H3832" s="312">
        <f t="shared" si="755"/>
        <v>7561</v>
      </c>
      <c r="I3832" s="312">
        <f t="shared" si="759"/>
        <v>118</v>
      </c>
      <c r="J3832" s="312">
        <f t="shared" si="760"/>
        <v>100</v>
      </c>
      <c r="K3832" s="306">
        <f t="shared" si="761"/>
        <v>0</v>
      </c>
      <c r="L3832" s="306">
        <f t="shared" si="762"/>
        <v>4439562.3220816916</v>
      </c>
      <c r="M3832" s="306">
        <f t="shared" si="763"/>
        <v>-218011219.02747506</v>
      </c>
      <c r="N3832" s="306" t="str">
        <f t="shared" si="764"/>
        <v/>
      </c>
      <c r="O3832" s="291"/>
    </row>
    <row r="3833" spans="1:15">
      <c r="A3833" s="289" t="s">
        <v>1002</v>
      </c>
      <c r="B3833" s="306">
        <f t="shared" si="765"/>
        <v>0</v>
      </c>
      <c r="C3833" s="306">
        <f t="shared" si="766"/>
        <v>0</v>
      </c>
      <c r="D3833" s="306">
        <f t="shared" si="756"/>
        <v>0</v>
      </c>
      <c r="E3833" s="306">
        <f t="shared" si="757"/>
        <v>0</v>
      </c>
      <c r="F3833" s="312">
        <f t="shared" si="758"/>
        <v>46</v>
      </c>
      <c r="G3833" s="305">
        <v>110</v>
      </c>
      <c r="H3833" s="312">
        <f t="shared" si="755"/>
        <v>7562</v>
      </c>
      <c r="I3833" s="312">
        <f t="shared" si="759"/>
        <v>119</v>
      </c>
      <c r="J3833" s="312">
        <f t="shared" si="760"/>
        <v>101</v>
      </c>
      <c r="K3833" s="306">
        <f t="shared" si="761"/>
        <v>0</v>
      </c>
      <c r="L3833" s="306">
        <f t="shared" si="762"/>
        <v>4439562.3220816916</v>
      </c>
      <c r="M3833" s="306">
        <f t="shared" si="763"/>
        <v>-218011219.02747506</v>
      </c>
      <c r="N3833" s="306" t="str">
        <f t="shared" si="764"/>
        <v/>
      </c>
      <c r="O3833" s="291"/>
    </row>
    <row r="3834" spans="1:15">
      <c r="A3834" s="289" t="s">
        <v>1003</v>
      </c>
      <c r="B3834" s="306">
        <f t="shared" si="765"/>
        <v>0</v>
      </c>
      <c r="C3834" s="306">
        <f t="shared" si="766"/>
        <v>0</v>
      </c>
      <c r="D3834" s="306">
        <f t="shared" si="756"/>
        <v>0</v>
      </c>
      <c r="E3834" s="306">
        <f t="shared" si="757"/>
        <v>0</v>
      </c>
      <c r="F3834" s="312">
        <f t="shared" si="758"/>
        <v>46</v>
      </c>
      <c r="G3834" s="305">
        <v>111</v>
      </c>
      <c r="H3834" s="312">
        <f t="shared" si="755"/>
        <v>7563</v>
      </c>
      <c r="I3834" s="312">
        <f t="shared" si="759"/>
        <v>120</v>
      </c>
      <c r="J3834" s="312">
        <f t="shared" si="760"/>
        <v>102</v>
      </c>
      <c r="K3834" s="306">
        <f t="shared" si="761"/>
        <v>0</v>
      </c>
      <c r="L3834" s="306">
        <f t="shared" si="762"/>
        <v>4439562.3220816916</v>
      </c>
      <c r="M3834" s="306">
        <f t="shared" si="763"/>
        <v>-218011219.02747506</v>
      </c>
      <c r="N3834" s="306" t="str">
        <f t="shared" si="764"/>
        <v/>
      </c>
      <c r="O3834" s="291"/>
    </row>
    <row r="3835" spans="1:15">
      <c r="A3835" s="289" t="s">
        <v>1004</v>
      </c>
      <c r="B3835" s="306">
        <f t="shared" si="765"/>
        <v>0</v>
      </c>
      <c r="C3835" s="306">
        <f t="shared" si="766"/>
        <v>0</v>
      </c>
      <c r="D3835" s="306">
        <f t="shared" si="756"/>
        <v>0</v>
      </c>
      <c r="E3835" s="306">
        <f t="shared" si="757"/>
        <v>0</v>
      </c>
      <c r="F3835" s="312">
        <f t="shared" si="758"/>
        <v>46</v>
      </c>
      <c r="G3835" s="305">
        <v>112</v>
      </c>
      <c r="H3835" s="312">
        <f t="shared" si="755"/>
        <v>7564</v>
      </c>
      <c r="I3835" s="312">
        <f t="shared" si="759"/>
        <v>121</v>
      </c>
      <c r="J3835" s="312">
        <f t="shared" si="760"/>
        <v>103</v>
      </c>
      <c r="K3835" s="306">
        <f t="shared" si="761"/>
        <v>0</v>
      </c>
      <c r="L3835" s="306">
        <f t="shared" si="762"/>
        <v>4439562.3220816916</v>
      </c>
      <c r="M3835" s="306">
        <f t="shared" si="763"/>
        <v>-218011219.02747506</v>
      </c>
      <c r="N3835" s="306" t="str">
        <f t="shared" si="764"/>
        <v/>
      </c>
      <c r="O3835" s="291"/>
    </row>
    <row r="3836" spans="1:15">
      <c r="A3836" s="289" t="s">
        <v>1005</v>
      </c>
      <c r="B3836" s="306">
        <f t="shared" si="765"/>
        <v>0</v>
      </c>
      <c r="C3836" s="306">
        <f t="shared" si="766"/>
        <v>0</v>
      </c>
      <c r="D3836" s="306">
        <f t="shared" si="756"/>
        <v>0</v>
      </c>
      <c r="E3836" s="306">
        <f t="shared" si="757"/>
        <v>0</v>
      </c>
      <c r="F3836" s="312">
        <f t="shared" si="758"/>
        <v>46</v>
      </c>
      <c r="G3836" s="305">
        <v>113</v>
      </c>
      <c r="H3836" s="312">
        <f t="shared" si="755"/>
        <v>7565</v>
      </c>
      <c r="I3836" s="312">
        <f t="shared" si="759"/>
        <v>122</v>
      </c>
      <c r="J3836" s="312">
        <f t="shared" si="760"/>
        <v>104</v>
      </c>
      <c r="K3836" s="306">
        <f t="shared" si="761"/>
        <v>0</v>
      </c>
      <c r="L3836" s="306">
        <f t="shared" si="762"/>
        <v>4439562.3220816916</v>
      </c>
      <c r="M3836" s="306">
        <f t="shared" si="763"/>
        <v>-218011219.02747506</v>
      </c>
      <c r="N3836" s="306" t="str">
        <f t="shared" si="764"/>
        <v/>
      </c>
      <c r="O3836" s="291"/>
    </row>
    <row r="3837" spans="1:15">
      <c r="A3837" s="289" t="s">
        <v>1006</v>
      </c>
      <c r="B3837" s="306">
        <f t="shared" si="765"/>
        <v>0</v>
      </c>
      <c r="C3837" s="306">
        <f t="shared" si="766"/>
        <v>0</v>
      </c>
      <c r="D3837" s="306">
        <f t="shared" si="756"/>
        <v>0</v>
      </c>
      <c r="E3837" s="306">
        <f t="shared" si="757"/>
        <v>0</v>
      </c>
      <c r="F3837" s="312">
        <f t="shared" si="758"/>
        <v>46</v>
      </c>
      <c r="G3837" s="305">
        <v>114</v>
      </c>
      <c r="H3837" s="312">
        <f t="shared" si="755"/>
        <v>7566</v>
      </c>
      <c r="I3837" s="312">
        <f t="shared" si="759"/>
        <v>123</v>
      </c>
      <c r="J3837" s="312">
        <f t="shared" si="760"/>
        <v>105</v>
      </c>
      <c r="K3837" s="306">
        <f t="shared" si="761"/>
        <v>0</v>
      </c>
      <c r="L3837" s="306">
        <f t="shared" si="762"/>
        <v>4439562.3220816916</v>
      </c>
      <c r="M3837" s="306">
        <f t="shared" si="763"/>
        <v>-218011219.02747506</v>
      </c>
      <c r="N3837" s="306" t="str">
        <f t="shared" si="764"/>
        <v/>
      </c>
      <c r="O3837" s="291"/>
    </row>
    <row r="3838" spans="1:15">
      <c r="A3838" s="289" t="s">
        <v>1007</v>
      </c>
      <c r="B3838" s="306">
        <f t="shared" si="765"/>
        <v>0</v>
      </c>
      <c r="C3838" s="306">
        <f t="shared" si="766"/>
        <v>0</v>
      </c>
      <c r="D3838" s="306">
        <f t="shared" si="756"/>
        <v>0</v>
      </c>
      <c r="E3838" s="306">
        <f t="shared" si="757"/>
        <v>0</v>
      </c>
      <c r="F3838" s="312">
        <f t="shared" si="758"/>
        <v>46</v>
      </c>
      <c r="G3838" s="305">
        <v>115</v>
      </c>
      <c r="H3838" s="312">
        <f t="shared" si="755"/>
        <v>7567</v>
      </c>
      <c r="I3838" s="312">
        <f t="shared" si="759"/>
        <v>124</v>
      </c>
      <c r="J3838" s="312">
        <f t="shared" si="760"/>
        <v>106</v>
      </c>
      <c r="K3838" s="306">
        <f t="shared" si="761"/>
        <v>0</v>
      </c>
      <c r="L3838" s="306">
        <f t="shared" si="762"/>
        <v>4439562.3220816916</v>
      </c>
      <c r="M3838" s="306">
        <f t="shared" si="763"/>
        <v>-218011219.02747506</v>
      </c>
      <c r="N3838" s="306" t="str">
        <f t="shared" si="764"/>
        <v/>
      </c>
      <c r="O3838" s="291"/>
    </row>
    <row r="3839" spans="1:15">
      <c r="A3839" s="289" t="s">
        <v>1008</v>
      </c>
      <c r="B3839" s="306">
        <f t="shared" si="765"/>
        <v>0</v>
      </c>
      <c r="C3839" s="306">
        <f t="shared" si="766"/>
        <v>0</v>
      </c>
      <c r="D3839" s="306">
        <f t="shared" si="756"/>
        <v>0</v>
      </c>
      <c r="E3839" s="306">
        <f t="shared" si="757"/>
        <v>0</v>
      </c>
      <c r="F3839" s="312">
        <f t="shared" si="758"/>
        <v>46</v>
      </c>
      <c r="G3839" s="305">
        <v>116</v>
      </c>
      <c r="H3839" s="312">
        <f t="shared" si="755"/>
        <v>7568</v>
      </c>
      <c r="I3839" s="312">
        <f t="shared" si="759"/>
        <v>125</v>
      </c>
      <c r="J3839" s="312">
        <f t="shared" si="760"/>
        <v>107</v>
      </c>
      <c r="K3839" s="306">
        <f t="shared" si="761"/>
        <v>0</v>
      </c>
      <c r="L3839" s="306">
        <f t="shared" si="762"/>
        <v>4439562.3220816916</v>
      </c>
      <c r="M3839" s="306">
        <f t="shared" si="763"/>
        <v>-218011219.02747506</v>
      </c>
      <c r="N3839" s="306" t="str">
        <f t="shared" si="764"/>
        <v/>
      </c>
      <c r="O3839" s="291"/>
    </row>
    <row r="3840" spans="1:15">
      <c r="A3840" s="289" t="s">
        <v>1009</v>
      </c>
      <c r="B3840" s="306">
        <f t="shared" si="765"/>
        <v>0</v>
      </c>
      <c r="C3840" s="306">
        <f t="shared" si="766"/>
        <v>0</v>
      </c>
      <c r="D3840" s="306">
        <f t="shared" si="756"/>
        <v>0</v>
      </c>
      <c r="E3840" s="306">
        <f t="shared" si="757"/>
        <v>0</v>
      </c>
      <c r="F3840" s="312">
        <f t="shared" si="758"/>
        <v>46</v>
      </c>
      <c r="G3840" s="305">
        <v>117</v>
      </c>
      <c r="H3840" s="312">
        <f t="shared" si="755"/>
        <v>7569</v>
      </c>
      <c r="I3840" s="312">
        <f t="shared" si="759"/>
        <v>126</v>
      </c>
      <c r="J3840" s="312">
        <f t="shared" si="760"/>
        <v>108</v>
      </c>
      <c r="K3840" s="306">
        <f t="shared" si="761"/>
        <v>0</v>
      </c>
      <c r="L3840" s="306">
        <f t="shared" si="762"/>
        <v>4439562.3220816916</v>
      </c>
      <c r="M3840" s="306">
        <f t="shared" si="763"/>
        <v>-218011219.02747506</v>
      </c>
      <c r="N3840" s="306" t="str">
        <f t="shared" si="764"/>
        <v/>
      </c>
      <c r="O3840" s="291"/>
    </row>
    <row r="3841" spans="1:15">
      <c r="A3841" s="289" t="s">
        <v>1010</v>
      </c>
      <c r="B3841" s="306">
        <f t="shared" si="765"/>
        <v>0</v>
      </c>
      <c r="C3841" s="306">
        <f t="shared" si="766"/>
        <v>0</v>
      </c>
      <c r="D3841" s="306">
        <f t="shared" si="756"/>
        <v>0</v>
      </c>
      <c r="E3841" s="306">
        <f t="shared" si="757"/>
        <v>0</v>
      </c>
      <c r="F3841" s="312">
        <f t="shared" si="758"/>
        <v>46</v>
      </c>
      <c r="G3841" s="305">
        <v>118</v>
      </c>
      <c r="H3841" s="312">
        <f t="shared" si="755"/>
        <v>7570</v>
      </c>
      <c r="I3841" s="312">
        <f t="shared" si="759"/>
        <v>127</v>
      </c>
      <c r="J3841" s="312">
        <f t="shared" si="760"/>
        <v>109</v>
      </c>
      <c r="K3841" s="306">
        <f t="shared" si="761"/>
        <v>0</v>
      </c>
      <c r="L3841" s="306">
        <f t="shared" si="762"/>
        <v>4439562.3220816916</v>
      </c>
      <c r="M3841" s="306">
        <f t="shared" si="763"/>
        <v>-218011219.02747506</v>
      </c>
      <c r="N3841" s="306" t="str">
        <f t="shared" si="764"/>
        <v/>
      </c>
      <c r="O3841" s="291"/>
    </row>
    <row r="3842" spans="1:15">
      <c r="A3842" s="289" t="s">
        <v>1011</v>
      </c>
      <c r="B3842" s="306">
        <f t="shared" si="765"/>
        <v>0</v>
      </c>
      <c r="C3842" s="306">
        <f t="shared" si="766"/>
        <v>0</v>
      </c>
      <c r="D3842" s="306">
        <f t="shared" si="756"/>
        <v>0</v>
      </c>
      <c r="E3842" s="306">
        <f t="shared" si="757"/>
        <v>0</v>
      </c>
      <c r="F3842" s="312">
        <f t="shared" si="758"/>
        <v>46</v>
      </c>
      <c r="G3842" s="305">
        <v>119</v>
      </c>
      <c r="H3842" s="312">
        <f t="shared" si="755"/>
        <v>7571</v>
      </c>
      <c r="I3842" s="312">
        <f t="shared" si="759"/>
        <v>128</v>
      </c>
      <c r="J3842" s="312">
        <f t="shared" si="760"/>
        <v>110</v>
      </c>
      <c r="K3842" s="306">
        <f t="shared" si="761"/>
        <v>0</v>
      </c>
      <c r="L3842" s="306">
        <f t="shared" si="762"/>
        <v>4439562.3220816916</v>
      </c>
      <c r="M3842" s="306">
        <f t="shared" si="763"/>
        <v>-218011219.02747506</v>
      </c>
      <c r="N3842" s="306" t="str">
        <f t="shared" si="764"/>
        <v/>
      </c>
      <c r="O3842" s="291"/>
    </row>
    <row r="3843" spans="1:15">
      <c r="A3843" s="289" t="s">
        <v>1012</v>
      </c>
      <c r="B3843" s="306">
        <f t="shared" si="765"/>
        <v>0</v>
      </c>
      <c r="C3843" s="306">
        <f t="shared" si="766"/>
        <v>0</v>
      </c>
      <c r="D3843" s="306">
        <f t="shared" si="756"/>
        <v>0</v>
      </c>
      <c r="E3843" s="306">
        <f t="shared" si="757"/>
        <v>0</v>
      </c>
      <c r="F3843" s="312">
        <f t="shared" si="758"/>
        <v>46</v>
      </c>
      <c r="G3843" s="305">
        <v>120</v>
      </c>
      <c r="H3843" s="312">
        <f t="shared" si="755"/>
        <v>7572</v>
      </c>
      <c r="I3843" s="312">
        <f t="shared" si="759"/>
        <v>129</v>
      </c>
      <c r="J3843" s="312">
        <f t="shared" si="760"/>
        <v>111</v>
      </c>
      <c r="K3843" s="306">
        <f t="shared" si="761"/>
        <v>0</v>
      </c>
      <c r="L3843" s="306">
        <f t="shared" si="762"/>
        <v>4439562.3220816916</v>
      </c>
      <c r="M3843" s="306">
        <f t="shared" si="763"/>
        <v>-218011219.02747506</v>
      </c>
      <c r="N3843" s="306" t="str">
        <f t="shared" si="764"/>
        <v/>
      </c>
      <c r="O3843" s="291"/>
    </row>
    <row r="3844" spans="1:15">
      <c r="A3844" s="289" t="s">
        <v>1013</v>
      </c>
      <c r="B3844" s="306">
        <f t="shared" si="765"/>
        <v>0</v>
      </c>
      <c r="C3844" s="306">
        <f t="shared" si="766"/>
        <v>0</v>
      </c>
      <c r="D3844" s="306">
        <f t="shared" si="756"/>
        <v>0</v>
      </c>
      <c r="E3844" s="306">
        <f t="shared" si="757"/>
        <v>0</v>
      </c>
      <c r="F3844" s="312">
        <f t="shared" si="758"/>
        <v>46</v>
      </c>
      <c r="G3844" s="305">
        <v>121</v>
      </c>
      <c r="H3844" s="312">
        <f t="shared" si="755"/>
        <v>7573</v>
      </c>
      <c r="I3844" s="312">
        <f t="shared" si="759"/>
        <v>130</v>
      </c>
      <c r="J3844" s="312">
        <f t="shared" si="760"/>
        <v>112</v>
      </c>
      <c r="K3844" s="306">
        <f t="shared" si="761"/>
        <v>0</v>
      </c>
      <c r="L3844" s="306">
        <f t="shared" si="762"/>
        <v>4439562.3220816916</v>
      </c>
      <c r="M3844" s="306">
        <f t="shared" si="763"/>
        <v>-218011219.02747506</v>
      </c>
      <c r="N3844" s="306" t="str">
        <f t="shared" si="764"/>
        <v/>
      </c>
      <c r="O3844" s="291"/>
    </row>
    <row r="3845" spans="1:15">
      <c r="A3845" s="289" t="s">
        <v>1014</v>
      </c>
      <c r="B3845" s="306">
        <f t="shared" si="765"/>
        <v>0</v>
      </c>
      <c r="C3845" s="306">
        <f t="shared" si="766"/>
        <v>0</v>
      </c>
      <c r="D3845" s="306">
        <f t="shared" si="756"/>
        <v>0</v>
      </c>
      <c r="E3845" s="306">
        <f t="shared" si="757"/>
        <v>0</v>
      </c>
      <c r="F3845" s="312">
        <f t="shared" si="758"/>
        <v>46</v>
      </c>
      <c r="G3845" s="305">
        <v>122</v>
      </c>
      <c r="H3845" s="312">
        <f t="shared" si="755"/>
        <v>7574</v>
      </c>
      <c r="I3845" s="312">
        <f t="shared" si="759"/>
        <v>131</v>
      </c>
      <c r="J3845" s="312">
        <f t="shared" si="760"/>
        <v>113</v>
      </c>
      <c r="K3845" s="306">
        <f t="shared" si="761"/>
        <v>0</v>
      </c>
      <c r="L3845" s="306">
        <f t="shared" si="762"/>
        <v>4439562.3220816916</v>
      </c>
      <c r="M3845" s="306">
        <f t="shared" si="763"/>
        <v>-218011219.02747506</v>
      </c>
      <c r="N3845" s="306" t="str">
        <f t="shared" si="764"/>
        <v/>
      </c>
      <c r="O3845" s="291"/>
    </row>
    <row r="3846" spans="1:15">
      <c r="A3846" s="289" t="s">
        <v>1015</v>
      </c>
      <c r="B3846" s="306">
        <f t="shared" si="765"/>
        <v>0</v>
      </c>
      <c r="C3846" s="306">
        <f t="shared" si="766"/>
        <v>0</v>
      </c>
      <c r="D3846" s="306">
        <f t="shared" si="756"/>
        <v>0</v>
      </c>
      <c r="E3846" s="306">
        <f t="shared" si="757"/>
        <v>0</v>
      </c>
      <c r="F3846" s="312">
        <f t="shared" si="758"/>
        <v>46</v>
      </c>
      <c r="G3846" s="305">
        <v>123</v>
      </c>
      <c r="H3846" s="312">
        <f t="shared" si="755"/>
        <v>7575</v>
      </c>
      <c r="I3846" s="312">
        <f t="shared" si="759"/>
        <v>132</v>
      </c>
      <c r="J3846" s="312">
        <f t="shared" si="760"/>
        <v>114</v>
      </c>
      <c r="K3846" s="306">
        <f t="shared" si="761"/>
        <v>0</v>
      </c>
      <c r="L3846" s="306">
        <f t="shared" si="762"/>
        <v>4439562.3220816916</v>
      </c>
      <c r="M3846" s="306">
        <f t="shared" si="763"/>
        <v>-218011219.02747506</v>
      </c>
      <c r="N3846" s="306" t="str">
        <f t="shared" si="764"/>
        <v/>
      </c>
      <c r="O3846" s="291"/>
    </row>
    <row r="3847" spans="1:15">
      <c r="A3847" s="289" t="s">
        <v>1016</v>
      </c>
      <c r="B3847" s="306">
        <f t="shared" si="765"/>
        <v>0</v>
      </c>
      <c r="C3847" s="306">
        <f t="shared" si="766"/>
        <v>0</v>
      </c>
      <c r="D3847" s="306">
        <f t="shared" si="756"/>
        <v>0</v>
      </c>
      <c r="E3847" s="306">
        <f t="shared" si="757"/>
        <v>0</v>
      </c>
      <c r="F3847" s="312">
        <f t="shared" si="758"/>
        <v>46</v>
      </c>
      <c r="G3847" s="305">
        <v>124</v>
      </c>
      <c r="H3847" s="312">
        <f t="shared" si="755"/>
        <v>7576</v>
      </c>
      <c r="I3847" s="312">
        <f t="shared" si="759"/>
        <v>133</v>
      </c>
      <c r="J3847" s="312">
        <f t="shared" si="760"/>
        <v>115</v>
      </c>
      <c r="K3847" s="306">
        <f t="shared" si="761"/>
        <v>0</v>
      </c>
      <c r="L3847" s="306">
        <f t="shared" si="762"/>
        <v>4439562.3220816916</v>
      </c>
      <c r="M3847" s="306">
        <f t="shared" si="763"/>
        <v>-218011219.02747506</v>
      </c>
      <c r="N3847" s="306" t="str">
        <f t="shared" si="764"/>
        <v/>
      </c>
      <c r="O3847" s="291"/>
    </row>
    <row r="3848" spans="1:15">
      <c r="A3848" s="289" t="s">
        <v>1017</v>
      </c>
      <c r="B3848" s="306">
        <f t="shared" si="765"/>
        <v>0</v>
      </c>
      <c r="C3848" s="306">
        <f t="shared" si="766"/>
        <v>0</v>
      </c>
      <c r="D3848" s="306">
        <f t="shared" si="756"/>
        <v>0</v>
      </c>
      <c r="E3848" s="306">
        <f t="shared" si="757"/>
        <v>0</v>
      </c>
      <c r="F3848" s="312">
        <f t="shared" si="758"/>
        <v>46</v>
      </c>
      <c r="G3848" s="305">
        <v>125</v>
      </c>
      <c r="H3848" s="312">
        <f t="shared" si="755"/>
        <v>7577</v>
      </c>
      <c r="I3848" s="312">
        <f t="shared" si="759"/>
        <v>134</v>
      </c>
      <c r="J3848" s="312">
        <f t="shared" si="760"/>
        <v>116</v>
      </c>
      <c r="K3848" s="306">
        <f t="shared" si="761"/>
        <v>0</v>
      </c>
      <c r="L3848" s="306">
        <f t="shared" si="762"/>
        <v>4439562.3220816916</v>
      </c>
      <c r="M3848" s="306">
        <f t="shared" si="763"/>
        <v>-218011219.02747506</v>
      </c>
      <c r="N3848" s="306" t="str">
        <f t="shared" si="764"/>
        <v/>
      </c>
      <c r="O3848" s="291"/>
    </row>
    <row r="3849" spans="1:15">
      <c r="A3849" s="289" t="s">
        <v>1018</v>
      </c>
      <c r="B3849" s="306">
        <f t="shared" si="765"/>
        <v>0</v>
      </c>
      <c r="C3849" s="306">
        <f t="shared" si="766"/>
        <v>0</v>
      </c>
      <c r="D3849" s="306">
        <f t="shared" si="756"/>
        <v>0</v>
      </c>
      <c r="E3849" s="306">
        <f t="shared" si="757"/>
        <v>0</v>
      </c>
      <c r="F3849" s="312">
        <f t="shared" si="758"/>
        <v>46</v>
      </c>
      <c r="G3849" s="305">
        <v>126</v>
      </c>
      <c r="H3849" s="312">
        <f t="shared" si="755"/>
        <v>7578</v>
      </c>
      <c r="I3849" s="312">
        <f t="shared" si="759"/>
        <v>135</v>
      </c>
      <c r="J3849" s="312">
        <f t="shared" si="760"/>
        <v>117</v>
      </c>
      <c r="K3849" s="306">
        <f t="shared" si="761"/>
        <v>0</v>
      </c>
      <c r="L3849" s="306">
        <f t="shared" si="762"/>
        <v>4439562.3220816916</v>
      </c>
      <c r="M3849" s="306">
        <f t="shared" si="763"/>
        <v>-218011219.02747506</v>
      </c>
      <c r="N3849" s="306" t="str">
        <f t="shared" si="764"/>
        <v/>
      </c>
      <c r="O3849" s="291"/>
    </row>
    <row r="3850" spans="1:15">
      <c r="A3850" s="289" t="s">
        <v>1019</v>
      </c>
      <c r="B3850" s="306">
        <f t="shared" si="765"/>
        <v>0</v>
      </c>
      <c r="C3850" s="306">
        <f t="shared" si="766"/>
        <v>0</v>
      </c>
      <c r="D3850" s="306">
        <f t="shared" si="756"/>
        <v>0</v>
      </c>
      <c r="E3850" s="306">
        <f t="shared" si="757"/>
        <v>0</v>
      </c>
      <c r="F3850" s="312">
        <f t="shared" si="758"/>
        <v>46</v>
      </c>
      <c r="G3850" s="305">
        <v>127</v>
      </c>
      <c r="H3850" s="312">
        <f t="shared" si="755"/>
        <v>7579</v>
      </c>
      <c r="I3850" s="312">
        <f t="shared" si="759"/>
        <v>136</v>
      </c>
      <c r="J3850" s="312">
        <f t="shared" si="760"/>
        <v>118</v>
      </c>
      <c r="K3850" s="306">
        <f t="shared" si="761"/>
        <v>0</v>
      </c>
      <c r="L3850" s="306">
        <f t="shared" si="762"/>
        <v>4439562.3220816916</v>
      </c>
      <c r="M3850" s="306">
        <f t="shared" si="763"/>
        <v>-218011219.02747506</v>
      </c>
      <c r="N3850" s="306" t="str">
        <f t="shared" si="764"/>
        <v/>
      </c>
      <c r="O3850" s="291"/>
    </row>
    <row r="3851" spans="1:15">
      <c r="A3851" s="289" t="s">
        <v>1020</v>
      </c>
      <c r="B3851" s="306">
        <f t="shared" si="765"/>
        <v>0</v>
      </c>
      <c r="C3851" s="306">
        <f t="shared" si="766"/>
        <v>0</v>
      </c>
      <c r="D3851" s="306">
        <f t="shared" si="756"/>
        <v>0</v>
      </c>
      <c r="E3851" s="306">
        <f t="shared" si="757"/>
        <v>0</v>
      </c>
      <c r="F3851" s="312">
        <f t="shared" si="758"/>
        <v>46</v>
      </c>
      <c r="G3851" s="305">
        <v>128</v>
      </c>
      <c r="H3851" s="312">
        <f t="shared" ref="H3851:H3882" si="767">F3851*162+G3851</f>
        <v>7580</v>
      </c>
      <c r="I3851" s="312">
        <f t="shared" si="759"/>
        <v>137</v>
      </c>
      <c r="J3851" s="312">
        <f t="shared" si="760"/>
        <v>119</v>
      </c>
      <c r="K3851" s="306">
        <f t="shared" si="761"/>
        <v>0</v>
      </c>
      <c r="L3851" s="306">
        <f t="shared" si="762"/>
        <v>4439562.3220816916</v>
      </c>
      <c r="M3851" s="306">
        <f t="shared" si="763"/>
        <v>-218011219.02747506</v>
      </c>
      <c r="N3851" s="306" t="str">
        <f t="shared" si="764"/>
        <v/>
      </c>
      <c r="O3851" s="291"/>
    </row>
    <row r="3852" spans="1:15">
      <c r="A3852" s="289" t="s">
        <v>1021</v>
      </c>
      <c r="B3852" s="306">
        <f t="shared" si="765"/>
        <v>0</v>
      </c>
      <c r="C3852" s="306">
        <f t="shared" si="766"/>
        <v>0</v>
      </c>
      <c r="D3852" s="306">
        <f t="shared" ref="D3852:D3883" si="768">IF(ISERROR(B3852),C3852,0)</f>
        <v>0</v>
      </c>
      <c r="E3852" s="306">
        <f t="shared" ref="E3852:E3885" si="769">MAX($B$3694,B3852)*C3852</f>
        <v>0</v>
      </c>
      <c r="F3852" s="312">
        <f t="shared" ref="F3852:F3885" si="770">RANK(B3852,B$3724:B$3885,1)</f>
        <v>46</v>
      </c>
      <c r="G3852" s="305">
        <v>129</v>
      </c>
      <c r="H3852" s="312">
        <f t="shared" si="767"/>
        <v>7581</v>
      </c>
      <c r="I3852" s="312">
        <f t="shared" ref="I3852:I3883" si="771">RANK(H3852,H$3724:H$3885,1)</f>
        <v>138</v>
      </c>
      <c r="J3852" s="312">
        <f t="shared" ref="J3852:J3883" si="772">MATCH(G3852,I$3724:I$3885,0)</f>
        <v>120</v>
      </c>
      <c r="K3852" s="306">
        <f t="shared" ref="K3852:K3883" si="773">INDEX(B$3724:B$3885,J3852,1)</f>
        <v>0</v>
      </c>
      <c r="L3852" s="306">
        <f t="shared" ref="L3852:L3885" si="774">L3851+INDEX(C$3724:C$3885,J3852,1)</f>
        <v>4439562.3220816916</v>
      </c>
      <c r="M3852" s="306">
        <f t="shared" ref="M3852:M3885" si="775">M3851+(K3852-K3851)*L3851</f>
        <v>-218011219.02747506</v>
      </c>
      <c r="N3852" s="306" t="str">
        <f t="shared" ref="N3852:N3883" si="776">IF((M3851&gt;0)=(M3852&gt;0),"",K3852-M3852/L3851)</f>
        <v/>
      </c>
      <c r="O3852" s="291"/>
    </row>
    <row r="3853" spans="1:15">
      <c r="A3853" s="289" t="s">
        <v>1022</v>
      </c>
      <c r="B3853" s="306">
        <f t="shared" si="765"/>
        <v>0</v>
      </c>
      <c r="C3853" s="306">
        <f t="shared" si="766"/>
        <v>0</v>
      </c>
      <c r="D3853" s="306">
        <f t="shared" si="768"/>
        <v>0</v>
      </c>
      <c r="E3853" s="306">
        <f t="shared" si="769"/>
        <v>0</v>
      </c>
      <c r="F3853" s="312">
        <f t="shared" si="770"/>
        <v>46</v>
      </c>
      <c r="G3853" s="305">
        <v>130</v>
      </c>
      <c r="H3853" s="312">
        <f t="shared" si="767"/>
        <v>7582</v>
      </c>
      <c r="I3853" s="312">
        <f t="shared" si="771"/>
        <v>139</v>
      </c>
      <c r="J3853" s="312">
        <f t="shared" si="772"/>
        <v>121</v>
      </c>
      <c r="K3853" s="306">
        <f t="shared" si="773"/>
        <v>0</v>
      </c>
      <c r="L3853" s="306">
        <f t="shared" si="774"/>
        <v>4439562.3220816916</v>
      </c>
      <c r="M3853" s="306">
        <f t="shared" si="775"/>
        <v>-218011219.02747506</v>
      </c>
      <c r="N3853" s="306" t="str">
        <f t="shared" si="776"/>
        <v/>
      </c>
      <c r="O3853" s="291"/>
    </row>
    <row r="3854" spans="1:15">
      <c r="A3854" s="289" t="s">
        <v>1023</v>
      </c>
      <c r="B3854" s="306">
        <f t="shared" si="765"/>
        <v>0</v>
      </c>
      <c r="C3854" s="306">
        <f t="shared" si="766"/>
        <v>0</v>
      </c>
      <c r="D3854" s="306">
        <f t="shared" si="768"/>
        <v>0</v>
      </c>
      <c r="E3854" s="306">
        <f t="shared" si="769"/>
        <v>0</v>
      </c>
      <c r="F3854" s="312">
        <f t="shared" si="770"/>
        <v>46</v>
      </c>
      <c r="G3854" s="305">
        <v>131</v>
      </c>
      <c r="H3854" s="312">
        <f t="shared" si="767"/>
        <v>7583</v>
      </c>
      <c r="I3854" s="312">
        <f t="shared" si="771"/>
        <v>140</v>
      </c>
      <c r="J3854" s="312">
        <f t="shared" si="772"/>
        <v>122</v>
      </c>
      <c r="K3854" s="306">
        <f t="shared" si="773"/>
        <v>0</v>
      </c>
      <c r="L3854" s="306">
        <f t="shared" si="774"/>
        <v>4439562.3220816916</v>
      </c>
      <c r="M3854" s="306">
        <f t="shared" si="775"/>
        <v>-218011219.02747506</v>
      </c>
      <c r="N3854" s="306" t="str">
        <f t="shared" si="776"/>
        <v/>
      </c>
      <c r="O3854" s="291"/>
    </row>
    <row r="3855" spans="1:15">
      <c r="A3855" s="289" t="s">
        <v>1024</v>
      </c>
      <c r="B3855" s="306">
        <f t="shared" si="765"/>
        <v>0</v>
      </c>
      <c r="C3855" s="306">
        <f t="shared" si="766"/>
        <v>0</v>
      </c>
      <c r="D3855" s="306">
        <f t="shared" si="768"/>
        <v>0</v>
      </c>
      <c r="E3855" s="306">
        <f t="shared" si="769"/>
        <v>0</v>
      </c>
      <c r="F3855" s="312">
        <f t="shared" si="770"/>
        <v>46</v>
      </c>
      <c r="G3855" s="305">
        <v>132</v>
      </c>
      <c r="H3855" s="312">
        <f t="shared" si="767"/>
        <v>7584</v>
      </c>
      <c r="I3855" s="312">
        <f t="shared" si="771"/>
        <v>141</v>
      </c>
      <c r="J3855" s="312">
        <f t="shared" si="772"/>
        <v>123</v>
      </c>
      <c r="K3855" s="306">
        <f t="shared" si="773"/>
        <v>0</v>
      </c>
      <c r="L3855" s="306">
        <f t="shared" si="774"/>
        <v>4439562.3220816916</v>
      </c>
      <c r="M3855" s="306">
        <f t="shared" si="775"/>
        <v>-218011219.02747506</v>
      </c>
      <c r="N3855" s="306" t="str">
        <f t="shared" si="776"/>
        <v/>
      </c>
      <c r="O3855" s="291"/>
    </row>
    <row r="3856" spans="1:15">
      <c r="A3856" s="289" t="s">
        <v>1025</v>
      </c>
      <c r="B3856" s="306">
        <f t="shared" si="765"/>
        <v>0</v>
      </c>
      <c r="C3856" s="306">
        <f t="shared" si="766"/>
        <v>0</v>
      </c>
      <c r="D3856" s="306">
        <f t="shared" si="768"/>
        <v>0</v>
      </c>
      <c r="E3856" s="306">
        <f t="shared" si="769"/>
        <v>0</v>
      </c>
      <c r="F3856" s="312">
        <f t="shared" si="770"/>
        <v>46</v>
      </c>
      <c r="G3856" s="305">
        <v>133</v>
      </c>
      <c r="H3856" s="312">
        <f t="shared" si="767"/>
        <v>7585</v>
      </c>
      <c r="I3856" s="312">
        <f t="shared" si="771"/>
        <v>142</v>
      </c>
      <c r="J3856" s="312">
        <f t="shared" si="772"/>
        <v>124</v>
      </c>
      <c r="K3856" s="306">
        <f t="shared" si="773"/>
        <v>0</v>
      </c>
      <c r="L3856" s="306">
        <f t="shared" si="774"/>
        <v>4439562.3220816916</v>
      </c>
      <c r="M3856" s="306">
        <f t="shared" si="775"/>
        <v>-218011219.02747506</v>
      </c>
      <c r="N3856" s="306" t="str">
        <f t="shared" si="776"/>
        <v/>
      </c>
      <c r="O3856" s="291"/>
    </row>
    <row r="3857" spans="1:15">
      <c r="A3857" s="289" t="s">
        <v>1026</v>
      </c>
      <c r="B3857" s="306">
        <f t="shared" si="765"/>
        <v>0</v>
      </c>
      <c r="C3857" s="306">
        <f t="shared" si="766"/>
        <v>0</v>
      </c>
      <c r="D3857" s="306">
        <f t="shared" si="768"/>
        <v>0</v>
      </c>
      <c r="E3857" s="306">
        <f t="shared" si="769"/>
        <v>0</v>
      </c>
      <c r="F3857" s="312">
        <f t="shared" si="770"/>
        <v>46</v>
      </c>
      <c r="G3857" s="305">
        <v>134</v>
      </c>
      <c r="H3857" s="312">
        <f t="shared" si="767"/>
        <v>7586</v>
      </c>
      <c r="I3857" s="312">
        <f t="shared" si="771"/>
        <v>143</v>
      </c>
      <c r="J3857" s="312">
        <f t="shared" si="772"/>
        <v>125</v>
      </c>
      <c r="K3857" s="306">
        <f t="shared" si="773"/>
        <v>0</v>
      </c>
      <c r="L3857" s="306">
        <f t="shared" si="774"/>
        <v>4439562.3220816916</v>
      </c>
      <c r="M3857" s="306">
        <f t="shared" si="775"/>
        <v>-218011219.02747506</v>
      </c>
      <c r="N3857" s="306" t="str">
        <f t="shared" si="776"/>
        <v/>
      </c>
      <c r="O3857" s="291"/>
    </row>
    <row r="3858" spans="1:15">
      <c r="A3858" s="289" t="s">
        <v>1027</v>
      </c>
      <c r="B3858" s="306">
        <f t="shared" si="765"/>
        <v>0</v>
      </c>
      <c r="C3858" s="306">
        <f t="shared" si="766"/>
        <v>0</v>
      </c>
      <c r="D3858" s="306">
        <f t="shared" si="768"/>
        <v>0</v>
      </c>
      <c r="E3858" s="306">
        <f t="shared" si="769"/>
        <v>0</v>
      </c>
      <c r="F3858" s="312">
        <f t="shared" si="770"/>
        <v>46</v>
      </c>
      <c r="G3858" s="305">
        <v>135</v>
      </c>
      <c r="H3858" s="312">
        <f t="shared" si="767"/>
        <v>7587</v>
      </c>
      <c r="I3858" s="312">
        <f t="shared" si="771"/>
        <v>144</v>
      </c>
      <c r="J3858" s="312">
        <f t="shared" si="772"/>
        <v>126</v>
      </c>
      <c r="K3858" s="306">
        <f t="shared" si="773"/>
        <v>0</v>
      </c>
      <c r="L3858" s="306">
        <f t="shared" si="774"/>
        <v>4439562.3220816916</v>
      </c>
      <c r="M3858" s="306">
        <f t="shared" si="775"/>
        <v>-218011219.02747506</v>
      </c>
      <c r="N3858" s="306" t="str">
        <f t="shared" si="776"/>
        <v/>
      </c>
      <c r="O3858" s="291"/>
    </row>
    <row r="3859" spans="1:15">
      <c r="A3859" s="289" t="s">
        <v>1028</v>
      </c>
      <c r="B3859" s="306">
        <f t="shared" ref="B3859:B3885" si="777">G3640</f>
        <v>0</v>
      </c>
      <c r="C3859" s="306">
        <f t="shared" ref="C3859:C3885" si="778">G3594</f>
        <v>0</v>
      </c>
      <c r="D3859" s="306">
        <f t="shared" si="768"/>
        <v>0</v>
      </c>
      <c r="E3859" s="306">
        <f t="shared" si="769"/>
        <v>0</v>
      </c>
      <c r="F3859" s="312">
        <f t="shared" si="770"/>
        <v>46</v>
      </c>
      <c r="G3859" s="305">
        <v>136</v>
      </c>
      <c r="H3859" s="312">
        <f t="shared" si="767"/>
        <v>7588</v>
      </c>
      <c r="I3859" s="312">
        <f t="shared" si="771"/>
        <v>145</v>
      </c>
      <c r="J3859" s="312">
        <f t="shared" si="772"/>
        <v>127</v>
      </c>
      <c r="K3859" s="306">
        <f t="shared" si="773"/>
        <v>0</v>
      </c>
      <c r="L3859" s="306">
        <f t="shared" si="774"/>
        <v>4439562.3220816916</v>
      </c>
      <c r="M3859" s="306">
        <f t="shared" si="775"/>
        <v>-218011219.02747506</v>
      </c>
      <c r="N3859" s="306" t="str">
        <f t="shared" si="776"/>
        <v/>
      </c>
      <c r="O3859" s="291"/>
    </row>
    <row r="3860" spans="1:15">
      <c r="A3860" s="289" t="s">
        <v>1029</v>
      </c>
      <c r="B3860" s="306">
        <f t="shared" si="777"/>
        <v>0</v>
      </c>
      <c r="C3860" s="306">
        <f t="shared" si="778"/>
        <v>0</v>
      </c>
      <c r="D3860" s="306">
        <f t="shared" si="768"/>
        <v>0</v>
      </c>
      <c r="E3860" s="306">
        <f t="shared" si="769"/>
        <v>0</v>
      </c>
      <c r="F3860" s="312">
        <f t="shared" si="770"/>
        <v>46</v>
      </c>
      <c r="G3860" s="305">
        <v>137</v>
      </c>
      <c r="H3860" s="312">
        <f t="shared" si="767"/>
        <v>7589</v>
      </c>
      <c r="I3860" s="312">
        <f t="shared" si="771"/>
        <v>146</v>
      </c>
      <c r="J3860" s="312">
        <f t="shared" si="772"/>
        <v>128</v>
      </c>
      <c r="K3860" s="306">
        <f t="shared" si="773"/>
        <v>0</v>
      </c>
      <c r="L3860" s="306">
        <f t="shared" si="774"/>
        <v>4439562.3220816916</v>
      </c>
      <c r="M3860" s="306">
        <f t="shared" si="775"/>
        <v>-218011219.02747506</v>
      </c>
      <c r="N3860" s="306" t="str">
        <f t="shared" si="776"/>
        <v/>
      </c>
      <c r="O3860" s="291"/>
    </row>
    <row r="3861" spans="1:15">
      <c r="A3861" s="289" t="s">
        <v>1030</v>
      </c>
      <c r="B3861" s="306">
        <f t="shared" si="777"/>
        <v>0</v>
      </c>
      <c r="C3861" s="306">
        <f t="shared" si="778"/>
        <v>0</v>
      </c>
      <c r="D3861" s="306">
        <f t="shared" si="768"/>
        <v>0</v>
      </c>
      <c r="E3861" s="306">
        <f t="shared" si="769"/>
        <v>0</v>
      </c>
      <c r="F3861" s="312">
        <f t="shared" si="770"/>
        <v>46</v>
      </c>
      <c r="G3861" s="305">
        <v>138</v>
      </c>
      <c r="H3861" s="312">
        <f t="shared" si="767"/>
        <v>7590</v>
      </c>
      <c r="I3861" s="312">
        <f t="shared" si="771"/>
        <v>147</v>
      </c>
      <c r="J3861" s="312">
        <f t="shared" si="772"/>
        <v>129</v>
      </c>
      <c r="K3861" s="306">
        <f t="shared" si="773"/>
        <v>0</v>
      </c>
      <c r="L3861" s="306">
        <f t="shared" si="774"/>
        <v>4439562.3220816916</v>
      </c>
      <c r="M3861" s="306">
        <f t="shared" si="775"/>
        <v>-218011219.02747506</v>
      </c>
      <c r="N3861" s="306" t="str">
        <f t="shared" si="776"/>
        <v/>
      </c>
      <c r="O3861" s="291"/>
    </row>
    <row r="3862" spans="1:15">
      <c r="A3862" s="289" t="s">
        <v>1031</v>
      </c>
      <c r="B3862" s="306">
        <f t="shared" si="777"/>
        <v>0</v>
      </c>
      <c r="C3862" s="306">
        <f t="shared" si="778"/>
        <v>0</v>
      </c>
      <c r="D3862" s="306">
        <f t="shared" si="768"/>
        <v>0</v>
      </c>
      <c r="E3862" s="306">
        <f t="shared" si="769"/>
        <v>0</v>
      </c>
      <c r="F3862" s="312">
        <f t="shared" si="770"/>
        <v>46</v>
      </c>
      <c r="G3862" s="305">
        <v>139</v>
      </c>
      <c r="H3862" s="312">
        <f t="shared" si="767"/>
        <v>7591</v>
      </c>
      <c r="I3862" s="312">
        <f t="shared" si="771"/>
        <v>148</v>
      </c>
      <c r="J3862" s="312">
        <f t="shared" si="772"/>
        <v>130</v>
      </c>
      <c r="K3862" s="306">
        <f t="shared" si="773"/>
        <v>0</v>
      </c>
      <c r="L3862" s="306">
        <f t="shared" si="774"/>
        <v>4439562.3220816916</v>
      </c>
      <c r="M3862" s="306">
        <f t="shared" si="775"/>
        <v>-218011219.02747506</v>
      </c>
      <c r="N3862" s="306" t="str">
        <f t="shared" si="776"/>
        <v/>
      </c>
      <c r="O3862" s="291"/>
    </row>
    <row r="3863" spans="1:15">
      <c r="A3863" s="289" t="s">
        <v>1032</v>
      </c>
      <c r="B3863" s="306">
        <f t="shared" si="777"/>
        <v>0</v>
      </c>
      <c r="C3863" s="306">
        <f t="shared" si="778"/>
        <v>0</v>
      </c>
      <c r="D3863" s="306">
        <f t="shared" si="768"/>
        <v>0</v>
      </c>
      <c r="E3863" s="306">
        <f t="shared" si="769"/>
        <v>0</v>
      </c>
      <c r="F3863" s="312">
        <f t="shared" si="770"/>
        <v>46</v>
      </c>
      <c r="G3863" s="305">
        <v>140</v>
      </c>
      <c r="H3863" s="312">
        <f t="shared" si="767"/>
        <v>7592</v>
      </c>
      <c r="I3863" s="312">
        <f t="shared" si="771"/>
        <v>149</v>
      </c>
      <c r="J3863" s="312">
        <f t="shared" si="772"/>
        <v>131</v>
      </c>
      <c r="K3863" s="306">
        <f t="shared" si="773"/>
        <v>0</v>
      </c>
      <c r="L3863" s="306">
        <f t="shared" si="774"/>
        <v>4439562.3220816916</v>
      </c>
      <c r="M3863" s="306">
        <f t="shared" si="775"/>
        <v>-218011219.02747506</v>
      </c>
      <c r="N3863" s="306" t="str">
        <f t="shared" si="776"/>
        <v/>
      </c>
      <c r="O3863" s="291"/>
    </row>
    <row r="3864" spans="1:15">
      <c r="A3864" s="289" t="s">
        <v>1033</v>
      </c>
      <c r="B3864" s="306">
        <f t="shared" si="777"/>
        <v>0</v>
      </c>
      <c r="C3864" s="306">
        <f t="shared" si="778"/>
        <v>0</v>
      </c>
      <c r="D3864" s="306">
        <f t="shared" si="768"/>
        <v>0</v>
      </c>
      <c r="E3864" s="306">
        <f t="shared" si="769"/>
        <v>0</v>
      </c>
      <c r="F3864" s="312">
        <f t="shared" si="770"/>
        <v>46</v>
      </c>
      <c r="G3864" s="305">
        <v>141</v>
      </c>
      <c r="H3864" s="312">
        <f t="shared" si="767"/>
        <v>7593</v>
      </c>
      <c r="I3864" s="312">
        <f t="shared" si="771"/>
        <v>150</v>
      </c>
      <c r="J3864" s="312">
        <f t="shared" si="772"/>
        <v>132</v>
      </c>
      <c r="K3864" s="306">
        <f t="shared" si="773"/>
        <v>0</v>
      </c>
      <c r="L3864" s="306">
        <f t="shared" si="774"/>
        <v>4439562.3220816916</v>
      </c>
      <c r="M3864" s="306">
        <f t="shared" si="775"/>
        <v>-218011219.02747506</v>
      </c>
      <c r="N3864" s="306" t="str">
        <f t="shared" si="776"/>
        <v/>
      </c>
      <c r="O3864" s="291"/>
    </row>
    <row r="3865" spans="1:15">
      <c r="A3865" s="289" t="s">
        <v>1034</v>
      </c>
      <c r="B3865" s="306">
        <f t="shared" si="777"/>
        <v>0</v>
      </c>
      <c r="C3865" s="306">
        <f t="shared" si="778"/>
        <v>0</v>
      </c>
      <c r="D3865" s="306">
        <f t="shared" si="768"/>
        <v>0</v>
      </c>
      <c r="E3865" s="306">
        <f t="shared" si="769"/>
        <v>0</v>
      </c>
      <c r="F3865" s="312">
        <f t="shared" si="770"/>
        <v>46</v>
      </c>
      <c r="G3865" s="305">
        <v>142</v>
      </c>
      <c r="H3865" s="312">
        <f t="shared" si="767"/>
        <v>7594</v>
      </c>
      <c r="I3865" s="312">
        <f t="shared" si="771"/>
        <v>151</v>
      </c>
      <c r="J3865" s="312">
        <f t="shared" si="772"/>
        <v>133</v>
      </c>
      <c r="K3865" s="306">
        <f t="shared" si="773"/>
        <v>0</v>
      </c>
      <c r="L3865" s="306">
        <f t="shared" si="774"/>
        <v>4439562.3220816916</v>
      </c>
      <c r="M3865" s="306">
        <f t="shared" si="775"/>
        <v>-218011219.02747506</v>
      </c>
      <c r="N3865" s="306" t="str">
        <f t="shared" si="776"/>
        <v/>
      </c>
      <c r="O3865" s="291"/>
    </row>
    <row r="3866" spans="1:15">
      <c r="A3866" s="289" t="s">
        <v>1035</v>
      </c>
      <c r="B3866" s="306">
        <f t="shared" si="777"/>
        <v>0</v>
      </c>
      <c r="C3866" s="306">
        <f t="shared" si="778"/>
        <v>0</v>
      </c>
      <c r="D3866" s="306">
        <f t="shared" si="768"/>
        <v>0</v>
      </c>
      <c r="E3866" s="306">
        <f t="shared" si="769"/>
        <v>0</v>
      </c>
      <c r="F3866" s="312">
        <f t="shared" si="770"/>
        <v>46</v>
      </c>
      <c r="G3866" s="305">
        <v>143</v>
      </c>
      <c r="H3866" s="312">
        <f t="shared" si="767"/>
        <v>7595</v>
      </c>
      <c r="I3866" s="312">
        <f t="shared" si="771"/>
        <v>152</v>
      </c>
      <c r="J3866" s="312">
        <f t="shared" si="772"/>
        <v>134</v>
      </c>
      <c r="K3866" s="306">
        <f t="shared" si="773"/>
        <v>0</v>
      </c>
      <c r="L3866" s="306">
        <f t="shared" si="774"/>
        <v>4439562.3220816916</v>
      </c>
      <c r="M3866" s="306">
        <f t="shared" si="775"/>
        <v>-218011219.02747506</v>
      </c>
      <c r="N3866" s="306" t="str">
        <f t="shared" si="776"/>
        <v/>
      </c>
      <c r="O3866" s="291"/>
    </row>
    <row r="3867" spans="1:15">
      <c r="A3867" s="289" t="s">
        <v>1036</v>
      </c>
      <c r="B3867" s="306">
        <f t="shared" si="777"/>
        <v>0</v>
      </c>
      <c r="C3867" s="306">
        <f t="shared" si="778"/>
        <v>0</v>
      </c>
      <c r="D3867" s="306">
        <f t="shared" si="768"/>
        <v>0</v>
      </c>
      <c r="E3867" s="306">
        <f t="shared" si="769"/>
        <v>0</v>
      </c>
      <c r="F3867" s="312">
        <f t="shared" si="770"/>
        <v>46</v>
      </c>
      <c r="G3867" s="305">
        <v>144</v>
      </c>
      <c r="H3867" s="312">
        <f t="shared" si="767"/>
        <v>7596</v>
      </c>
      <c r="I3867" s="312">
        <f t="shared" si="771"/>
        <v>153</v>
      </c>
      <c r="J3867" s="312">
        <f t="shared" si="772"/>
        <v>135</v>
      </c>
      <c r="K3867" s="306">
        <f t="shared" si="773"/>
        <v>0</v>
      </c>
      <c r="L3867" s="306">
        <f t="shared" si="774"/>
        <v>4439562.3220816916</v>
      </c>
      <c r="M3867" s="306">
        <f t="shared" si="775"/>
        <v>-218011219.02747506</v>
      </c>
      <c r="N3867" s="306" t="str">
        <f t="shared" si="776"/>
        <v/>
      </c>
      <c r="O3867" s="291"/>
    </row>
    <row r="3868" spans="1:15">
      <c r="A3868" s="289" t="s">
        <v>1037</v>
      </c>
      <c r="B3868" s="306">
        <f t="shared" si="777"/>
        <v>0</v>
      </c>
      <c r="C3868" s="306">
        <f t="shared" si="778"/>
        <v>0</v>
      </c>
      <c r="D3868" s="306">
        <f t="shared" si="768"/>
        <v>0</v>
      </c>
      <c r="E3868" s="306">
        <f t="shared" si="769"/>
        <v>0</v>
      </c>
      <c r="F3868" s="312">
        <f t="shared" si="770"/>
        <v>46</v>
      </c>
      <c r="G3868" s="305">
        <v>145</v>
      </c>
      <c r="H3868" s="312">
        <f t="shared" si="767"/>
        <v>7597</v>
      </c>
      <c r="I3868" s="312">
        <f t="shared" si="771"/>
        <v>154</v>
      </c>
      <c r="J3868" s="312">
        <f t="shared" si="772"/>
        <v>136</v>
      </c>
      <c r="K3868" s="306">
        <f t="shared" si="773"/>
        <v>0</v>
      </c>
      <c r="L3868" s="306">
        <f t="shared" si="774"/>
        <v>4439562.3220816916</v>
      </c>
      <c r="M3868" s="306">
        <f t="shared" si="775"/>
        <v>-218011219.02747506</v>
      </c>
      <c r="N3868" s="306" t="str">
        <f t="shared" si="776"/>
        <v/>
      </c>
      <c r="O3868" s="291"/>
    </row>
    <row r="3869" spans="1:15">
      <c r="A3869" s="289" t="s">
        <v>1038</v>
      </c>
      <c r="B3869" s="306">
        <f t="shared" si="777"/>
        <v>0</v>
      </c>
      <c r="C3869" s="306">
        <f t="shared" si="778"/>
        <v>0</v>
      </c>
      <c r="D3869" s="306">
        <f t="shared" si="768"/>
        <v>0</v>
      </c>
      <c r="E3869" s="306">
        <f t="shared" si="769"/>
        <v>0</v>
      </c>
      <c r="F3869" s="312">
        <f t="shared" si="770"/>
        <v>46</v>
      </c>
      <c r="G3869" s="305">
        <v>146</v>
      </c>
      <c r="H3869" s="312">
        <f t="shared" si="767"/>
        <v>7598</v>
      </c>
      <c r="I3869" s="312">
        <f t="shared" si="771"/>
        <v>155</v>
      </c>
      <c r="J3869" s="312">
        <f t="shared" si="772"/>
        <v>137</v>
      </c>
      <c r="K3869" s="306">
        <f t="shared" si="773"/>
        <v>0</v>
      </c>
      <c r="L3869" s="306">
        <f t="shared" si="774"/>
        <v>4439562.3220816916</v>
      </c>
      <c r="M3869" s="306">
        <f t="shared" si="775"/>
        <v>-218011219.02747506</v>
      </c>
      <c r="N3869" s="306" t="str">
        <f t="shared" si="776"/>
        <v/>
      </c>
      <c r="O3869" s="291"/>
    </row>
    <row r="3870" spans="1:15">
      <c r="A3870" s="289" t="s">
        <v>1039</v>
      </c>
      <c r="B3870" s="306">
        <f t="shared" si="777"/>
        <v>-42.200401101003948</v>
      </c>
      <c r="C3870" s="306">
        <f t="shared" si="778"/>
        <v>9704.7641285247028</v>
      </c>
      <c r="D3870" s="306">
        <f t="shared" si="768"/>
        <v>0</v>
      </c>
      <c r="E3870" s="306">
        <f t="shared" si="769"/>
        <v>-409544.93881437747</v>
      </c>
      <c r="F3870" s="312">
        <f t="shared" si="770"/>
        <v>33</v>
      </c>
      <c r="G3870" s="305">
        <v>147</v>
      </c>
      <c r="H3870" s="312">
        <f t="shared" si="767"/>
        <v>5493</v>
      </c>
      <c r="I3870" s="312">
        <f t="shared" si="771"/>
        <v>33</v>
      </c>
      <c r="J3870" s="312">
        <f t="shared" si="772"/>
        <v>138</v>
      </c>
      <c r="K3870" s="306">
        <f t="shared" si="773"/>
        <v>0</v>
      </c>
      <c r="L3870" s="306">
        <f t="shared" si="774"/>
        <v>4439562.3220816916</v>
      </c>
      <c r="M3870" s="306">
        <f t="shared" si="775"/>
        <v>-218011219.02747506</v>
      </c>
      <c r="N3870" s="306" t="str">
        <f t="shared" si="776"/>
        <v/>
      </c>
      <c r="O3870" s="291"/>
    </row>
    <row r="3871" spans="1:15">
      <c r="A3871" s="289" t="s">
        <v>1040</v>
      </c>
      <c r="B3871" s="306">
        <f t="shared" si="777"/>
        <v>-25.436963201569657</v>
      </c>
      <c r="C3871" s="306">
        <f t="shared" si="778"/>
        <v>297.69215195781533</v>
      </c>
      <c r="D3871" s="306">
        <f t="shared" si="768"/>
        <v>0</v>
      </c>
      <c r="E3871" s="306">
        <f t="shared" si="769"/>
        <v>-7572.3843147470307</v>
      </c>
      <c r="F3871" s="312">
        <f t="shared" si="770"/>
        <v>38</v>
      </c>
      <c r="G3871" s="305">
        <v>148</v>
      </c>
      <c r="H3871" s="312">
        <f t="shared" si="767"/>
        <v>6304</v>
      </c>
      <c r="I3871" s="312">
        <f t="shared" si="771"/>
        <v>38</v>
      </c>
      <c r="J3871" s="312">
        <f t="shared" si="772"/>
        <v>139</v>
      </c>
      <c r="K3871" s="306">
        <f t="shared" si="773"/>
        <v>0</v>
      </c>
      <c r="L3871" s="306">
        <f t="shared" si="774"/>
        <v>4439562.3220816916</v>
      </c>
      <c r="M3871" s="306">
        <f t="shared" si="775"/>
        <v>-218011219.02747506</v>
      </c>
      <c r="N3871" s="306" t="str">
        <f t="shared" si="776"/>
        <v/>
      </c>
      <c r="O3871" s="291"/>
    </row>
    <row r="3872" spans="1:15">
      <c r="A3872" s="289" t="s">
        <v>1041</v>
      </c>
      <c r="B3872" s="306">
        <f t="shared" si="777"/>
        <v>-15.272626960022771</v>
      </c>
      <c r="C3872" s="306">
        <f t="shared" si="778"/>
        <v>40196.970486372637</v>
      </c>
      <c r="D3872" s="306">
        <f t="shared" si="768"/>
        <v>0</v>
      </c>
      <c r="E3872" s="306">
        <f t="shared" si="769"/>
        <v>-613913.33516141435</v>
      </c>
      <c r="F3872" s="312">
        <f t="shared" si="770"/>
        <v>43</v>
      </c>
      <c r="G3872" s="305">
        <v>149</v>
      </c>
      <c r="H3872" s="312">
        <f t="shared" si="767"/>
        <v>7115</v>
      </c>
      <c r="I3872" s="312">
        <f t="shared" si="771"/>
        <v>43</v>
      </c>
      <c r="J3872" s="312">
        <f t="shared" si="772"/>
        <v>140</v>
      </c>
      <c r="K3872" s="306">
        <f t="shared" si="773"/>
        <v>0</v>
      </c>
      <c r="L3872" s="306">
        <f t="shared" si="774"/>
        <v>4439562.3220816916</v>
      </c>
      <c r="M3872" s="306">
        <f t="shared" si="775"/>
        <v>-218011219.02747506</v>
      </c>
      <c r="N3872" s="306" t="str">
        <f t="shared" si="776"/>
        <v/>
      </c>
      <c r="O3872" s="291"/>
    </row>
    <row r="3873" spans="1:15">
      <c r="A3873" s="289" t="s">
        <v>1042</v>
      </c>
      <c r="B3873" s="306">
        <f t="shared" si="777"/>
        <v>0</v>
      </c>
      <c r="C3873" s="306">
        <f t="shared" si="778"/>
        <v>0</v>
      </c>
      <c r="D3873" s="306">
        <f t="shared" si="768"/>
        <v>0</v>
      </c>
      <c r="E3873" s="306">
        <f t="shared" si="769"/>
        <v>0</v>
      </c>
      <c r="F3873" s="312">
        <f t="shared" si="770"/>
        <v>46</v>
      </c>
      <c r="G3873" s="305">
        <v>150</v>
      </c>
      <c r="H3873" s="312">
        <f t="shared" si="767"/>
        <v>7602</v>
      </c>
      <c r="I3873" s="312">
        <f t="shared" si="771"/>
        <v>156</v>
      </c>
      <c r="J3873" s="312">
        <f t="shared" si="772"/>
        <v>141</v>
      </c>
      <c r="K3873" s="306">
        <f t="shared" si="773"/>
        <v>0</v>
      </c>
      <c r="L3873" s="306">
        <f t="shared" si="774"/>
        <v>4439562.3220816916</v>
      </c>
      <c r="M3873" s="306">
        <f t="shared" si="775"/>
        <v>-218011219.02747506</v>
      </c>
      <c r="N3873" s="306" t="str">
        <f t="shared" si="776"/>
        <v/>
      </c>
      <c r="O3873" s="291"/>
    </row>
    <row r="3874" spans="1:15">
      <c r="A3874" s="289" t="s">
        <v>1043</v>
      </c>
      <c r="B3874" s="306">
        <f t="shared" si="777"/>
        <v>0</v>
      </c>
      <c r="C3874" s="306">
        <f t="shared" si="778"/>
        <v>0</v>
      </c>
      <c r="D3874" s="306">
        <f t="shared" si="768"/>
        <v>0</v>
      </c>
      <c r="E3874" s="306">
        <f t="shared" si="769"/>
        <v>0</v>
      </c>
      <c r="F3874" s="312">
        <f t="shared" si="770"/>
        <v>46</v>
      </c>
      <c r="G3874" s="305">
        <v>151</v>
      </c>
      <c r="H3874" s="312">
        <f t="shared" si="767"/>
        <v>7603</v>
      </c>
      <c r="I3874" s="312">
        <f t="shared" si="771"/>
        <v>157</v>
      </c>
      <c r="J3874" s="312">
        <f t="shared" si="772"/>
        <v>142</v>
      </c>
      <c r="K3874" s="306">
        <f t="shared" si="773"/>
        <v>0</v>
      </c>
      <c r="L3874" s="306">
        <f t="shared" si="774"/>
        <v>4439562.3220816916</v>
      </c>
      <c r="M3874" s="306">
        <f t="shared" si="775"/>
        <v>-218011219.02747506</v>
      </c>
      <c r="N3874" s="306" t="str">
        <f t="shared" si="776"/>
        <v/>
      </c>
      <c r="O3874" s="291"/>
    </row>
    <row r="3875" spans="1:15">
      <c r="A3875" s="289" t="s">
        <v>1044</v>
      </c>
      <c r="B3875" s="306">
        <f t="shared" si="777"/>
        <v>0</v>
      </c>
      <c r="C3875" s="306">
        <f t="shared" si="778"/>
        <v>0</v>
      </c>
      <c r="D3875" s="306">
        <f t="shared" si="768"/>
        <v>0</v>
      </c>
      <c r="E3875" s="306">
        <f t="shared" si="769"/>
        <v>0</v>
      </c>
      <c r="F3875" s="312">
        <f t="shared" si="770"/>
        <v>46</v>
      </c>
      <c r="G3875" s="305">
        <v>152</v>
      </c>
      <c r="H3875" s="312">
        <f t="shared" si="767"/>
        <v>7604</v>
      </c>
      <c r="I3875" s="312">
        <f t="shared" si="771"/>
        <v>158</v>
      </c>
      <c r="J3875" s="312">
        <f t="shared" si="772"/>
        <v>143</v>
      </c>
      <c r="K3875" s="306">
        <f t="shared" si="773"/>
        <v>0</v>
      </c>
      <c r="L3875" s="306">
        <f t="shared" si="774"/>
        <v>4439562.3220816916</v>
      </c>
      <c r="M3875" s="306">
        <f t="shared" si="775"/>
        <v>-218011219.02747506</v>
      </c>
      <c r="N3875" s="306" t="str">
        <f t="shared" si="776"/>
        <v/>
      </c>
      <c r="O3875" s="291"/>
    </row>
    <row r="3876" spans="1:15">
      <c r="A3876" s="289" t="s">
        <v>1045</v>
      </c>
      <c r="B3876" s="306">
        <f t="shared" si="777"/>
        <v>0</v>
      </c>
      <c r="C3876" s="306">
        <f t="shared" si="778"/>
        <v>0</v>
      </c>
      <c r="D3876" s="306">
        <f t="shared" si="768"/>
        <v>0</v>
      </c>
      <c r="E3876" s="306">
        <f t="shared" si="769"/>
        <v>0</v>
      </c>
      <c r="F3876" s="312">
        <f t="shared" si="770"/>
        <v>46</v>
      </c>
      <c r="G3876" s="305">
        <v>153</v>
      </c>
      <c r="H3876" s="312">
        <f t="shared" si="767"/>
        <v>7605</v>
      </c>
      <c r="I3876" s="312">
        <f t="shared" si="771"/>
        <v>159</v>
      </c>
      <c r="J3876" s="312">
        <f t="shared" si="772"/>
        <v>144</v>
      </c>
      <c r="K3876" s="306">
        <f t="shared" si="773"/>
        <v>0</v>
      </c>
      <c r="L3876" s="306">
        <f t="shared" si="774"/>
        <v>4439562.3220816916</v>
      </c>
      <c r="M3876" s="306">
        <f t="shared" si="775"/>
        <v>-218011219.02747506</v>
      </c>
      <c r="N3876" s="306" t="str">
        <f t="shared" si="776"/>
        <v/>
      </c>
      <c r="O3876" s="291"/>
    </row>
    <row r="3877" spans="1:15">
      <c r="A3877" s="289" t="s">
        <v>1046</v>
      </c>
      <c r="B3877" s="306">
        <f t="shared" si="777"/>
        <v>0</v>
      </c>
      <c r="C3877" s="306">
        <f t="shared" si="778"/>
        <v>0</v>
      </c>
      <c r="D3877" s="306">
        <f t="shared" si="768"/>
        <v>0</v>
      </c>
      <c r="E3877" s="306">
        <f t="shared" si="769"/>
        <v>0</v>
      </c>
      <c r="F3877" s="312">
        <f t="shared" si="770"/>
        <v>46</v>
      </c>
      <c r="G3877" s="305">
        <v>154</v>
      </c>
      <c r="H3877" s="312">
        <f t="shared" si="767"/>
        <v>7606</v>
      </c>
      <c r="I3877" s="312">
        <f t="shared" si="771"/>
        <v>160</v>
      </c>
      <c r="J3877" s="312">
        <f t="shared" si="772"/>
        <v>145</v>
      </c>
      <c r="K3877" s="306">
        <f t="shared" si="773"/>
        <v>0</v>
      </c>
      <c r="L3877" s="306">
        <f t="shared" si="774"/>
        <v>4439562.3220816916</v>
      </c>
      <c r="M3877" s="306">
        <f t="shared" si="775"/>
        <v>-218011219.02747506</v>
      </c>
      <c r="N3877" s="306" t="str">
        <f t="shared" si="776"/>
        <v/>
      </c>
      <c r="O3877" s="291"/>
    </row>
    <row r="3878" spans="1:15">
      <c r="A3878" s="289" t="s">
        <v>1047</v>
      </c>
      <c r="B3878" s="306">
        <f t="shared" si="777"/>
        <v>0</v>
      </c>
      <c r="C3878" s="306">
        <f t="shared" si="778"/>
        <v>0</v>
      </c>
      <c r="D3878" s="306">
        <f t="shared" si="768"/>
        <v>0</v>
      </c>
      <c r="E3878" s="306">
        <f t="shared" si="769"/>
        <v>0</v>
      </c>
      <c r="F3878" s="312">
        <f t="shared" si="770"/>
        <v>46</v>
      </c>
      <c r="G3878" s="305">
        <v>155</v>
      </c>
      <c r="H3878" s="312">
        <f t="shared" si="767"/>
        <v>7607</v>
      </c>
      <c r="I3878" s="312">
        <f t="shared" si="771"/>
        <v>161</v>
      </c>
      <c r="J3878" s="312">
        <f t="shared" si="772"/>
        <v>146</v>
      </c>
      <c r="K3878" s="306">
        <f t="shared" si="773"/>
        <v>0</v>
      </c>
      <c r="L3878" s="306">
        <f t="shared" si="774"/>
        <v>4439562.3220816916</v>
      </c>
      <c r="M3878" s="306">
        <f t="shared" si="775"/>
        <v>-218011219.02747506</v>
      </c>
      <c r="N3878" s="306" t="str">
        <f t="shared" si="776"/>
        <v/>
      </c>
      <c r="O3878" s="291"/>
    </row>
    <row r="3879" spans="1:15">
      <c r="A3879" s="289" t="s">
        <v>1048</v>
      </c>
      <c r="B3879" s="306">
        <f t="shared" si="777"/>
        <v>0</v>
      </c>
      <c r="C3879" s="306">
        <f t="shared" si="778"/>
        <v>0</v>
      </c>
      <c r="D3879" s="306">
        <f t="shared" si="768"/>
        <v>0</v>
      </c>
      <c r="E3879" s="306">
        <f t="shared" si="769"/>
        <v>0</v>
      </c>
      <c r="F3879" s="312">
        <f t="shared" si="770"/>
        <v>46</v>
      </c>
      <c r="G3879" s="305">
        <v>156</v>
      </c>
      <c r="H3879" s="312">
        <f t="shared" si="767"/>
        <v>7608</v>
      </c>
      <c r="I3879" s="312">
        <f t="shared" si="771"/>
        <v>162</v>
      </c>
      <c r="J3879" s="312">
        <f t="shared" si="772"/>
        <v>150</v>
      </c>
      <c r="K3879" s="306">
        <f t="shared" si="773"/>
        <v>0</v>
      </c>
      <c r="L3879" s="306">
        <f t="shared" si="774"/>
        <v>4439562.3220816916</v>
      </c>
      <c r="M3879" s="306">
        <f t="shared" si="775"/>
        <v>-218011219.02747506</v>
      </c>
      <c r="N3879" s="306" t="str">
        <f t="shared" si="776"/>
        <v/>
      </c>
      <c r="O3879" s="291"/>
    </row>
    <row r="3880" spans="1:15">
      <c r="A3880" s="289" t="s">
        <v>1049</v>
      </c>
      <c r="B3880" s="306">
        <f t="shared" si="777"/>
        <v>-85.985635266371361</v>
      </c>
      <c r="C3880" s="306">
        <f t="shared" si="778"/>
        <v>0</v>
      </c>
      <c r="D3880" s="306">
        <f t="shared" si="768"/>
        <v>0</v>
      </c>
      <c r="E3880" s="306">
        <f t="shared" si="769"/>
        <v>0</v>
      </c>
      <c r="F3880" s="312">
        <f t="shared" si="770"/>
        <v>6</v>
      </c>
      <c r="G3880" s="305">
        <v>157</v>
      </c>
      <c r="H3880" s="312">
        <f t="shared" si="767"/>
        <v>1129</v>
      </c>
      <c r="I3880" s="312">
        <f t="shared" si="771"/>
        <v>6</v>
      </c>
      <c r="J3880" s="312">
        <f t="shared" si="772"/>
        <v>151</v>
      </c>
      <c r="K3880" s="306">
        <f t="shared" si="773"/>
        <v>0</v>
      </c>
      <c r="L3880" s="306">
        <f t="shared" si="774"/>
        <v>4439562.3220816916</v>
      </c>
      <c r="M3880" s="306">
        <f t="shared" si="775"/>
        <v>-218011219.02747506</v>
      </c>
      <c r="N3880" s="306" t="str">
        <f t="shared" si="776"/>
        <v/>
      </c>
      <c r="O3880" s="291"/>
    </row>
    <row r="3881" spans="1:15">
      <c r="A3881" s="289" t="s">
        <v>1050</v>
      </c>
      <c r="B3881" s="306">
        <f t="shared" si="777"/>
        <v>-85.985635266371361</v>
      </c>
      <c r="C3881" s="306">
        <f t="shared" si="778"/>
        <v>0</v>
      </c>
      <c r="D3881" s="306">
        <f t="shared" si="768"/>
        <v>0</v>
      </c>
      <c r="E3881" s="306">
        <f t="shared" si="769"/>
        <v>0</v>
      </c>
      <c r="F3881" s="312">
        <f t="shared" si="770"/>
        <v>6</v>
      </c>
      <c r="G3881" s="305">
        <v>158</v>
      </c>
      <c r="H3881" s="312">
        <f t="shared" si="767"/>
        <v>1130</v>
      </c>
      <c r="I3881" s="312">
        <f t="shared" si="771"/>
        <v>7</v>
      </c>
      <c r="J3881" s="312">
        <f t="shared" si="772"/>
        <v>152</v>
      </c>
      <c r="K3881" s="306">
        <f t="shared" si="773"/>
        <v>0</v>
      </c>
      <c r="L3881" s="306">
        <f t="shared" si="774"/>
        <v>4439562.3220816916</v>
      </c>
      <c r="M3881" s="306">
        <f t="shared" si="775"/>
        <v>-218011219.02747506</v>
      </c>
      <c r="N3881" s="306" t="str">
        <f t="shared" si="776"/>
        <v/>
      </c>
      <c r="O3881" s="291"/>
    </row>
    <row r="3882" spans="1:15">
      <c r="A3882" s="289" t="s">
        <v>1051</v>
      </c>
      <c r="B3882" s="306">
        <f t="shared" si="777"/>
        <v>-74.431709257986483</v>
      </c>
      <c r="C3882" s="306">
        <f t="shared" si="778"/>
        <v>0</v>
      </c>
      <c r="D3882" s="306">
        <f t="shared" si="768"/>
        <v>0</v>
      </c>
      <c r="E3882" s="306">
        <f t="shared" si="769"/>
        <v>0</v>
      </c>
      <c r="F3882" s="312">
        <f t="shared" si="770"/>
        <v>9</v>
      </c>
      <c r="G3882" s="305">
        <v>159</v>
      </c>
      <c r="H3882" s="312">
        <f t="shared" si="767"/>
        <v>1617</v>
      </c>
      <c r="I3882" s="312">
        <f t="shared" si="771"/>
        <v>9</v>
      </c>
      <c r="J3882" s="312">
        <f t="shared" si="772"/>
        <v>153</v>
      </c>
      <c r="K3882" s="306">
        <f t="shared" si="773"/>
        <v>0</v>
      </c>
      <c r="L3882" s="306">
        <f t="shared" si="774"/>
        <v>4439562.3220816916</v>
      </c>
      <c r="M3882" s="306">
        <f t="shared" si="775"/>
        <v>-218011219.02747506</v>
      </c>
      <c r="N3882" s="306" t="str">
        <f t="shared" si="776"/>
        <v/>
      </c>
      <c r="O3882" s="291"/>
    </row>
    <row r="3883" spans="1:15">
      <c r="A3883" s="289" t="s">
        <v>1052</v>
      </c>
      <c r="B3883" s="306">
        <f t="shared" si="777"/>
        <v>-74.431709257986483</v>
      </c>
      <c r="C3883" s="306">
        <f t="shared" si="778"/>
        <v>0</v>
      </c>
      <c r="D3883" s="306">
        <f t="shared" si="768"/>
        <v>0</v>
      </c>
      <c r="E3883" s="306">
        <f t="shared" si="769"/>
        <v>0</v>
      </c>
      <c r="F3883" s="312">
        <f t="shared" si="770"/>
        <v>9</v>
      </c>
      <c r="G3883" s="305">
        <v>160</v>
      </c>
      <c r="H3883" s="312">
        <f t="shared" ref="H3883:H3885" si="779">F3883*162+G3883</f>
        <v>1618</v>
      </c>
      <c r="I3883" s="312">
        <f t="shared" si="771"/>
        <v>10</v>
      </c>
      <c r="J3883" s="312">
        <f t="shared" si="772"/>
        <v>154</v>
      </c>
      <c r="K3883" s="306">
        <f t="shared" si="773"/>
        <v>0</v>
      </c>
      <c r="L3883" s="306">
        <f t="shared" si="774"/>
        <v>4439562.3220816916</v>
      </c>
      <c r="M3883" s="306">
        <f t="shared" si="775"/>
        <v>-218011219.02747506</v>
      </c>
      <c r="N3883" s="306" t="str">
        <f t="shared" si="776"/>
        <v/>
      </c>
      <c r="O3883" s="291"/>
    </row>
    <row r="3884" spans="1:15">
      <c r="A3884" s="289" t="s">
        <v>1053</v>
      </c>
      <c r="B3884" s="306">
        <f t="shared" si="777"/>
        <v>-61.310479328286199</v>
      </c>
      <c r="C3884" s="306">
        <f t="shared" si="778"/>
        <v>0</v>
      </c>
      <c r="D3884" s="306">
        <f t="shared" ref="D3884:D3885" si="780">IF(ISERROR(B3884),C3884,0)</f>
        <v>0</v>
      </c>
      <c r="E3884" s="306">
        <f t="shared" si="769"/>
        <v>0</v>
      </c>
      <c r="F3884" s="312">
        <f t="shared" si="770"/>
        <v>16</v>
      </c>
      <c r="G3884" s="305">
        <v>161</v>
      </c>
      <c r="H3884" s="312">
        <f t="shared" si="779"/>
        <v>2753</v>
      </c>
      <c r="I3884" s="312">
        <f t="shared" ref="I3884:I3885" si="781">RANK(H3884,H$3724:H$3885,1)</f>
        <v>16</v>
      </c>
      <c r="J3884" s="312">
        <f t="shared" ref="J3884:J3885" si="782">MATCH(G3884,I$3724:I$3885,0)</f>
        <v>155</v>
      </c>
      <c r="K3884" s="306">
        <f t="shared" ref="K3884:K3885" si="783">INDEX(B$3724:B$3885,J3884,1)</f>
        <v>0</v>
      </c>
      <c r="L3884" s="306">
        <f t="shared" si="774"/>
        <v>4439562.3220816916</v>
      </c>
      <c r="M3884" s="306">
        <f t="shared" si="775"/>
        <v>-218011219.02747506</v>
      </c>
      <c r="N3884" s="306" t="str">
        <f t="shared" ref="N3884:N3885" si="784">IF((M3883&gt;0)=(M3884&gt;0),"",K3884-M3884/L3883)</f>
        <v/>
      </c>
      <c r="O3884" s="291"/>
    </row>
    <row r="3885" spans="1:15">
      <c r="A3885" s="289" t="s">
        <v>1054</v>
      </c>
      <c r="B3885" s="306">
        <f t="shared" si="777"/>
        <v>-61.310479328286199</v>
      </c>
      <c r="C3885" s="306">
        <f t="shared" si="778"/>
        <v>0</v>
      </c>
      <c r="D3885" s="306">
        <f t="shared" si="780"/>
        <v>0</v>
      </c>
      <c r="E3885" s="306">
        <f t="shared" si="769"/>
        <v>0</v>
      </c>
      <c r="F3885" s="312">
        <f t="shared" si="770"/>
        <v>16</v>
      </c>
      <c r="G3885" s="305">
        <v>162</v>
      </c>
      <c r="H3885" s="312">
        <f t="shared" si="779"/>
        <v>2754</v>
      </c>
      <c r="I3885" s="312">
        <f t="shared" si="781"/>
        <v>17</v>
      </c>
      <c r="J3885" s="312">
        <f t="shared" si="782"/>
        <v>156</v>
      </c>
      <c r="K3885" s="306">
        <f t="shared" si="783"/>
        <v>0</v>
      </c>
      <c r="L3885" s="306">
        <f t="shared" si="774"/>
        <v>4439562.3220816916</v>
      </c>
      <c r="M3885" s="306">
        <f t="shared" si="775"/>
        <v>-218011219.02747506</v>
      </c>
      <c r="N3885" s="306" t="str">
        <f t="shared" si="784"/>
        <v/>
      </c>
      <c r="O3885" s="291"/>
    </row>
    <row r="3887" spans="1:15" ht="21" customHeight="1">
      <c r="A3887" s="1" t="s">
        <v>1055</v>
      </c>
    </row>
    <row r="3888" spans="1:15">
      <c r="A3888" s="287" t="s">
        <v>255</v>
      </c>
    </row>
    <row r="3889" spans="1:3">
      <c r="A3889" s="301" t="s">
        <v>1056</v>
      </c>
    </row>
    <row r="3890" spans="1:3">
      <c r="A3890" s="287" t="s">
        <v>1057</v>
      </c>
    </row>
    <row r="3892" spans="1:3">
      <c r="B3892" s="288" t="s">
        <v>1058</v>
      </c>
    </row>
    <row r="3893" spans="1:3">
      <c r="A3893" s="289" t="s">
        <v>1058</v>
      </c>
      <c r="B3893" s="306">
        <f>MIN($N$3723:$N$3885)</f>
        <v>49.106466631433712</v>
      </c>
      <c r="C3893" s="291"/>
    </row>
    <row r="3895" spans="1:3" ht="21" customHeight="1">
      <c r="A3895" s="1" t="s">
        <v>1059</v>
      </c>
    </row>
    <row r="3896" spans="1:3">
      <c r="A3896" s="287" t="s">
        <v>255</v>
      </c>
    </row>
    <row r="3897" spans="1:3">
      <c r="A3897" s="301" t="s">
        <v>739</v>
      </c>
    </row>
    <row r="3898" spans="1:3">
      <c r="A3898" s="301" t="s">
        <v>847</v>
      </c>
    </row>
    <row r="3899" spans="1:3">
      <c r="A3899" s="301" t="s">
        <v>1060</v>
      </c>
    </row>
    <row r="3900" spans="1:3">
      <c r="A3900" s="301" t="s">
        <v>1061</v>
      </c>
    </row>
    <row r="3901" spans="1:3">
      <c r="A3901" s="301" t="s">
        <v>1062</v>
      </c>
    </row>
    <row r="3902" spans="1:3">
      <c r="A3902" s="301" t="s">
        <v>1063</v>
      </c>
    </row>
    <row r="3903" spans="1:3">
      <c r="A3903" s="301" t="s">
        <v>1064</v>
      </c>
    </row>
    <row r="3904" spans="1:3">
      <c r="A3904" s="301" t="s">
        <v>1065</v>
      </c>
    </row>
    <row r="3905" spans="1:1">
      <c r="A3905" s="301" t="s">
        <v>1066</v>
      </c>
    </row>
    <row r="3906" spans="1:1">
      <c r="A3906" s="301" t="s">
        <v>1067</v>
      </c>
    </row>
    <row r="3907" spans="1:1">
      <c r="A3907" s="301" t="s">
        <v>856</v>
      </c>
    </row>
    <row r="3908" spans="1:1">
      <c r="A3908" s="301" t="s">
        <v>1068</v>
      </c>
    </row>
    <row r="3909" spans="1:1">
      <c r="A3909" s="301" t="s">
        <v>858</v>
      </c>
    </row>
    <row r="3910" spans="1:1">
      <c r="A3910" s="301" t="s">
        <v>1069</v>
      </c>
    </row>
    <row r="3911" spans="1:1">
      <c r="A3911" s="301" t="s">
        <v>1070</v>
      </c>
    </row>
    <row r="3912" spans="1:1">
      <c r="A3912" s="301" t="s">
        <v>1071</v>
      </c>
    </row>
    <row r="3913" spans="1:1">
      <c r="A3913" s="301" t="s">
        <v>1072</v>
      </c>
    </row>
    <row r="3914" spans="1:1">
      <c r="A3914" s="301" t="s">
        <v>1073</v>
      </c>
    </row>
    <row r="3915" spans="1:1">
      <c r="A3915" s="301" t="s">
        <v>1074</v>
      </c>
    </row>
    <row r="3916" spans="1:1">
      <c r="A3916" s="301" t="s">
        <v>1075</v>
      </c>
    </row>
    <row r="3917" spans="1:1">
      <c r="A3917" s="301" t="s">
        <v>1076</v>
      </c>
    </row>
    <row r="3918" spans="1:1">
      <c r="A3918" s="301" t="s">
        <v>1077</v>
      </c>
    </row>
    <row r="3919" spans="1:1">
      <c r="A3919" s="301" t="s">
        <v>1078</v>
      </c>
    </row>
    <row r="3920" spans="1:1">
      <c r="A3920" s="301" t="s">
        <v>1079</v>
      </c>
    </row>
    <row r="3921" spans="1:9">
      <c r="A3921" s="301" t="s">
        <v>1080</v>
      </c>
    </row>
    <row r="3922" spans="1:9">
      <c r="A3922" s="301" t="s">
        <v>1081</v>
      </c>
    </row>
    <row r="3923" spans="1:9">
      <c r="A3923" s="301" t="s">
        <v>1082</v>
      </c>
    </row>
    <row r="3924" spans="1:9">
      <c r="A3924" s="302" t="s">
        <v>258</v>
      </c>
      <c r="B3924" s="302" t="s">
        <v>380</v>
      </c>
      <c r="C3924" s="302" t="s">
        <v>380</v>
      </c>
      <c r="D3924" s="302" t="s">
        <v>380</v>
      </c>
      <c r="E3924" s="302" t="s">
        <v>380</v>
      </c>
      <c r="F3924" s="302" t="s">
        <v>380</v>
      </c>
      <c r="G3924" s="302" t="s">
        <v>380</v>
      </c>
      <c r="H3924" s="302" t="s">
        <v>380</v>
      </c>
    </row>
    <row r="3925" spans="1:9" ht="45">
      <c r="A3925" s="302" t="s">
        <v>261</v>
      </c>
      <c r="B3925" s="302" t="s">
        <v>1083</v>
      </c>
      <c r="C3925" s="302" t="s">
        <v>1084</v>
      </c>
      <c r="D3925" s="302" t="s">
        <v>1085</v>
      </c>
      <c r="E3925" s="302" t="s">
        <v>1086</v>
      </c>
      <c r="F3925" s="302" t="s">
        <v>1087</v>
      </c>
      <c r="G3925" s="302" t="s">
        <v>1088</v>
      </c>
      <c r="H3925" s="302" t="s">
        <v>1089</v>
      </c>
    </row>
    <row r="3927" spans="1:9" ht="30">
      <c r="B3927" s="288" t="s">
        <v>1090</v>
      </c>
      <c r="C3927" s="288" t="s">
        <v>1091</v>
      </c>
      <c r="D3927" s="288" t="s">
        <v>1092</v>
      </c>
      <c r="E3927" s="288" t="s">
        <v>1093</v>
      </c>
      <c r="F3927" s="288" t="s">
        <v>1094</v>
      </c>
      <c r="G3927" s="288" t="s">
        <v>1095</v>
      </c>
      <c r="H3927" s="288" t="s">
        <v>1096</v>
      </c>
    </row>
    <row r="3928" spans="1:9">
      <c r="A3928" s="289" t="s">
        <v>92</v>
      </c>
      <c r="B3928" s="306">
        <f t="shared" ref="B3928:B3954" si="785">IF($B914&lt;0,0,IF($B3546*$B$3893+$B3426&gt;0,$B3546*$B$3893,0-$B3426))</f>
        <v>1.2211350390659028</v>
      </c>
      <c r="C3928" s="306">
        <f t="shared" ref="C3928:C3954" si="786">IF($B914&lt;0,0,IF($C3546*$B$3893+$C3426&gt;0,$C3546*$B$3893,0-$C3426))</f>
        <v>0</v>
      </c>
      <c r="D3928" s="306">
        <f t="shared" ref="D3928:D3954" si="787">IF($B914&lt;0,0,IF($D3546*$B$3893+$D3426&gt;0,$D3546*$B$3893,0-$D3426))</f>
        <v>0</v>
      </c>
      <c r="E3928" s="306">
        <f t="shared" ref="E3928:E3954" si="788">IF($B914&lt;0,0,IF($E3546*$B$3893+$E3426&gt;0,$E3546*$B$3893,0-$E3426))</f>
        <v>0</v>
      </c>
      <c r="F3928" s="306">
        <f t="shared" ref="F3928:F3954" si="789">IF($B914&lt;0,0,IF($F3546*$B$3893+$F3426&gt;0,$F3546*$B$3893,0-$F3426))</f>
        <v>0</v>
      </c>
      <c r="G3928" s="306">
        <f t="shared" ref="G3928:G3954" si="790">IF($B914&lt;0,0,IF($G3546*$B$3893+$G3426&gt;0,$G3546*$B$3893,0-$G3426))</f>
        <v>0</v>
      </c>
      <c r="H3928" s="312">
        <f t="shared" ref="H3928:H3954" si="791">0.01*$F$14*(E3928*$E1170+F3928*$F1170)+10*(B3928*$B1170+C3928*$C1170+D3928*$D1170+G3928*$G1170)</f>
        <v>86339526.721073121</v>
      </c>
      <c r="I3928" s="291"/>
    </row>
    <row r="3929" spans="1:9">
      <c r="A3929" s="289" t="s">
        <v>93</v>
      </c>
      <c r="B3929" s="306">
        <f t="shared" si="785"/>
        <v>1.4500045605904419</v>
      </c>
      <c r="C3929" s="306">
        <f t="shared" si="786"/>
        <v>0</v>
      </c>
      <c r="D3929" s="306">
        <f t="shared" si="787"/>
        <v>0</v>
      </c>
      <c r="E3929" s="306">
        <f t="shared" si="788"/>
        <v>0</v>
      </c>
      <c r="F3929" s="306">
        <f t="shared" si="789"/>
        <v>0</v>
      </c>
      <c r="G3929" s="306">
        <f t="shared" si="790"/>
        <v>0</v>
      </c>
      <c r="H3929" s="312">
        <f t="shared" si="791"/>
        <v>13582014.070387963</v>
      </c>
      <c r="I3929" s="291"/>
    </row>
    <row r="3930" spans="1:9">
      <c r="A3930" s="289" t="s">
        <v>129</v>
      </c>
      <c r="B3930" s="306">
        <f t="shared" si="785"/>
        <v>7.5604639072518853E-2</v>
      </c>
      <c r="C3930" s="306">
        <f t="shared" si="786"/>
        <v>0</v>
      </c>
      <c r="D3930" s="306">
        <f t="shared" si="787"/>
        <v>0</v>
      </c>
      <c r="E3930" s="306">
        <f t="shared" si="788"/>
        <v>0</v>
      </c>
      <c r="F3930" s="306">
        <f t="shared" si="789"/>
        <v>0</v>
      </c>
      <c r="G3930" s="306">
        <f t="shared" si="790"/>
        <v>0</v>
      </c>
      <c r="H3930" s="312">
        <f t="shared" si="791"/>
        <v>27298.161176407441</v>
      </c>
      <c r="I3930" s="291"/>
    </row>
    <row r="3931" spans="1:9">
      <c r="A3931" s="289" t="s">
        <v>94</v>
      </c>
      <c r="B3931" s="306">
        <f t="shared" si="785"/>
        <v>1.1265634689493518</v>
      </c>
      <c r="C3931" s="306">
        <f t="shared" si="786"/>
        <v>0</v>
      </c>
      <c r="D3931" s="306">
        <f t="shared" si="787"/>
        <v>0</v>
      </c>
      <c r="E3931" s="306">
        <f t="shared" si="788"/>
        <v>0</v>
      </c>
      <c r="F3931" s="306">
        <f t="shared" si="789"/>
        <v>0</v>
      </c>
      <c r="G3931" s="306">
        <f t="shared" si="790"/>
        <v>0</v>
      </c>
      <c r="H3931" s="312">
        <f t="shared" si="791"/>
        <v>18351527.600634575</v>
      </c>
      <c r="I3931" s="291"/>
    </row>
    <row r="3932" spans="1:9">
      <c r="A3932" s="289" t="s">
        <v>95</v>
      </c>
      <c r="B3932" s="306">
        <f t="shared" si="785"/>
        <v>1.2926304074342194</v>
      </c>
      <c r="C3932" s="306">
        <f t="shared" si="786"/>
        <v>0</v>
      </c>
      <c r="D3932" s="306">
        <f t="shared" si="787"/>
        <v>0</v>
      </c>
      <c r="E3932" s="306">
        <f t="shared" si="788"/>
        <v>0</v>
      </c>
      <c r="F3932" s="306">
        <f t="shared" si="789"/>
        <v>0</v>
      </c>
      <c r="G3932" s="306">
        <f t="shared" si="790"/>
        <v>0</v>
      </c>
      <c r="H3932" s="312">
        <f t="shared" si="791"/>
        <v>6562232.7508137524</v>
      </c>
      <c r="I3932" s="291"/>
    </row>
    <row r="3933" spans="1:9">
      <c r="A3933" s="289" t="s">
        <v>130</v>
      </c>
      <c r="B3933" s="306">
        <f t="shared" si="785"/>
        <v>0.17614252798021507</v>
      </c>
      <c r="C3933" s="306">
        <f t="shared" si="786"/>
        <v>0</v>
      </c>
      <c r="D3933" s="306">
        <f t="shared" si="787"/>
        <v>0</v>
      </c>
      <c r="E3933" s="306">
        <f t="shared" si="788"/>
        <v>0</v>
      </c>
      <c r="F3933" s="306">
        <f t="shared" si="789"/>
        <v>0</v>
      </c>
      <c r="G3933" s="306">
        <f t="shared" si="790"/>
        <v>0</v>
      </c>
      <c r="H3933" s="312">
        <f t="shared" si="791"/>
        <v>11722.030602224642</v>
      </c>
      <c r="I3933" s="291"/>
    </row>
    <row r="3934" spans="1:9">
      <c r="A3934" s="289" t="s">
        <v>96</v>
      </c>
      <c r="B3934" s="306">
        <f t="shared" si="785"/>
        <v>0.94582629773891136</v>
      </c>
      <c r="C3934" s="306">
        <f t="shared" si="786"/>
        <v>0</v>
      </c>
      <c r="D3934" s="306">
        <f t="shared" si="787"/>
        <v>0</v>
      </c>
      <c r="E3934" s="306">
        <f t="shared" si="788"/>
        <v>0</v>
      </c>
      <c r="F3934" s="306">
        <f t="shared" si="789"/>
        <v>0</v>
      </c>
      <c r="G3934" s="306">
        <f t="shared" si="790"/>
        <v>0</v>
      </c>
      <c r="H3934" s="312">
        <f t="shared" si="791"/>
        <v>0</v>
      </c>
      <c r="I3934" s="291"/>
    </row>
    <row r="3935" spans="1:9">
      <c r="A3935" s="289" t="s">
        <v>97</v>
      </c>
      <c r="B3935" s="306">
        <f t="shared" si="785"/>
        <v>0.91073374157458209</v>
      </c>
      <c r="C3935" s="306">
        <f t="shared" si="786"/>
        <v>0</v>
      </c>
      <c r="D3935" s="306">
        <f t="shared" si="787"/>
        <v>0</v>
      </c>
      <c r="E3935" s="306">
        <f t="shared" si="788"/>
        <v>0</v>
      </c>
      <c r="F3935" s="306">
        <f t="shared" si="789"/>
        <v>0</v>
      </c>
      <c r="G3935" s="306">
        <f t="shared" si="790"/>
        <v>0</v>
      </c>
      <c r="H3935" s="312">
        <f t="shared" si="791"/>
        <v>0</v>
      </c>
      <c r="I3935" s="291"/>
    </row>
    <row r="3936" spans="1:9">
      <c r="A3936" s="289" t="s">
        <v>110</v>
      </c>
      <c r="B3936" s="306">
        <f t="shared" si="785"/>
        <v>0.88770486464276388</v>
      </c>
      <c r="C3936" s="306">
        <f t="shared" si="786"/>
        <v>0</v>
      </c>
      <c r="D3936" s="306">
        <f t="shared" si="787"/>
        <v>0</v>
      </c>
      <c r="E3936" s="306">
        <f t="shared" si="788"/>
        <v>0</v>
      </c>
      <c r="F3936" s="306">
        <f t="shared" si="789"/>
        <v>0</v>
      </c>
      <c r="G3936" s="306">
        <f t="shared" si="790"/>
        <v>0</v>
      </c>
      <c r="H3936" s="312">
        <f t="shared" si="791"/>
        <v>0</v>
      </c>
      <c r="I3936" s="291"/>
    </row>
    <row r="3937" spans="1:9">
      <c r="A3937" s="289" t="s">
        <v>1536</v>
      </c>
      <c r="B3937" s="306">
        <f t="shared" si="785"/>
        <v>7.2741602707636774</v>
      </c>
      <c r="C3937" s="306">
        <f t="shared" si="786"/>
        <v>0.35329618292712872</v>
      </c>
      <c r="D3937" s="306">
        <f t="shared" si="787"/>
        <v>0</v>
      </c>
      <c r="E3937" s="306">
        <f t="shared" si="788"/>
        <v>0</v>
      </c>
      <c r="F3937" s="306">
        <f t="shared" si="789"/>
        <v>0</v>
      </c>
      <c r="G3937" s="306">
        <f t="shared" si="790"/>
        <v>0</v>
      </c>
      <c r="H3937" s="312">
        <f t="shared" si="791"/>
        <v>0</v>
      </c>
      <c r="I3937" s="291"/>
    </row>
    <row r="3938" spans="1:9">
      <c r="A3938" s="289" t="s">
        <v>1535</v>
      </c>
      <c r="B3938" s="306">
        <f t="shared" si="785"/>
        <v>7.3179241788291245</v>
      </c>
      <c r="C3938" s="306">
        <f t="shared" si="786"/>
        <v>0.35542173709337899</v>
      </c>
      <c r="D3938" s="306">
        <f t="shared" si="787"/>
        <v>0</v>
      </c>
      <c r="E3938" s="306">
        <f t="shared" si="788"/>
        <v>0</v>
      </c>
      <c r="F3938" s="306">
        <f t="shared" si="789"/>
        <v>0</v>
      </c>
      <c r="G3938" s="306">
        <f t="shared" si="790"/>
        <v>0</v>
      </c>
      <c r="H3938" s="312">
        <f t="shared" si="791"/>
        <v>5956089.3561631497</v>
      </c>
      <c r="I3938" s="291"/>
    </row>
    <row r="3939" spans="1:9">
      <c r="A3939" s="289" t="s">
        <v>98</v>
      </c>
      <c r="B3939" s="306">
        <f t="shared" si="785"/>
        <v>7.0384634121460774</v>
      </c>
      <c r="C3939" s="306">
        <f t="shared" si="786"/>
        <v>0.34184870344111912</v>
      </c>
      <c r="D3939" s="306">
        <f t="shared" si="787"/>
        <v>0</v>
      </c>
      <c r="E3939" s="306">
        <f t="shared" si="788"/>
        <v>0</v>
      </c>
      <c r="F3939" s="306">
        <f t="shared" si="789"/>
        <v>0</v>
      </c>
      <c r="G3939" s="306">
        <f t="shared" si="790"/>
        <v>0.24036056187912233</v>
      </c>
      <c r="H3939" s="312">
        <f t="shared" si="791"/>
        <v>26096198.461469878</v>
      </c>
      <c r="I3939" s="291"/>
    </row>
    <row r="3940" spans="1:9">
      <c r="A3940" s="289" t="s">
        <v>99</v>
      </c>
      <c r="B3940" s="306">
        <f t="shared" si="785"/>
        <v>7.4265892871184525</v>
      </c>
      <c r="C3940" s="306">
        <f t="shared" si="786"/>
        <v>0.3606994552831041</v>
      </c>
      <c r="D3940" s="306">
        <f t="shared" si="787"/>
        <v>0</v>
      </c>
      <c r="E3940" s="306">
        <f t="shared" si="788"/>
        <v>0</v>
      </c>
      <c r="F3940" s="306">
        <f t="shared" si="789"/>
        <v>0</v>
      </c>
      <c r="G3940" s="306">
        <f t="shared" si="790"/>
        <v>0.24552276969552014</v>
      </c>
      <c r="H3940" s="312">
        <f t="shared" si="791"/>
        <v>667931.47687696991</v>
      </c>
      <c r="I3940" s="291"/>
    </row>
    <row r="3941" spans="1:9">
      <c r="A3941" s="289" t="s">
        <v>111</v>
      </c>
      <c r="B3941" s="306">
        <f t="shared" si="785"/>
        <v>6.131387998521773</v>
      </c>
      <c r="C3941" s="306">
        <f t="shared" si="786"/>
        <v>0.29779327032830571</v>
      </c>
      <c r="D3941" s="306">
        <f t="shared" si="787"/>
        <v>0</v>
      </c>
      <c r="E3941" s="306">
        <f t="shared" si="788"/>
        <v>0</v>
      </c>
      <c r="F3941" s="306">
        <f t="shared" si="789"/>
        <v>0</v>
      </c>
      <c r="G3941" s="306">
        <f t="shared" si="790"/>
        <v>0.18759320912811986</v>
      </c>
      <c r="H3941" s="312">
        <f t="shared" si="791"/>
        <v>57240054.474541441</v>
      </c>
      <c r="I3941" s="291"/>
    </row>
    <row r="3942" spans="1:9">
      <c r="A3942" s="289" t="s">
        <v>131</v>
      </c>
      <c r="B3942" s="306">
        <f t="shared" si="785"/>
        <v>0.68889584503275958</v>
      </c>
      <c r="C3942" s="306">
        <f t="shared" si="786"/>
        <v>0</v>
      </c>
      <c r="D3942" s="306">
        <f t="shared" si="787"/>
        <v>0</v>
      </c>
      <c r="E3942" s="306">
        <f t="shared" si="788"/>
        <v>0</v>
      </c>
      <c r="F3942" s="306">
        <f t="shared" si="789"/>
        <v>0</v>
      </c>
      <c r="G3942" s="306">
        <f t="shared" si="790"/>
        <v>0</v>
      </c>
      <c r="H3942" s="312">
        <f t="shared" si="791"/>
        <v>370526.71762907703</v>
      </c>
      <c r="I3942" s="291"/>
    </row>
    <row r="3943" spans="1:9">
      <c r="A3943" s="289" t="s">
        <v>132</v>
      </c>
      <c r="B3943" s="306">
        <f t="shared" si="785"/>
        <v>0.99864747386383912</v>
      </c>
      <c r="C3943" s="306">
        <f t="shared" si="786"/>
        <v>0</v>
      </c>
      <c r="D3943" s="306">
        <f t="shared" si="787"/>
        <v>0</v>
      </c>
      <c r="E3943" s="306">
        <f t="shared" si="788"/>
        <v>0</v>
      </c>
      <c r="F3943" s="306">
        <f t="shared" si="789"/>
        <v>0</v>
      </c>
      <c r="G3943" s="306">
        <f t="shared" si="790"/>
        <v>0</v>
      </c>
      <c r="H3943" s="312">
        <f t="shared" si="791"/>
        <v>165222.84174840193</v>
      </c>
      <c r="I3943" s="291"/>
    </row>
    <row r="3944" spans="1:9">
      <c r="A3944" s="289" t="s">
        <v>133</v>
      </c>
      <c r="B3944" s="306">
        <f t="shared" si="785"/>
        <v>1.821668162872583</v>
      </c>
      <c r="C3944" s="306">
        <f t="shared" si="786"/>
        <v>0</v>
      </c>
      <c r="D3944" s="306">
        <f t="shared" si="787"/>
        <v>0</v>
      </c>
      <c r="E3944" s="306">
        <f t="shared" si="788"/>
        <v>0</v>
      </c>
      <c r="F3944" s="306">
        <f t="shared" si="789"/>
        <v>0</v>
      </c>
      <c r="G3944" s="306">
        <f t="shared" si="790"/>
        <v>0</v>
      </c>
      <c r="H3944" s="312">
        <f t="shared" si="791"/>
        <v>14288.454022749473</v>
      </c>
      <c r="I3944" s="291"/>
    </row>
    <row r="3945" spans="1:9">
      <c r="A3945" s="289" t="s">
        <v>134</v>
      </c>
      <c r="B3945" s="306">
        <f t="shared" si="785"/>
        <v>0.3753430720880398</v>
      </c>
      <c r="C3945" s="306">
        <f t="shared" si="786"/>
        <v>0</v>
      </c>
      <c r="D3945" s="306">
        <f t="shared" si="787"/>
        <v>0</v>
      </c>
      <c r="E3945" s="306">
        <f t="shared" si="788"/>
        <v>0</v>
      </c>
      <c r="F3945" s="306">
        <f t="shared" si="789"/>
        <v>0</v>
      </c>
      <c r="G3945" s="306">
        <f t="shared" si="790"/>
        <v>0</v>
      </c>
      <c r="H3945" s="312">
        <f t="shared" si="791"/>
        <v>18081.226420182353</v>
      </c>
      <c r="I3945" s="291"/>
    </row>
    <row r="3946" spans="1:9">
      <c r="A3946" s="289" t="s">
        <v>135</v>
      </c>
      <c r="B3946" s="306">
        <f t="shared" si="785"/>
        <v>19.906124583423253</v>
      </c>
      <c r="C3946" s="306">
        <f t="shared" si="786"/>
        <v>0.28168411543445693</v>
      </c>
      <c r="D3946" s="306">
        <f t="shared" si="787"/>
        <v>0</v>
      </c>
      <c r="E3946" s="306">
        <f t="shared" si="788"/>
        <v>0</v>
      </c>
      <c r="F3946" s="306">
        <f t="shared" si="789"/>
        <v>0</v>
      </c>
      <c r="G3946" s="306">
        <f t="shared" si="790"/>
        <v>0</v>
      </c>
      <c r="H3946" s="312">
        <f t="shared" si="791"/>
        <v>2608504.6839150758</v>
      </c>
      <c r="I3946" s="291"/>
    </row>
    <row r="3947" spans="1:9">
      <c r="A3947" s="289" t="s">
        <v>1534</v>
      </c>
      <c r="B3947" s="306">
        <f t="shared" si="785"/>
        <v>0</v>
      </c>
      <c r="C3947" s="306">
        <f t="shared" si="786"/>
        <v>0</v>
      </c>
      <c r="D3947" s="306">
        <f t="shared" si="787"/>
        <v>0</v>
      </c>
      <c r="E3947" s="306">
        <f t="shared" si="788"/>
        <v>0</v>
      </c>
      <c r="F3947" s="306">
        <f t="shared" si="789"/>
        <v>0</v>
      </c>
      <c r="G3947" s="306">
        <f t="shared" si="790"/>
        <v>0</v>
      </c>
      <c r="H3947" s="312">
        <f t="shared" si="791"/>
        <v>0</v>
      </c>
      <c r="I3947" s="291"/>
    </row>
    <row r="3948" spans="1:9">
      <c r="A3948" s="289" t="s">
        <v>100</v>
      </c>
      <c r="B3948" s="306">
        <f t="shared" si="785"/>
        <v>0</v>
      </c>
      <c r="C3948" s="306">
        <f t="shared" si="786"/>
        <v>0</v>
      </c>
      <c r="D3948" s="306">
        <f t="shared" si="787"/>
        <v>0</v>
      </c>
      <c r="E3948" s="306">
        <f t="shared" si="788"/>
        <v>0</v>
      </c>
      <c r="F3948" s="306">
        <f t="shared" si="789"/>
        <v>0</v>
      </c>
      <c r="G3948" s="306">
        <f t="shared" si="790"/>
        <v>0</v>
      </c>
      <c r="H3948" s="312">
        <f t="shared" si="791"/>
        <v>0</v>
      </c>
      <c r="I3948" s="291"/>
    </row>
    <row r="3949" spans="1:9">
      <c r="A3949" s="289" t="s">
        <v>101</v>
      </c>
      <c r="B3949" s="306">
        <f t="shared" si="785"/>
        <v>0</v>
      </c>
      <c r="C3949" s="306">
        <f t="shared" si="786"/>
        <v>0</v>
      </c>
      <c r="D3949" s="306">
        <f t="shared" si="787"/>
        <v>0</v>
      </c>
      <c r="E3949" s="306">
        <f t="shared" si="788"/>
        <v>0</v>
      </c>
      <c r="F3949" s="306">
        <f t="shared" si="789"/>
        <v>0</v>
      </c>
      <c r="G3949" s="306">
        <f t="shared" si="790"/>
        <v>0</v>
      </c>
      <c r="H3949" s="312">
        <f t="shared" si="791"/>
        <v>0</v>
      </c>
      <c r="I3949" s="291"/>
    </row>
    <row r="3950" spans="1:9">
      <c r="A3950" s="289" t="s">
        <v>102</v>
      </c>
      <c r="B3950" s="306">
        <f t="shared" si="785"/>
        <v>0</v>
      </c>
      <c r="C3950" s="306">
        <f t="shared" si="786"/>
        <v>0</v>
      </c>
      <c r="D3950" s="306">
        <f t="shared" si="787"/>
        <v>0</v>
      </c>
      <c r="E3950" s="306">
        <f t="shared" si="788"/>
        <v>0</v>
      </c>
      <c r="F3950" s="306">
        <f t="shared" si="789"/>
        <v>0</v>
      </c>
      <c r="G3950" s="306">
        <f t="shared" si="790"/>
        <v>0</v>
      </c>
      <c r="H3950" s="312">
        <f t="shared" si="791"/>
        <v>0</v>
      </c>
      <c r="I3950" s="291"/>
    </row>
    <row r="3951" spans="1:9">
      <c r="A3951" s="289" t="s">
        <v>103</v>
      </c>
      <c r="B3951" s="306">
        <f t="shared" si="785"/>
        <v>0</v>
      </c>
      <c r="C3951" s="306">
        <f t="shared" si="786"/>
        <v>0</v>
      </c>
      <c r="D3951" s="306">
        <f t="shared" si="787"/>
        <v>0</v>
      </c>
      <c r="E3951" s="306">
        <f t="shared" si="788"/>
        <v>0</v>
      </c>
      <c r="F3951" s="306">
        <f t="shared" si="789"/>
        <v>0</v>
      </c>
      <c r="G3951" s="306">
        <f t="shared" si="790"/>
        <v>0</v>
      </c>
      <c r="H3951" s="312">
        <f t="shared" si="791"/>
        <v>0</v>
      </c>
      <c r="I3951" s="291"/>
    </row>
    <row r="3952" spans="1:9">
      <c r="A3952" s="289" t="s">
        <v>104</v>
      </c>
      <c r="B3952" s="306">
        <f t="shared" si="785"/>
        <v>0</v>
      </c>
      <c r="C3952" s="306">
        <f t="shared" si="786"/>
        <v>0</v>
      </c>
      <c r="D3952" s="306">
        <f t="shared" si="787"/>
        <v>0</v>
      </c>
      <c r="E3952" s="306">
        <f t="shared" si="788"/>
        <v>0</v>
      </c>
      <c r="F3952" s="306">
        <f t="shared" si="789"/>
        <v>0</v>
      </c>
      <c r="G3952" s="306">
        <f t="shared" si="790"/>
        <v>0</v>
      </c>
      <c r="H3952" s="312">
        <f t="shared" si="791"/>
        <v>0</v>
      </c>
      <c r="I3952" s="291"/>
    </row>
    <row r="3953" spans="1:9">
      <c r="A3953" s="289" t="s">
        <v>112</v>
      </c>
      <c r="B3953" s="306">
        <f t="shared" si="785"/>
        <v>0</v>
      </c>
      <c r="C3953" s="306">
        <f t="shared" si="786"/>
        <v>0</v>
      </c>
      <c r="D3953" s="306">
        <f t="shared" si="787"/>
        <v>0</v>
      </c>
      <c r="E3953" s="306">
        <f t="shared" si="788"/>
        <v>0</v>
      </c>
      <c r="F3953" s="306">
        <f t="shared" si="789"/>
        <v>0</v>
      </c>
      <c r="G3953" s="306">
        <f t="shared" si="790"/>
        <v>0</v>
      </c>
      <c r="H3953" s="312">
        <f t="shared" si="791"/>
        <v>0</v>
      </c>
      <c r="I3953" s="291"/>
    </row>
    <row r="3954" spans="1:9">
      <c r="A3954" s="289" t="s">
        <v>113</v>
      </c>
      <c r="B3954" s="306">
        <f t="shared" si="785"/>
        <v>0</v>
      </c>
      <c r="C3954" s="306">
        <f t="shared" si="786"/>
        <v>0</v>
      </c>
      <c r="D3954" s="306">
        <f t="shared" si="787"/>
        <v>0</v>
      </c>
      <c r="E3954" s="306">
        <f t="shared" si="788"/>
        <v>0</v>
      </c>
      <c r="F3954" s="306">
        <f t="shared" si="789"/>
        <v>0</v>
      </c>
      <c r="G3954" s="306">
        <f t="shared" si="790"/>
        <v>0</v>
      </c>
      <c r="H3954" s="312">
        <f t="shared" si="791"/>
        <v>0</v>
      </c>
      <c r="I3954" s="291"/>
    </row>
    <row r="3956" spans="1:9" ht="21" customHeight="1">
      <c r="A3956" s="1" t="str">
        <f>"Tariff component adjustment and rounding for "&amp;CDCM!B7&amp;" in "&amp;CDCM!C7&amp;" ("&amp;CDCM!D7&amp;")"</f>
        <v>Tariff component adjustment and rounding for West Mids in 0 (Forecast)</v>
      </c>
    </row>
    <row r="3958" spans="1:9" ht="21" customHeight="1">
      <c r="A3958" s="1" t="s">
        <v>1097</v>
      </c>
    </row>
    <row r="3959" spans="1:9">
      <c r="A3959" s="287" t="s">
        <v>255</v>
      </c>
    </row>
    <row r="3960" spans="1:9">
      <c r="A3960" s="301" t="s">
        <v>1098</v>
      </c>
    </row>
    <row r="3961" spans="1:9">
      <c r="A3961" s="301" t="s">
        <v>1099</v>
      </c>
    </row>
    <row r="3962" spans="1:9">
      <c r="A3962" s="301" t="s">
        <v>1100</v>
      </c>
    </row>
    <row r="3963" spans="1:9">
      <c r="A3963" s="301" t="s">
        <v>1101</v>
      </c>
    </row>
    <row r="3964" spans="1:9">
      <c r="A3964" s="301" t="s">
        <v>1102</v>
      </c>
    </row>
    <row r="3965" spans="1:9">
      <c r="A3965" s="301" t="s">
        <v>1103</v>
      </c>
    </row>
    <row r="3966" spans="1:9">
      <c r="A3966" s="301" t="s">
        <v>1104</v>
      </c>
    </row>
    <row r="3967" spans="1:9">
      <c r="A3967" s="301" t="s">
        <v>1105</v>
      </c>
    </row>
    <row r="3968" spans="1:9">
      <c r="A3968" s="301" t="s">
        <v>1106</v>
      </c>
    </row>
    <row r="3969" spans="1:8">
      <c r="A3969" s="301" t="s">
        <v>1107</v>
      </c>
    </row>
    <row r="3970" spans="1:8">
      <c r="A3970" s="301" t="s">
        <v>1108</v>
      </c>
    </row>
    <row r="3971" spans="1:8">
      <c r="A3971" s="301" t="s">
        <v>1109</v>
      </c>
    </row>
    <row r="3972" spans="1:8">
      <c r="A3972" s="302" t="s">
        <v>258</v>
      </c>
      <c r="B3972" s="302" t="s">
        <v>380</v>
      </c>
      <c r="C3972" s="302" t="s">
        <v>380</v>
      </c>
      <c r="D3972" s="302" t="s">
        <v>380</v>
      </c>
      <c r="E3972" s="302" t="s">
        <v>380</v>
      </c>
      <c r="F3972" s="302" t="s">
        <v>380</v>
      </c>
      <c r="G3972" s="302" t="s">
        <v>380</v>
      </c>
    </row>
    <row r="3973" spans="1:8">
      <c r="A3973" s="302" t="s">
        <v>261</v>
      </c>
      <c r="B3973" s="302" t="s">
        <v>1110</v>
      </c>
      <c r="C3973" s="302" t="s">
        <v>1111</v>
      </c>
      <c r="D3973" s="302" t="s">
        <v>1112</v>
      </c>
      <c r="E3973" s="302" t="s">
        <v>1113</v>
      </c>
      <c r="F3973" s="302" t="s">
        <v>1114</v>
      </c>
      <c r="G3973" s="302" t="s">
        <v>1115</v>
      </c>
    </row>
    <row r="3975" spans="1:8" ht="30">
      <c r="B3975" s="288" t="s">
        <v>1116</v>
      </c>
      <c r="C3975" s="288" t="s">
        <v>1117</v>
      </c>
      <c r="D3975" s="288" t="s">
        <v>1118</v>
      </c>
      <c r="E3975" s="288" t="s">
        <v>1119</v>
      </c>
      <c r="F3975" s="288" t="s">
        <v>1120</v>
      </c>
      <c r="G3975" s="288" t="s">
        <v>776</v>
      </c>
    </row>
    <row r="3976" spans="1:8">
      <c r="A3976" s="289" t="s">
        <v>92</v>
      </c>
      <c r="B3976" s="315">
        <f t="shared" ref="B3976:B4002" si="792">$B3426+$B3928</f>
        <v>2.5006100703915077</v>
      </c>
      <c r="C3976" s="309"/>
      <c r="D3976" s="309"/>
      <c r="E3976" s="315">
        <f>$E3426+$E3928</f>
        <v>4.7981987923226406</v>
      </c>
      <c r="F3976" s="309"/>
      <c r="G3976" s="309"/>
      <c r="H3976" s="291"/>
    </row>
    <row r="3977" spans="1:8">
      <c r="A3977" s="289" t="s">
        <v>93</v>
      </c>
      <c r="B3977" s="315">
        <f t="shared" si="792"/>
        <v>2.9720249120968609</v>
      </c>
      <c r="C3977" s="315">
        <f>$C3427+$C3929</f>
        <v>8.0898643999178746E-2</v>
      </c>
      <c r="D3977" s="309"/>
      <c r="E3977" s="315">
        <f>$E3427+$E3929</f>
        <v>4.7981987923226406</v>
      </c>
      <c r="F3977" s="309"/>
      <c r="G3977" s="309"/>
      <c r="H3977" s="291"/>
    </row>
    <row r="3978" spans="1:8">
      <c r="A3978" s="289" t="s">
        <v>129</v>
      </c>
      <c r="B3978" s="315">
        <f t="shared" si="792"/>
        <v>0.22337893008903947</v>
      </c>
      <c r="C3978" s="309"/>
      <c r="D3978" s="309"/>
      <c r="E3978" s="309"/>
      <c r="F3978" s="309"/>
      <c r="G3978" s="309"/>
      <c r="H3978" s="291"/>
    </row>
    <row r="3979" spans="1:8">
      <c r="A3979" s="289" t="s">
        <v>94</v>
      </c>
      <c r="B3979" s="315">
        <f t="shared" si="792"/>
        <v>2.3352283579091466</v>
      </c>
      <c r="C3979" s="309"/>
      <c r="D3979" s="309"/>
      <c r="E3979" s="315">
        <f>$E3429+$E3931</f>
        <v>7.3939175707594327</v>
      </c>
      <c r="F3979" s="309"/>
      <c r="G3979" s="309"/>
      <c r="H3979" s="291"/>
    </row>
    <row r="3980" spans="1:8">
      <c r="A3980" s="289" t="s">
        <v>95</v>
      </c>
      <c r="B3980" s="315">
        <f t="shared" si="792"/>
        <v>2.6756275973737802</v>
      </c>
      <c r="C3980" s="315">
        <f>$C3430+$C3932</f>
        <v>7.7220643040610562E-2</v>
      </c>
      <c r="D3980" s="309"/>
      <c r="E3980" s="315">
        <f>$E3430+$E3932</f>
        <v>7.3939175707594327</v>
      </c>
      <c r="F3980" s="309"/>
      <c r="G3980" s="309"/>
      <c r="H3980" s="291"/>
    </row>
    <row r="3981" spans="1:8">
      <c r="A3981" s="289" t="s">
        <v>130</v>
      </c>
      <c r="B3981" s="315">
        <f t="shared" si="792"/>
        <v>0.41736542304204838</v>
      </c>
      <c r="C3981" s="309"/>
      <c r="D3981" s="309"/>
      <c r="E3981" s="309"/>
      <c r="F3981" s="309"/>
      <c r="G3981" s="309"/>
      <c r="H3981" s="291"/>
    </row>
    <row r="3982" spans="1:8">
      <c r="A3982" s="289" t="s">
        <v>96</v>
      </c>
      <c r="B3982" s="315">
        <f t="shared" si="792"/>
        <v>1.9532042111862358</v>
      </c>
      <c r="C3982" s="315">
        <f t="shared" ref="C3982:C3989" si="793">$C3432+$C3934</f>
        <v>5.4661366256107138E-2</v>
      </c>
      <c r="D3982" s="309"/>
      <c r="E3982" s="315">
        <f t="shared" ref="E3982:E3989" si="794">$E3432+$E3934</f>
        <v>5.6888889091662147</v>
      </c>
      <c r="F3982" s="309"/>
      <c r="G3982" s="309"/>
      <c r="H3982" s="291"/>
    </row>
    <row r="3983" spans="1:8">
      <c r="A3983" s="289" t="s">
        <v>97</v>
      </c>
      <c r="B3983" s="315">
        <f t="shared" si="792"/>
        <v>1.7542240943717695</v>
      </c>
      <c r="C3983" s="315">
        <f t="shared" si="793"/>
        <v>4.4403869301890747E-2</v>
      </c>
      <c r="D3983" s="309"/>
      <c r="E3983" s="315">
        <f t="shared" si="794"/>
        <v>4.218993607525519</v>
      </c>
      <c r="F3983" s="309"/>
      <c r="G3983" s="309"/>
      <c r="H3983" s="291"/>
    </row>
    <row r="3984" spans="1:8">
      <c r="A3984" s="289" t="s">
        <v>110</v>
      </c>
      <c r="B3984" s="315">
        <f t="shared" si="792"/>
        <v>1.1630433428856493</v>
      </c>
      <c r="C3984" s="315">
        <f t="shared" si="793"/>
        <v>7.9675680043526688E-3</v>
      </c>
      <c r="D3984" s="309"/>
      <c r="E3984" s="315">
        <f t="shared" si="794"/>
        <v>73.286534579214916</v>
      </c>
      <c r="F3984" s="309"/>
      <c r="G3984" s="309"/>
      <c r="H3984" s="291"/>
    </row>
    <row r="3985" spans="1:8">
      <c r="A3985" s="289" t="s">
        <v>1536</v>
      </c>
      <c r="B3985" s="315">
        <f t="shared" si="792"/>
        <v>14.264313813040985</v>
      </c>
      <c r="C3985" s="315">
        <f t="shared" si="793"/>
        <v>0.88465733488756937</v>
      </c>
      <c r="D3985" s="315">
        <f>$D3435+$D3937</f>
        <v>6.8308084670004612E-2</v>
      </c>
      <c r="E3985" s="315">
        <f t="shared" si="794"/>
        <v>4.7981987923226406</v>
      </c>
      <c r="F3985" s="309"/>
      <c r="G3985" s="309"/>
      <c r="H3985" s="291"/>
    </row>
    <row r="3986" spans="1:8">
      <c r="A3986" s="289" t="s">
        <v>1535</v>
      </c>
      <c r="B3986" s="315">
        <f t="shared" si="792"/>
        <v>14.347330117700199</v>
      </c>
      <c r="C3986" s="315">
        <f t="shared" si="793"/>
        <v>0.88975734981165211</v>
      </c>
      <c r="D3986" s="315">
        <f>$D3436+$D3938</f>
        <v>6.8690473142338074E-2</v>
      </c>
      <c r="E3986" s="315">
        <f t="shared" si="794"/>
        <v>7.3939175707594327</v>
      </c>
      <c r="F3986" s="309"/>
      <c r="G3986" s="309"/>
      <c r="H3986" s="291"/>
    </row>
    <row r="3987" spans="1:8">
      <c r="A3987" s="289" t="s">
        <v>98</v>
      </c>
      <c r="B3987" s="315">
        <f t="shared" si="792"/>
        <v>12.358769987547792</v>
      </c>
      <c r="C3987" s="315">
        <f t="shared" si="793"/>
        <v>0.75231190994820163</v>
      </c>
      <c r="D3987" s="315">
        <f>$D3437+$D3939</f>
        <v>4.7832292130284511E-2</v>
      </c>
      <c r="E3987" s="315">
        <f t="shared" si="794"/>
        <v>9.5907113768651691</v>
      </c>
      <c r="F3987" s="315">
        <f>$F3437+$F3939</f>
        <v>4.1250720354993344</v>
      </c>
      <c r="G3987" s="315">
        <f>$G3437+$G3939</f>
        <v>0.4469181258002205</v>
      </c>
      <c r="H3987" s="291"/>
    </row>
    <row r="3988" spans="1:8">
      <c r="A3988" s="289" t="s">
        <v>99</v>
      </c>
      <c r="B3988" s="315">
        <f t="shared" si="792"/>
        <v>10.82011828964292</v>
      </c>
      <c r="C3988" s="315">
        <f t="shared" si="793"/>
        <v>0.63434597996415154</v>
      </c>
      <c r="D3988" s="315">
        <f>$D3438+$D3940</f>
        <v>2.2368772412873269E-2</v>
      </c>
      <c r="E3988" s="315">
        <f t="shared" si="794"/>
        <v>7.3868914397380232</v>
      </c>
      <c r="F3988" s="315">
        <f>$F3438+$F3940</f>
        <v>5.2720049834913407</v>
      </c>
      <c r="G3988" s="315">
        <f>$G3438+$G3940</f>
        <v>0.37270263186655794</v>
      </c>
      <c r="H3988" s="291"/>
    </row>
    <row r="3989" spans="1:8">
      <c r="A3989" s="289" t="s">
        <v>111</v>
      </c>
      <c r="B3989" s="315">
        <f t="shared" si="792"/>
        <v>7.8340508459340246</v>
      </c>
      <c r="C3989" s="315">
        <f t="shared" si="793"/>
        <v>0.43220194365469256</v>
      </c>
      <c r="D3989" s="315">
        <f>$D3439+$D3941</f>
        <v>8.6713596024272453E-3</v>
      </c>
      <c r="E3989" s="315">
        <f t="shared" si="794"/>
        <v>73.286534579214916</v>
      </c>
      <c r="F3989" s="315">
        <f>$F3439+$F3941</f>
        <v>5.5658527817687613</v>
      </c>
      <c r="G3989" s="315">
        <f>$G3439+$G3941</f>
        <v>0.24593666773512463</v>
      </c>
      <c r="H3989" s="291"/>
    </row>
    <row r="3990" spans="1:8">
      <c r="A3990" s="289" t="s">
        <v>131</v>
      </c>
      <c r="B3990" s="315">
        <f t="shared" si="792"/>
        <v>2.2921766191727677</v>
      </c>
      <c r="C3990" s="309"/>
      <c r="D3990" s="309"/>
      <c r="E3990" s="309"/>
      <c r="F3990" s="309"/>
      <c r="G3990" s="309"/>
      <c r="H3990" s="291"/>
    </row>
    <row r="3991" spans="1:8">
      <c r="A3991" s="289" t="s">
        <v>132</v>
      </c>
      <c r="B3991" s="315">
        <f t="shared" si="792"/>
        <v>2.9349762273832987</v>
      </c>
      <c r="C3991" s="309"/>
      <c r="D3991" s="309"/>
      <c r="E3991" s="309"/>
      <c r="F3991" s="309"/>
      <c r="G3991" s="309"/>
      <c r="H3991" s="291"/>
    </row>
    <row r="3992" spans="1:8">
      <c r="A3992" s="289" t="s">
        <v>133</v>
      </c>
      <c r="B3992" s="315">
        <f t="shared" si="792"/>
        <v>4.7203574019624703</v>
      </c>
      <c r="C3992" s="309"/>
      <c r="D3992" s="309"/>
      <c r="E3992" s="309"/>
      <c r="F3992" s="309"/>
      <c r="G3992" s="309"/>
      <c r="H3992" s="291"/>
    </row>
    <row r="3993" spans="1:8">
      <c r="A3993" s="289" t="s">
        <v>134</v>
      </c>
      <c r="B3993" s="315">
        <f t="shared" si="792"/>
        <v>1.6391816691845666</v>
      </c>
      <c r="C3993" s="309"/>
      <c r="D3993" s="309"/>
      <c r="E3993" s="309"/>
      <c r="F3993" s="309"/>
      <c r="G3993" s="309"/>
      <c r="H3993" s="291"/>
    </row>
    <row r="3994" spans="1:8">
      <c r="A3994" s="289" t="s">
        <v>135</v>
      </c>
      <c r="B3994" s="315">
        <f t="shared" si="792"/>
        <v>43.806346441086163</v>
      </c>
      <c r="C3994" s="315">
        <f>$C3444+$C3946</f>
        <v>1.4712778829478954</v>
      </c>
      <c r="D3994" s="315">
        <f>$D3444+$D3946</f>
        <v>0.76739700332346183</v>
      </c>
      <c r="E3994" s="309"/>
      <c r="F3994" s="309"/>
      <c r="G3994" s="309"/>
      <c r="H3994" s="291"/>
    </row>
    <row r="3995" spans="1:8">
      <c r="A3995" s="289" t="s">
        <v>1534</v>
      </c>
      <c r="B3995" s="315">
        <f t="shared" si="792"/>
        <v>-0.66577478723361794</v>
      </c>
      <c r="C3995" s="309"/>
      <c r="D3995" s="309"/>
      <c r="E3995" s="315">
        <f t="shared" ref="E3995:E4002" si="795">$E3445+$E3947</f>
        <v>0</v>
      </c>
      <c r="F3995" s="309"/>
      <c r="G3995" s="309"/>
      <c r="H3995" s="291"/>
    </row>
    <row r="3996" spans="1:8">
      <c r="A3996" s="289" t="s">
        <v>100</v>
      </c>
      <c r="B3996" s="315">
        <f t="shared" si="792"/>
        <v>-0.56665124219375462</v>
      </c>
      <c r="C3996" s="309"/>
      <c r="D3996" s="309"/>
      <c r="E3996" s="315">
        <f t="shared" si="795"/>
        <v>0</v>
      </c>
      <c r="F3996" s="309"/>
      <c r="G3996" s="309"/>
      <c r="H3996" s="291"/>
    </row>
    <row r="3997" spans="1:8">
      <c r="A3997" s="289" t="s">
        <v>101</v>
      </c>
      <c r="B3997" s="315">
        <f t="shared" si="792"/>
        <v>-0.66577478723361794</v>
      </c>
      <c r="C3997" s="309"/>
      <c r="D3997" s="309"/>
      <c r="E3997" s="315">
        <f t="shared" si="795"/>
        <v>0</v>
      </c>
      <c r="F3997" s="309"/>
      <c r="G3997" s="315">
        <f t="shared" ref="G3997:G4002" si="796">$G3447+$G3949</f>
        <v>0.28489004161546949</v>
      </c>
      <c r="H3997" s="291"/>
    </row>
    <row r="3998" spans="1:8">
      <c r="A3998" s="289" t="s">
        <v>102</v>
      </c>
      <c r="B3998" s="315">
        <f t="shared" si="792"/>
        <v>-5.5944982554061342</v>
      </c>
      <c r="C3998" s="315">
        <f>$C3448+$C3950</f>
        <v>-0.42527303695799529</v>
      </c>
      <c r="D3998" s="315">
        <f>$D3448+$D3950</f>
        <v>-5.4661366256107138E-2</v>
      </c>
      <c r="E3998" s="315">
        <f t="shared" si="795"/>
        <v>0</v>
      </c>
      <c r="F3998" s="309"/>
      <c r="G3998" s="315">
        <f t="shared" si="796"/>
        <v>0.28489004161546949</v>
      </c>
      <c r="H3998" s="291"/>
    </row>
    <row r="3999" spans="1:8">
      <c r="A3999" s="289" t="s">
        <v>103</v>
      </c>
      <c r="B3999" s="315">
        <f t="shared" si="792"/>
        <v>-0.56665124219375462</v>
      </c>
      <c r="C3999" s="309"/>
      <c r="D3999" s="309"/>
      <c r="E3999" s="315">
        <f t="shared" si="795"/>
        <v>0</v>
      </c>
      <c r="F3999" s="309"/>
      <c r="G3999" s="315">
        <f t="shared" si="796"/>
        <v>0.242752432445283</v>
      </c>
      <c r="H3999" s="291"/>
    </row>
    <row r="4000" spans="1:8">
      <c r="A4000" s="289" t="s">
        <v>104</v>
      </c>
      <c r="B4000" s="315">
        <f t="shared" si="792"/>
        <v>-4.764140575022175</v>
      </c>
      <c r="C4000" s="315">
        <f>$C3450+$C3952</f>
        <v>-0.36526982294310362</v>
      </c>
      <c r="D4000" s="315">
        <f>$D3450+$D3952</f>
        <v>-4.4403869301890747E-2</v>
      </c>
      <c r="E4000" s="315">
        <f t="shared" si="795"/>
        <v>0</v>
      </c>
      <c r="F4000" s="309"/>
      <c r="G4000" s="315">
        <f t="shared" si="796"/>
        <v>0.242752432445283</v>
      </c>
      <c r="H4000" s="291"/>
    </row>
    <row r="4001" spans="1:8">
      <c r="A4001" s="289" t="s">
        <v>112</v>
      </c>
      <c r="B4001" s="315">
        <f t="shared" si="792"/>
        <v>-0.28756768674820427</v>
      </c>
      <c r="C4001" s="309"/>
      <c r="D4001" s="309"/>
      <c r="E4001" s="315">
        <f t="shared" si="795"/>
        <v>35.333914022225869</v>
      </c>
      <c r="F4001" s="309"/>
      <c r="G4001" s="315">
        <f t="shared" si="796"/>
        <v>0.19640803372980634</v>
      </c>
      <c r="H4001" s="291"/>
    </row>
    <row r="4002" spans="1:8">
      <c r="A4002" s="289" t="s">
        <v>113</v>
      </c>
      <c r="B4002" s="315">
        <f t="shared" si="792"/>
        <v>-2.4282988565257835</v>
      </c>
      <c r="C4002" s="315">
        <f>$C3452+$C3954</f>
        <v>-0.1955460971701572</v>
      </c>
      <c r="D4002" s="315">
        <f>$D3452+$D3954</f>
        <v>-1.5628922364129803E-2</v>
      </c>
      <c r="E4002" s="315">
        <f t="shared" si="795"/>
        <v>35.333914022225869</v>
      </c>
      <c r="F4002" s="309"/>
      <c r="G4002" s="315">
        <f t="shared" si="796"/>
        <v>0.19640803372980634</v>
      </c>
      <c r="H4002" s="291"/>
    </row>
    <row r="4004" spans="1:8" ht="21" customHeight="1">
      <c r="A4004" s="1" t="s">
        <v>1121</v>
      </c>
    </row>
    <row r="4006" spans="1:8" ht="30">
      <c r="B4006" s="288" t="s">
        <v>1116</v>
      </c>
      <c r="C4006" s="288" t="s">
        <v>1117</v>
      </c>
      <c r="D4006" s="288" t="s">
        <v>1118</v>
      </c>
      <c r="E4006" s="288" t="s">
        <v>1119</v>
      </c>
      <c r="F4006" s="288" t="s">
        <v>1120</v>
      </c>
      <c r="G4006" s="288" t="s">
        <v>776</v>
      </c>
    </row>
    <row r="4007" spans="1:8">
      <c r="A4007" s="289" t="s">
        <v>1122</v>
      </c>
      <c r="B4007" s="305">
        <v>3</v>
      </c>
      <c r="C4007" s="305">
        <v>3</v>
      </c>
      <c r="D4007" s="305">
        <v>3</v>
      </c>
      <c r="E4007" s="305">
        <v>2</v>
      </c>
      <c r="F4007" s="305">
        <v>2</v>
      </c>
      <c r="G4007" s="305">
        <v>3</v>
      </c>
      <c r="H4007" s="291"/>
    </row>
    <row r="4009" spans="1:8" ht="21" customHeight="1">
      <c r="A4009" s="1" t="s">
        <v>1123</v>
      </c>
    </row>
    <row r="4010" spans="1:8">
      <c r="A4010" s="287" t="s">
        <v>255</v>
      </c>
    </row>
    <row r="4011" spans="1:8">
      <c r="A4011" s="301" t="s">
        <v>1124</v>
      </c>
    </row>
    <row r="4012" spans="1:8">
      <c r="A4012" s="301" t="s">
        <v>1125</v>
      </c>
    </row>
    <row r="4013" spans="1:8">
      <c r="A4013" s="301" t="s">
        <v>1126</v>
      </c>
    </row>
    <row r="4014" spans="1:8">
      <c r="A4014" s="301" t="s">
        <v>1127</v>
      </c>
    </row>
    <row r="4015" spans="1:8">
      <c r="A4015" s="301" t="s">
        <v>1128</v>
      </c>
    </row>
    <row r="4016" spans="1:8">
      <c r="A4016" s="301" t="s">
        <v>1129</v>
      </c>
    </row>
    <row r="4017" spans="1:8">
      <c r="A4017" s="301" t="s">
        <v>1130</v>
      </c>
    </row>
    <row r="4018" spans="1:8">
      <c r="A4018" s="301" t="s">
        <v>1131</v>
      </c>
    </row>
    <row r="4019" spans="1:8">
      <c r="A4019" s="301" t="s">
        <v>1132</v>
      </c>
    </row>
    <row r="4020" spans="1:8">
      <c r="A4020" s="301" t="s">
        <v>1133</v>
      </c>
    </row>
    <row r="4021" spans="1:8">
      <c r="A4021" s="301" t="s">
        <v>1134</v>
      </c>
    </row>
    <row r="4022" spans="1:8">
      <c r="A4022" s="301" t="s">
        <v>1135</v>
      </c>
    </row>
    <row r="4023" spans="1:8">
      <c r="A4023" s="302" t="s">
        <v>258</v>
      </c>
      <c r="B4023" s="302" t="s">
        <v>380</v>
      </c>
      <c r="C4023" s="302" t="s">
        <v>380</v>
      </c>
      <c r="D4023" s="302" t="s">
        <v>380</v>
      </c>
      <c r="E4023" s="302" t="s">
        <v>380</v>
      </c>
      <c r="F4023" s="302" t="s">
        <v>380</v>
      </c>
      <c r="G4023" s="302" t="s">
        <v>380</v>
      </c>
    </row>
    <row r="4024" spans="1:8">
      <c r="A4024" s="302" t="s">
        <v>261</v>
      </c>
      <c r="B4024" s="302" t="s">
        <v>1136</v>
      </c>
      <c r="C4024" s="302" t="s">
        <v>1137</v>
      </c>
      <c r="D4024" s="302" t="s">
        <v>1138</v>
      </c>
      <c r="E4024" s="302" t="s">
        <v>1139</v>
      </c>
      <c r="F4024" s="302" t="s">
        <v>1140</v>
      </c>
      <c r="G4024" s="302" t="s">
        <v>1141</v>
      </c>
    </row>
    <row r="4026" spans="1:8" ht="30">
      <c r="B4026" s="288" t="s">
        <v>1116</v>
      </c>
      <c r="C4026" s="288" t="s">
        <v>1117</v>
      </c>
      <c r="D4026" s="288" t="s">
        <v>1118</v>
      </c>
      <c r="E4026" s="288" t="s">
        <v>1119</v>
      </c>
      <c r="F4026" s="288" t="s">
        <v>1120</v>
      </c>
      <c r="G4026" s="288" t="s">
        <v>776</v>
      </c>
    </row>
    <row r="4027" spans="1:8">
      <c r="A4027" s="289" t="s">
        <v>92</v>
      </c>
      <c r="B4027" s="315">
        <f t="shared" ref="B4027:B4053" si="797">ROUND(B3976,B$4007)-B3976</f>
        <v>3.8992960849215663E-4</v>
      </c>
      <c r="C4027" s="309"/>
      <c r="D4027" s="309"/>
      <c r="E4027" s="315">
        <f>ROUND(E3976,E$4007)-E3976</f>
        <v>1.8012076773592511E-3</v>
      </c>
      <c r="F4027" s="309"/>
      <c r="G4027" s="309"/>
      <c r="H4027" s="291"/>
    </row>
    <row r="4028" spans="1:8">
      <c r="A4028" s="289" t="s">
        <v>93</v>
      </c>
      <c r="B4028" s="315">
        <f t="shared" si="797"/>
        <v>-2.4912096860951749E-5</v>
      </c>
      <c r="C4028" s="315">
        <f>ROUND(C3977,C$4007)-C3977</f>
        <v>1.0135600082125662E-4</v>
      </c>
      <c r="D4028" s="309"/>
      <c r="E4028" s="315">
        <f>ROUND(E3977,E$4007)-E3977</f>
        <v>1.8012076773592511E-3</v>
      </c>
      <c r="F4028" s="309"/>
      <c r="G4028" s="309"/>
      <c r="H4028" s="291"/>
    </row>
    <row r="4029" spans="1:8">
      <c r="A4029" s="289" t="s">
        <v>129</v>
      </c>
      <c r="B4029" s="315">
        <f t="shared" si="797"/>
        <v>-3.7893008903946979E-4</v>
      </c>
      <c r="C4029" s="309"/>
      <c r="D4029" s="309"/>
      <c r="E4029" s="309"/>
      <c r="F4029" s="309"/>
      <c r="G4029" s="309"/>
      <c r="H4029" s="291"/>
    </row>
    <row r="4030" spans="1:8">
      <c r="A4030" s="289" t="s">
        <v>94</v>
      </c>
      <c r="B4030" s="315">
        <f t="shared" si="797"/>
        <v>-2.2835790914665921E-4</v>
      </c>
      <c r="C4030" s="309"/>
      <c r="D4030" s="309"/>
      <c r="E4030" s="315">
        <f>ROUND(E3979,E$4007)-E3979</f>
        <v>-3.9175707594329978E-3</v>
      </c>
      <c r="F4030" s="309"/>
      <c r="G4030" s="309"/>
      <c r="H4030" s="291"/>
    </row>
    <row r="4031" spans="1:8">
      <c r="A4031" s="289" t="s">
        <v>95</v>
      </c>
      <c r="B4031" s="315">
        <f t="shared" si="797"/>
        <v>3.7240262621995868E-4</v>
      </c>
      <c r="C4031" s="315">
        <f>ROUND(C3980,C$4007)-C3980</f>
        <v>-2.2064304061056306E-4</v>
      </c>
      <c r="D4031" s="309"/>
      <c r="E4031" s="315">
        <f>ROUND(E3980,E$4007)-E3980</f>
        <v>-3.9175707594329978E-3</v>
      </c>
      <c r="F4031" s="309"/>
      <c r="G4031" s="309"/>
      <c r="H4031" s="291"/>
    </row>
    <row r="4032" spans="1:8">
      <c r="A4032" s="289" t="s">
        <v>130</v>
      </c>
      <c r="B4032" s="315">
        <f t="shared" si="797"/>
        <v>-3.6542304204839615E-4</v>
      </c>
      <c r="C4032" s="309"/>
      <c r="D4032" s="309"/>
      <c r="E4032" s="309"/>
      <c r="F4032" s="309"/>
      <c r="G4032" s="309"/>
      <c r="H4032" s="291"/>
    </row>
    <row r="4033" spans="1:8">
      <c r="A4033" s="289" t="s">
        <v>96</v>
      </c>
      <c r="B4033" s="315">
        <f t="shared" si="797"/>
        <v>-2.0421118623570322E-4</v>
      </c>
      <c r="C4033" s="315">
        <f t="shared" ref="C4033:C4040" si="798">ROUND(C3982,C$4007)-C3982</f>
        <v>3.3863374389286188E-4</v>
      </c>
      <c r="D4033" s="309"/>
      <c r="E4033" s="315">
        <f t="shared" ref="E4033:E4040" si="799">ROUND(E3982,E$4007)-E3982</f>
        <v>1.1110908337856884E-3</v>
      </c>
      <c r="F4033" s="309"/>
      <c r="G4033" s="309"/>
      <c r="H4033" s="291"/>
    </row>
    <row r="4034" spans="1:8">
      <c r="A4034" s="289" t="s">
        <v>97</v>
      </c>
      <c r="B4034" s="315">
        <f t="shared" si="797"/>
        <v>-2.2409437176951208E-4</v>
      </c>
      <c r="C4034" s="315">
        <f t="shared" si="798"/>
        <v>-4.0386930189074965E-4</v>
      </c>
      <c r="D4034" s="309"/>
      <c r="E4034" s="315">
        <f t="shared" si="799"/>
        <v>1.0063924744807551E-3</v>
      </c>
      <c r="F4034" s="309"/>
      <c r="G4034" s="309"/>
      <c r="H4034" s="291"/>
    </row>
    <row r="4035" spans="1:8">
      <c r="A4035" s="289" t="s">
        <v>110</v>
      </c>
      <c r="B4035" s="315">
        <f t="shared" si="797"/>
        <v>-4.3342885649222396E-5</v>
      </c>
      <c r="C4035" s="315">
        <f t="shared" si="798"/>
        <v>3.2431995647331374E-5</v>
      </c>
      <c r="D4035" s="309"/>
      <c r="E4035" s="315">
        <f t="shared" si="799"/>
        <v>3.4654207850906005E-3</v>
      </c>
      <c r="F4035" s="309"/>
      <c r="G4035" s="309"/>
      <c r="H4035" s="291"/>
    </row>
    <row r="4036" spans="1:8">
      <c r="A4036" s="289" t="s">
        <v>1536</v>
      </c>
      <c r="B4036" s="315">
        <f t="shared" si="797"/>
        <v>-3.1381304098587748E-4</v>
      </c>
      <c r="C4036" s="315">
        <f t="shared" si="798"/>
        <v>3.4266511243064013E-4</v>
      </c>
      <c r="D4036" s="315">
        <f>ROUND(D3985,D$4007)-D3985</f>
        <v>-3.0808467000460749E-4</v>
      </c>
      <c r="E4036" s="315">
        <f t="shared" si="799"/>
        <v>1.8012076773592511E-3</v>
      </c>
      <c r="F4036" s="309"/>
      <c r="G4036" s="309"/>
      <c r="H4036" s="291"/>
    </row>
    <row r="4037" spans="1:8">
      <c r="A4037" s="289" t="s">
        <v>1535</v>
      </c>
      <c r="B4037" s="315">
        <f t="shared" si="797"/>
        <v>-3.3011770019975017E-4</v>
      </c>
      <c r="C4037" s="315">
        <f t="shared" si="798"/>
        <v>2.4265018834790375E-4</v>
      </c>
      <c r="D4037" s="315">
        <f>ROUND(D3986,D$4007)-D3986</f>
        <v>3.09526857661932E-4</v>
      </c>
      <c r="E4037" s="315">
        <f t="shared" si="799"/>
        <v>-3.9175707594329978E-3</v>
      </c>
      <c r="F4037" s="309"/>
      <c r="G4037" s="309"/>
      <c r="H4037" s="291"/>
    </row>
    <row r="4038" spans="1:8">
      <c r="A4038" s="289" t="s">
        <v>98</v>
      </c>
      <c r="B4038" s="315">
        <f t="shared" si="797"/>
        <v>2.30012452208328E-4</v>
      </c>
      <c r="C4038" s="315">
        <f t="shared" si="798"/>
        <v>-3.1190994820162743E-4</v>
      </c>
      <c r="D4038" s="315">
        <f>ROUND(D3987,D$4007)-D3987</f>
        <v>1.6770786971549018E-4</v>
      </c>
      <c r="E4038" s="315">
        <f t="shared" si="799"/>
        <v>-7.1137686516919985E-4</v>
      </c>
      <c r="F4038" s="315">
        <f t="shared" ref="F4038:G4040" si="800">ROUND(F3987,F$4007)-F3987</f>
        <v>4.9279645006654604E-3</v>
      </c>
      <c r="G4038" s="315">
        <f t="shared" si="800"/>
        <v>8.187419977950805E-5</v>
      </c>
      <c r="H4038" s="291"/>
    </row>
    <row r="4039" spans="1:8">
      <c r="A4039" s="289" t="s">
        <v>99</v>
      </c>
      <c r="B4039" s="315">
        <f t="shared" si="797"/>
        <v>-1.1828964291993316E-4</v>
      </c>
      <c r="C4039" s="315">
        <f t="shared" si="798"/>
        <v>-3.4597996415153265E-4</v>
      </c>
      <c r="D4039" s="315">
        <f>ROUND(D3988,D$4007)-D3988</f>
        <v>-3.6877241287327014E-4</v>
      </c>
      <c r="E4039" s="315">
        <f t="shared" si="799"/>
        <v>3.1085602619764785E-3</v>
      </c>
      <c r="F4039" s="315">
        <f t="shared" si="800"/>
        <v>-2.0049834913411502E-3</v>
      </c>
      <c r="G4039" s="315">
        <f t="shared" si="800"/>
        <v>2.9736813344205526E-4</v>
      </c>
      <c r="H4039" s="291"/>
    </row>
    <row r="4040" spans="1:8">
      <c r="A4040" s="289" t="s">
        <v>111</v>
      </c>
      <c r="B4040" s="315">
        <f t="shared" si="797"/>
        <v>-5.0845934024934536E-5</v>
      </c>
      <c r="C4040" s="315">
        <f t="shared" si="798"/>
        <v>-2.0194365469256015E-4</v>
      </c>
      <c r="D4040" s="315">
        <f>ROUND(D3989,D$4007)-D3989</f>
        <v>3.2864039757275407E-4</v>
      </c>
      <c r="E4040" s="315">
        <f t="shared" si="799"/>
        <v>3.4654207850906005E-3</v>
      </c>
      <c r="F4040" s="315">
        <f t="shared" si="800"/>
        <v>4.1472182312389805E-3</v>
      </c>
      <c r="G4040" s="315">
        <f t="shared" si="800"/>
        <v>6.3332264875370914E-5</v>
      </c>
      <c r="H4040" s="291"/>
    </row>
    <row r="4041" spans="1:8">
      <c r="A4041" s="289" t="s">
        <v>131</v>
      </c>
      <c r="B4041" s="315">
        <f t="shared" si="797"/>
        <v>-1.7661917276790007E-4</v>
      </c>
      <c r="C4041" s="309"/>
      <c r="D4041" s="309"/>
      <c r="E4041" s="309"/>
      <c r="F4041" s="309"/>
      <c r="G4041" s="309"/>
      <c r="H4041" s="291"/>
    </row>
    <row r="4042" spans="1:8">
      <c r="A4042" s="289" t="s">
        <v>132</v>
      </c>
      <c r="B4042" s="315">
        <f t="shared" si="797"/>
        <v>2.3772616701389637E-5</v>
      </c>
      <c r="C4042" s="309"/>
      <c r="D4042" s="309"/>
      <c r="E4042" s="309"/>
      <c r="F4042" s="309"/>
      <c r="G4042" s="309"/>
      <c r="H4042" s="291"/>
    </row>
    <row r="4043" spans="1:8">
      <c r="A4043" s="289" t="s">
        <v>133</v>
      </c>
      <c r="B4043" s="315">
        <f t="shared" si="797"/>
        <v>-3.5740196247058265E-4</v>
      </c>
      <c r="C4043" s="309"/>
      <c r="D4043" s="309"/>
      <c r="E4043" s="309"/>
      <c r="F4043" s="309"/>
      <c r="G4043" s="309"/>
      <c r="H4043" s="291"/>
    </row>
    <row r="4044" spans="1:8">
      <c r="A4044" s="289" t="s">
        <v>134</v>
      </c>
      <c r="B4044" s="315">
        <f t="shared" si="797"/>
        <v>-1.8166918456663517E-4</v>
      </c>
      <c r="C4044" s="309"/>
      <c r="D4044" s="309"/>
      <c r="E4044" s="309"/>
      <c r="F4044" s="309"/>
      <c r="G4044" s="309"/>
      <c r="H4044" s="291"/>
    </row>
    <row r="4045" spans="1:8">
      <c r="A4045" s="289" t="s">
        <v>135</v>
      </c>
      <c r="B4045" s="315">
        <f t="shared" si="797"/>
        <v>-3.4644108616532776E-4</v>
      </c>
      <c r="C4045" s="315">
        <f>ROUND(C3994,C$4007)-C3994</f>
        <v>-2.7788294789532486E-4</v>
      </c>
      <c r="D4045" s="315">
        <f>ROUND(D3994,D$4007)-D3994</f>
        <v>-3.9700332346181977E-4</v>
      </c>
      <c r="E4045" s="309"/>
      <c r="F4045" s="309"/>
      <c r="G4045" s="309"/>
      <c r="H4045" s="291"/>
    </row>
    <row r="4046" spans="1:8">
      <c r="A4046" s="289" t="s">
        <v>1534</v>
      </c>
      <c r="B4046" s="315">
        <f t="shared" si="797"/>
        <v>-2.2521276638209908E-4</v>
      </c>
      <c r="C4046" s="309"/>
      <c r="D4046" s="309"/>
      <c r="E4046" s="315">
        <f t="shared" ref="E4046:E4053" si="801">ROUND(E3995,E$4007)-E3995</f>
        <v>0</v>
      </c>
      <c r="F4046" s="309"/>
      <c r="G4046" s="309"/>
      <c r="H4046" s="291"/>
    </row>
    <row r="4047" spans="1:8">
      <c r="A4047" s="289" t="s">
        <v>100</v>
      </c>
      <c r="B4047" s="315">
        <f t="shared" si="797"/>
        <v>-3.487578062453256E-4</v>
      </c>
      <c r="C4047" s="309"/>
      <c r="D4047" s="309"/>
      <c r="E4047" s="315">
        <f t="shared" si="801"/>
        <v>0</v>
      </c>
      <c r="F4047" s="309"/>
      <c r="G4047" s="309"/>
      <c r="H4047" s="291"/>
    </row>
    <row r="4048" spans="1:8">
      <c r="A4048" s="289" t="s">
        <v>101</v>
      </c>
      <c r="B4048" s="315">
        <f t="shared" si="797"/>
        <v>-2.2521276638209908E-4</v>
      </c>
      <c r="C4048" s="309"/>
      <c r="D4048" s="309"/>
      <c r="E4048" s="315">
        <f t="shared" si="801"/>
        <v>0</v>
      </c>
      <c r="F4048" s="309"/>
      <c r="G4048" s="315">
        <f t="shared" ref="G4048:G4053" si="802">ROUND(G3997,G$4007)-G3997</f>
        <v>1.0995838453048412E-4</v>
      </c>
      <c r="H4048" s="291"/>
    </row>
    <row r="4049" spans="1:8">
      <c r="A4049" s="289" t="s">
        <v>102</v>
      </c>
      <c r="B4049" s="315">
        <f t="shared" si="797"/>
        <v>4.9825540613390729E-4</v>
      </c>
      <c r="C4049" s="315">
        <f>ROUND(C3998,C$4007)-C3998</f>
        <v>2.7303695799529848E-4</v>
      </c>
      <c r="D4049" s="315">
        <f>ROUND(D3998,D$4007)-D3998</f>
        <v>-3.3863374389286188E-4</v>
      </c>
      <c r="E4049" s="315">
        <f t="shared" si="801"/>
        <v>0</v>
      </c>
      <c r="F4049" s="309"/>
      <c r="G4049" s="315">
        <f t="shared" si="802"/>
        <v>1.0995838453048412E-4</v>
      </c>
      <c r="H4049" s="291"/>
    </row>
    <row r="4050" spans="1:8">
      <c r="A4050" s="289" t="s">
        <v>103</v>
      </c>
      <c r="B4050" s="315">
        <f t="shared" si="797"/>
        <v>-3.487578062453256E-4</v>
      </c>
      <c r="C4050" s="309"/>
      <c r="D4050" s="309"/>
      <c r="E4050" s="315">
        <f t="shared" si="801"/>
        <v>0</v>
      </c>
      <c r="F4050" s="309"/>
      <c r="G4050" s="315">
        <f t="shared" si="802"/>
        <v>2.4756755471699865E-4</v>
      </c>
      <c r="H4050" s="291"/>
    </row>
    <row r="4051" spans="1:8">
      <c r="A4051" s="289" t="s">
        <v>104</v>
      </c>
      <c r="B4051" s="315">
        <f t="shared" si="797"/>
        <v>1.4057502217479367E-4</v>
      </c>
      <c r="C4051" s="315">
        <f>ROUND(C4000,C$4007)-C4000</f>
        <v>2.6982294310362587E-4</v>
      </c>
      <c r="D4051" s="315">
        <f>ROUND(D4000,D$4007)-D4000</f>
        <v>4.0386930189074965E-4</v>
      </c>
      <c r="E4051" s="315">
        <f t="shared" si="801"/>
        <v>0</v>
      </c>
      <c r="F4051" s="309"/>
      <c r="G4051" s="315">
        <f t="shared" si="802"/>
        <v>2.4756755471699865E-4</v>
      </c>
      <c r="H4051" s="291"/>
    </row>
    <row r="4052" spans="1:8">
      <c r="A4052" s="289" t="s">
        <v>112</v>
      </c>
      <c r="B4052" s="315">
        <f t="shared" si="797"/>
        <v>-4.3231325179571289E-4</v>
      </c>
      <c r="C4052" s="309"/>
      <c r="D4052" s="309"/>
      <c r="E4052" s="315">
        <f t="shared" si="801"/>
        <v>-3.9140222258708945E-3</v>
      </c>
      <c r="F4052" s="309"/>
      <c r="G4052" s="315">
        <f t="shared" si="802"/>
        <v>-4.0803372980632857E-4</v>
      </c>
      <c r="H4052" s="291"/>
    </row>
    <row r="4053" spans="1:8">
      <c r="A4053" s="289" t="s">
        <v>113</v>
      </c>
      <c r="B4053" s="315">
        <f t="shared" si="797"/>
        <v>2.9885652578354183E-4</v>
      </c>
      <c r="C4053" s="315">
        <f>ROUND(C4002,C$4007)-C4002</f>
        <v>-4.5390282984281161E-4</v>
      </c>
      <c r="D4053" s="315">
        <f>ROUND(D4002,D$4007)-D4002</f>
        <v>-3.7107763587019768E-4</v>
      </c>
      <c r="E4053" s="315">
        <f t="shared" si="801"/>
        <v>-3.9140222258708945E-3</v>
      </c>
      <c r="F4053" s="309"/>
      <c r="G4053" s="315">
        <f t="shared" si="802"/>
        <v>-4.0803372980632857E-4</v>
      </c>
      <c r="H4053" s="291"/>
    </row>
    <row r="4055" spans="1:8" ht="21" customHeight="1">
      <c r="A4055" s="1" t="s">
        <v>1142</v>
      </c>
    </row>
    <row r="4056" spans="1:8">
      <c r="A4056" s="287" t="s">
        <v>255</v>
      </c>
    </row>
    <row r="4057" spans="1:8">
      <c r="A4057" s="301" t="s">
        <v>1124</v>
      </c>
    </row>
    <row r="4058" spans="1:8">
      <c r="A4058" s="301" t="s">
        <v>1143</v>
      </c>
    </row>
    <row r="4059" spans="1:8">
      <c r="A4059" s="301" t="s">
        <v>1126</v>
      </c>
    </row>
    <row r="4060" spans="1:8">
      <c r="A4060" s="301" t="s">
        <v>1144</v>
      </c>
    </row>
    <row r="4061" spans="1:8">
      <c r="A4061" s="301" t="s">
        <v>1128</v>
      </c>
    </row>
    <row r="4062" spans="1:8">
      <c r="A4062" s="301" t="s">
        <v>1145</v>
      </c>
    </row>
    <row r="4063" spans="1:8">
      <c r="A4063" s="301" t="s">
        <v>1130</v>
      </c>
    </row>
    <row r="4064" spans="1:8">
      <c r="A4064" s="301" t="s">
        <v>1146</v>
      </c>
    </row>
    <row r="4065" spans="1:8">
      <c r="A4065" s="301" t="s">
        <v>1132</v>
      </c>
    </row>
    <row r="4066" spans="1:8">
      <c r="A4066" s="301" t="s">
        <v>1147</v>
      </c>
    </row>
    <row r="4067" spans="1:8">
      <c r="A4067" s="301" t="s">
        <v>1134</v>
      </c>
    </row>
    <row r="4068" spans="1:8">
      <c r="A4068" s="301" t="s">
        <v>1148</v>
      </c>
    </row>
    <row r="4069" spans="1:8">
      <c r="A4069" s="302" t="s">
        <v>258</v>
      </c>
      <c r="B4069" s="302" t="s">
        <v>380</v>
      </c>
      <c r="C4069" s="302" t="s">
        <v>380</v>
      </c>
      <c r="D4069" s="302" t="s">
        <v>380</v>
      </c>
      <c r="E4069" s="302" t="s">
        <v>380</v>
      </c>
      <c r="F4069" s="302" t="s">
        <v>380</v>
      </c>
      <c r="G4069" s="302" t="s">
        <v>380</v>
      </c>
    </row>
    <row r="4070" spans="1:8">
      <c r="A4070" s="302" t="s">
        <v>261</v>
      </c>
      <c r="B4070" s="302" t="s">
        <v>1110</v>
      </c>
      <c r="C4070" s="302" t="s">
        <v>1111</v>
      </c>
      <c r="D4070" s="302" t="s">
        <v>1112</v>
      </c>
      <c r="E4070" s="302" t="s">
        <v>1113</v>
      </c>
      <c r="F4070" s="302" t="s">
        <v>1114</v>
      </c>
      <c r="G4070" s="302" t="s">
        <v>1115</v>
      </c>
    </row>
    <row r="4072" spans="1:8" ht="30">
      <c r="B4072" s="288" t="s">
        <v>1116</v>
      </c>
      <c r="C4072" s="288" t="s">
        <v>1117</v>
      </c>
      <c r="D4072" s="288" t="s">
        <v>1118</v>
      </c>
      <c r="E4072" s="288" t="s">
        <v>1119</v>
      </c>
      <c r="F4072" s="288" t="s">
        <v>1120</v>
      </c>
      <c r="G4072" s="288" t="s">
        <v>776</v>
      </c>
    </row>
    <row r="4073" spans="1:8">
      <c r="A4073" s="289" t="s">
        <v>92</v>
      </c>
      <c r="B4073" s="306">
        <f t="shared" ref="B4073:B4099" si="803">B3976+B4027</f>
        <v>2.5009999999999999</v>
      </c>
      <c r="C4073" s="309"/>
      <c r="D4073" s="309"/>
      <c r="E4073" s="316">
        <f>E3976+E4027</f>
        <v>4.8</v>
      </c>
      <c r="F4073" s="309"/>
      <c r="G4073" s="309"/>
      <c r="H4073" s="291"/>
    </row>
    <row r="4074" spans="1:8">
      <c r="A4074" s="289" t="s">
        <v>93</v>
      </c>
      <c r="B4074" s="306">
        <f t="shared" si="803"/>
        <v>2.972</v>
      </c>
      <c r="C4074" s="306">
        <f>C3977+C4028</f>
        <v>8.1000000000000003E-2</v>
      </c>
      <c r="D4074" s="309"/>
      <c r="E4074" s="316">
        <f>E3977+E4028</f>
        <v>4.8</v>
      </c>
      <c r="F4074" s="309"/>
      <c r="G4074" s="309"/>
      <c r="H4074" s="291"/>
    </row>
    <row r="4075" spans="1:8">
      <c r="A4075" s="289" t="s">
        <v>129</v>
      </c>
      <c r="B4075" s="306">
        <f t="shared" si="803"/>
        <v>0.223</v>
      </c>
      <c r="C4075" s="309"/>
      <c r="D4075" s="309"/>
      <c r="E4075" s="309"/>
      <c r="F4075" s="309"/>
      <c r="G4075" s="309"/>
      <c r="H4075" s="291"/>
    </row>
    <row r="4076" spans="1:8">
      <c r="A4076" s="289" t="s">
        <v>94</v>
      </c>
      <c r="B4076" s="306">
        <f t="shared" si="803"/>
        <v>2.335</v>
      </c>
      <c r="C4076" s="309"/>
      <c r="D4076" s="309"/>
      <c r="E4076" s="316">
        <f>E3979+E4030</f>
        <v>7.39</v>
      </c>
      <c r="F4076" s="309"/>
      <c r="G4076" s="309"/>
      <c r="H4076" s="291"/>
    </row>
    <row r="4077" spans="1:8">
      <c r="A4077" s="289" t="s">
        <v>95</v>
      </c>
      <c r="B4077" s="306">
        <f t="shared" si="803"/>
        <v>2.6760000000000002</v>
      </c>
      <c r="C4077" s="306">
        <f>C3980+C4031</f>
        <v>7.6999999999999999E-2</v>
      </c>
      <c r="D4077" s="309"/>
      <c r="E4077" s="316">
        <f>E3980+E4031</f>
        <v>7.39</v>
      </c>
      <c r="F4077" s="309"/>
      <c r="G4077" s="309"/>
      <c r="H4077" s="291"/>
    </row>
    <row r="4078" spans="1:8">
      <c r="A4078" s="289" t="s">
        <v>130</v>
      </c>
      <c r="B4078" s="306">
        <f t="shared" si="803"/>
        <v>0.41699999999999998</v>
      </c>
      <c r="C4078" s="309"/>
      <c r="D4078" s="309"/>
      <c r="E4078" s="309"/>
      <c r="F4078" s="309"/>
      <c r="G4078" s="309"/>
      <c r="H4078" s="291"/>
    </row>
    <row r="4079" spans="1:8">
      <c r="A4079" s="289" t="s">
        <v>96</v>
      </c>
      <c r="B4079" s="306">
        <f t="shared" si="803"/>
        <v>1.9530000000000001</v>
      </c>
      <c r="C4079" s="306">
        <f t="shared" ref="C4079:C4086" si="804">C3982+C4033</f>
        <v>5.5E-2</v>
      </c>
      <c r="D4079" s="309"/>
      <c r="E4079" s="316">
        <f t="shared" ref="E4079:E4086" si="805">E3982+E4033</f>
        <v>5.69</v>
      </c>
      <c r="F4079" s="309"/>
      <c r="G4079" s="309"/>
      <c r="H4079" s="291"/>
    </row>
    <row r="4080" spans="1:8">
      <c r="A4080" s="289" t="s">
        <v>97</v>
      </c>
      <c r="B4080" s="306">
        <f t="shared" si="803"/>
        <v>1.754</v>
      </c>
      <c r="C4080" s="306">
        <f t="shared" si="804"/>
        <v>4.3999999999999997E-2</v>
      </c>
      <c r="D4080" s="309"/>
      <c r="E4080" s="316">
        <f t="shared" si="805"/>
        <v>4.22</v>
      </c>
      <c r="F4080" s="309"/>
      <c r="G4080" s="309"/>
      <c r="H4080" s="291"/>
    </row>
    <row r="4081" spans="1:8">
      <c r="A4081" s="289" t="s">
        <v>110</v>
      </c>
      <c r="B4081" s="306">
        <f t="shared" si="803"/>
        <v>1.163</v>
      </c>
      <c r="C4081" s="306">
        <f t="shared" si="804"/>
        <v>8.0000000000000002E-3</v>
      </c>
      <c r="D4081" s="309"/>
      <c r="E4081" s="316">
        <f t="shared" si="805"/>
        <v>73.290000000000006</v>
      </c>
      <c r="F4081" s="309"/>
      <c r="G4081" s="309"/>
      <c r="H4081" s="291"/>
    </row>
    <row r="4082" spans="1:8">
      <c r="A4082" s="289" t="s">
        <v>1536</v>
      </c>
      <c r="B4082" s="306">
        <f t="shared" si="803"/>
        <v>14.263999999999999</v>
      </c>
      <c r="C4082" s="306">
        <f t="shared" si="804"/>
        <v>0.88500000000000001</v>
      </c>
      <c r="D4082" s="306">
        <f>D3985+D4036</f>
        <v>6.8000000000000005E-2</v>
      </c>
      <c r="E4082" s="316">
        <f t="shared" si="805"/>
        <v>4.8</v>
      </c>
      <c r="F4082" s="309"/>
      <c r="G4082" s="309"/>
      <c r="H4082" s="291"/>
    </row>
    <row r="4083" spans="1:8">
      <c r="A4083" s="289" t="s">
        <v>1535</v>
      </c>
      <c r="B4083" s="306">
        <f t="shared" si="803"/>
        <v>14.347</v>
      </c>
      <c r="C4083" s="306">
        <f t="shared" si="804"/>
        <v>0.89</v>
      </c>
      <c r="D4083" s="306">
        <f>D3986+D4037</f>
        <v>6.9000000000000006E-2</v>
      </c>
      <c r="E4083" s="316">
        <f t="shared" si="805"/>
        <v>7.39</v>
      </c>
      <c r="F4083" s="309"/>
      <c r="G4083" s="309"/>
      <c r="H4083" s="291"/>
    </row>
    <row r="4084" spans="1:8">
      <c r="A4084" s="289" t="s">
        <v>98</v>
      </c>
      <c r="B4084" s="306">
        <f t="shared" si="803"/>
        <v>12.359</v>
      </c>
      <c r="C4084" s="306">
        <f t="shared" si="804"/>
        <v>0.752</v>
      </c>
      <c r="D4084" s="306">
        <f>D3987+D4038</f>
        <v>4.8000000000000001E-2</v>
      </c>
      <c r="E4084" s="316">
        <f t="shared" si="805"/>
        <v>9.59</v>
      </c>
      <c r="F4084" s="316">
        <f t="shared" ref="F4084:G4086" si="806">F3987+F4038</f>
        <v>4.13</v>
      </c>
      <c r="G4084" s="306">
        <f t="shared" si="806"/>
        <v>0.44700000000000001</v>
      </c>
      <c r="H4084" s="291"/>
    </row>
    <row r="4085" spans="1:8">
      <c r="A4085" s="289" t="s">
        <v>99</v>
      </c>
      <c r="B4085" s="306">
        <f t="shared" si="803"/>
        <v>10.82</v>
      </c>
      <c r="C4085" s="306">
        <f t="shared" si="804"/>
        <v>0.63400000000000001</v>
      </c>
      <c r="D4085" s="306">
        <f>D3988+D4039</f>
        <v>2.1999999999999999E-2</v>
      </c>
      <c r="E4085" s="316">
        <f t="shared" si="805"/>
        <v>7.39</v>
      </c>
      <c r="F4085" s="316">
        <f t="shared" si="806"/>
        <v>5.27</v>
      </c>
      <c r="G4085" s="306">
        <f t="shared" si="806"/>
        <v>0.373</v>
      </c>
      <c r="H4085" s="291"/>
    </row>
    <row r="4086" spans="1:8">
      <c r="A4086" s="289" t="s">
        <v>111</v>
      </c>
      <c r="B4086" s="306">
        <f t="shared" si="803"/>
        <v>7.8339999999999996</v>
      </c>
      <c r="C4086" s="306">
        <f t="shared" si="804"/>
        <v>0.432</v>
      </c>
      <c r="D4086" s="306">
        <f>D3989+D4040</f>
        <v>8.9999999999999993E-3</v>
      </c>
      <c r="E4086" s="316">
        <f t="shared" si="805"/>
        <v>73.290000000000006</v>
      </c>
      <c r="F4086" s="316">
        <f t="shared" si="806"/>
        <v>5.57</v>
      </c>
      <c r="G4086" s="306">
        <f t="shared" si="806"/>
        <v>0.246</v>
      </c>
      <c r="H4086" s="291"/>
    </row>
    <row r="4087" spans="1:8">
      <c r="A4087" s="289" t="s">
        <v>131</v>
      </c>
      <c r="B4087" s="306">
        <f t="shared" si="803"/>
        <v>2.2919999999999998</v>
      </c>
      <c r="C4087" s="309"/>
      <c r="D4087" s="309"/>
      <c r="E4087" s="309"/>
      <c r="F4087" s="309"/>
      <c r="G4087" s="309"/>
      <c r="H4087" s="291"/>
    </row>
    <row r="4088" spans="1:8">
      <c r="A4088" s="289" t="s">
        <v>132</v>
      </c>
      <c r="B4088" s="306">
        <f t="shared" si="803"/>
        <v>2.9350000000000001</v>
      </c>
      <c r="C4088" s="309"/>
      <c r="D4088" s="309"/>
      <c r="E4088" s="309"/>
      <c r="F4088" s="309"/>
      <c r="G4088" s="309"/>
      <c r="H4088" s="291"/>
    </row>
    <row r="4089" spans="1:8">
      <c r="A4089" s="289" t="s">
        <v>133</v>
      </c>
      <c r="B4089" s="306">
        <f t="shared" si="803"/>
        <v>4.72</v>
      </c>
      <c r="C4089" s="309"/>
      <c r="D4089" s="309"/>
      <c r="E4089" s="309"/>
      <c r="F4089" s="309"/>
      <c r="G4089" s="309"/>
      <c r="H4089" s="291"/>
    </row>
    <row r="4090" spans="1:8">
      <c r="A4090" s="289" t="s">
        <v>134</v>
      </c>
      <c r="B4090" s="306">
        <f t="shared" si="803"/>
        <v>1.639</v>
      </c>
      <c r="C4090" s="309"/>
      <c r="D4090" s="309"/>
      <c r="E4090" s="309"/>
      <c r="F4090" s="309"/>
      <c r="G4090" s="309"/>
      <c r="H4090" s="291"/>
    </row>
    <row r="4091" spans="1:8">
      <c r="A4091" s="289" t="s">
        <v>135</v>
      </c>
      <c r="B4091" s="306">
        <f t="shared" si="803"/>
        <v>43.805999999999997</v>
      </c>
      <c r="C4091" s="306">
        <f>C3994+C4045</f>
        <v>1.4710000000000001</v>
      </c>
      <c r="D4091" s="306">
        <f>D3994+D4045</f>
        <v>0.76700000000000002</v>
      </c>
      <c r="E4091" s="309"/>
      <c r="F4091" s="309"/>
      <c r="G4091" s="309"/>
      <c r="H4091" s="291"/>
    </row>
    <row r="4092" spans="1:8">
      <c r="A4092" s="289" t="s">
        <v>1534</v>
      </c>
      <c r="B4092" s="306">
        <f t="shared" si="803"/>
        <v>-0.66600000000000004</v>
      </c>
      <c r="C4092" s="309"/>
      <c r="D4092" s="309"/>
      <c r="E4092" s="316">
        <f t="shared" ref="E4092:E4099" si="807">E3995+E4046</f>
        <v>0</v>
      </c>
      <c r="F4092" s="309"/>
      <c r="G4092" s="309"/>
      <c r="H4092" s="291"/>
    </row>
    <row r="4093" spans="1:8">
      <c r="A4093" s="289" t="s">
        <v>100</v>
      </c>
      <c r="B4093" s="306">
        <f t="shared" si="803"/>
        <v>-0.56699999999999995</v>
      </c>
      <c r="C4093" s="309"/>
      <c r="D4093" s="309"/>
      <c r="E4093" s="316">
        <f t="shared" si="807"/>
        <v>0</v>
      </c>
      <c r="F4093" s="309"/>
      <c r="G4093" s="309"/>
      <c r="H4093" s="291"/>
    </row>
    <row r="4094" spans="1:8">
      <c r="A4094" s="289" t="s">
        <v>101</v>
      </c>
      <c r="B4094" s="306">
        <f t="shared" si="803"/>
        <v>-0.66600000000000004</v>
      </c>
      <c r="C4094" s="309"/>
      <c r="D4094" s="309"/>
      <c r="E4094" s="316">
        <f t="shared" si="807"/>
        <v>0</v>
      </c>
      <c r="F4094" s="309"/>
      <c r="G4094" s="306">
        <f t="shared" ref="G4094:G4099" si="808">G3997+G4048</f>
        <v>0.28499999999999998</v>
      </c>
      <c r="H4094" s="291"/>
    </row>
    <row r="4095" spans="1:8">
      <c r="A4095" s="289" t="s">
        <v>102</v>
      </c>
      <c r="B4095" s="306">
        <f t="shared" si="803"/>
        <v>-5.5940000000000003</v>
      </c>
      <c r="C4095" s="306">
        <f>C3998+C4049</f>
        <v>-0.42499999999999999</v>
      </c>
      <c r="D4095" s="306">
        <f>D3998+D4049</f>
        <v>-5.5E-2</v>
      </c>
      <c r="E4095" s="316">
        <f t="shared" si="807"/>
        <v>0</v>
      </c>
      <c r="F4095" s="309"/>
      <c r="G4095" s="306">
        <f t="shared" si="808"/>
        <v>0.28499999999999998</v>
      </c>
      <c r="H4095" s="291"/>
    </row>
    <row r="4096" spans="1:8">
      <c r="A4096" s="289" t="s">
        <v>103</v>
      </c>
      <c r="B4096" s="306">
        <f t="shared" si="803"/>
        <v>-0.56699999999999995</v>
      </c>
      <c r="C4096" s="309"/>
      <c r="D4096" s="309"/>
      <c r="E4096" s="316">
        <f t="shared" si="807"/>
        <v>0</v>
      </c>
      <c r="F4096" s="309"/>
      <c r="G4096" s="306">
        <f t="shared" si="808"/>
        <v>0.24299999999999999</v>
      </c>
      <c r="H4096" s="291"/>
    </row>
    <row r="4097" spans="1:8">
      <c r="A4097" s="289" t="s">
        <v>104</v>
      </c>
      <c r="B4097" s="306">
        <f t="shared" si="803"/>
        <v>-4.7640000000000002</v>
      </c>
      <c r="C4097" s="306">
        <f>C4000+C4051</f>
        <v>-0.36499999999999999</v>
      </c>
      <c r="D4097" s="306">
        <f>D4000+D4051</f>
        <v>-4.3999999999999997E-2</v>
      </c>
      <c r="E4097" s="316">
        <f t="shared" si="807"/>
        <v>0</v>
      </c>
      <c r="F4097" s="309"/>
      <c r="G4097" s="306">
        <f t="shared" si="808"/>
        <v>0.24299999999999999</v>
      </c>
      <c r="H4097" s="291"/>
    </row>
    <row r="4098" spans="1:8">
      <c r="A4098" s="289" t="s">
        <v>112</v>
      </c>
      <c r="B4098" s="306">
        <f t="shared" si="803"/>
        <v>-0.28799999999999998</v>
      </c>
      <c r="C4098" s="309"/>
      <c r="D4098" s="309"/>
      <c r="E4098" s="316">
        <f t="shared" si="807"/>
        <v>35.33</v>
      </c>
      <c r="F4098" s="309"/>
      <c r="G4098" s="306">
        <f t="shared" si="808"/>
        <v>0.19600000000000001</v>
      </c>
      <c r="H4098" s="291"/>
    </row>
    <row r="4099" spans="1:8">
      <c r="A4099" s="289" t="s">
        <v>113</v>
      </c>
      <c r="B4099" s="306">
        <f t="shared" si="803"/>
        <v>-2.4279999999999999</v>
      </c>
      <c r="C4099" s="306">
        <f>C4002+C4053</f>
        <v>-0.19600000000000001</v>
      </c>
      <c r="D4099" s="306">
        <f>D4002+D4053</f>
        <v>-1.6E-2</v>
      </c>
      <c r="E4099" s="316">
        <f t="shared" si="807"/>
        <v>35.33</v>
      </c>
      <c r="F4099" s="309"/>
      <c r="G4099" s="306">
        <f t="shared" si="808"/>
        <v>0.19600000000000001</v>
      </c>
      <c r="H4099" s="291"/>
    </row>
    <row r="4101" spans="1:8" ht="21" customHeight="1">
      <c r="A4101" s="1" t="s">
        <v>1149</v>
      </c>
    </row>
    <row r="4102" spans="1:8">
      <c r="A4102" s="287" t="s">
        <v>255</v>
      </c>
    </row>
    <row r="4103" spans="1:8">
      <c r="A4103" s="301" t="s">
        <v>376</v>
      </c>
    </row>
    <row r="4104" spans="1:8">
      <c r="A4104" s="301" t="s">
        <v>1150</v>
      </c>
    </row>
    <row r="4105" spans="1:8">
      <c r="A4105" s="301" t="s">
        <v>779</v>
      </c>
    </row>
    <row r="4106" spans="1:8">
      <c r="A4106" s="301" t="s">
        <v>1151</v>
      </c>
    </row>
    <row r="4107" spans="1:8">
      <c r="A4107" s="301" t="s">
        <v>781</v>
      </c>
    </row>
    <row r="4108" spans="1:8">
      <c r="A4108" s="301" t="s">
        <v>1152</v>
      </c>
    </row>
    <row r="4109" spans="1:8">
      <c r="A4109" s="301" t="s">
        <v>783</v>
      </c>
    </row>
    <row r="4110" spans="1:8">
      <c r="A4110" s="301" t="s">
        <v>1153</v>
      </c>
    </row>
    <row r="4111" spans="1:8">
      <c r="A4111" s="301" t="s">
        <v>785</v>
      </c>
    </row>
    <row r="4112" spans="1:8">
      <c r="A4112" s="301" t="s">
        <v>1154</v>
      </c>
    </row>
    <row r="4113" spans="1:3">
      <c r="A4113" s="301" t="s">
        <v>787</v>
      </c>
    </row>
    <row r="4114" spans="1:3">
      <c r="A4114" s="301" t="s">
        <v>1148</v>
      </c>
    </row>
    <row r="4115" spans="1:3">
      <c r="A4115" s="301" t="s">
        <v>789</v>
      </c>
    </row>
    <row r="4116" spans="1:3">
      <c r="A4116" s="287" t="s">
        <v>790</v>
      </c>
    </row>
    <row r="4118" spans="1:3" ht="30">
      <c r="B4118" s="288" t="s">
        <v>1155</v>
      </c>
    </row>
    <row r="4119" spans="1:3">
      <c r="A4119" s="289" t="s">
        <v>92</v>
      </c>
      <c r="B4119" s="312">
        <f t="shared" ref="B4119:B4145" si="809">0.01*F$14*($E4027*E1170+$F4027*F1170)+10*($B4027*B1170+$C4027*C1170+$D4027*D1170+$G4027*G1170)</f>
        <v>40644.21735596611</v>
      </c>
      <c r="C4119" s="291"/>
    </row>
    <row r="4120" spans="1:3">
      <c r="A4120" s="289" t="s">
        <v>93</v>
      </c>
      <c r="B4120" s="312">
        <f t="shared" si="809"/>
        <v>2481.251892362016</v>
      </c>
      <c r="C4120" s="291"/>
    </row>
    <row r="4121" spans="1:3">
      <c r="A4121" s="289" t="s">
        <v>129</v>
      </c>
      <c r="B4121" s="312">
        <f t="shared" si="809"/>
        <v>-136.81825311364776</v>
      </c>
      <c r="C4121" s="291"/>
    </row>
    <row r="4122" spans="1:3">
      <c r="A4122" s="289" t="s">
        <v>94</v>
      </c>
      <c r="B4122" s="312">
        <f t="shared" si="809"/>
        <v>-5744.2956622241181</v>
      </c>
      <c r="C4122" s="291"/>
    </row>
    <row r="4123" spans="1:3">
      <c r="A4123" s="289" t="s">
        <v>95</v>
      </c>
      <c r="B4123" s="312">
        <f t="shared" si="809"/>
        <v>935.20847615164382</v>
      </c>
      <c r="C4123" s="291"/>
    </row>
    <row r="4124" spans="1:3">
      <c r="A4124" s="289" t="s">
        <v>130</v>
      </c>
      <c r="B4124" s="312">
        <f t="shared" si="809"/>
        <v>-24.318375186090545</v>
      </c>
      <c r="C4124" s="291"/>
    </row>
    <row r="4125" spans="1:3">
      <c r="A4125" s="289" t="s">
        <v>96</v>
      </c>
      <c r="B4125" s="312">
        <f t="shared" si="809"/>
        <v>0</v>
      </c>
      <c r="C4125" s="291"/>
    </row>
    <row r="4126" spans="1:3">
      <c r="A4126" s="289" t="s">
        <v>97</v>
      </c>
      <c r="B4126" s="312">
        <f t="shared" si="809"/>
        <v>0</v>
      </c>
      <c r="C4126" s="291"/>
    </row>
    <row r="4127" spans="1:3">
      <c r="A4127" s="289" t="s">
        <v>110</v>
      </c>
      <c r="B4127" s="312">
        <f t="shared" si="809"/>
        <v>0</v>
      </c>
      <c r="C4127" s="291"/>
    </row>
    <row r="4128" spans="1:3">
      <c r="A4128" s="289" t="s">
        <v>1536</v>
      </c>
      <c r="B4128" s="312">
        <f t="shared" si="809"/>
        <v>0</v>
      </c>
      <c r="C4128" s="291"/>
    </row>
    <row r="4129" spans="1:3">
      <c r="A4129" s="289" t="s">
        <v>1535</v>
      </c>
      <c r="B4129" s="312">
        <f t="shared" si="809"/>
        <v>1157.4360245793564</v>
      </c>
      <c r="C4129" s="291"/>
    </row>
    <row r="4130" spans="1:3">
      <c r="A4130" s="289" t="s">
        <v>98</v>
      </c>
      <c r="B4130" s="312">
        <f t="shared" si="809"/>
        <v>27056.760606923235</v>
      </c>
      <c r="C4130" s="291"/>
    </row>
    <row r="4131" spans="1:3">
      <c r="A4131" s="289" t="s">
        <v>99</v>
      </c>
      <c r="B4131" s="312">
        <f t="shared" si="809"/>
        <v>-601.60203046477795</v>
      </c>
      <c r="C4131" s="291"/>
    </row>
    <row r="4132" spans="1:3">
      <c r="A4132" s="289" t="s">
        <v>111</v>
      </c>
      <c r="B4132" s="312">
        <f t="shared" si="809"/>
        <v>52099.604096720454</v>
      </c>
      <c r="C4132" s="291"/>
    </row>
    <row r="4133" spans="1:3">
      <c r="A4133" s="289" t="s">
        <v>131</v>
      </c>
      <c r="B4133" s="312">
        <f t="shared" si="809"/>
        <v>-94.9956699955722</v>
      </c>
      <c r="C4133" s="291"/>
    </row>
    <row r="4134" spans="1:3">
      <c r="A4134" s="289" t="s">
        <v>132</v>
      </c>
      <c r="B4134" s="312">
        <f t="shared" si="809"/>
        <v>3.9330989062659465</v>
      </c>
      <c r="C4134" s="291"/>
    </row>
    <row r="4135" spans="1:3">
      <c r="A4135" s="289" t="s">
        <v>133</v>
      </c>
      <c r="B4135" s="312">
        <f t="shared" si="809"/>
        <v>-2.8033214898747412</v>
      </c>
      <c r="C4135" s="291"/>
    </row>
    <row r="4136" spans="1:3">
      <c r="A4136" s="289" t="s">
        <v>134</v>
      </c>
      <c r="B4136" s="312">
        <f t="shared" si="809"/>
        <v>-8.7514647371691758</v>
      </c>
      <c r="C4136" s="291"/>
    </row>
    <row r="4137" spans="1:3">
      <c r="A4137" s="289" t="s">
        <v>135</v>
      </c>
      <c r="B4137" s="312">
        <f t="shared" si="809"/>
        <v>-945.69085860727591</v>
      </c>
      <c r="C4137" s="291"/>
    </row>
    <row r="4138" spans="1:3">
      <c r="A4138" s="289" t="s">
        <v>1534</v>
      </c>
      <c r="B4138" s="312">
        <f t="shared" si="809"/>
        <v>-3.7401467498606604</v>
      </c>
      <c r="C4138" s="291"/>
    </row>
    <row r="4139" spans="1:3">
      <c r="A4139" s="289" t="s">
        <v>100</v>
      </c>
      <c r="B4139" s="312">
        <f t="shared" si="809"/>
        <v>0</v>
      </c>
      <c r="C4139" s="291"/>
    </row>
    <row r="4140" spans="1:3">
      <c r="A4140" s="289" t="s">
        <v>101</v>
      </c>
      <c r="B4140" s="312">
        <f t="shared" si="809"/>
        <v>-54.387358560910783</v>
      </c>
      <c r="C4140" s="291"/>
    </row>
    <row r="4141" spans="1:3">
      <c r="A4141" s="289" t="s">
        <v>102</v>
      </c>
      <c r="B4141" s="312">
        <f t="shared" si="809"/>
        <v>-2.1025159068745141</v>
      </c>
      <c r="C4141" s="291"/>
    </row>
    <row r="4142" spans="1:3">
      <c r="A4142" s="289" t="s">
        <v>103</v>
      </c>
      <c r="B4142" s="312">
        <f t="shared" si="809"/>
        <v>-3.9242097017965567</v>
      </c>
      <c r="C4142" s="291"/>
    </row>
    <row r="4143" spans="1:3">
      <c r="A4143" s="289" t="s">
        <v>104</v>
      </c>
      <c r="B4143" s="312">
        <f t="shared" si="809"/>
        <v>35.317954435677493</v>
      </c>
      <c r="C4143" s="291"/>
    </row>
    <row r="4144" spans="1:3">
      <c r="A4144" s="289" t="s">
        <v>112</v>
      </c>
      <c r="B4144" s="312">
        <f t="shared" si="809"/>
        <v>-426.67176625432262</v>
      </c>
      <c r="C4144" s="291"/>
    </row>
    <row r="4145" spans="1:6">
      <c r="A4145" s="289" t="s">
        <v>113</v>
      </c>
      <c r="B4145" s="312">
        <f t="shared" si="809"/>
        <v>-2202.2629713186293</v>
      </c>
      <c r="C4145" s="291"/>
    </row>
    <row r="4147" spans="1:6" ht="21" customHeight="1">
      <c r="A4147" s="1" t="s">
        <v>1156</v>
      </c>
    </row>
    <row r="4148" spans="1:6">
      <c r="A4148" s="287" t="s">
        <v>255</v>
      </c>
    </row>
    <row r="4149" spans="1:6">
      <c r="A4149" s="301" t="s">
        <v>1485</v>
      </c>
    </row>
    <row r="4150" spans="1:6">
      <c r="A4150" s="301" t="s">
        <v>1157</v>
      </c>
    </row>
    <row r="4151" spans="1:6">
      <c r="A4151" s="301" t="s">
        <v>1158</v>
      </c>
    </row>
    <row r="4152" spans="1:6">
      <c r="A4152" s="301" t="s">
        <v>1159</v>
      </c>
    </row>
    <row r="4153" spans="1:6">
      <c r="A4153" s="301" t="s">
        <v>1160</v>
      </c>
    </row>
    <row r="4154" spans="1:6">
      <c r="A4154" s="301" t="s">
        <v>1161</v>
      </c>
    </row>
    <row r="4155" spans="1:6">
      <c r="A4155" s="301" t="s">
        <v>1162</v>
      </c>
    </row>
    <row r="4156" spans="1:6">
      <c r="A4156" s="301" t="s">
        <v>1484</v>
      </c>
    </row>
    <row r="4157" spans="1:6">
      <c r="A4157" s="302" t="s">
        <v>258</v>
      </c>
      <c r="B4157" s="302" t="s">
        <v>314</v>
      </c>
      <c r="C4157" s="302" t="s">
        <v>381</v>
      </c>
      <c r="D4157" s="302" t="s">
        <v>381</v>
      </c>
      <c r="E4157" s="302" t="s">
        <v>380</v>
      </c>
      <c r="F4157" s="302" t="s">
        <v>380</v>
      </c>
    </row>
    <row r="4158" spans="1:6">
      <c r="A4158" s="302" t="s">
        <v>261</v>
      </c>
      <c r="B4158" s="302" t="s">
        <v>316</v>
      </c>
      <c r="C4158" s="302" t="s">
        <v>432</v>
      </c>
      <c r="D4158" s="302" t="s">
        <v>433</v>
      </c>
      <c r="E4158" s="302" t="s">
        <v>1163</v>
      </c>
      <c r="F4158" s="302" t="s">
        <v>1164</v>
      </c>
    </row>
    <row r="4160" spans="1:6" ht="30">
      <c r="B4160" s="288" t="s">
        <v>795</v>
      </c>
      <c r="C4160" s="288" t="s">
        <v>1165</v>
      </c>
      <c r="D4160" s="288" t="s">
        <v>1166</v>
      </c>
      <c r="E4160" s="288" t="s">
        <v>1167</v>
      </c>
      <c r="F4160" s="288" t="s">
        <v>1168</v>
      </c>
    </row>
    <row r="4161" spans="1:7">
      <c r="A4161" s="289" t="s">
        <v>1169</v>
      </c>
      <c r="B4161" s="312">
        <f>B3511</f>
        <v>314139619.46412307</v>
      </c>
      <c r="C4161" s="312">
        <f>SUM($H$3928:$H$3954)</f>
        <v>218011219.027475</v>
      </c>
      <c r="D4161" s="312">
        <f>SUM(B$4119:B$4145)</f>
        <v>114161.36490173383</v>
      </c>
      <c r="E4161" s="312">
        <f>B4161+C4161+D4161</f>
        <v>532264999.85649979</v>
      </c>
      <c r="F4161" s="312">
        <f>E4161-B325</f>
        <v>114161.36490172148</v>
      </c>
      <c r="G4161" s="291"/>
    </row>
    <row r="4163" spans="1:7" ht="21" customHeight="1">
      <c r="A4163" s="1" t="s">
        <v>1170</v>
      </c>
    </row>
    <row r="4164" spans="1:7">
      <c r="A4164" s="287" t="s">
        <v>255</v>
      </c>
    </row>
    <row r="4165" spans="1:7">
      <c r="A4165" s="301" t="s">
        <v>1171</v>
      </c>
    </row>
    <row r="4166" spans="1:7">
      <c r="A4166" s="301" t="s">
        <v>1172</v>
      </c>
    </row>
    <row r="4167" spans="1:7">
      <c r="A4167" s="301" t="s">
        <v>1173</v>
      </c>
    </row>
    <row r="4168" spans="1:7">
      <c r="A4168" s="301" t="s">
        <v>1174</v>
      </c>
    </row>
    <row r="4169" spans="1:7">
      <c r="A4169" s="301" t="s">
        <v>1175</v>
      </c>
    </row>
    <row r="4170" spans="1:7">
      <c r="A4170" s="301" t="s">
        <v>1176</v>
      </c>
    </row>
    <row r="4171" spans="1:7">
      <c r="A4171" s="301" t="s">
        <v>1177</v>
      </c>
    </row>
    <row r="4172" spans="1:7">
      <c r="A4172" s="301" t="s">
        <v>1178</v>
      </c>
    </row>
    <row r="4173" spans="1:7">
      <c r="A4173" s="302" t="s">
        <v>258</v>
      </c>
      <c r="B4173" s="302" t="s">
        <v>380</v>
      </c>
      <c r="C4173" s="302" t="s">
        <v>380</v>
      </c>
      <c r="D4173" s="302" t="s">
        <v>380</v>
      </c>
      <c r="E4173" s="302" t="s">
        <v>380</v>
      </c>
      <c r="F4173" s="302" t="s">
        <v>380</v>
      </c>
      <c r="G4173" s="302" t="s">
        <v>380</v>
      </c>
    </row>
    <row r="4174" spans="1:7">
      <c r="A4174" s="302" t="s">
        <v>261</v>
      </c>
      <c r="B4174" s="302" t="s">
        <v>1179</v>
      </c>
      <c r="C4174" s="302" t="s">
        <v>1180</v>
      </c>
      <c r="D4174" s="302" t="s">
        <v>1181</v>
      </c>
      <c r="E4174" s="302" t="s">
        <v>1182</v>
      </c>
      <c r="F4174" s="302" t="s">
        <v>1183</v>
      </c>
      <c r="G4174" s="302" t="s">
        <v>1184</v>
      </c>
    </row>
    <row r="4176" spans="1:7" ht="30">
      <c r="B4176" s="288" t="s">
        <v>1116</v>
      </c>
      <c r="C4176" s="288" t="s">
        <v>1117</v>
      </c>
      <c r="D4176" s="288" t="s">
        <v>1118</v>
      </c>
      <c r="E4176" s="288" t="s">
        <v>1119</v>
      </c>
      <c r="F4176" s="288" t="s">
        <v>1120</v>
      </c>
      <c r="G4176" s="288" t="s">
        <v>776</v>
      </c>
    </row>
    <row r="4177" spans="1:8">
      <c r="A4177" s="297" t="s">
        <v>146</v>
      </c>
      <c r="H4177" s="291"/>
    </row>
    <row r="4178" spans="1:8">
      <c r="A4178" s="289" t="s">
        <v>92</v>
      </c>
      <c r="B4178" s="306">
        <f t="shared" ref="B4178:D4180" si="810">ROUND(B$4073*(1-$B1061),3)</f>
        <v>2.5009999999999999</v>
      </c>
      <c r="C4178" s="306">
        <f t="shared" si="810"/>
        <v>0</v>
      </c>
      <c r="D4178" s="306">
        <f t="shared" si="810"/>
        <v>0</v>
      </c>
      <c r="E4178" s="317">
        <f>ROUND(E$4073*(1-$C1061),2)</f>
        <v>4.8</v>
      </c>
      <c r="F4178" s="317">
        <f>ROUND(F$4073*(1-$B1061),2)</f>
        <v>0</v>
      </c>
      <c r="G4178" s="306">
        <f>ROUND(G$4073*(1-$B1061),3)</f>
        <v>0</v>
      </c>
      <c r="H4178" s="291"/>
    </row>
    <row r="4179" spans="1:8">
      <c r="A4179" s="289" t="s">
        <v>147</v>
      </c>
      <c r="B4179" s="306">
        <f t="shared" si="810"/>
        <v>1.6739999999999999</v>
      </c>
      <c r="C4179" s="306">
        <f t="shared" si="810"/>
        <v>0</v>
      </c>
      <c r="D4179" s="306">
        <f t="shared" si="810"/>
        <v>0</v>
      </c>
      <c r="E4179" s="317">
        <f>ROUND(E$4073*(1-$C1062),2)</f>
        <v>3.21</v>
      </c>
      <c r="F4179" s="317">
        <f>ROUND(F$4073*(1-$B1062),2)</f>
        <v>0</v>
      </c>
      <c r="G4179" s="306">
        <f>ROUND(G$4073*(1-$B1062),3)</f>
        <v>0</v>
      </c>
      <c r="H4179" s="291"/>
    </row>
    <row r="4180" spans="1:8">
      <c r="A4180" s="289" t="s">
        <v>148</v>
      </c>
      <c r="B4180" s="306">
        <f t="shared" si="810"/>
        <v>1.2150000000000001</v>
      </c>
      <c r="C4180" s="306">
        <f t="shared" si="810"/>
        <v>0</v>
      </c>
      <c r="D4180" s="306">
        <f t="shared" si="810"/>
        <v>0</v>
      </c>
      <c r="E4180" s="317">
        <f>ROUND(E$4073*(1-$C1063),2)</f>
        <v>2.33</v>
      </c>
      <c r="F4180" s="317">
        <f>ROUND(F$4073*(1-$B1063),2)</f>
        <v>0</v>
      </c>
      <c r="G4180" s="306">
        <f>ROUND(G$4073*(1-$B1063),3)</f>
        <v>0</v>
      </c>
      <c r="H4180" s="291"/>
    </row>
    <row r="4181" spans="1:8">
      <c r="A4181" s="297" t="s">
        <v>149</v>
      </c>
      <c r="H4181" s="291"/>
    </row>
    <row r="4182" spans="1:8">
      <c r="A4182" s="289" t="s">
        <v>93</v>
      </c>
      <c r="B4182" s="306">
        <f t="shared" ref="B4182:D4184" si="811">ROUND(B$4074*(1-$B1065),3)</f>
        <v>2.972</v>
      </c>
      <c r="C4182" s="306">
        <f t="shared" si="811"/>
        <v>8.1000000000000003E-2</v>
      </c>
      <c r="D4182" s="306">
        <f t="shared" si="811"/>
        <v>0</v>
      </c>
      <c r="E4182" s="317">
        <f>ROUND(E$4074*(1-$C1065),2)</f>
        <v>4.8</v>
      </c>
      <c r="F4182" s="317">
        <f>ROUND(F$4074*(1-$B1065),2)</f>
        <v>0</v>
      </c>
      <c r="G4182" s="306">
        <f>ROUND(G$4074*(1-$B1065),3)</f>
        <v>0</v>
      </c>
      <c r="H4182" s="291"/>
    </row>
    <row r="4183" spans="1:8">
      <c r="A4183" s="289" t="s">
        <v>150</v>
      </c>
      <c r="B4183" s="306">
        <f t="shared" si="811"/>
        <v>1.9890000000000001</v>
      </c>
      <c r="C4183" s="306">
        <f t="shared" si="811"/>
        <v>5.3999999999999999E-2</v>
      </c>
      <c r="D4183" s="306">
        <f t="shared" si="811"/>
        <v>0</v>
      </c>
      <c r="E4183" s="317">
        <f>ROUND(E$4074*(1-$C1066),2)</f>
        <v>3.21</v>
      </c>
      <c r="F4183" s="317">
        <f>ROUND(F$4074*(1-$B1066),2)</f>
        <v>0</v>
      </c>
      <c r="G4183" s="306">
        <f>ROUND(G$4074*(1-$B1066),3)</f>
        <v>0</v>
      </c>
      <c r="H4183" s="291"/>
    </row>
    <row r="4184" spans="1:8">
      <c r="A4184" s="289" t="s">
        <v>151</v>
      </c>
      <c r="B4184" s="306">
        <f t="shared" si="811"/>
        <v>1.444</v>
      </c>
      <c r="C4184" s="306">
        <f t="shared" si="811"/>
        <v>3.9E-2</v>
      </c>
      <c r="D4184" s="306">
        <f t="shared" si="811"/>
        <v>0</v>
      </c>
      <c r="E4184" s="317">
        <f>ROUND(E$4074*(1-$C1067),2)</f>
        <v>2.33</v>
      </c>
      <c r="F4184" s="317">
        <f>ROUND(F$4074*(1-$B1067),2)</f>
        <v>0</v>
      </c>
      <c r="G4184" s="306">
        <f>ROUND(G$4074*(1-$B1067),3)</f>
        <v>0</v>
      </c>
      <c r="H4184" s="291"/>
    </row>
    <row r="4185" spans="1:8">
      <c r="A4185" s="297" t="s">
        <v>152</v>
      </c>
      <c r="H4185" s="291"/>
    </row>
    <row r="4186" spans="1:8">
      <c r="A4186" s="289" t="s">
        <v>129</v>
      </c>
      <c r="B4186" s="306">
        <f t="shared" ref="B4186:D4188" si="812">ROUND(B$4075*(1-$B1069),3)</f>
        <v>0.223</v>
      </c>
      <c r="C4186" s="306">
        <f t="shared" si="812"/>
        <v>0</v>
      </c>
      <c r="D4186" s="306">
        <f t="shared" si="812"/>
        <v>0</v>
      </c>
      <c r="E4186" s="317">
        <f>ROUND(E$4075*(1-$C1069),2)</f>
        <v>0</v>
      </c>
      <c r="F4186" s="317">
        <f>ROUND(F$4075*(1-$B1069),2)</f>
        <v>0</v>
      </c>
      <c r="G4186" s="306">
        <f>ROUND(G$4075*(1-$B1069),3)</f>
        <v>0</v>
      </c>
      <c r="H4186" s="291"/>
    </row>
    <row r="4187" spans="1:8">
      <c r="A4187" s="289" t="s">
        <v>153</v>
      </c>
      <c r="B4187" s="306">
        <f t="shared" si="812"/>
        <v>0.14899999999999999</v>
      </c>
      <c r="C4187" s="306">
        <f t="shared" si="812"/>
        <v>0</v>
      </c>
      <c r="D4187" s="306">
        <f t="shared" si="812"/>
        <v>0</v>
      </c>
      <c r="E4187" s="317">
        <f>ROUND(E$4075*(1-$C1070),2)</f>
        <v>0</v>
      </c>
      <c r="F4187" s="317">
        <f>ROUND(F$4075*(1-$B1070),2)</f>
        <v>0</v>
      </c>
      <c r="G4187" s="306">
        <f>ROUND(G$4075*(1-$B1070),3)</f>
        <v>0</v>
      </c>
      <c r="H4187" s="291"/>
    </row>
    <row r="4188" spans="1:8">
      <c r="A4188" s="289" t="s">
        <v>154</v>
      </c>
      <c r="B4188" s="306">
        <f t="shared" si="812"/>
        <v>0.108</v>
      </c>
      <c r="C4188" s="306">
        <f t="shared" si="812"/>
        <v>0</v>
      </c>
      <c r="D4188" s="306">
        <f t="shared" si="812"/>
        <v>0</v>
      </c>
      <c r="E4188" s="317">
        <f>ROUND(E$4075*(1-$C1071),2)</f>
        <v>0</v>
      </c>
      <c r="F4188" s="317">
        <f>ROUND(F$4075*(1-$B1071),2)</f>
        <v>0</v>
      </c>
      <c r="G4188" s="306">
        <f>ROUND(G$4075*(1-$B1071),3)</f>
        <v>0</v>
      </c>
      <c r="H4188" s="291"/>
    </row>
    <row r="4189" spans="1:8">
      <c r="A4189" s="297" t="s">
        <v>155</v>
      </c>
      <c r="H4189" s="291"/>
    </row>
    <row r="4190" spans="1:8">
      <c r="A4190" s="289" t="s">
        <v>94</v>
      </c>
      <c r="B4190" s="306">
        <f t="shared" ref="B4190:D4192" si="813">ROUND(B$4076*(1-$B1073),3)</f>
        <v>2.335</v>
      </c>
      <c r="C4190" s="306">
        <f t="shared" si="813"/>
        <v>0</v>
      </c>
      <c r="D4190" s="306">
        <f t="shared" si="813"/>
        <v>0</v>
      </c>
      <c r="E4190" s="317">
        <f>ROUND(E$4076*(1-$C1073),2)</f>
        <v>7.39</v>
      </c>
      <c r="F4190" s="317">
        <f>ROUND(F$4076*(1-$B1073),2)</f>
        <v>0</v>
      </c>
      <c r="G4190" s="306">
        <f>ROUND(G$4076*(1-$B1073),3)</f>
        <v>0</v>
      </c>
      <c r="H4190" s="291"/>
    </row>
    <row r="4191" spans="1:8">
      <c r="A4191" s="289" t="s">
        <v>156</v>
      </c>
      <c r="B4191" s="306">
        <f t="shared" si="813"/>
        <v>1.5629999999999999</v>
      </c>
      <c r="C4191" s="306">
        <f t="shared" si="813"/>
        <v>0</v>
      </c>
      <c r="D4191" s="306">
        <f t="shared" si="813"/>
        <v>0</v>
      </c>
      <c r="E4191" s="317">
        <f>ROUND(E$4076*(1-$C1074),2)</f>
        <v>4.95</v>
      </c>
      <c r="F4191" s="317">
        <f>ROUND(F$4076*(1-$B1074),2)</f>
        <v>0</v>
      </c>
      <c r="G4191" s="306">
        <f>ROUND(G$4076*(1-$B1074),3)</f>
        <v>0</v>
      </c>
      <c r="H4191" s="291"/>
    </row>
    <row r="4192" spans="1:8">
      <c r="A4192" s="289" t="s">
        <v>157</v>
      </c>
      <c r="B4192" s="306">
        <f t="shared" si="813"/>
        <v>1.1339999999999999</v>
      </c>
      <c r="C4192" s="306">
        <f t="shared" si="813"/>
        <v>0</v>
      </c>
      <c r="D4192" s="306">
        <f t="shared" si="813"/>
        <v>0</v>
      </c>
      <c r="E4192" s="317">
        <f>ROUND(E$4076*(1-$C1075),2)</f>
        <v>3.59</v>
      </c>
      <c r="F4192" s="317">
        <f>ROUND(F$4076*(1-$B1075),2)</f>
        <v>0</v>
      </c>
      <c r="G4192" s="306">
        <f>ROUND(G$4076*(1-$B1075),3)</f>
        <v>0</v>
      </c>
      <c r="H4192" s="291"/>
    </row>
    <row r="4193" spans="1:8">
      <c r="A4193" s="297" t="s">
        <v>158</v>
      </c>
      <c r="H4193" s="291"/>
    </row>
    <row r="4194" spans="1:8">
      <c r="A4194" s="289" t="s">
        <v>95</v>
      </c>
      <c r="B4194" s="306">
        <f t="shared" ref="B4194:D4196" si="814">ROUND(B$4077*(1-$B1077),3)</f>
        <v>2.6760000000000002</v>
      </c>
      <c r="C4194" s="306">
        <f t="shared" si="814"/>
        <v>7.6999999999999999E-2</v>
      </c>
      <c r="D4194" s="306">
        <f t="shared" si="814"/>
        <v>0</v>
      </c>
      <c r="E4194" s="317">
        <f>ROUND(E$4077*(1-$C1077),2)</f>
        <v>7.39</v>
      </c>
      <c r="F4194" s="317">
        <f>ROUND(F$4077*(1-$B1077),2)</f>
        <v>0</v>
      </c>
      <c r="G4194" s="306">
        <f>ROUND(G$4077*(1-$B1077),3)</f>
        <v>0</v>
      </c>
      <c r="H4194" s="291"/>
    </row>
    <row r="4195" spans="1:8">
      <c r="A4195" s="289" t="s">
        <v>159</v>
      </c>
      <c r="B4195" s="306">
        <f t="shared" si="814"/>
        <v>1.7909999999999999</v>
      </c>
      <c r="C4195" s="306">
        <f t="shared" si="814"/>
        <v>5.1999999999999998E-2</v>
      </c>
      <c r="D4195" s="306">
        <f t="shared" si="814"/>
        <v>0</v>
      </c>
      <c r="E4195" s="317">
        <f>ROUND(E$4077*(1-$C1078),2)</f>
        <v>4.95</v>
      </c>
      <c r="F4195" s="317">
        <f>ROUND(F$4077*(1-$B1078),2)</f>
        <v>0</v>
      </c>
      <c r="G4195" s="306">
        <f>ROUND(G$4077*(1-$B1078),3)</f>
        <v>0</v>
      </c>
      <c r="H4195" s="291"/>
    </row>
    <row r="4196" spans="1:8">
      <c r="A4196" s="289" t="s">
        <v>160</v>
      </c>
      <c r="B4196" s="306">
        <f t="shared" si="814"/>
        <v>1.3</v>
      </c>
      <c r="C4196" s="306">
        <f t="shared" si="814"/>
        <v>3.6999999999999998E-2</v>
      </c>
      <c r="D4196" s="306">
        <f t="shared" si="814"/>
        <v>0</v>
      </c>
      <c r="E4196" s="317">
        <f>ROUND(E$4077*(1-$C1079),2)</f>
        <v>3.59</v>
      </c>
      <c r="F4196" s="317">
        <f>ROUND(F$4077*(1-$B1079),2)</f>
        <v>0</v>
      </c>
      <c r="G4196" s="306">
        <f>ROUND(G$4077*(1-$B1079),3)</f>
        <v>0</v>
      </c>
      <c r="H4196" s="291"/>
    </row>
    <row r="4197" spans="1:8">
      <c r="A4197" s="297" t="s">
        <v>161</v>
      </c>
      <c r="H4197" s="291"/>
    </row>
    <row r="4198" spans="1:8">
      <c r="A4198" s="289" t="s">
        <v>130</v>
      </c>
      <c r="B4198" s="306">
        <f t="shared" ref="B4198:D4200" si="815">ROUND(B$4078*(1-$B1081),3)</f>
        <v>0.41699999999999998</v>
      </c>
      <c r="C4198" s="306">
        <f t="shared" si="815"/>
        <v>0</v>
      </c>
      <c r="D4198" s="306">
        <f t="shared" si="815"/>
        <v>0</v>
      </c>
      <c r="E4198" s="317">
        <f>ROUND(E$4078*(1-$C1081),2)</f>
        <v>0</v>
      </c>
      <c r="F4198" s="317">
        <f>ROUND(F$4078*(1-$B1081),2)</f>
        <v>0</v>
      </c>
      <c r="G4198" s="306">
        <f>ROUND(G$4078*(1-$B1081),3)</f>
        <v>0</v>
      </c>
      <c r="H4198" s="291"/>
    </row>
    <row r="4199" spans="1:8" ht="30">
      <c r="A4199" s="289" t="s">
        <v>162</v>
      </c>
      <c r="B4199" s="306">
        <f t="shared" si="815"/>
        <v>0.27900000000000003</v>
      </c>
      <c r="C4199" s="306">
        <f t="shared" si="815"/>
        <v>0</v>
      </c>
      <c r="D4199" s="306">
        <f t="shared" si="815"/>
        <v>0</v>
      </c>
      <c r="E4199" s="317">
        <f>ROUND(E$4078*(1-$C1082),2)</f>
        <v>0</v>
      </c>
      <c r="F4199" s="317">
        <f>ROUND(F$4078*(1-$B1082),2)</f>
        <v>0</v>
      </c>
      <c r="G4199" s="306">
        <f>ROUND(G$4078*(1-$B1082),3)</f>
        <v>0</v>
      </c>
      <c r="H4199" s="291"/>
    </row>
    <row r="4200" spans="1:8" ht="30">
      <c r="A4200" s="289" t="s">
        <v>163</v>
      </c>
      <c r="B4200" s="306">
        <f t="shared" si="815"/>
        <v>0.20300000000000001</v>
      </c>
      <c r="C4200" s="306">
        <f t="shared" si="815"/>
        <v>0</v>
      </c>
      <c r="D4200" s="306">
        <f t="shared" si="815"/>
        <v>0</v>
      </c>
      <c r="E4200" s="317">
        <f>ROUND(E$4078*(1-$C1083),2)</f>
        <v>0</v>
      </c>
      <c r="F4200" s="317">
        <f>ROUND(F$4078*(1-$B1083),2)</f>
        <v>0</v>
      </c>
      <c r="G4200" s="306">
        <f>ROUND(G$4078*(1-$B1083),3)</f>
        <v>0</v>
      </c>
      <c r="H4200" s="291"/>
    </row>
    <row r="4201" spans="1:8">
      <c r="A4201" s="297" t="s">
        <v>164</v>
      </c>
      <c r="H4201" s="291"/>
    </row>
    <row r="4202" spans="1:8">
      <c r="A4202" s="289" t="s">
        <v>96</v>
      </c>
      <c r="B4202" s="306">
        <f t="shared" ref="B4202:D4204" si="816">ROUND(B$4079*(1-$B1085),3)</f>
        <v>1.9530000000000001</v>
      </c>
      <c r="C4202" s="306">
        <f t="shared" si="816"/>
        <v>5.5E-2</v>
      </c>
      <c r="D4202" s="306">
        <f t="shared" si="816"/>
        <v>0</v>
      </c>
      <c r="E4202" s="317">
        <f>ROUND(E$4079*(1-$C1085),2)</f>
        <v>5.69</v>
      </c>
      <c r="F4202" s="317">
        <f>ROUND(F$4079*(1-$B1085),2)</f>
        <v>0</v>
      </c>
      <c r="G4202" s="306">
        <f>ROUND(G$4079*(1-$B1085),3)</f>
        <v>0</v>
      </c>
      <c r="H4202" s="291"/>
    </row>
    <row r="4203" spans="1:8">
      <c r="A4203" s="289" t="s">
        <v>165</v>
      </c>
      <c r="B4203" s="306">
        <f t="shared" si="816"/>
        <v>1.3069999999999999</v>
      </c>
      <c r="C4203" s="306">
        <f t="shared" si="816"/>
        <v>3.6999999999999998E-2</v>
      </c>
      <c r="D4203" s="306">
        <f t="shared" si="816"/>
        <v>0</v>
      </c>
      <c r="E4203" s="317">
        <f>ROUND(E$4079*(1-$C1086),2)</f>
        <v>3.81</v>
      </c>
      <c r="F4203" s="317">
        <f>ROUND(F$4079*(1-$B1086),2)</f>
        <v>0</v>
      </c>
      <c r="G4203" s="306">
        <f>ROUND(G$4079*(1-$B1086),3)</f>
        <v>0</v>
      </c>
      <c r="H4203" s="291"/>
    </row>
    <row r="4204" spans="1:8">
      <c r="A4204" s="289" t="s">
        <v>166</v>
      </c>
      <c r="B4204" s="306">
        <f t="shared" si="816"/>
        <v>0.94899999999999995</v>
      </c>
      <c r="C4204" s="306">
        <f t="shared" si="816"/>
        <v>2.7E-2</v>
      </c>
      <c r="D4204" s="306">
        <f t="shared" si="816"/>
        <v>0</v>
      </c>
      <c r="E4204" s="317">
        <f>ROUND(E$4079*(1-$C1087),2)</f>
        <v>2.76</v>
      </c>
      <c r="F4204" s="317">
        <f>ROUND(F$4079*(1-$B1087),2)</f>
        <v>0</v>
      </c>
      <c r="G4204" s="306">
        <f>ROUND(G$4079*(1-$B1087),3)</f>
        <v>0</v>
      </c>
      <c r="H4204" s="291"/>
    </row>
    <row r="4205" spans="1:8">
      <c r="A4205" s="297" t="s">
        <v>167</v>
      </c>
      <c r="H4205" s="291"/>
    </row>
    <row r="4206" spans="1:8">
      <c r="A4206" s="289" t="s">
        <v>97</v>
      </c>
      <c r="B4206" s="306">
        <f>ROUND(B$4080*(1-$B1089),3)</f>
        <v>1.754</v>
      </c>
      <c r="C4206" s="306">
        <f>ROUND(C$4080*(1-$B1089),3)</f>
        <v>4.3999999999999997E-2</v>
      </c>
      <c r="D4206" s="306">
        <f>ROUND(D$4080*(1-$B1089),3)</f>
        <v>0</v>
      </c>
      <c r="E4206" s="317">
        <f>ROUND(E$4080*(1-$C1089),2)</f>
        <v>4.22</v>
      </c>
      <c r="F4206" s="317">
        <f>ROUND(F$4080*(1-$B1089),2)</f>
        <v>0</v>
      </c>
      <c r="G4206" s="306">
        <f>ROUND(G$4080*(1-$B1089),3)</f>
        <v>0</v>
      </c>
      <c r="H4206" s="291"/>
    </row>
    <row r="4207" spans="1:8">
      <c r="A4207" s="297" t="s">
        <v>168</v>
      </c>
      <c r="H4207" s="291"/>
    </row>
    <row r="4208" spans="1:8">
      <c r="A4208" s="289" t="s">
        <v>110</v>
      </c>
      <c r="B4208" s="306">
        <f>ROUND(B$4081*(1-$B1091),3)</f>
        <v>1.163</v>
      </c>
      <c r="C4208" s="306">
        <f>ROUND(C$4081*(1-$B1091),3)</f>
        <v>8.0000000000000002E-3</v>
      </c>
      <c r="D4208" s="306">
        <f>ROUND(D$4081*(1-$B1091),3)</f>
        <v>0</v>
      </c>
      <c r="E4208" s="317">
        <f>ROUND(E$4081*(1-$C1091),2)</f>
        <v>73.290000000000006</v>
      </c>
      <c r="F4208" s="317">
        <f>ROUND(F$4081*(1-$B1091),2)</f>
        <v>0</v>
      </c>
      <c r="G4208" s="306">
        <f>ROUND(G$4081*(1-$B1091),3)</f>
        <v>0</v>
      </c>
      <c r="H4208" s="291"/>
    </row>
    <row r="4209" spans="1:8">
      <c r="A4209" s="297" t="s">
        <v>1539</v>
      </c>
      <c r="H4209" s="291"/>
    </row>
    <row r="4210" spans="1:8">
      <c r="A4210" s="289" t="s">
        <v>1536</v>
      </c>
      <c r="B4210" s="306">
        <f t="shared" ref="B4210:D4212" si="817">ROUND(B$4082*(1-$B1093),3)</f>
        <v>14.263999999999999</v>
      </c>
      <c r="C4210" s="306">
        <f t="shared" si="817"/>
        <v>0.88500000000000001</v>
      </c>
      <c r="D4210" s="306">
        <f t="shared" si="817"/>
        <v>6.8000000000000005E-2</v>
      </c>
      <c r="E4210" s="317">
        <f>ROUND(E$4082*(1-$C1093),2)</f>
        <v>4.8</v>
      </c>
      <c r="F4210" s="317">
        <f>ROUND(F$4082*(1-$B1093),2)</f>
        <v>0</v>
      </c>
      <c r="G4210" s="306">
        <f>ROUND(G$4082*(1-$B1093),3)</f>
        <v>0</v>
      </c>
      <c r="H4210" s="291"/>
    </row>
    <row r="4211" spans="1:8">
      <c r="A4211" s="289" t="s">
        <v>1533</v>
      </c>
      <c r="B4211" s="306">
        <f t="shared" si="817"/>
        <v>9.548</v>
      </c>
      <c r="C4211" s="306">
        <f t="shared" si="817"/>
        <v>0.59199999999999997</v>
      </c>
      <c r="D4211" s="306">
        <f t="shared" si="817"/>
        <v>4.5999999999999999E-2</v>
      </c>
      <c r="E4211" s="317">
        <f>ROUND(E$4082*(1-$C1094),2)</f>
        <v>3.21</v>
      </c>
      <c r="F4211" s="317">
        <f>ROUND(F$4082*(1-$B1094),2)</f>
        <v>0</v>
      </c>
      <c r="G4211" s="306">
        <f>ROUND(G$4082*(1-$B1094),3)</f>
        <v>0</v>
      </c>
      <c r="H4211" s="291"/>
    </row>
    <row r="4212" spans="1:8">
      <c r="A4212" s="289" t="s">
        <v>1530</v>
      </c>
      <c r="B4212" s="306">
        <f t="shared" si="817"/>
        <v>6.93</v>
      </c>
      <c r="C4212" s="306">
        <f t="shared" si="817"/>
        <v>0.43</v>
      </c>
      <c r="D4212" s="306">
        <f t="shared" si="817"/>
        <v>3.3000000000000002E-2</v>
      </c>
      <c r="E4212" s="317">
        <f>ROUND(E$4082*(1-$C1095),2)</f>
        <v>2.33</v>
      </c>
      <c r="F4212" s="317">
        <f>ROUND(F$4082*(1-$B1095),2)</f>
        <v>0</v>
      </c>
      <c r="G4212" s="306">
        <f>ROUND(G$4082*(1-$B1095),3)</f>
        <v>0</v>
      </c>
      <c r="H4212" s="291"/>
    </row>
    <row r="4213" spans="1:8">
      <c r="A4213" s="297" t="s">
        <v>1538</v>
      </c>
      <c r="H4213" s="291"/>
    </row>
    <row r="4214" spans="1:8">
      <c r="A4214" s="289" t="s">
        <v>1535</v>
      </c>
      <c r="B4214" s="306">
        <f t="shared" ref="B4214:D4216" si="818">ROUND(B$4083*(1-$B1097),3)</f>
        <v>14.347</v>
      </c>
      <c r="C4214" s="306">
        <f t="shared" si="818"/>
        <v>0.89</v>
      </c>
      <c r="D4214" s="306">
        <f t="shared" si="818"/>
        <v>6.9000000000000006E-2</v>
      </c>
      <c r="E4214" s="317">
        <f>ROUND(E$4083*(1-$C1097),2)</f>
        <v>7.39</v>
      </c>
      <c r="F4214" s="317">
        <f>ROUND(F$4083*(1-$B1097),2)</f>
        <v>0</v>
      </c>
      <c r="G4214" s="306">
        <f>ROUND(G$4083*(1-$B1097),3)</f>
        <v>0</v>
      </c>
      <c r="H4214" s="291"/>
    </row>
    <row r="4215" spans="1:8">
      <c r="A4215" s="289" t="s">
        <v>1532</v>
      </c>
      <c r="B4215" s="306">
        <f t="shared" si="818"/>
        <v>9.6029999999999998</v>
      </c>
      <c r="C4215" s="306">
        <f t="shared" si="818"/>
        <v>0.59599999999999997</v>
      </c>
      <c r="D4215" s="306">
        <f t="shared" si="818"/>
        <v>4.5999999999999999E-2</v>
      </c>
      <c r="E4215" s="317">
        <f>ROUND(E$4083*(1-$C1098),2)</f>
        <v>4.95</v>
      </c>
      <c r="F4215" s="317">
        <f>ROUND(F$4083*(1-$B1098),2)</f>
        <v>0</v>
      </c>
      <c r="G4215" s="306">
        <f>ROUND(G$4083*(1-$B1098),3)</f>
        <v>0</v>
      </c>
      <c r="H4215" s="291"/>
    </row>
    <row r="4216" spans="1:8">
      <c r="A4216" s="289" t="s">
        <v>1529</v>
      </c>
      <c r="B4216" s="306">
        <f t="shared" si="818"/>
        <v>6.97</v>
      </c>
      <c r="C4216" s="306">
        <f t="shared" si="818"/>
        <v>0.432</v>
      </c>
      <c r="D4216" s="306">
        <f t="shared" si="818"/>
        <v>3.4000000000000002E-2</v>
      </c>
      <c r="E4216" s="317">
        <f>ROUND(E$4083*(1-$C1099),2)</f>
        <v>3.59</v>
      </c>
      <c r="F4216" s="317">
        <f>ROUND(F$4083*(1-$B1099),2)</f>
        <v>0</v>
      </c>
      <c r="G4216" s="306">
        <f>ROUND(G$4083*(1-$B1099),3)</f>
        <v>0</v>
      </c>
      <c r="H4216" s="291"/>
    </row>
    <row r="4217" spans="1:8">
      <c r="A4217" s="297" t="s">
        <v>169</v>
      </c>
      <c r="H4217" s="291"/>
    </row>
    <row r="4218" spans="1:8">
      <c r="A4218" s="289" t="s">
        <v>98</v>
      </c>
      <c r="B4218" s="306">
        <f t="shared" ref="B4218:D4220" si="819">ROUND(B$4084*(1-$B1101),3)</f>
        <v>12.359</v>
      </c>
      <c r="C4218" s="306">
        <f t="shared" si="819"/>
        <v>0.752</v>
      </c>
      <c r="D4218" s="306">
        <f t="shared" si="819"/>
        <v>4.8000000000000001E-2</v>
      </c>
      <c r="E4218" s="317">
        <f>ROUND(E$4084*(1-$C1101),2)</f>
        <v>9.59</v>
      </c>
      <c r="F4218" s="317">
        <f>ROUND(F$4084*(1-$B1101),2)</f>
        <v>4.13</v>
      </c>
      <c r="G4218" s="306">
        <f>ROUND(G$4084*(1-$B1101),3)</f>
        <v>0.44700000000000001</v>
      </c>
      <c r="H4218" s="291"/>
    </row>
    <row r="4219" spans="1:8">
      <c r="A4219" s="289" t="s">
        <v>170</v>
      </c>
      <c r="B4219" s="306">
        <f t="shared" si="819"/>
        <v>8.2729999999999997</v>
      </c>
      <c r="C4219" s="306">
        <f t="shared" si="819"/>
        <v>0.503</v>
      </c>
      <c r="D4219" s="306">
        <f t="shared" si="819"/>
        <v>3.2000000000000001E-2</v>
      </c>
      <c r="E4219" s="317">
        <f>ROUND(E$4084*(1-$C1102),2)</f>
        <v>6.42</v>
      </c>
      <c r="F4219" s="317">
        <f>ROUND(F$4084*(1-$B1102),2)</f>
        <v>2.76</v>
      </c>
      <c r="G4219" s="306">
        <f>ROUND(G$4084*(1-$B1102),3)</f>
        <v>0.29899999999999999</v>
      </c>
      <c r="H4219" s="291"/>
    </row>
    <row r="4220" spans="1:8">
      <c r="A4220" s="289" t="s">
        <v>171</v>
      </c>
      <c r="B4220" s="306">
        <f t="shared" si="819"/>
        <v>6.0039999999999996</v>
      </c>
      <c r="C4220" s="306">
        <f t="shared" si="819"/>
        <v>0.36499999999999999</v>
      </c>
      <c r="D4220" s="306">
        <f t="shared" si="819"/>
        <v>2.3E-2</v>
      </c>
      <c r="E4220" s="317">
        <f>ROUND(E$4084*(1-$C1103),2)</f>
        <v>4.66</v>
      </c>
      <c r="F4220" s="317">
        <f>ROUND(F$4084*(1-$B1103),2)</f>
        <v>2.0099999999999998</v>
      </c>
      <c r="G4220" s="306">
        <f>ROUND(G$4084*(1-$B1103),3)</f>
        <v>0.217</v>
      </c>
      <c r="H4220" s="291"/>
    </row>
    <row r="4221" spans="1:8">
      <c r="A4221" s="297" t="s">
        <v>172</v>
      </c>
      <c r="H4221" s="291"/>
    </row>
    <row r="4222" spans="1:8">
      <c r="A4222" s="289" t="s">
        <v>99</v>
      </c>
      <c r="B4222" s="306">
        <f t="shared" ref="B4222:D4223" si="820">ROUND(B$4085*(1-$B1105),3)</f>
        <v>10.82</v>
      </c>
      <c r="C4222" s="306">
        <f t="shared" si="820"/>
        <v>0.63400000000000001</v>
      </c>
      <c r="D4222" s="306">
        <f t="shared" si="820"/>
        <v>2.1999999999999999E-2</v>
      </c>
      <c r="E4222" s="317">
        <f>ROUND(E$4085*(1-$C1105),2)</f>
        <v>7.39</v>
      </c>
      <c r="F4222" s="317">
        <f>ROUND(F$4085*(1-$B1105),2)</f>
        <v>5.27</v>
      </c>
      <c r="G4222" s="306">
        <f>ROUND(G$4085*(1-$B1105),3)</f>
        <v>0.373</v>
      </c>
      <c r="H4222" s="291"/>
    </row>
    <row r="4223" spans="1:8">
      <c r="A4223" s="289" t="s">
        <v>173</v>
      </c>
      <c r="B4223" s="306">
        <f t="shared" si="820"/>
        <v>8.0250000000000004</v>
      </c>
      <c r="C4223" s="306">
        <f t="shared" si="820"/>
        <v>0.47</v>
      </c>
      <c r="D4223" s="306">
        <f t="shared" si="820"/>
        <v>1.6E-2</v>
      </c>
      <c r="E4223" s="317">
        <f>ROUND(E$4085*(1-$C1106),2)</f>
        <v>5.48</v>
      </c>
      <c r="F4223" s="317">
        <f>ROUND(F$4085*(1-$B1106),2)</f>
        <v>3.91</v>
      </c>
      <c r="G4223" s="306">
        <f>ROUND(G$4085*(1-$B1106),3)</f>
        <v>0.27700000000000002</v>
      </c>
      <c r="H4223" s="291"/>
    </row>
    <row r="4224" spans="1:8">
      <c r="A4224" s="297" t="s">
        <v>174</v>
      </c>
      <c r="H4224" s="291"/>
    </row>
    <row r="4225" spans="1:8">
      <c r="A4225" s="289" t="s">
        <v>111</v>
      </c>
      <c r="B4225" s="306">
        <f t="shared" ref="B4225:D4226" si="821">ROUND(B$4086*(1-$B1108),3)</f>
        <v>7.8339999999999996</v>
      </c>
      <c r="C4225" s="306">
        <f t="shared" si="821"/>
        <v>0.432</v>
      </c>
      <c r="D4225" s="306">
        <f t="shared" si="821"/>
        <v>8.9999999999999993E-3</v>
      </c>
      <c r="E4225" s="317">
        <f>ROUND(E$4086*(1-$C1108),2)</f>
        <v>73.290000000000006</v>
      </c>
      <c r="F4225" s="317">
        <f>ROUND(F$4086*(1-$B1108),2)</f>
        <v>5.57</v>
      </c>
      <c r="G4225" s="306">
        <f>ROUND(G$4086*(1-$B1108),3)</f>
        <v>0.246</v>
      </c>
      <c r="H4225" s="291"/>
    </row>
    <row r="4226" spans="1:8">
      <c r="A4226" s="289" t="s">
        <v>175</v>
      </c>
      <c r="B4226" s="306">
        <f t="shared" si="821"/>
        <v>6.6529999999999996</v>
      </c>
      <c r="C4226" s="306">
        <f t="shared" si="821"/>
        <v>0.36699999999999999</v>
      </c>
      <c r="D4226" s="306">
        <f t="shared" si="821"/>
        <v>8.0000000000000002E-3</v>
      </c>
      <c r="E4226" s="317">
        <f>ROUND(E$4086*(1-$C1109),2)</f>
        <v>62.24</v>
      </c>
      <c r="F4226" s="317">
        <f>ROUND(F$4086*(1-$B1109),2)</f>
        <v>4.7300000000000004</v>
      </c>
      <c r="G4226" s="306">
        <f>ROUND(G$4086*(1-$B1109),3)</f>
        <v>0.20899999999999999</v>
      </c>
      <c r="H4226" s="291"/>
    </row>
    <row r="4227" spans="1:8">
      <c r="A4227" s="297" t="s">
        <v>176</v>
      </c>
      <c r="H4227" s="291"/>
    </row>
    <row r="4228" spans="1:8">
      <c r="A4228" s="289" t="s">
        <v>131</v>
      </c>
      <c r="B4228" s="306">
        <f t="shared" ref="B4228:D4230" si="822">ROUND(B$4087*(1-$B1111),3)</f>
        <v>2.2919999999999998</v>
      </c>
      <c r="C4228" s="306">
        <f t="shared" si="822"/>
        <v>0</v>
      </c>
      <c r="D4228" s="306">
        <f t="shared" si="822"/>
        <v>0</v>
      </c>
      <c r="E4228" s="317">
        <f>ROUND(E$4087*(1-$C1111),2)</f>
        <v>0</v>
      </c>
      <c r="F4228" s="317">
        <f>ROUND(F$4087*(1-$B1111),2)</f>
        <v>0</v>
      </c>
      <c r="G4228" s="306">
        <f>ROUND(G$4087*(1-$B1111),3)</f>
        <v>0</v>
      </c>
      <c r="H4228" s="291"/>
    </row>
    <row r="4229" spans="1:8">
      <c r="A4229" s="289" t="s">
        <v>177</v>
      </c>
      <c r="B4229" s="306">
        <f t="shared" si="822"/>
        <v>1.534</v>
      </c>
      <c r="C4229" s="306">
        <f t="shared" si="822"/>
        <v>0</v>
      </c>
      <c r="D4229" s="306">
        <f t="shared" si="822"/>
        <v>0</v>
      </c>
      <c r="E4229" s="317">
        <f>ROUND(E$4087*(1-$C1112),2)</f>
        <v>0</v>
      </c>
      <c r="F4229" s="317">
        <f>ROUND(F$4087*(1-$B1112),2)</f>
        <v>0</v>
      </c>
      <c r="G4229" s="306">
        <f>ROUND(G$4087*(1-$B1112),3)</f>
        <v>0</v>
      </c>
      <c r="H4229" s="291"/>
    </row>
    <row r="4230" spans="1:8">
      <c r="A4230" s="289" t="s">
        <v>178</v>
      </c>
      <c r="B4230" s="306">
        <f t="shared" si="822"/>
        <v>1.1140000000000001</v>
      </c>
      <c r="C4230" s="306">
        <f t="shared" si="822"/>
        <v>0</v>
      </c>
      <c r="D4230" s="306">
        <f t="shared" si="822"/>
        <v>0</v>
      </c>
      <c r="E4230" s="317">
        <f>ROUND(E$4087*(1-$C1113),2)</f>
        <v>0</v>
      </c>
      <c r="F4230" s="317">
        <f>ROUND(F$4087*(1-$B1113),2)</f>
        <v>0</v>
      </c>
      <c r="G4230" s="306">
        <f>ROUND(G$4087*(1-$B1113),3)</f>
        <v>0</v>
      </c>
      <c r="H4230" s="291"/>
    </row>
    <row r="4231" spans="1:8">
      <c r="A4231" s="297" t="s">
        <v>179</v>
      </c>
      <c r="H4231" s="291"/>
    </row>
    <row r="4232" spans="1:8">
      <c r="A4232" s="289" t="s">
        <v>132</v>
      </c>
      <c r="B4232" s="306">
        <f t="shared" ref="B4232:D4234" si="823">ROUND(B$4088*(1-$B1115),3)</f>
        <v>2.9350000000000001</v>
      </c>
      <c r="C4232" s="306">
        <f t="shared" si="823"/>
        <v>0</v>
      </c>
      <c r="D4232" s="306">
        <f t="shared" si="823"/>
        <v>0</v>
      </c>
      <c r="E4232" s="317">
        <f>ROUND(E$4088*(1-$C1115),2)</f>
        <v>0</v>
      </c>
      <c r="F4232" s="317">
        <f>ROUND(F$4088*(1-$B1115),2)</f>
        <v>0</v>
      </c>
      <c r="G4232" s="306">
        <f>ROUND(G$4088*(1-$B1115),3)</f>
        <v>0</v>
      </c>
      <c r="H4232" s="291"/>
    </row>
    <row r="4233" spans="1:8">
      <c r="A4233" s="289" t="s">
        <v>180</v>
      </c>
      <c r="B4233" s="306">
        <f t="shared" si="823"/>
        <v>1.9650000000000001</v>
      </c>
      <c r="C4233" s="306">
        <f t="shared" si="823"/>
        <v>0</v>
      </c>
      <c r="D4233" s="306">
        <f t="shared" si="823"/>
        <v>0</v>
      </c>
      <c r="E4233" s="317">
        <f>ROUND(E$4088*(1-$C1116),2)</f>
        <v>0</v>
      </c>
      <c r="F4233" s="317">
        <f>ROUND(F$4088*(1-$B1116),2)</f>
        <v>0</v>
      </c>
      <c r="G4233" s="306">
        <f>ROUND(G$4088*(1-$B1116),3)</f>
        <v>0</v>
      </c>
      <c r="H4233" s="291"/>
    </row>
    <row r="4234" spans="1:8">
      <c r="A4234" s="289" t="s">
        <v>181</v>
      </c>
      <c r="B4234" s="306">
        <f t="shared" si="823"/>
        <v>1.4259999999999999</v>
      </c>
      <c r="C4234" s="306">
        <f t="shared" si="823"/>
        <v>0</v>
      </c>
      <c r="D4234" s="306">
        <f t="shared" si="823"/>
        <v>0</v>
      </c>
      <c r="E4234" s="317">
        <f>ROUND(E$4088*(1-$C1117),2)</f>
        <v>0</v>
      </c>
      <c r="F4234" s="317">
        <f>ROUND(F$4088*(1-$B1117),2)</f>
        <v>0</v>
      </c>
      <c r="G4234" s="306">
        <f>ROUND(G$4088*(1-$B1117),3)</f>
        <v>0</v>
      </c>
      <c r="H4234" s="291"/>
    </row>
    <row r="4235" spans="1:8">
      <c r="A4235" s="297" t="s">
        <v>182</v>
      </c>
      <c r="H4235" s="291"/>
    </row>
    <row r="4236" spans="1:8">
      <c r="A4236" s="289" t="s">
        <v>133</v>
      </c>
      <c r="B4236" s="306">
        <f t="shared" ref="B4236:D4238" si="824">ROUND(B$4089*(1-$B1119),3)</f>
        <v>4.72</v>
      </c>
      <c r="C4236" s="306">
        <f t="shared" si="824"/>
        <v>0</v>
      </c>
      <c r="D4236" s="306">
        <f t="shared" si="824"/>
        <v>0</v>
      </c>
      <c r="E4236" s="317">
        <f>ROUND(E$4089*(1-$C1119),2)</f>
        <v>0</v>
      </c>
      <c r="F4236" s="317">
        <f>ROUND(F$4089*(1-$B1119),2)</f>
        <v>0</v>
      </c>
      <c r="G4236" s="306">
        <f>ROUND(G$4089*(1-$B1119),3)</f>
        <v>0</v>
      </c>
      <c r="H4236" s="291"/>
    </row>
    <row r="4237" spans="1:8">
      <c r="A4237" s="289" t="s">
        <v>183</v>
      </c>
      <c r="B4237" s="306">
        <f t="shared" si="824"/>
        <v>3.1589999999999998</v>
      </c>
      <c r="C4237" s="306">
        <f t="shared" si="824"/>
        <v>0</v>
      </c>
      <c r="D4237" s="306">
        <f t="shared" si="824"/>
        <v>0</v>
      </c>
      <c r="E4237" s="317">
        <f>ROUND(E$4089*(1-$C1120),2)</f>
        <v>0</v>
      </c>
      <c r="F4237" s="317">
        <f>ROUND(F$4089*(1-$B1120),2)</f>
        <v>0</v>
      </c>
      <c r="G4237" s="306">
        <f>ROUND(G$4089*(1-$B1120),3)</f>
        <v>0</v>
      </c>
      <c r="H4237" s="291"/>
    </row>
    <row r="4238" spans="1:8">
      <c r="A4238" s="289" t="s">
        <v>184</v>
      </c>
      <c r="B4238" s="306">
        <f t="shared" si="824"/>
        <v>2.2930000000000001</v>
      </c>
      <c r="C4238" s="306">
        <f t="shared" si="824"/>
        <v>0</v>
      </c>
      <c r="D4238" s="306">
        <f t="shared" si="824"/>
        <v>0</v>
      </c>
      <c r="E4238" s="317">
        <f>ROUND(E$4089*(1-$C1121),2)</f>
        <v>0</v>
      </c>
      <c r="F4238" s="317">
        <f>ROUND(F$4089*(1-$B1121),2)</f>
        <v>0</v>
      </c>
      <c r="G4238" s="306">
        <f>ROUND(G$4089*(1-$B1121),3)</f>
        <v>0</v>
      </c>
      <c r="H4238" s="291"/>
    </row>
    <row r="4239" spans="1:8">
      <c r="A4239" s="297" t="s">
        <v>185</v>
      </c>
      <c r="H4239" s="291"/>
    </row>
    <row r="4240" spans="1:8">
      <c r="A4240" s="289" t="s">
        <v>134</v>
      </c>
      <c r="B4240" s="306">
        <f t="shared" ref="B4240:D4242" si="825">ROUND(B$4090*(1-$B1123),3)</f>
        <v>1.639</v>
      </c>
      <c r="C4240" s="306">
        <f t="shared" si="825"/>
        <v>0</v>
      </c>
      <c r="D4240" s="306">
        <f t="shared" si="825"/>
        <v>0</v>
      </c>
      <c r="E4240" s="317">
        <f>ROUND(E$4090*(1-$C1123),2)</f>
        <v>0</v>
      </c>
      <c r="F4240" s="317">
        <f>ROUND(F$4090*(1-$B1123),2)</f>
        <v>0</v>
      </c>
      <c r="G4240" s="306">
        <f>ROUND(G$4090*(1-$B1123),3)</f>
        <v>0</v>
      </c>
      <c r="H4240" s="291"/>
    </row>
    <row r="4241" spans="1:8">
      <c r="A4241" s="289" t="s">
        <v>186</v>
      </c>
      <c r="B4241" s="306">
        <f t="shared" si="825"/>
        <v>1.097</v>
      </c>
      <c r="C4241" s="306">
        <f t="shared" si="825"/>
        <v>0</v>
      </c>
      <c r="D4241" s="306">
        <f t="shared" si="825"/>
        <v>0</v>
      </c>
      <c r="E4241" s="317">
        <f>ROUND(E$4090*(1-$C1124),2)</f>
        <v>0</v>
      </c>
      <c r="F4241" s="317">
        <f>ROUND(F$4090*(1-$B1124),2)</f>
        <v>0</v>
      </c>
      <c r="G4241" s="306">
        <f>ROUND(G$4090*(1-$B1124),3)</f>
        <v>0</v>
      </c>
      <c r="H4241" s="291"/>
    </row>
    <row r="4242" spans="1:8">
      <c r="A4242" s="289" t="s">
        <v>187</v>
      </c>
      <c r="B4242" s="306">
        <f t="shared" si="825"/>
        <v>0.79600000000000004</v>
      </c>
      <c r="C4242" s="306">
        <f t="shared" si="825"/>
        <v>0</v>
      </c>
      <c r="D4242" s="306">
        <f t="shared" si="825"/>
        <v>0</v>
      </c>
      <c r="E4242" s="317">
        <f>ROUND(E$4090*(1-$C1125),2)</f>
        <v>0</v>
      </c>
      <c r="F4242" s="317">
        <f>ROUND(F$4090*(1-$B1125),2)</f>
        <v>0</v>
      </c>
      <c r="G4242" s="306">
        <f>ROUND(G$4090*(1-$B1125),3)</f>
        <v>0</v>
      </c>
      <c r="H4242" s="291"/>
    </row>
    <row r="4243" spans="1:8">
      <c r="A4243" s="297" t="s">
        <v>188</v>
      </c>
      <c r="H4243" s="291"/>
    </row>
    <row r="4244" spans="1:8">
      <c r="A4244" s="289" t="s">
        <v>135</v>
      </c>
      <c r="B4244" s="306">
        <f t="shared" ref="B4244:D4246" si="826">ROUND(B$4091*(1-$B1127),3)</f>
        <v>43.805999999999997</v>
      </c>
      <c r="C4244" s="306">
        <f t="shared" si="826"/>
        <v>1.4710000000000001</v>
      </c>
      <c r="D4244" s="306">
        <f t="shared" si="826"/>
        <v>0.76700000000000002</v>
      </c>
      <c r="E4244" s="317">
        <f>ROUND(E$4091*(1-$C1127),2)</f>
        <v>0</v>
      </c>
      <c r="F4244" s="317">
        <f>ROUND(F$4091*(1-$B1127),2)</f>
        <v>0</v>
      </c>
      <c r="G4244" s="306">
        <f>ROUND(G$4091*(1-$B1127),3)</f>
        <v>0</v>
      </c>
      <c r="H4244" s="291"/>
    </row>
    <row r="4245" spans="1:8">
      <c r="A4245" s="289" t="s">
        <v>189</v>
      </c>
      <c r="B4245" s="306">
        <f t="shared" si="826"/>
        <v>29.321999999999999</v>
      </c>
      <c r="C4245" s="306">
        <f t="shared" si="826"/>
        <v>0.98499999999999999</v>
      </c>
      <c r="D4245" s="306">
        <f t="shared" si="826"/>
        <v>0.51300000000000001</v>
      </c>
      <c r="E4245" s="317">
        <f>ROUND(E$4091*(1-$C1128),2)</f>
        <v>0</v>
      </c>
      <c r="F4245" s="317">
        <f>ROUND(F$4091*(1-$B1128),2)</f>
        <v>0</v>
      </c>
      <c r="G4245" s="306">
        <f>ROUND(G$4091*(1-$B1128),3)</f>
        <v>0</v>
      </c>
      <c r="H4245" s="291"/>
    </row>
    <row r="4246" spans="1:8">
      <c r="A4246" s="289" t="s">
        <v>190</v>
      </c>
      <c r="B4246" s="306">
        <f t="shared" si="826"/>
        <v>21.282</v>
      </c>
      <c r="C4246" s="306">
        <f t="shared" si="826"/>
        <v>0.71499999999999997</v>
      </c>
      <c r="D4246" s="306">
        <f t="shared" si="826"/>
        <v>0.373</v>
      </c>
      <c r="E4246" s="317">
        <f>ROUND(E$4091*(1-$C1129),2)</f>
        <v>0</v>
      </c>
      <c r="F4246" s="317">
        <f>ROUND(F$4091*(1-$B1129),2)</f>
        <v>0</v>
      </c>
      <c r="G4246" s="306">
        <f>ROUND(G$4091*(1-$B1129),3)</f>
        <v>0</v>
      </c>
      <c r="H4246" s="291"/>
    </row>
    <row r="4247" spans="1:8">
      <c r="A4247" s="297" t="s">
        <v>1537</v>
      </c>
      <c r="H4247" s="291"/>
    </row>
    <row r="4248" spans="1:8">
      <c r="A4248" s="289" t="s">
        <v>1534</v>
      </c>
      <c r="B4248" s="306">
        <f t="shared" ref="B4248:D4250" si="827">ROUND(B$4092*(1-$B1131),3)</f>
        <v>-0.66600000000000004</v>
      </c>
      <c r="C4248" s="306">
        <f t="shared" si="827"/>
        <v>0</v>
      </c>
      <c r="D4248" s="306">
        <f t="shared" si="827"/>
        <v>0</v>
      </c>
      <c r="E4248" s="317">
        <f>ROUND(E$4092*(1-$C1131),2)</f>
        <v>0</v>
      </c>
      <c r="F4248" s="317">
        <f>ROUND(F$4092*(1-$B1131),2)</f>
        <v>0</v>
      </c>
      <c r="G4248" s="306">
        <f>ROUND(G$4092*(1-$B1131),3)</f>
        <v>0</v>
      </c>
      <c r="H4248" s="291"/>
    </row>
    <row r="4249" spans="1:8">
      <c r="A4249" s="289" t="s">
        <v>1531</v>
      </c>
      <c r="B4249" s="306">
        <f t="shared" si="827"/>
        <v>-0.66600000000000004</v>
      </c>
      <c r="C4249" s="306">
        <f t="shared" si="827"/>
        <v>0</v>
      </c>
      <c r="D4249" s="306">
        <f t="shared" si="827"/>
        <v>0</v>
      </c>
      <c r="E4249" s="317">
        <f>ROUND(E$4092*(1-$C1132),2)</f>
        <v>0</v>
      </c>
      <c r="F4249" s="317">
        <f>ROUND(F$4092*(1-$B1132),2)</f>
        <v>0</v>
      </c>
      <c r="G4249" s="306">
        <f>ROUND(G$4092*(1-$B1132),3)</f>
        <v>0</v>
      </c>
      <c r="H4249" s="291"/>
    </row>
    <row r="4250" spans="1:8">
      <c r="A4250" s="289" t="s">
        <v>1528</v>
      </c>
      <c r="B4250" s="306">
        <f t="shared" si="827"/>
        <v>-0.66600000000000004</v>
      </c>
      <c r="C4250" s="306">
        <f t="shared" si="827"/>
        <v>0</v>
      </c>
      <c r="D4250" s="306">
        <f t="shared" si="827"/>
        <v>0</v>
      </c>
      <c r="E4250" s="317">
        <f>ROUND(E$4092*(1-$C1133),2)</f>
        <v>0</v>
      </c>
      <c r="F4250" s="317">
        <f>ROUND(F$4092*(1-$B1133),2)</f>
        <v>0</v>
      </c>
      <c r="G4250" s="306">
        <f>ROUND(G$4092*(1-$B1133),3)</f>
        <v>0</v>
      </c>
      <c r="H4250" s="291"/>
    </row>
    <row r="4251" spans="1:8">
      <c r="A4251" s="297" t="s">
        <v>191</v>
      </c>
      <c r="H4251" s="291"/>
    </row>
    <row r="4252" spans="1:8">
      <c r="A4252" s="289" t="s">
        <v>100</v>
      </c>
      <c r="B4252" s="306">
        <f t="shared" ref="B4252:D4253" si="828">ROUND(B$4093*(1-$B1135),3)</f>
        <v>-0.56699999999999995</v>
      </c>
      <c r="C4252" s="306">
        <f t="shared" si="828"/>
        <v>0</v>
      </c>
      <c r="D4252" s="306">
        <f t="shared" si="828"/>
        <v>0</v>
      </c>
      <c r="E4252" s="317">
        <f>ROUND(E$4093*(1-$C1135),2)</f>
        <v>0</v>
      </c>
      <c r="F4252" s="317">
        <f>ROUND(F$4093*(1-$B1135),2)</f>
        <v>0</v>
      </c>
      <c r="G4252" s="306">
        <f>ROUND(G$4093*(1-$B1135),3)</f>
        <v>0</v>
      </c>
      <c r="H4252" s="291"/>
    </row>
    <row r="4253" spans="1:8">
      <c r="A4253" s="289" t="s">
        <v>192</v>
      </c>
      <c r="B4253" s="306">
        <f t="shared" si="828"/>
        <v>-0.56699999999999995</v>
      </c>
      <c r="C4253" s="306">
        <f t="shared" si="828"/>
        <v>0</v>
      </c>
      <c r="D4253" s="306">
        <f t="shared" si="828"/>
        <v>0</v>
      </c>
      <c r="E4253" s="317">
        <f>ROUND(E$4093*(1-$C1136),2)</f>
        <v>0</v>
      </c>
      <c r="F4253" s="317">
        <f>ROUND(F$4093*(1-$B1136),2)</f>
        <v>0</v>
      </c>
      <c r="G4253" s="306">
        <f>ROUND(G$4093*(1-$B1136),3)</f>
        <v>0</v>
      </c>
      <c r="H4253" s="291"/>
    </row>
    <row r="4254" spans="1:8">
      <c r="A4254" s="297" t="s">
        <v>193</v>
      </c>
      <c r="H4254" s="291"/>
    </row>
    <row r="4255" spans="1:8">
      <c r="A4255" s="289" t="s">
        <v>101</v>
      </c>
      <c r="B4255" s="306">
        <f t="shared" ref="B4255:D4257" si="829">ROUND(B$4094*(1-$B1138),3)</f>
        <v>-0.66600000000000004</v>
      </c>
      <c r="C4255" s="306">
        <f t="shared" si="829"/>
        <v>0</v>
      </c>
      <c r="D4255" s="306">
        <f t="shared" si="829"/>
        <v>0</v>
      </c>
      <c r="E4255" s="317">
        <f>ROUND(E$4094*(1-$C1138),2)</f>
        <v>0</v>
      </c>
      <c r="F4255" s="317">
        <f>ROUND(F$4094*(1-$B1138),2)</f>
        <v>0</v>
      </c>
      <c r="G4255" s="306">
        <f>ROUND(G$4094*(1-$B1138),3)</f>
        <v>0.28499999999999998</v>
      </c>
      <c r="H4255" s="291"/>
    </row>
    <row r="4256" spans="1:8">
      <c r="A4256" s="289" t="s">
        <v>194</v>
      </c>
      <c r="B4256" s="306">
        <f t="shared" si="829"/>
        <v>-0.66600000000000004</v>
      </c>
      <c r="C4256" s="306">
        <f t="shared" si="829"/>
        <v>0</v>
      </c>
      <c r="D4256" s="306">
        <f t="shared" si="829"/>
        <v>0</v>
      </c>
      <c r="E4256" s="317">
        <f>ROUND(E$4094*(1-$C1139),2)</f>
        <v>0</v>
      </c>
      <c r="F4256" s="317">
        <f>ROUND(F$4094*(1-$B1139),2)</f>
        <v>0</v>
      </c>
      <c r="G4256" s="306">
        <f>ROUND(G$4094*(1-$B1139),3)</f>
        <v>0.28499999999999998</v>
      </c>
      <c r="H4256" s="291"/>
    </row>
    <row r="4257" spans="1:8">
      <c r="A4257" s="289" t="s">
        <v>195</v>
      </c>
      <c r="B4257" s="306">
        <f t="shared" si="829"/>
        <v>-0.66600000000000004</v>
      </c>
      <c r="C4257" s="306">
        <f t="shared" si="829"/>
        <v>0</v>
      </c>
      <c r="D4257" s="306">
        <f t="shared" si="829"/>
        <v>0</v>
      </c>
      <c r="E4257" s="317">
        <f>ROUND(E$4094*(1-$C1140),2)</f>
        <v>0</v>
      </c>
      <c r="F4257" s="317">
        <f>ROUND(F$4094*(1-$B1140),2)</f>
        <v>0</v>
      </c>
      <c r="G4257" s="306">
        <f>ROUND(G$4094*(1-$B1140),3)</f>
        <v>0.28499999999999998</v>
      </c>
      <c r="H4257" s="291"/>
    </row>
    <row r="4258" spans="1:8">
      <c r="A4258" s="297" t="s">
        <v>196</v>
      </c>
      <c r="H4258" s="291"/>
    </row>
    <row r="4259" spans="1:8">
      <c r="A4259" s="289" t="s">
        <v>102</v>
      </c>
      <c r="B4259" s="306">
        <f t="shared" ref="B4259:D4261" si="830">ROUND(B$4095*(1-$B1142),3)</f>
        <v>-5.5940000000000003</v>
      </c>
      <c r="C4259" s="306">
        <f t="shared" si="830"/>
        <v>-0.42499999999999999</v>
      </c>
      <c r="D4259" s="306">
        <f t="shared" si="830"/>
        <v>-5.5E-2</v>
      </c>
      <c r="E4259" s="317">
        <f>ROUND(E$4095*(1-$C1142),2)</f>
        <v>0</v>
      </c>
      <c r="F4259" s="317">
        <f>ROUND(F$4095*(1-$B1142),2)</f>
        <v>0</v>
      </c>
      <c r="G4259" s="306">
        <f>ROUND(G$4095*(1-$B1142),3)</f>
        <v>0.28499999999999998</v>
      </c>
      <c r="H4259" s="291"/>
    </row>
    <row r="4260" spans="1:8">
      <c r="A4260" s="289" t="s">
        <v>197</v>
      </c>
      <c r="B4260" s="306">
        <f t="shared" si="830"/>
        <v>-5.5940000000000003</v>
      </c>
      <c r="C4260" s="306">
        <f t="shared" si="830"/>
        <v>-0.42499999999999999</v>
      </c>
      <c r="D4260" s="306">
        <f t="shared" si="830"/>
        <v>-5.5E-2</v>
      </c>
      <c r="E4260" s="317">
        <f>ROUND(E$4095*(1-$C1143),2)</f>
        <v>0</v>
      </c>
      <c r="F4260" s="317">
        <f>ROUND(F$4095*(1-$B1143),2)</f>
        <v>0</v>
      </c>
      <c r="G4260" s="306">
        <f>ROUND(G$4095*(1-$B1143),3)</f>
        <v>0.28499999999999998</v>
      </c>
      <c r="H4260" s="291"/>
    </row>
    <row r="4261" spans="1:8">
      <c r="A4261" s="289" t="s">
        <v>198</v>
      </c>
      <c r="B4261" s="306">
        <f t="shared" si="830"/>
        <v>-5.5940000000000003</v>
      </c>
      <c r="C4261" s="306">
        <f t="shared" si="830"/>
        <v>-0.42499999999999999</v>
      </c>
      <c r="D4261" s="306">
        <f t="shared" si="830"/>
        <v>-5.5E-2</v>
      </c>
      <c r="E4261" s="317">
        <f>ROUND(E$4095*(1-$C1144),2)</f>
        <v>0</v>
      </c>
      <c r="F4261" s="317">
        <f>ROUND(F$4095*(1-$B1144),2)</f>
        <v>0</v>
      </c>
      <c r="G4261" s="306">
        <f>ROUND(G$4095*(1-$B1144),3)</f>
        <v>0.28499999999999998</v>
      </c>
      <c r="H4261" s="291"/>
    </row>
    <row r="4262" spans="1:8">
      <c r="A4262" s="297" t="s">
        <v>199</v>
      </c>
      <c r="H4262" s="291"/>
    </row>
    <row r="4263" spans="1:8">
      <c r="A4263" s="289" t="s">
        <v>103</v>
      </c>
      <c r="B4263" s="306">
        <f t="shared" ref="B4263:D4264" si="831">ROUND(B$4096*(1-$B1146),3)</f>
        <v>-0.56699999999999995</v>
      </c>
      <c r="C4263" s="306">
        <f t="shared" si="831"/>
        <v>0</v>
      </c>
      <c r="D4263" s="306">
        <f t="shared" si="831"/>
        <v>0</v>
      </c>
      <c r="E4263" s="317">
        <f>ROUND(E$4096*(1-$C1146),2)</f>
        <v>0</v>
      </c>
      <c r="F4263" s="317">
        <f>ROUND(F$4096*(1-$B1146),2)</f>
        <v>0</v>
      </c>
      <c r="G4263" s="306">
        <f>ROUND(G$4096*(1-$B1146),3)</f>
        <v>0.24299999999999999</v>
      </c>
      <c r="H4263" s="291"/>
    </row>
    <row r="4264" spans="1:8">
      <c r="A4264" s="289" t="s">
        <v>200</v>
      </c>
      <c r="B4264" s="306">
        <f t="shared" si="831"/>
        <v>-0.56699999999999995</v>
      </c>
      <c r="C4264" s="306">
        <f t="shared" si="831"/>
        <v>0</v>
      </c>
      <c r="D4264" s="306">
        <f t="shared" si="831"/>
        <v>0</v>
      </c>
      <c r="E4264" s="317">
        <f>ROUND(E$4096*(1-$C1147),2)</f>
        <v>0</v>
      </c>
      <c r="F4264" s="317">
        <f>ROUND(F$4096*(1-$B1147),2)</f>
        <v>0</v>
      </c>
      <c r="G4264" s="306">
        <f>ROUND(G$4096*(1-$B1147),3)</f>
        <v>0.24299999999999999</v>
      </c>
      <c r="H4264" s="291"/>
    </row>
    <row r="4265" spans="1:8">
      <c r="A4265" s="297" t="s">
        <v>201</v>
      </c>
      <c r="H4265" s="291"/>
    </row>
    <row r="4266" spans="1:8">
      <c r="A4266" s="289" t="s">
        <v>104</v>
      </c>
      <c r="B4266" s="306">
        <f t="shared" ref="B4266:D4267" si="832">ROUND(B$4097*(1-$B1149),3)</f>
        <v>-4.7640000000000002</v>
      </c>
      <c r="C4266" s="306">
        <f t="shared" si="832"/>
        <v>-0.36499999999999999</v>
      </c>
      <c r="D4266" s="306">
        <f t="shared" si="832"/>
        <v>-4.3999999999999997E-2</v>
      </c>
      <c r="E4266" s="317">
        <f>ROUND(E$4097*(1-$C1149),2)</f>
        <v>0</v>
      </c>
      <c r="F4266" s="317">
        <f>ROUND(F$4097*(1-$B1149),2)</f>
        <v>0</v>
      </c>
      <c r="G4266" s="306">
        <f>ROUND(G$4097*(1-$B1149),3)</f>
        <v>0.24299999999999999</v>
      </c>
      <c r="H4266" s="291"/>
    </row>
    <row r="4267" spans="1:8">
      <c r="A4267" s="289" t="s">
        <v>202</v>
      </c>
      <c r="B4267" s="306">
        <f t="shared" si="832"/>
        <v>-4.7640000000000002</v>
      </c>
      <c r="C4267" s="306">
        <f t="shared" si="832"/>
        <v>-0.36499999999999999</v>
      </c>
      <c r="D4267" s="306">
        <f t="shared" si="832"/>
        <v>-4.3999999999999997E-2</v>
      </c>
      <c r="E4267" s="317">
        <f>ROUND(E$4097*(1-$C1150),2)</f>
        <v>0</v>
      </c>
      <c r="F4267" s="317">
        <f>ROUND(F$4097*(1-$B1150),2)</f>
        <v>0</v>
      </c>
      <c r="G4267" s="306">
        <f>ROUND(G$4097*(1-$B1150),3)</f>
        <v>0.24299999999999999</v>
      </c>
      <c r="H4267" s="291"/>
    </row>
    <row r="4268" spans="1:8">
      <c r="A4268" s="297" t="s">
        <v>203</v>
      </c>
      <c r="H4268" s="291"/>
    </row>
    <row r="4269" spans="1:8">
      <c r="A4269" s="289" t="s">
        <v>112</v>
      </c>
      <c r="B4269" s="306">
        <f t="shared" ref="B4269:D4270" si="833">ROUND(B$4098*(1-$B1152),3)</f>
        <v>-0.28799999999999998</v>
      </c>
      <c r="C4269" s="306">
        <f t="shared" si="833"/>
        <v>0</v>
      </c>
      <c r="D4269" s="306">
        <f t="shared" si="833"/>
        <v>0</v>
      </c>
      <c r="E4269" s="317">
        <f>ROUND(E$4098*(1-$C1152),2)</f>
        <v>35.33</v>
      </c>
      <c r="F4269" s="317">
        <f>ROUND(F$4098*(1-$B1152),2)</f>
        <v>0</v>
      </c>
      <c r="G4269" s="306">
        <f>ROUND(G$4098*(1-$B1152),3)</f>
        <v>0.19600000000000001</v>
      </c>
      <c r="H4269" s="291"/>
    </row>
    <row r="4270" spans="1:8">
      <c r="A4270" s="289" t="s">
        <v>204</v>
      </c>
      <c r="B4270" s="306">
        <f t="shared" si="833"/>
        <v>-0.28799999999999998</v>
      </c>
      <c r="C4270" s="306">
        <f t="shared" si="833"/>
        <v>0</v>
      </c>
      <c r="D4270" s="306">
        <f t="shared" si="833"/>
        <v>0</v>
      </c>
      <c r="E4270" s="317">
        <f>ROUND(E$4098*(1-$C1153),2)</f>
        <v>0</v>
      </c>
      <c r="F4270" s="317">
        <f>ROUND(F$4098*(1-$B1153),2)</f>
        <v>0</v>
      </c>
      <c r="G4270" s="306">
        <f>ROUND(G$4098*(1-$B1153),3)</f>
        <v>0.19600000000000001</v>
      </c>
      <c r="H4270" s="291"/>
    </row>
    <row r="4271" spans="1:8">
      <c r="A4271" s="297" t="s">
        <v>205</v>
      </c>
      <c r="H4271" s="291"/>
    </row>
    <row r="4272" spans="1:8">
      <c r="A4272" s="289" t="s">
        <v>113</v>
      </c>
      <c r="B4272" s="306">
        <f t="shared" ref="B4272:D4273" si="834">ROUND(B$4099*(1-$B1155),3)</f>
        <v>-2.4279999999999999</v>
      </c>
      <c r="C4272" s="306">
        <f t="shared" si="834"/>
        <v>-0.19600000000000001</v>
      </c>
      <c r="D4272" s="306">
        <f t="shared" si="834"/>
        <v>-1.6E-2</v>
      </c>
      <c r="E4272" s="317">
        <f>ROUND(E$4099*(1-$C1155),2)</f>
        <v>35.33</v>
      </c>
      <c r="F4272" s="317">
        <f>ROUND(F$4099*(1-$B1155),2)</f>
        <v>0</v>
      </c>
      <c r="G4272" s="306">
        <f>ROUND(G$4099*(1-$B1155),3)</f>
        <v>0.19600000000000001</v>
      </c>
      <c r="H4272" s="291"/>
    </row>
    <row r="4273" spans="1:8">
      <c r="A4273" s="289" t="s">
        <v>206</v>
      </c>
      <c r="B4273" s="306">
        <f t="shared" si="834"/>
        <v>-2.4279999999999999</v>
      </c>
      <c r="C4273" s="306">
        <f t="shared" si="834"/>
        <v>-0.19600000000000001</v>
      </c>
      <c r="D4273" s="306">
        <f t="shared" si="834"/>
        <v>-1.6E-2</v>
      </c>
      <c r="E4273" s="317">
        <f>ROUND(E$4099*(1-$C1156),2)</f>
        <v>0</v>
      </c>
      <c r="F4273" s="317">
        <f>ROUND(F$4099*(1-$B1156),2)</f>
        <v>0</v>
      </c>
      <c r="G4273" s="306">
        <f>ROUND(G$4099*(1-$B1156),3)</f>
        <v>0.19600000000000001</v>
      </c>
      <c r="H4273" s="291"/>
    </row>
    <row r="4275" spans="1:8" ht="21" customHeight="1">
      <c r="A4275" s="1" t="s">
        <v>1779</v>
      </c>
    </row>
    <row r="4276" spans="1:8">
      <c r="A4276" s="287" t="s">
        <v>1270</v>
      </c>
    </row>
    <row r="4277" spans="1:8">
      <c r="A4277" s="287" t="s">
        <v>1271</v>
      </c>
    </row>
    <row r="4278" spans="1:8">
      <c r="A4278" s="287" t="s">
        <v>1780</v>
      </c>
    </row>
    <row r="4279" spans="1:8">
      <c r="A4279" s="287" t="s">
        <v>1543</v>
      </c>
    </row>
    <row r="4280" spans="1:8">
      <c r="A4280" s="287" t="s">
        <v>1781</v>
      </c>
    </row>
    <row r="4281" spans="1:8">
      <c r="A4281" s="287" t="s">
        <v>1272</v>
      </c>
    </row>
    <row r="4282" spans="1:8">
      <c r="A4282" s="287" t="s">
        <v>1782</v>
      </c>
    </row>
    <row r="4283" spans="1:8">
      <c r="A4283" s="287" t="s">
        <v>1273</v>
      </c>
    </row>
    <row r="4284" spans="1:8">
      <c r="A4284" s="287" t="s">
        <v>1274</v>
      </c>
    </row>
    <row r="4285" spans="1:8">
      <c r="A4285" s="287" t="s">
        <v>1542</v>
      </c>
    </row>
    <row r="4286" spans="1:8">
      <c r="A4286" s="287" t="s">
        <v>1275</v>
      </c>
    </row>
    <row r="4287" spans="1:8">
      <c r="A4287" s="287" t="s">
        <v>1276</v>
      </c>
    </row>
    <row r="4288" spans="1:8">
      <c r="A4288" s="287" t="s">
        <v>1277</v>
      </c>
    </row>
    <row r="4289" spans="1:1">
      <c r="A4289" s="287" t="s">
        <v>1783</v>
      </c>
    </row>
    <row r="4290" spans="1:1">
      <c r="A4290" s="287" t="s">
        <v>1784</v>
      </c>
    </row>
    <row r="4291" spans="1:1">
      <c r="A4291" s="287" t="s">
        <v>1278</v>
      </c>
    </row>
    <row r="4292" spans="1:1">
      <c r="A4292" s="287" t="s">
        <v>1279</v>
      </c>
    </row>
    <row r="4293" spans="1:1">
      <c r="A4293" s="287" t="s">
        <v>1785</v>
      </c>
    </row>
    <row r="4294" spans="1:1">
      <c r="A4294" s="287" t="s">
        <v>1483</v>
      </c>
    </row>
    <row r="4295" spans="1:1">
      <c r="A4295" s="287" t="s">
        <v>1541</v>
      </c>
    </row>
    <row r="4296" spans="1:1">
      <c r="A4296" s="287" t="s">
        <v>1786</v>
      </c>
    </row>
    <row r="4297" spans="1:1">
      <c r="A4297" s="287" t="s">
        <v>1540</v>
      </c>
    </row>
    <row r="4298" spans="1:1">
      <c r="A4298" s="287" t="s">
        <v>1787</v>
      </c>
    </row>
    <row r="4299" spans="1:1">
      <c r="A4299" s="287" t="s">
        <v>1280</v>
      </c>
    </row>
    <row r="4300" spans="1:1">
      <c r="A4300" s="287" t="s">
        <v>1281</v>
      </c>
    </row>
    <row r="4301" spans="1:1">
      <c r="A4301" s="287" t="s">
        <v>1788</v>
      </c>
    </row>
    <row r="4302" spans="1:1">
      <c r="A4302" s="287" t="s">
        <v>1789</v>
      </c>
    </row>
    <row r="4303" spans="1:1">
      <c r="A4303" s="287" t="s">
        <v>1790</v>
      </c>
    </row>
    <row r="4304" spans="1:1">
      <c r="A4304" s="287" t="s">
        <v>1791</v>
      </c>
    </row>
    <row r="4305" spans="1:1">
      <c r="A4305" s="287" t="s">
        <v>1792</v>
      </c>
    </row>
    <row r="4306" spans="1:1">
      <c r="A4306" s="287" t="s">
        <v>1793</v>
      </c>
    </row>
    <row r="4307" spans="1:1">
      <c r="A4307" s="287" t="s">
        <v>1794</v>
      </c>
    </row>
    <row r="4308" spans="1:1">
      <c r="A4308" s="287" t="s">
        <v>1795</v>
      </c>
    </row>
    <row r="4309" spans="1:1">
      <c r="A4309" s="287" t="s">
        <v>1796</v>
      </c>
    </row>
    <row r="4310" spans="1:1">
      <c r="A4310" s="287" t="s">
        <v>1797</v>
      </c>
    </row>
    <row r="4311" spans="1:1">
      <c r="A4311" s="287" t="s">
        <v>1798</v>
      </c>
    </row>
    <row r="4312" spans="1:1">
      <c r="A4312" s="287" t="s">
        <v>1799</v>
      </c>
    </row>
    <row r="4313" spans="1:1">
      <c r="A4313" s="287" t="s">
        <v>1800</v>
      </c>
    </row>
    <row r="4314" spans="1:1">
      <c r="A4314" s="287" t="s">
        <v>1801</v>
      </c>
    </row>
    <row r="4315" spans="1:1">
      <c r="A4315" s="287" t="s">
        <v>1802</v>
      </c>
    </row>
    <row r="4316" spans="1:1">
      <c r="A4316" s="287" t="s">
        <v>1803</v>
      </c>
    </row>
    <row r="4317" spans="1:1">
      <c r="A4317" s="287" t="s">
        <v>1804</v>
      </c>
    </row>
    <row r="4318" spans="1:1">
      <c r="A4318" s="287" t="s">
        <v>1805</v>
      </c>
    </row>
    <row r="4319" spans="1:1">
      <c r="A4319" s="287" t="s">
        <v>1806</v>
      </c>
    </row>
    <row r="4320" spans="1:1">
      <c r="A4320" s="287" t="s">
        <v>1807</v>
      </c>
    </row>
    <row r="4321" spans="1:1">
      <c r="A4321" s="287" t="s">
        <v>1808</v>
      </c>
    </row>
    <row r="4322" spans="1:1">
      <c r="A4322" s="287" t="s">
        <v>1809</v>
      </c>
    </row>
    <row r="4323" spans="1:1">
      <c r="A4323" s="287" t="s">
        <v>1810</v>
      </c>
    </row>
    <row r="4324" spans="1:1">
      <c r="A4324" s="287" t="s">
        <v>1811</v>
      </c>
    </row>
    <row r="4325" spans="1:1">
      <c r="A4325" s="287" t="s">
        <v>1812</v>
      </c>
    </row>
    <row r="4326" spans="1:1">
      <c r="A4326" s="287" t="s">
        <v>1813</v>
      </c>
    </row>
    <row r="4327" spans="1:1">
      <c r="A4327" s="287" t="s">
        <v>1814</v>
      </c>
    </row>
    <row r="4328" spans="1:1">
      <c r="A4328" s="287" t="s">
        <v>1815</v>
      </c>
    </row>
    <row r="4329" spans="1:1">
      <c r="A4329" s="287" t="s">
        <v>1816</v>
      </c>
    </row>
    <row r="4330" spans="1:1">
      <c r="A4330" s="287" t="s">
        <v>1817</v>
      </c>
    </row>
    <row r="4331" spans="1:1">
      <c r="A4331" s="287" t="s">
        <v>1282</v>
      </c>
    </row>
    <row r="4332" spans="1:1">
      <c r="A4332" s="287" t="s">
        <v>1818</v>
      </c>
    </row>
    <row r="4333" spans="1:1">
      <c r="A4333" s="287" t="s">
        <v>1819</v>
      </c>
    </row>
    <row r="4334" spans="1:1">
      <c r="A4334" s="287" t="s">
        <v>1820</v>
      </c>
    </row>
    <row r="4335" spans="1:1">
      <c r="A4335" s="287" t="s">
        <v>1821</v>
      </c>
    </row>
    <row r="4336" spans="1:1">
      <c r="A4336" s="287" t="s">
        <v>1822</v>
      </c>
    </row>
    <row r="4337" spans="1:1">
      <c r="A4337" s="287" t="s">
        <v>1823</v>
      </c>
    </row>
    <row r="4338" spans="1:1">
      <c r="A4338" s="287" t="s">
        <v>1824</v>
      </c>
    </row>
    <row r="4339" spans="1:1">
      <c r="A4339" s="287" t="s">
        <v>1825</v>
      </c>
    </row>
    <row r="4340" spans="1:1">
      <c r="A4340" s="287" t="s">
        <v>1826</v>
      </c>
    </row>
    <row r="4341" spans="1:1">
      <c r="A4341" s="287" t="s">
        <v>1827</v>
      </c>
    </row>
    <row r="4342" spans="1:1">
      <c r="A4342" s="287" t="s">
        <v>1828</v>
      </c>
    </row>
    <row r="4343" spans="1:1">
      <c r="A4343" s="287" t="s">
        <v>1482</v>
      </c>
    </row>
    <row r="4344" spans="1:1">
      <c r="A4344" s="287" t="s">
        <v>1481</v>
      </c>
    </row>
    <row r="4345" spans="1:1">
      <c r="A4345" s="287"/>
    </row>
    <row r="4346" spans="1:1">
      <c r="A4346" s="287" t="s">
        <v>1829</v>
      </c>
    </row>
  </sheetData>
  <dataValidations count="17">
    <dataValidation type="decimal" allowBlank="1" showInputMessage="1" showErrorMessage="1" sqref="B332:J332 B311:E319 B287:D290 B278:D282 B265:D273 D249">
      <formula1>0</formula1>
      <formula2>1</formula2>
    </dataValidation>
    <dataValidation type="decimal" operator="greaterThanOrEqual" allowBlank="1" showInputMessage="1" showErrorMessage="1" sqref="B325 B304:D304 B297:D297 E249 B249:C249 B244 B90:I90 B63:F63 B58:I58 B46:B53">
      <formula1>0</formula1>
    </dataValidation>
    <dataValidation type="decimal" allowBlank="1" showInputMessage="1" showErrorMessage="1" errorTitle="Invalid customer contribution" error="The customer contribution must be a non-negative percentage value." sqref="B257:I260">
      <formula1>0</formula1>
      <formula2>4</formula2>
    </dataValidation>
    <dataValidation type="decimal" operator="greaterThanOrEqual" allowBlank="1" showInputMessage="1" showErrorMessage="1" errorTitle="Volume data error" error="The volume must be a non-negative number." sqref="B237:G238 B234:G235 B231:G232 B228:G229 B224:G226 B220:G222 B217:G218 B213:G215 B209:G211 B205:G207 B201:G203 B197:G199 B193:G195 B190:G191 B187:G188 B183:G185 B179:G181 B175:G177 B173:G173 B171:G171 B167:G169 B163:G165 B159:G161 B155:G157 B151:G153 B147:G149 B143:G145">
      <formula1>0</formula1>
    </dataValidation>
    <dataValidation type="textLength" operator="equal" allowBlank="1" showInputMessage="1" showErrorMessage="1" error="This cell should remain blank." sqref="B236:G236 B233:G233 B230:G230 B227:G227 B223:G223 B219:G219 B216:G216 B212:G212 B208:G208 B204:G204 B200:G200 B196:G196 B192:G192 B189:G189 B186:G186 B182:G182 B178:G178 B174:G174 B172:G172 B170:G170 B166:G166 B162:G162 B158:G158 B154:G154 B150:G150 B146:G146 B142:G142">
      <formula1>0</formula1>
    </dataValidation>
    <dataValidation type="decimal" allowBlank="1" showInputMessage="1" showErrorMessage="1" error="The load factor must be between 0% and 100%." sqref="C116:C134">
      <formula1>0</formula1>
      <formula2>1</formula2>
    </dataValidation>
    <dataValidation type="decimal" allowBlank="1" showInputMessage="1" showErrorMessage="1" error="The coincidence factor must be between 0% and 100%." sqref="B116:B134">
      <formula1>0</formula1>
      <formula2>1</formula2>
    </dataValidation>
    <dataValidation type="decimal" allowBlank="1" showInputMessage="1" showErrorMessage="1" error="The LDNO discount must be between 0% and 100%." sqref="B110:F110">
      <formula1>0</formula1>
      <formula2>1</formula2>
    </dataValidation>
    <dataValidation type="decimal" operator="greaterThan" allowBlank="1" showInputMessage="1" showErrorMessage="1" sqref="B104:H104">
      <formula1>0</formula1>
    </dataValidation>
    <dataValidation type="decimal" allowBlank="1" showInputMessage="1" showErrorMessage="1" error="The number in this cell must be between 0% and 100%." sqref="B95:F98 B68:I83">
      <formula1>0</formula1>
      <formula2>1</formula2>
    </dataValidation>
    <dataValidation type="decimal" allowBlank="1" showInputMessage="1" showErrorMessage="1" sqref="B41">
      <formula1>0.001</formula1>
      <formula2>999999.999</formula2>
    </dataValidation>
    <dataValidation type="decimal" allowBlank="1" showInputMessage="1" showErrorMessage="1" error="The proportion of load going through 132kV/HV must be between 0% and 100%." sqref="B36">
      <formula1>0</formula1>
      <formula2>1</formula2>
    </dataValidation>
    <dataValidation type="decimal" allowBlank="1" showInputMessage="1" showErrorMessage="1" error="Must be a non-negative percentage value." sqref="B24:B31">
      <formula1>0</formula1>
      <formula2>4</formula2>
    </dataValidation>
    <dataValidation type="decimal" allowBlank="1" showInputMessage="1" showErrorMessage="1" sqref="F14">
      <formula1>365</formula1>
      <formula2>366</formula2>
    </dataValidation>
    <dataValidation type="decimal" allowBlank="1" showInputMessage="1" showErrorMessage="1" sqref="E14">
      <formula1>0.001</formula1>
      <formula2>1</formula2>
    </dataValidation>
    <dataValidation type="decimal" allowBlank="1" showInputMessage="1" showErrorMessage="1" sqref="C14">
      <formula1>0</formula1>
      <formula2>999999</formula2>
    </dataValidation>
    <dataValidation type="decimal" allowBlank="1" showInputMessage="1" showErrorMessage="1" error="The rate of return must be a non-negative percentage value." sqref="B14">
      <formula1>0</formula1>
      <formula2>4</formula2>
    </dataValidation>
  </dataValidations>
  <hyperlinks>
    <hyperlink ref="A340" location="'CDCM'!B346" display="x1 = Network level for each tariff (to get loss factors applicable to capacity) (in Loss adjustment factors to transmission)"/>
    <hyperlink ref="A341" location="'CDCM'!B103" display="x2 = 1032. Loss adjustment factors to transmission"/>
    <hyperlink ref="A389" location="'CDCM'!B377" display="x1 = 2002. Mapping of DRM network levels to core network levels"/>
    <hyperlink ref="A390" location="'CDCM'!B103" display="x2 = 1032. Loss adjustment factors to transmission"/>
    <hyperlink ref="A405" location="'CDCM'!B393" display="x1 = 2003. Loss adjustment factor to transmission for each DRM network level"/>
    <hyperlink ref="A448" location="'CDCM'!B35" display="x1 = 1018. Proportion of relevant load going through 132kV/HV direct transformation"/>
    <hyperlink ref="A456" location="'CDCM'!B35" display="x1 = 1018. Proportion of relevant load going through 132kV/HV direct transformation"/>
    <hyperlink ref="A464" location="'CDCM'!B35" display="x1 = 1018. Proportion of relevant load going through 132kV/HV direct transformation"/>
    <hyperlink ref="A472" location="'CDCM'!B35" display="x1 = 1018. Proportion of relevant load going through 132kV/HV direct transformation"/>
    <hyperlink ref="A473" location="'CDCM'!B451" display="x2 = 2006. Proportion going through 132kV/EHV"/>
    <hyperlink ref="A474" location="'CDCM'!B459" display="x3 = 2007. Proportion going through EHV"/>
    <hyperlink ref="A475" location="'CDCM'!B467" display="x4 = 2008. Proportion going through EHV/HV"/>
    <hyperlink ref="A493" location="'CDCM'!B417" display="x1 = 2005. Network use factors"/>
    <hyperlink ref="A494" location="'CDCM'!B480" display="x2 = 2009. Rerouteing matrix for all network levels"/>
    <hyperlink ref="A530" location="'CDCM'!B497" display="x3 = 2010. Network use factors: interim step in calculations before adjustments"/>
    <hyperlink ref="A564" location="'CDCM'!B409" display="x1 = 2004. Loss adjustment factor to transmission for each network level"/>
    <hyperlink ref="A565" location="'CDCM'!B533" display="x2 = 2011. Network use factors for all tariffs"/>
    <hyperlink ref="A566" location="'CDCM'!I346" display="x3 = 2001. Loss adjustment factor to transmission (in Loss adjustment factors to transmission)"/>
    <hyperlink ref="A603" location="'CDCM'!B13" display="x1 = 1010. Rate of return (in Financial and general assumptions)"/>
    <hyperlink ref="A604" location="'CDCM'!C13" display="x2 = 1010. Annualisation period (years) (in Financial and general assumptions)"/>
    <hyperlink ref="A605" location="'CDCM'!F13" display="x3 = 1010. Days in the charging year (in Financial and general assumptions)"/>
    <hyperlink ref="A613" location="'CDCM'!B103" display="x1 = 1032. Loss adjustment factors to transmission"/>
    <hyperlink ref="A622" location="'CDCM'!B617" display="x1 = 2102. Loss adjustment factor to transmission for each core level"/>
    <hyperlink ref="A623" location="'CDCM'!B627" display="x2 = Loss adjustment factor to transmission for network level exit (in Loss adjustment factors)"/>
    <hyperlink ref="A639" location="'CDCM'!B23" display="x1 = 1017. Diversity allowance between top and bottom of network level"/>
    <hyperlink ref="A640" location="'CDCM'!C644" display="x2 = Coincidence to system peak at level exit (in Diversity calculations)"/>
    <hyperlink ref="A656" location="'CDCM'!B40" display="x1 = 1019. Network model GSP peak demand (MW)"/>
    <hyperlink ref="A657" location="'CDCM'!B644" display="x2 = 2104. Coincidence to GSP peak at level exit (in Diversity calculations)"/>
    <hyperlink ref="A671" location="'CDCM'!B660" display="x1 = 2105. Network model total maximum demand at substation (MW)"/>
    <hyperlink ref="A672" location="'CDCM'!C644" display="x2 = 2104. Coincidence to system peak at level exit (in Diversity calculations)"/>
    <hyperlink ref="A673" location="'CDCM'!B627" display="x3 = 2103. Loss adjustment factor to transmission for network level exit (in Loss adjustment factors)"/>
    <hyperlink ref="A687" location="'CDCM'!B35" display="x1 = 1018. Proportion of relevant load going through 132kV/HV direct transformation"/>
    <hyperlink ref="A688" location="'CDCM'!B451" display="x2 = 2006. Proportion going through 132kV/EHV"/>
    <hyperlink ref="A689" location="'CDCM'!B459" display="x3 = 2007. Proportion going through EHV"/>
    <hyperlink ref="A690" location="'CDCM'!B467" display="x4 = 2008. Proportion going through EHV/HV"/>
    <hyperlink ref="A705" location="'CDCM'!B676" display="x1 = 2106. Network model contribution to system maximum load measured at network level exit (MW)"/>
    <hyperlink ref="A706" location="'CDCM'!B694" display="x2 = 2107. Rerouteing matrix for DRM network levels"/>
    <hyperlink ref="A721" location="'CDCM'!B709" display="x1 = 2108. GSP simultaneous maximum load assumed through each network level (MW)"/>
    <hyperlink ref="A722" location="'CDCM'!B45" display="x2 = 1020. Gross asset cost by network level (£)"/>
    <hyperlink ref="A723" location="'CDCM'!B608" display="x3 = 2101. Annuity rate"/>
    <hyperlink ref="A741" location="'CDCM'!B67" display="x1 = 1025. Matrix of applicability of LV service models to tariffs with fixed charges"/>
    <hyperlink ref="A742" location="'CDCM'!B57" display="x2 = 1022. LV service model asset cost (£)"/>
    <hyperlink ref="A765" location="'CDCM'!B89" display="x1 = 1026. Matrix of applicability of LV service models to unmetered tariffs"/>
    <hyperlink ref="A766" location="'CDCM'!B57" display="x2 = 1022. LV service model asset cost (£)"/>
    <hyperlink ref="A774" location="'CDCM'!D13" display="x1 = 1010. Annuity proportion for customer-contributed assets (in Financial and general assumptions)"/>
    <hyperlink ref="A775" location="'CDCM'!B769" display="x2 = 2202. LV unmetered service model assets £/(MWh/year)"/>
    <hyperlink ref="A776" location="'CDCM'!B608" display="x3 = 2101. Annuity rate"/>
    <hyperlink ref="A784" location="'CDCM'!B94" display="x1 = 1028. Matrix of applicability of HV service models to tariffs with fixed charges"/>
    <hyperlink ref="A785" location="'CDCM'!B62" display="x2 = 1023. HV service model asset cost (£)"/>
    <hyperlink ref="A796" location="'CDCM'!B745" display="x1 = 2201. Asset £/customer from LV service models"/>
    <hyperlink ref="A797" location="'CDCM'!B788" display="x2 = 2204. Asset £/customer from HV service models"/>
    <hyperlink ref="A831" location="'CDCM'!F13" display="x1 = 1010. Days in the charging year (in Financial and general assumptions)"/>
    <hyperlink ref="A832" location="'CDCM'!B800" display="x2 = 2205. Service model assets by tariff (£)"/>
    <hyperlink ref="A833" location="'CDCM'!B608" display="x3 = 2101. Annuity rate"/>
    <hyperlink ref="A834" location="'CDCM'!D13" display="x4 = 1010. Annuity proportion for customer-contributed assets (in Financial and general assumptions)"/>
    <hyperlink ref="A835" location="'CDCM'!B840" display="x5 = Service model p/MPAN/day charge (in Replacement annuities for service models)"/>
    <hyperlink ref="A882" location="'CDCM'!B115" display="x1 = 1041. Coincidence factor to system maximum load for each type of demand user (in Load profile data for demand users)"/>
    <hyperlink ref="A883" location="'CDCM'!C115" display="x2 = 1041. Load factor for each type of demand user (in Load profile data for demand users)"/>
    <hyperlink ref="A909" location="'CDCM'!B886" display="x1 = 2301. Demand coefficient (load at time of system maximum load divided by average load)"/>
    <hyperlink ref="A1045" location="'CDCM'!B944" display="x1 = 2303. Discount map"/>
    <hyperlink ref="A1046" location="'CDCM'!B109" display="x2 = 1037. Embedded network (LDNO) discounts"/>
    <hyperlink ref="A1048" location="'CDCM'!B1059" display="x4 = Discount for each tariff (except for fixed charges) (in LDNO discounts and volumes adjusted for discount)"/>
    <hyperlink ref="A1049" location="'CDCM'!B141" display="x5 = 1053. Rate 1 units (MWh) by tariff (in Volume forecasts for the charging year)"/>
    <hyperlink ref="A1050" location="'CDCM'!C141" display="x6 = 1053. Rate 2 units (MWh) by tariff (in Volume forecasts for the charging year)"/>
    <hyperlink ref="A1051" location="'CDCM'!D141" display="x7 = 1053. Rate 3 units (MWh) by tariff (in Volume forecasts for the charging year)"/>
    <hyperlink ref="A1052" location="'CDCM'!E141" display="x8 = 1053. MPANs by tariff (in Volume forecasts for the charging year)"/>
    <hyperlink ref="A1053" location="'CDCM'!C1059" display="x9 = Discount for each tariff for fixed charges only (in LDNO discounts and volumes adjusted for discount)"/>
    <hyperlink ref="A1054" location="'CDCM'!F141" display="x10 = 1053. Import capacity (kVA) by tariff (in Volume forecasts for the charging year)"/>
    <hyperlink ref="A1055" location="'CDCM'!G141" display="x11 = 1053. Reactive power units (MVArh) by tariff (in Volume forecasts for the charging year)"/>
    <hyperlink ref="A1160" location="'CDCM'!D1059" display="x1 = 2304. Rate 1 units (MWh) (in LDNO discounts and volumes adjusted for discount)"/>
    <hyperlink ref="A1161" location="'CDCM'!E1059" display="x2 = 2304. Rate 2 units (MWh) (in LDNO discounts and volumes adjusted for discount)"/>
    <hyperlink ref="A1162" location="'CDCM'!F1059" display="x3 = 2304. Rate 3 units (MWh) (in LDNO discounts and volumes adjusted for discount)"/>
    <hyperlink ref="A1163" location="'CDCM'!G1059" display="x4 = 2304. MPANs (in LDNO discounts and volumes adjusted for discount)"/>
    <hyperlink ref="A1164" location="'CDCM'!H1059" display="x5 = 2304. Import capacity (kVA) (in LDNO discounts and volumes adjusted for discount)"/>
    <hyperlink ref="A1165" location="'CDCM'!I1059" display="x6 = 2304. Reactive power units (MVArh) (in LDNO discounts and volumes adjusted for discount)"/>
    <hyperlink ref="A1202" location="'CDCM'!B303" display="x1 = 1068. Typical annual hours by distribution time band"/>
    <hyperlink ref="A1203" location="'CDCM'!F13" display="x2 = 1010. Days in the charging year (in Financial and general assumptions)"/>
    <hyperlink ref="A1204" location="'CDCM'!B1209" display="x3 = Total hours in the year according to time band hours input data (in Adjust annual hours by distribution time band to match days in year)"/>
    <hyperlink ref="A1214" location="'CDCM'!B264" display="x1 = 1061. Average split of rate 1 units by distribution time band"/>
    <hyperlink ref="A1215" location="'CDCM'!B1222" display="x2 = Total split (in Normalisation of split of rate 1 units by time band)"/>
    <hyperlink ref="A1216" location="'CDCM'!C1209" display="x3 = 2401. Annual hours by distribution time band (reconciled to days in year) (in Adjust annual hours by distribution time band to match days in year)"/>
    <hyperlink ref="A1217" location="'CDCM'!F13" display="x4 = 1010. Days in the charging year (in Financial and general assumptions)"/>
    <hyperlink ref="A1235" location="'CDCM'!C1222" display="x1 = 2402. Normalised split of rate 1 units by distribution time band (in Normalisation of split of rate 1 units by time band)"/>
    <hyperlink ref="A1260" location="'CDCM'!B277" display="x1 = 1062. Average split of rate 2 units by distribution time band"/>
    <hyperlink ref="A1261" location="'CDCM'!B1268" display="x2 = Total split (in Normalisation of split of rate 2 units by time band)"/>
    <hyperlink ref="A1262" location="'CDCM'!C1209" display="x3 = 2401. Annual hours by distribution time band (reconciled to days in year) (in Adjust annual hours by distribution time band to match days in year)"/>
    <hyperlink ref="A1263" location="'CDCM'!F13" display="x4 = 1010. Days in the charging year (in Financial and general assumptions)"/>
    <hyperlink ref="A1277" location="'CDCM'!C1268" display="x1 = 2404. Normalised split of rate 2 units by distribution time band (in Normalisation of split of rate 2 units by time band)"/>
    <hyperlink ref="A1310" location="'CDCM'!B1169" display="x1 = 2305. Rate 1 units (MWh) (in Equivalent volume for each end user)"/>
    <hyperlink ref="A1311" location="'CDCM'!C1169" display="x2 = 2305. Rate 2 units (MWh) (in Equivalent volume for each end user)"/>
    <hyperlink ref="A1312" location="'CDCM'!D1169" display="x3 = 2305. Rate 3 units (MWh) (in Equivalent volume for each end user)"/>
    <hyperlink ref="A1346" location="'CDCM'!B1315" display="x1 = 2407. All units (MWh)"/>
    <hyperlink ref="A1347" location="'CDCM'!B1169" display="x2 = 2305. Rate 1 units (MWh) (in Equivalent volume for each end user)"/>
    <hyperlink ref="A1348" location="'CDCM'!B1239" display="x3 = 2403. Split of rate 1 units between distribution time bands"/>
    <hyperlink ref="A1349" location="'CDCM'!C1209" display="x4 = 2401. Annual hours by distribution time band (reconciled to days in year) (in Adjust annual hours by distribution time band to match days in year)"/>
    <hyperlink ref="A1350" location="'CDCM'!B1356" display="x5 = Use of distribution time bands by units in demand forecast for one-rate tariffs (in Calculation of implied load coefficients for one-rate users)"/>
    <hyperlink ref="A1351" location="'CDCM'!F13" display="x6 = 1010. Days in the charging year (in Financial and general assumptions)"/>
    <hyperlink ref="A1362" location="'CDCM'!B1315" display="x1 = 2407. All units (MWh)"/>
    <hyperlink ref="A1363" location="'CDCM'!B1169" display="x2 = 2305. Rate 1 units (MWh) (in Equivalent volume for each end user)"/>
    <hyperlink ref="A1364" location="'CDCM'!B1239" display="x3 = 2403. Split of rate 1 units between distribution time bands"/>
    <hyperlink ref="A1365" location="'CDCM'!C1169" display="x4 = 2305. Rate 2 units (MWh) (in Equivalent volume for each end user)"/>
    <hyperlink ref="A1366" location="'CDCM'!B1281" display="x5 = 2405. Split of rate 2 units between distribution time bands"/>
    <hyperlink ref="A1367" location="'CDCM'!C1209" display="x6 = 2401. Annual hours by distribution time band (reconciled to days in year) (in Adjust annual hours by distribution time band to match days in year)"/>
    <hyperlink ref="A1368" location="'CDCM'!B1374" display="x7 = Use of distribution time bands by units in demand forecast for two-rate tariffs (in Calculation of implied load coefficients for two-rate users)"/>
    <hyperlink ref="A1369" location="'CDCM'!F13" display="x8 = 1010. Days in the charging year (in Financial and general assumptions)"/>
    <hyperlink ref="A1383" location="'CDCM'!B1315" display="x1 = 2407. All units (MWh)"/>
    <hyperlink ref="A1384" location="'CDCM'!B1169" display="x2 = 2305. Rate 1 units (MWh) (in Equivalent volume for each end user)"/>
    <hyperlink ref="A1385" location="'CDCM'!B1239" display="x3 = 2403. Split of rate 1 units between distribution time bands"/>
    <hyperlink ref="A1386" location="'CDCM'!C1169" display="x4 = 2305. Rate 2 units (MWh) (in Equivalent volume for each end user)"/>
    <hyperlink ref="A1387" location="'CDCM'!B1281" display="x5 = 2405. Split of rate 2 units between distribution time bands"/>
    <hyperlink ref="A1388" location="'CDCM'!D1169" display="x6 = 2305. Rate 3 units (MWh) (in Equivalent volume for each end user)"/>
    <hyperlink ref="A1389" location="'CDCM'!B1298" display="x7 = 2406. Split of rate 3 units between distribution time bands (default)"/>
    <hyperlink ref="A1390" location="'CDCM'!C1209" display="x8 = 2401. Annual hours by distribution time band (reconciled to days in year) (in Adjust annual hours by distribution time band to match days in year)"/>
    <hyperlink ref="A1391" location="'CDCM'!B1397" display="x9 = Use of distribution time bands by units in demand forecast for three-rate tariffs (in Calculation of implied load coefficients for three-rate users)"/>
    <hyperlink ref="A1392" location="'CDCM'!F13" display="x10 = 1010. Days in the charging year (in Financial and general assumptions)"/>
    <hyperlink ref="A1406" location="'CDCM'!E1356" display="x1 = 2408. Peak band load coefficient for one-rate tariffs (in Calculation of implied load coefficients for one-rate users)"/>
    <hyperlink ref="A1407" location="'CDCM'!E1374" display="x2 = 2409. Peak band load coefficient for two-rate tariffs (in Calculation of implied load coefficients for two-rate users)"/>
    <hyperlink ref="A1408" location="'CDCM'!E1397" display="x3 = 2410. Peak band load coefficient for three-rate tariffs (in Calculation of implied load coefficients for three-rate users)"/>
    <hyperlink ref="A1409" location="'CDCM'!B1414" display="x4 = Peak band load coefficient (in Calculation of adjusted time band load coefficients)"/>
    <hyperlink ref="A1410" location="'CDCM'!B913" display="x5 = 2302. Load coefficient"/>
    <hyperlink ref="A1435" location="'CDCM'!B310" display="x1 = 1069. Red, amber and green peaking probabilities (in Peaking probabilities by network level)"/>
    <hyperlink ref="A1436" location="'CDCM'!B1443" display="x2 = Total probability (should be 100%) (in Normalisation of peaking probabilities)"/>
    <hyperlink ref="A1437" location="'CDCM'!B303" display="x3 = 1068. Typical annual hours by distribution time band"/>
    <hyperlink ref="A1438" location="'CDCM'!B1209" display="x4 = 2401. Total hours in the year according to time band hours input data (in Adjust annual hours by distribution time band to match days in year)"/>
    <hyperlink ref="A1456" location="'CDCM'!C1443" display="x1 = 2412. Normalised peaking probabilities (in Normalisation of peaking probabilities)"/>
    <hyperlink ref="A1464" location="'CDCM'!C1209" display="x1 = 2401. Annual hours by distribution time band (reconciled to days in year) (in Adjust annual hours by distribution time band to match days in year)"/>
    <hyperlink ref="A1465" location="'CDCM'!C1414" display="x2 = 2411. Load coefficient correction factor (kW at peak in band / band average kW) (in Calculation of adjusted time band load coefficients)"/>
    <hyperlink ref="A1466" location="'CDCM'!B1459" display="x3 = 2413. Peaking probabilities by network level (reshaped)"/>
    <hyperlink ref="A1467" location="'CDCM'!F13" display="x4 = 1010. Days in the charging year (in Financial and general assumptions)"/>
    <hyperlink ref="A1491" location="'CDCM'!B1470" display="x1 = 2414. Pseudo load coefficient by time band and network level"/>
    <hyperlink ref="A1500" location="'CDCM'!B1315" display="x1 = 2407. All units (MWh)"/>
    <hyperlink ref="A1509" location="'CDCM'!B1239" display="x1 = 2403. Split of rate 1 units between distribution time bands"/>
    <hyperlink ref="A1518" location="'CDCM'!B1494" display="x1 = 2415. Single rate non half hourly pseudo timeband load coefficients"/>
    <hyperlink ref="A1519" location="'CDCM'!B1512" display="x2 = 2417. Single rate non half hourly timeband use"/>
    <hyperlink ref="A1528" location="'CDCM'!B1315" display="x1 = 2407. All units (MWh)"/>
    <hyperlink ref="A1537" location="'CDCM'!B1470" display="x1 = 2414. Pseudo load coefficient by time band and network level"/>
    <hyperlink ref="A1546" location="'CDCM'!B1374" display="x1 = 2409. Use of distribution time bands by units in demand forecast for two-rate tariffs (in Calculation of implied load coefficients for two-rate users)"/>
    <hyperlink ref="A1555" location="'CDCM'!B1540" display="x1 = 2420. Multi rate non half hourly pseudo timeband load coefficients"/>
    <hyperlink ref="A1556" location="'CDCM'!B1549" display="x2 = 2421. Multi rate non half hourly timeband use"/>
    <hyperlink ref="A1565" location="'CDCM'!B1315" display="x1 = 2407. All units (MWh)"/>
    <hyperlink ref="A1574" location="'CDCM'!B1470" display="x1 = 2414. Pseudo load coefficient by time band and network level"/>
    <hyperlink ref="A1583" location="'CDCM'!B1239" display="x1 = 2403. Split of rate 1 units between distribution time bands"/>
    <hyperlink ref="A1592" location="'CDCM'!B1577" display="x1 = 2424. Off-peak non half hourly pseudo timeband load coefficients"/>
    <hyperlink ref="A1593" location="'CDCM'!B1586" display="x2 = 2425. Off-peak non half hourly timeband use"/>
    <hyperlink ref="A1602" location="'CDCM'!B1315" display="x1 = 2407. All units (MWh)"/>
    <hyperlink ref="A1611" location="'CDCM'!B1470" display="x1 = 2414. Pseudo load coefficient by time band and network level"/>
    <hyperlink ref="A1620" location="'CDCM'!B1397" display="x1 = 2410. Use of distribution time bands by units in demand forecast for three-rate tariffs (in Calculation of implied load coefficients for three-rate users)"/>
    <hyperlink ref="A1629" location="'CDCM'!B1614" display="x1 = 2428. Aggregated half hourly pseudo timeband load coefficients"/>
    <hyperlink ref="A1630" location="'CDCM'!B1623" display="x2 = 2429. Aggregated half hourly timeband use"/>
    <hyperlink ref="A1639" location="'CDCM'!B1503" display="x1 = 2416. Single rate non half hourly units (MWh)"/>
    <hyperlink ref="A1640" location="'CDCM'!B1522" display="x2 = 2418. Single rate non half hourly tariff pseudo load coefficient"/>
    <hyperlink ref="A1641" location="'CDCM'!B1531" display="x3 = 2419. Multi rate non half hourly units (MWh)"/>
    <hyperlink ref="A1642" location="'CDCM'!B1559" display="x4 = 2422. Multi rate non half hourly tariff pseudo load coefficient"/>
    <hyperlink ref="A1643" location="'CDCM'!B1568" display="x5 = 2423. Off-peak non half hourly units (MWh)"/>
    <hyperlink ref="A1644" location="'CDCM'!B1596" display="x6 = 2426. Off-peak non half hourly tariff pseudo load coefficient"/>
    <hyperlink ref="A1653" location="'CDCM'!B1503" display="x1 = 2416. Single rate non half hourly units (MWh)"/>
    <hyperlink ref="A1654" location="'CDCM'!B1512" display="x2 = 2417. Single rate non half hourly timeband use"/>
    <hyperlink ref="A1655" location="'CDCM'!B1531" display="x3 = 2419. Multi rate non half hourly units (MWh)"/>
    <hyperlink ref="A1656" location="'CDCM'!B1549" display="x4 = 2421. Multi rate non half hourly timeband use"/>
    <hyperlink ref="A1657" location="'CDCM'!B1568" display="x5 = 2423. Off-peak non half hourly units (MWh)"/>
    <hyperlink ref="A1658" location="'CDCM'!B1586" display="x6 = 2425. Off-peak non half hourly timeband use"/>
    <hyperlink ref="A1667" location="'CDCM'!B1614" display="x1 = 2428. Aggregated half hourly pseudo timeband load coefficients"/>
    <hyperlink ref="A1668" location="'CDCM'!B1661" display="x2 = 2432. Average non half hourly timeband use"/>
    <hyperlink ref="A1677" location="'CDCM'!B1647" display="x1 = 2431. Average non half hourly tariff pseudo load coefficient"/>
    <hyperlink ref="A1678" location="'CDCM'!B1671" display="x2 = 2433. Aggregated half hourly tariff pseudo load coefficient using average non half hourly unit mix"/>
    <hyperlink ref="A1687" location="'CDCM'!B1503" display="x1 = 2416. Single rate non half hourly units (MWh)"/>
    <hyperlink ref="A1688" location="'CDCM'!B1522" display="x2 = 2418. Single rate non half hourly tariff pseudo load coefficient"/>
    <hyperlink ref="A1689" location="'CDCM'!B1531" display="x3 = 2419. Multi rate non half hourly units (MWh)"/>
    <hyperlink ref="A1690" location="'CDCM'!B1559" display="x4 = 2422. Multi rate non half hourly tariff pseudo load coefficient"/>
    <hyperlink ref="A1691" location="'CDCM'!B1568" display="x5 = 2423. Off-peak non half hourly units (MWh)"/>
    <hyperlink ref="A1692" location="'CDCM'!B1596" display="x6 = 2426. Off-peak non half hourly tariff pseudo load coefficient"/>
    <hyperlink ref="A1693" location="'CDCM'!B1605" display="x7 = 2427. Aggregated half hourly units (MWh)"/>
    <hyperlink ref="A1694" location="'CDCM'!B1633" display="x8 = 2430. Aggregated half hourly tariff pseudo load coefficient"/>
    <hyperlink ref="A1695" location="'CDCM'!B1681" display="x9 = 2434. Relative correction factor for aggregated half hourly tariff"/>
    <hyperlink ref="A1704" location="'CDCM'!B1494" display="x1 = 2415. Single rate non half hourly pseudo timeband load coefficients"/>
    <hyperlink ref="A1705" location="'CDCM'!B1698" display="x2 = 2435. Correction factor for non half hourly tariffs"/>
    <hyperlink ref="A1714" location="'CDCM'!B1540" display="x1 = 2420. Multi rate non half hourly pseudo timeband load coefficients"/>
    <hyperlink ref="A1715" location="'CDCM'!B1698" display="x2 = 2435. Correction factor for non half hourly tariffs"/>
    <hyperlink ref="A1724" location="'CDCM'!B1577" display="x1 = 2424. Off-peak non half hourly pseudo timeband load coefficients"/>
    <hyperlink ref="A1725" location="'CDCM'!B1698" display="x2 = 2435. Correction factor for non half hourly tariffs"/>
    <hyperlink ref="A1734" location="'CDCM'!B1614" display="x1 = 2428. Aggregated half hourly pseudo timeband load coefficients"/>
    <hyperlink ref="A1735" location="'CDCM'!B1698" display="x2 = 2435. Correction factor for non half hourly tariffs"/>
    <hyperlink ref="A1736" location="'CDCM'!B1681" display="x3 = 2434. Relative correction factor for aggregated half hourly tariff"/>
    <hyperlink ref="A1745" location="'CDCM'!B1708" display="x1 = 2436. Single rate non half hourly corrected pseudo timeband load coefficient"/>
    <hyperlink ref="A1746" location="'CDCM'!B1718" display="x2 = 2437. Multi rate non half hourly corrected pseudo timeband load coefficient"/>
    <hyperlink ref="A1747" location="'CDCM'!B1728" display="x3 = 2438. Off-peak non half hourly corrected pseudo timeband load coefficient"/>
    <hyperlink ref="A1748" location="'CDCM'!B1739" display="x4 = 2439. Aggregated half hourly corrected pseudo timeband load coefficient"/>
    <hyperlink ref="A1749" location="'CDCM'!B1470" display="x5 = 2414. Pseudo load coefficient by time band and network level"/>
    <hyperlink ref="A1773" location="'CDCM'!B1752" display="x1 = 2440. Pseudo load coefficient by time band and network level (equalised)"/>
    <hyperlink ref="A1774" location="'CDCM'!B1239" display="x2 = 2403. Split of rate 1 units between distribution time bands"/>
    <hyperlink ref="A1798" location="'CDCM'!B1752" display="x1 = 2440. Pseudo load coefficient by time band and network level (equalised)"/>
    <hyperlink ref="A1799" location="'CDCM'!B1281" display="x2 = 2405. Split of rate 2 units between distribution time bands"/>
    <hyperlink ref="A1819" location="'CDCM'!B1752" display="x1 = 2440. Pseudo load coefficient by time band and network level (equalised)"/>
    <hyperlink ref="A1820" location="'CDCM'!B1298" display="x2 = 2406. Split of rate 3 units between distribution time bands (default)"/>
    <hyperlink ref="A1835" location="'CDCM'!B296" display="x1 = 1066. Typical annual hours by special distribution time band"/>
    <hyperlink ref="A1836" location="'CDCM'!F13" display="x2 = 1010. Days in the charging year (in Financial and general assumptions)"/>
    <hyperlink ref="A1837" location="'CDCM'!B1842" display="x3 = Total hours in the year according to special time band hours input data (in Adjust annual hours by special distribution time band to match days in year)"/>
    <hyperlink ref="A1847" location="'CDCM'!B286" display="x1 = 1064. Average split of rate 1 units by special distribution time band"/>
    <hyperlink ref="A1848" location="'CDCM'!B1855" display="x2 = Total split (in Normalisation of split of rate 1 units by special time band)"/>
    <hyperlink ref="A1849" location="'CDCM'!C1842" display="x3 = 2444. Annual hours by special distribution time band (reconciled to days in year) (in Adjust annual hours by special distribution time band to match days in year)"/>
    <hyperlink ref="A1850" location="'CDCM'!F13" display="x4 = 1010. Days in the charging year (in Financial and general assumptions)"/>
    <hyperlink ref="A1863" location="'CDCM'!C1855" display="x1 = 2445. Normalised split of rate 1 units by special distribution time band (in Normalisation of split of rate 1 units by special time band)"/>
    <hyperlink ref="A1886" location="'CDCM'!B1315" display="x1 = 2407. All units (MWh)"/>
    <hyperlink ref="A1887" location="'CDCM'!B1169" display="x2 = 2305. Rate 1 units (MWh) (in Equivalent volume for each end user)"/>
    <hyperlink ref="A1888" location="'CDCM'!B1867" display="x3 = 2446. Split of rate 1 units between special distribution time bands"/>
    <hyperlink ref="A1889" location="'CDCM'!C1842" display="x4 = 2444. Annual hours by special distribution time band (reconciled to days in year) (in Adjust annual hours by special distribution time band to match days in year)"/>
    <hyperlink ref="A1890" location="'CDCM'!B1896" display="x5 = Use of special distribution time bands by units in demand forecast for one-rate tariffs (in Calculation of implied special load coefficients for one-rate users)"/>
    <hyperlink ref="A1891" location="'CDCM'!F13" display="x6 = 1010. Days in the charging year (in Financial and general assumptions)"/>
    <hyperlink ref="A1904" location="'CDCM'!B1315" display="x1 = 2407. All units (MWh)"/>
    <hyperlink ref="A1905" location="'CDCM'!B1169" display="x2 = 2305. Rate 1 units (MWh) (in Equivalent volume for each end user)"/>
    <hyperlink ref="A1906" location="'CDCM'!B1867" display="x3 = 2446. Split of rate 1 units between special distribution time bands"/>
    <hyperlink ref="A1907" location="'CDCM'!C1169" display="x4 = 2305. Rate 2 units (MWh) (in Equivalent volume for each end user)"/>
    <hyperlink ref="A1908" location="'CDCM'!B1876" display="x5 = 2447. Split of rate 2 units between special distribution time bands (default)"/>
    <hyperlink ref="A1909" location="'CDCM'!D1169" display="x6 = 2305. Rate 3 units (MWh) (in Equivalent volume for each end user)"/>
    <hyperlink ref="A1910" location="'CDCM'!B1881" display="x7 = 2448. Split of rate 3 units between special distribution time bands (default)"/>
    <hyperlink ref="A1911" location="'CDCM'!C1842" display="x8 = 2444. Annual hours by special distribution time band (reconciled to days in year) (in Adjust annual hours by special distribution time band to match days in year)"/>
    <hyperlink ref="A1912" location="'CDCM'!B1918" display="x9 = Use of special distribution time bands by units in demand forecast for three-rate tariffs (in Calculation of implied special load coefficients for three-rate users)"/>
    <hyperlink ref="A1913" location="'CDCM'!F13" display="x10 = 1010. Days in the charging year (in Financial and general assumptions)"/>
    <hyperlink ref="A1923" location="'CDCM'!E1896" display="x1 = 2449. Peak band special load coefficient for one-rate tariffs (in Calculation of implied special load coefficients for one-rate users)"/>
    <hyperlink ref="A1924" location="'CDCM'!E1918" display="x2 = 2450. Peak band special load coefficient for three-rate tariffs (in Calculation of implied special load coefficients for three-rate users)"/>
    <hyperlink ref="A1925" location="'CDCM'!B1932" display="x3 = Peak band special load coefficient (in Estimated contributions to peak demand)"/>
    <hyperlink ref="A1926" location="'CDCM'!B1315" display="x4 = 2407. All units (MWh)"/>
    <hyperlink ref="A1927" location="'CDCM'!F13" display="x5 = 1010. Days in the charging year (in Financial and general assumptions)"/>
    <hyperlink ref="A1928" location="'CDCM'!B913" display="x6 = 2302. Load coefficient"/>
    <hyperlink ref="A1941" location="'CDCM'!C1932" display="x1 = 2451. Contribution to peak band kW (in Estimated contributions to peak demand)"/>
    <hyperlink ref="A1942" location="'CDCM'!D1932" display="x2 = 2451. Contribution to system-peak-time kW (in Estimated contributions to peak demand)"/>
    <hyperlink ref="A1950" location="'CDCM'!C1443" display="x1 = 2412. Normalised peaking probabilities (in Normalisation of peaking probabilities)"/>
    <hyperlink ref="A1951" location="'CDCM'!C1963" display="x2 = Amber peaking probabilities (in Calculation of special peaking probabilities)"/>
    <hyperlink ref="A1952" location="'CDCM'!F13" display="x3 = 1010. Days in the charging year (in Financial and general assumptions)"/>
    <hyperlink ref="A1953" location="'CDCM'!C1209" display="x4 = 2401. Annual hours by distribution time band (reconciled to days in year) (in Adjust annual hours by distribution time band to match days in year)"/>
    <hyperlink ref="A1954" location="'CDCM'!E310" display="x5 = 1069. Black peaking probabilities (in Peaking probabilities by network level)"/>
    <hyperlink ref="A1955" location="'CDCM'!B1963" display="x6 = Red peaking probabilities (in Calculation of special peaking probabilities)"/>
    <hyperlink ref="A1956" location="'CDCM'!E1963" display="x7 = Amber peaking rates (in Calculation of special peaking probabilities)"/>
    <hyperlink ref="A1957" location="'CDCM'!C1842" display="x8 = 2444. Annual hours by special distribution time band (reconciled to days in year) (in Adjust annual hours by special distribution time band to match days in year)"/>
    <hyperlink ref="A1958" location="'CDCM'!F1963" display="x9 = Yellow peaking probabilities (in Calculation of special peaking probabilities)"/>
    <hyperlink ref="A1959" location="'CDCM'!D1963" display="x10 = Green peaking probabilities (in Calculation of special peaking probabilities)"/>
    <hyperlink ref="A1976" location="'CDCM'!D1963" display="x1 = 2453. Green peaking probabilities (in Calculation of special peaking probabilities)"/>
    <hyperlink ref="A1977" location="'CDCM'!F1963" display="x2 = 2453. Yellow peaking probabilities (in Calculation of special peaking probabilities)"/>
    <hyperlink ref="A1978" location="'CDCM'!G1963" display="x3 = 2453. Black peaking probabilities (in Calculation of special peaking probabilities)"/>
    <hyperlink ref="A1994" location="'CDCM'!B1981" display="x1 = 2454. Special peaking probabilities by network level"/>
    <hyperlink ref="A2002" location="'CDCM'!C1842" display="x1 = 2444. Annual hours by special distribution time band (reconciled to days in year) (in Adjust annual hours by special distribution time band to match days in year)"/>
    <hyperlink ref="A2003" location="'CDCM'!B1945" display="x2 = 2452. Load coefficient correction factor for the group"/>
    <hyperlink ref="A2004" location="'CDCM'!B1997" display="x3 = 2455. Special peaking probabilities by network level (reshaped)"/>
    <hyperlink ref="A2005" location="'CDCM'!F13" display="x4 = 1010. Days in the charging year (in Financial and general assumptions)"/>
    <hyperlink ref="A2013" location="'CDCM'!B2008" display="x1 = 2456. Pseudo load coefficient by special time band and network level"/>
    <hyperlink ref="A2014" location="'CDCM'!B1867" display="x2 = 2446. Split of rate 1 units between special distribution time bands"/>
    <hyperlink ref="A2026" location="'CDCM'!B2008" display="x1 = 2456. Pseudo load coefficient by special time band and network level"/>
    <hyperlink ref="A2027" location="'CDCM'!B1876" display="x2 = 2447. Split of rate 2 units between special distribution time bands (default)"/>
    <hyperlink ref="A2035" location="'CDCM'!B2008" display="x1 = 2456. Pseudo load coefficient by special time band and network level"/>
    <hyperlink ref="A2036" location="'CDCM'!B1881" display="x2 = 2448. Split of rate 3 units between special distribution time bands (default)"/>
    <hyperlink ref="A2044" location="'CDCM'!B1777" display="x1 = 2441. Unit rate 1 pseudo load coefficient by network level"/>
    <hyperlink ref="A2045" location="'CDCM'!B2017" display="x2 = 2457. Unit rate 1 pseudo load coefficient by network level (special)"/>
    <hyperlink ref="A2074" location="'CDCM'!B1802" display="x1 = 2442. Unit rate 2 pseudo load coefficient by network level"/>
    <hyperlink ref="A2075" location="'CDCM'!B2030" display="x2 = 2458. Unit rate 2 pseudo load coefficient by network level (special)"/>
    <hyperlink ref="A2096" location="'CDCM'!B1823" display="x1 = 2443. Unit rate 3 pseudo load coefficient by network level"/>
    <hyperlink ref="A2097" location="'CDCM'!B2039" display="x2 = 2459. Unit rate 3 pseudo load coefficient by network level (special)"/>
    <hyperlink ref="A2115" location="'CDCM'!B1169" display="x1 = 2305. Rate 1 units (MWh) (in Equivalent volume for each end user)"/>
    <hyperlink ref="A2116" location="'CDCM'!B2048" display="x2 = 2460. Unit rate 1 pseudo load coefficient by network level (combined)"/>
    <hyperlink ref="A2117" location="'CDCM'!B569" display="x3 = 2012. Loss adjustment factors between end user meter reading and each network level, scaled by network use"/>
    <hyperlink ref="A2118" location="'CDCM'!F13" display="x4 = 1010. Days in the charging year (in Financial and general assumptions)"/>
    <hyperlink ref="A2133" location="'CDCM'!B1169" display="x1 = 2305. Rate 1 units (MWh) (in Equivalent volume for each end user)"/>
    <hyperlink ref="A2134" location="'CDCM'!B2048" display="x2 = 2460. Unit rate 1 pseudo load coefficient by network level (combined)"/>
    <hyperlink ref="A2135" location="'CDCM'!C1169" display="x3 = 2305. Rate 2 units (MWh) (in Equivalent volume for each end user)"/>
    <hyperlink ref="A2136" location="'CDCM'!B2078" display="x4 = 2461. Unit rate 2 pseudo load coefficient by network level (combined)"/>
    <hyperlink ref="A2137" location="'CDCM'!B569" display="x5 = 2012. Loss adjustment factors between end user meter reading and each network level, scaled by network use"/>
    <hyperlink ref="A2138" location="'CDCM'!F13" display="x6 = 1010. Days in the charging year (in Financial and general assumptions)"/>
    <hyperlink ref="A2150" location="'CDCM'!B1169" display="x1 = 2305. Rate 1 units (MWh) (in Equivalent volume for each end user)"/>
    <hyperlink ref="A2151" location="'CDCM'!B2048" display="x2 = 2460. Unit rate 1 pseudo load coefficient by network level (combined)"/>
    <hyperlink ref="A2152" location="'CDCM'!C1169" display="x3 = 2305. Rate 2 units (MWh) (in Equivalent volume for each end user)"/>
    <hyperlink ref="A2153" location="'CDCM'!B2078" display="x4 = 2461. Unit rate 2 pseudo load coefficient by network level (combined)"/>
    <hyperlink ref="A2154" location="'CDCM'!D1169" display="x5 = 2305. Rate 3 units (MWh) (in Equivalent volume for each end user)"/>
    <hyperlink ref="A2155" location="'CDCM'!B2100" display="x6 = 2462. Unit rate 3 pseudo load coefficient by network level (combined)"/>
    <hyperlink ref="A2156" location="'CDCM'!B569" display="x7 = 2012. Loss adjustment factors between end user meter reading and each network level, scaled by network use"/>
    <hyperlink ref="A2157" location="'CDCM'!F13" display="x8 = 1010. Days in the charging year (in Financial and general assumptions)"/>
    <hyperlink ref="A2173" location="'CDCM'!B1315" display="x1 = 2407. All units (MWh)"/>
    <hyperlink ref="A2174" location="'CDCM'!B913" display="x2 = 2302. Load coefficient"/>
    <hyperlink ref="A2175" location="'CDCM'!B569" display="x3 = 2012. Loss adjustment factors between end user meter reading and each network level, scaled by network use"/>
    <hyperlink ref="A2176" location="'CDCM'!F13" display="x4 = 1010. Days in the charging year (in Financial and general assumptions)"/>
    <hyperlink ref="A2210" location="'CDCM'!B2121" display="x1 = 2501. Contributions of users on one-rate multi tariffs to system simultaneous maximum load by network level (kW)"/>
    <hyperlink ref="A2211" location="'CDCM'!B2141" display="x2 = 2502. Contributions of users on two-rate multi tariffs to system simultaneous maximum load by network level (kW)"/>
    <hyperlink ref="A2212" location="'CDCM'!B2160" display="x3 = 2503. Contributions of users on three-rate multi tariffs to system simultaneous maximum load by network level (kW)"/>
    <hyperlink ref="A2213" location="'CDCM'!B2179" display="x4 = 2504. Estimated contributions of users on each tariff to system simultaneous maximum load by network level (kW)"/>
    <hyperlink ref="A2247" location="'CDCM'!B2216" display="x1 = 2505. Contributions of users on each tariff to system simultaneous maximum load by network level (kW)"/>
    <hyperlink ref="A2257" location="'CDCM'!B2264" display="x1 = Standing charges factors (in Pre-processing of data for standing charge factors)"/>
    <hyperlink ref="A2258" location="'CDCM'!B35" display="x2 = 1018. Proportion of relevant load going through 132kV/HV direct transformation"/>
    <hyperlink ref="A2259" location="'CDCM'!J2264" display="x3 = Standing charges factors for 132kV/HV (in Pre-processing of data for standing charge factors)"/>
    <hyperlink ref="A2287" location="'CDCM'!J2264" display="x1 = 2601. Standing charges factors for 132kV/HV (in Pre-processing of data for standing charge factors)"/>
    <hyperlink ref="A2288" location="'CDCM'!K2264" display="x2 = 2601. Adjusted standing charges factors for 132kV (in Pre-processing of data for standing charge factors)"/>
    <hyperlink ref="A2289" location="'CDCM'!B2264" display="x3 = 2601. Standing charges factors (in Pre-processing of data for standing charge factors)"/>
    <hyperlink ref="A2315" location="'CDCM'!F1169" display="x1 = 2305. Import capacity (kVA) (in Equivalent volume for each end user)"/>
    <hyperlink ref="A2316" location="'CDCM'!E13" display="x2 = 1010. Power factor for all flows in the network model (in Financial and general assumptions)"/>
    <hyperlink ref="A2317" location="'CDCM'!B2292" display="x3 = 2602. Standing charges factors adapted to use 132kV/HV"/>
    <hyperlink ref="A2318" location="'CDCM'!B569" display="x4 = 2012. Loss adjustment factors between end user meter reading and each network level, scaled by network use"/>
    <hyperlink ref="A2328" location="'CDCM'!B1315" display="x1 = 2407. All units (MWh)"/>
    <hyperlink ref="A2329" location="'CDCM'!C115" display="x2 = 1041. Load factor for each type of demand user (in Load profile data for demand users)"/>
    <hyperlink ref="A2330" location="'CDCM'!B2292" display="x3 = 2602. Standing charges factors adapted to use 132kV/HV"/>
    <hyperlink ref="A2331" location="'CDCM'!B569" display="x4 = 2012. Loss adjustment factors between end user meter reading and each network level, scaled by network use"/>
    <hyperlink ref="A2332" location="'CDCM'!F13" display="x5 = 1010. Days in the charging year (in Financial and general assumptions)"/>
    <hyperlink ref="A2348" location="'CDCM'!B2321" display="x1 = 2603. Capacity-based contributions to chargeable aggregate maximum load by network level (kW)"/>
    <hyperlink ref="A2349" location="'CDCM'!B2335" display="x2 = 2604. Unit-based contributions to chargeable aggregate maximum load (kW)"/>
    <hyperlink ref="A2368" location="'CDCM'!B2352" display="x1 = 2605. Contributions to aggregate maximum load by network level (kW)"/>
    <hyperlink ref="A2376" location="'CDCM'!B2216" display="x1 = 2505. Contributions of users on each tariff to system simultaneous maximum load by network level (kW)"/>
    <hyperlink ref="A2377" location="'CDCM'!B2292" display="x2 = 2602. Standing charges factors adapted to use 132kV/HV"/>
    <hyperlink ref="A2403" location="'CDCM'!B2380" display="x1 = 2607. Forecast simultaneous load subject to standing charge factors (kW)"/>
    <hyperlink ref="A2411" location="'CDCM'!B2371" display="x1 = 2606. Forecast chargeable aggregate maximum load (kW)"/>
    <hyperlink ref="A2412" location="'CDCM'!B2406" display="x2 = 2608. Forecast simultaneous load replaced by standing charge (kW)"/>
    <hyperlink ref="A2432" location="'CDCM'!D644" display="x1 = 2104. Diversity allowance between level exit and GSP Group (in Diversity calculations)"/>
    <hyperlink ref="A2433" location="'CDCM'!B2420" display="x2 = 2610. Network level mapping for diversity allowances"/>
    <hyperlink ref="A2449" location="'CDCM'!B2415" display="x1 = 2609. Calculated LV diversity allowance"/>
    <hyperlink ref="A2450" location="'CDCM'!B2436" display="x2 = 2611. Diversity allowances including 132kV/HV"/>
    <hyperlink ref="A2458" location="'CDCM'!B2250" display="x1 = 2506. Forecast system simultaneous maximum load (kW) from forecast units"/>
    <hyperlink ref="A2459" location="'CDCM'!B2406" display="x2 = 2608. Forecast simultaneous load replaced by standing charge (kW)"/>
    <hyperlink ref="A2460" location="'CDCM'!B2371" display="x3 = 2606. Forecast chargeable aggregate maximum load (kW)"/>
    <hyperlink ref="A2461" location="'CDCM'!B2453" display="x4 = 2612. Diversity allowances (including calculated LV value)"/>
    <hyperlink ref="A2471" location="'CDCM'!B243" display="x1 = 1055. Transmission exit charges (£/year)"/>
    <hyperlink ref="A2480" location="'CDCM'!B709" display="x1 = 2108. GSP simultaneous maximum load assumed through each network level (MW)"/>
    <hyperlink ref="A2481" location="'CDCM'!B2464" display="x2 = 2613. Forecast simultaneous maximum load (kW) adjusted for standing charges"/>
    <hyperlink ref="A2482" location="'CDCM'!B45" display="x3 = 1020. Gross asset cost by network level (£)"/>
    <hyperlink ref="A2490" location="'CDCM'!B1315" display="x1 = 2407. All units (MWh)"/>
    <hyperlink ref="A2502" location="'CDCM'!B2493" display="x1 = 2703. Annual consumption by tariff for unmetered users (MWh)"/>
    <hyperlink ref="A2510" location="'CDCM'!B800" display="x1 = 2205. Service model assets by tariff (£)"/>
    <hyperlink ref="A2511" location="'CDCM'!E1169" display="x2 = 2305. MPANs (in Equivalent volume for each end user)"/>
    <hyperlink ref="A2512" location="'CDCM'!B769" display="x3 = 2202. LV unmetered service model assets £/(MWh/year)"/>
    <hyperlink ref="A2513" location="'CDCM'!B2505" display="x4 = 2704. Total unmetered units"/>
    <hyperlink ref="A2514" location="'CDCM'!D2521" display="x5 = Service model assets (£) scaled by annual MWh (in Service model asset data)"/>
    <hyperlink ref="A2515" location="'CDCM'!B2521" display="x6 = Service model assets (£) scaled by user count (in Service model asset data)"/>
    <hyperlink ref="A2516" location="'CDCM'!E2521" display="x7 = Service model assets (£) scaled by annual MWh (in Service model asset data)"/>
    <hyperlink ref="A2526" location="'CDCM'!B2485" display="x1 = 2702. Network model assets (£) scaled by load forecast"/>
    <hyperlink ref="A2527" location="'CDCM'!G2521" display="x2 = 2705. Service model assets (£) (in Service model asset data)"/>
    <hyperlink ref="A2528" location="'CDCM'!B2533" display="x3 = Model assets (£) scaled by demand forecast (in Data for allocation of operating expenditure)"/>
    <hyperlink ref="A2538" location="'CDCM'!B248" display="x1 = 1059. Direct cost (£/year) (in Other expenditure)"/>
    <hyperlink ref="A2539" location="'CDCM'!E248" display="x2 = 1059. Network rates (£/year) (in Other expenditure)"/>
    <hyperlink ref="A2540" location="'CDCM'!C248" display="x3 = 1059. Indirect cost (£/year) (in Other expenditure)"/>
    <hyperlink ref="A2541" location="'CDCM'!D248" display="x4 = 1059. Indirect cost proportion (in Other expenditure)"/>
    <hyperlink ref="A2549" location="'CDCM'!B2475" display="x1 = 2701. Operating expenditure coded by network level (£/year)"/>
    <hyperlink ref="A2550" location="'CDCM'!B2544" display="x2 = 2707. Amount of expenditure to be allocated according to asset values (£/year)"/>
    <hyperlink ref="A2551" location="'CDCM'!M2533" display="x3 = 2706. Denominator for allocation of operating expenditure (in Data for allocation of operating expenditure)"/>
    <hyperlink ref="A2552" location="'CDCM'!B2533" display="x4 = 2706. Model assets (£) scaled by demand forecast (in Data for allocation of operating expenditure)"/>
    <hyperlink ref="A2560" location="'CDCM'!B2533" display="x1 = 2706. Model assets (£) scaled by demand forecast (in Data for allocation of operating expenditure)"/>
    <hyperlink ref="A2561" location="'CDCM'!B2555" display="x2 = 2708. Total operating expenditure by network level  (£/year)"/>
    <hyperlink ref="A2569" location="'CDCM'!B2464" display="x1 = 2613. Forecast simultaneous maximum load (kW) adjusted for standing charges"/>
    <hyperlink ref="A2570" location="'CDCM'!B2555" display="x2 = 2708. Total operating expenditure by network level  (£/year)"/>
    <hyperlink ref="A2578" location="'CDCM'!F13" display="x1 = 1010. Days in the charging year (in Financial and general assumptions)"/>
    <hyperlink ref="A2579" location="'CDCM'!B2564" display="x2 = 2709. Operating expenditure percentage by network level"/>
    <hyperlink ref="A2580" location="'CDCM'!B800" display="x3 = 2205. Service model assets by tariff (£)"/>
    <hyperlink ref="A2581" location="'CDCM'!B2586" display="x4 = Operating expenditure p/MPAN/day by level (in Operating expenditure for customer assets p/MPAN/day)"/>
    <hyperlink ref="A2617" location="'CDCM'!B2564" display="x1 = 2709. Operating expenditure percentage by network level"/>
    <hyperlink ref="A2618" location="'CDCM'!B769" display="x2 = 2202. LV unmetered service model assets £/(MWh/year)"/>
    <hyperlink ref="A2664" location="'CDCM'!B256" display="x1 = 1060. Customer contributions under current connection charging policy"/>
    <hyperlink ref="A2665" location="'CDCM'!D13" display="x2 = 1010. Annuity proportion for customer-contributed assets (in Financial and general assumptions)"/>
    <hyperlink ref="A2680" location="'CDCM'!B2633" display="x1 = 2801. Network level of supply (for customer contributions) by tariff"/>
    <hyperlink ref="A2681" location="'CDCM'!B2668" display="x2 = 2802. Contribution proportion of asset annuities, by customer type and network level of assets"/>
    <hyperlink ref="A2717" location="'CDCM'!B2684" display="x3 = 2803. Proportion of assets annuities deemed to be covered by customer contributions"/>
    <hyperlink ref="A2754" location="'CDCM'!B726" display="x1 = 2109. Network model annuity by simultaneous maximum load for each network level (£/kW/year)"/>
    <hyperlink ref="A2755" location="'CDCM'!B2573" display="x2 = 2710. Unit operating expenditure based on simultaneous maximum load (£/kW/year)"/>
    <hyperlink ref="A2763" location="'CDCM'!B2758" display="x1 = 2901. Unit cost at each level, £/kW/year (relative to system simultaneous maximum load)"/>
    <hyperlink ref="A2764" location="'CDCM'!B913" display="x2 = 2302. Load coefficient"/>
    <hyperlink ref="A2765" location="'CDCM'!B569" display="x3 = 2012. Loss adjustment factors between end user meter reading and each network level, scaled by network use"/>
    <hyperlink ref="A2766" location="'CDCM'!B2720" display="x4 = 2804. Proportion of annual charge covered by contributions (for all charging levels)"/>
    <hyperlink ref="A2767" location="'CDCM'!F13" display="x5 = 1010. Days in the charging year (in Financial and general assumptions)"/>
    <hyperlink ref="A2801" location="'CDCM'!B2048" display="x1 = 2460. Unit rate 1 pseudo load coefficient by network level (combined)"/>
    <hyperlink ref="A2802" location="'CDCM'!B2758" display="x2 = 2901. Unit cost at each level, £/kW/year (relative to system simultaneous maximum load)"/>
    <hyperlink ref="A2803" location="'CDCM'!B569" display="x3 = 2012. Loss adjustment factors between end user meter reading and each network level, scaled by network use"/>
    <hyperlink ref="A2804" location="'CDCM'!B2720" display="x4 = 2804. Proportion of annual charge covered by contributions (for all charging levels)"/>
    <hyperlink ref="A2805" location="'CDCM'!F13" display="x5 = 1010. Days in the charging year (in Financial and general assumptions)"/>
    <hyperlink ref="A2834" location="'CDCM'!B2078" display="x1 = 2461. Unit rate 2 pseudo load coefficient by network level (combined)"/>
    <hyperlink ref="A2835" location="'CDCM'!B2758" display="x2 = 2901. Unit cost at each level, £/kW/year (relative to system simultaneous maximum load)"/>
    <hyperlink ref="A2836" location="'CDCM'!B569" display="x3 = 2012. Loss adjustment factors between end user meter reading and each network level, scaled by network use"/>
    <hyperlink ref="A2837" location="'CDCM'!B2720" display="x4 = 2804. Proportion of annual charge covered by contributions (for all charging levels)"/>
    <hyperlink ref="A2838" location="'CDCM'!F13" display="x5 = 1010. Days in the charging year (in Financial and general assumptions)"/>
    <hyperlink ref="A2859" location="'CDCM'!B2100" display="x1 = 2462. Unit rate 3 pseudo load coefficient by network level (combined)"/>
    <hyperlink ref="A2860" location="'CDCM'!B2758" display="x2 = 2901. Unit cost at each level, £/kW/year (relative to system simultaneous maximum load)"/>
    <hyperlink ref="A2861" location="'CDCM'!B569" display="x3 = 2012. Loss adjustment factors between end user meter reading and each network level, scaled by network use"/>
    <hyperlink ref="A2862" location="'CDCM'!B2720" display="x4 = 2804. Proportion of annual charge covered by contributions (for all charging levels)"/>
    <hyperlink ref="A2863" location="'CDCM'!F13" display="x5 = 1010. Days in the charging year (in Financial and general assumptions)"/>
    <hyperlink ref="A2882" location="'CDCM'!B2758" display="x1 = 2901. Unit cost at each level, £/kW/year (relative to system simultaneous maximum load)"/>
    <hyperlink ref="A2883" location="'CDCM'!B2453" display="x2 = 2612. Diversity allowances (including calculated LV value)"/>
    <hyperlink ref="A2892" location="'CDCM'!B2292" display="x1 = 2602. Standing charges factors adapted to use 132kV/HV"/>
    <hyperlink ref="A2893" location="'CDCM'!B569" display="x2 = 2012. Loss adjustment factors between end user meter reading and each network level, scaled by network use"/>
    <hyperlink ref="A2894" location="'CDCM'!B2886" display="x3 = 3001. Costs based on aggregate maximum load (£/kW/year)"/>
    <hyperlink ref="A2895" location="'CDCM'!E13" display="x4 = 1010. Power factor for all flows in the network model (in Financial and general assumptions)"/>
    <hyperlink ref="A2896" location="'CDCM'!F13" display="x5 = 1010. Days in the charging year (in Financial and general assumptions)"/>
    <hyperlink ref="A2897" location="'CDCM'!B2720" display="x6 = 2804. Proportion of annual charge covered by contributions (for all charging levels)"/>
    <hyperlink ref="A2923" location="'CDCM'!B2292" display="x1 = 2602. Standing charges factors adapted to use 132kV/HV"/>
    <hyperlink ref="A2924" location="'CDCM'!B2770" display="x2 = 2902. Pay-as-you-go yardstick unit costs by charging level (p/kWh)"/>
    <hyperlink ref="A2950" location="'CDCM'!B2292" display="x1 = 2602. Standing charges factors adapted to use 132kV/HV"/>
    <hyperlink ref="A2951" location="'CDCM'!B2808" display="x2 = 2903. Contributions to pay-as-you-go unit rate 1 (p/kWh)"/>
    <hyperlink ref="A2977" location="'CDCM'!B2292" display="x1 = 2602. Standing charges factors adapted to use 132kV/HV"/>
    <hyperlink ref="A2978" location="'CDCM'!B2841" display="x2 = 2904. Contributions to pay-as-you-go unit rate 2 (p/kWh)"/>
    <hyperlink ref="A2996" location="'CDCM'!B2292" display="x1 = 2602. Standing charges factors adapted to use 132kV/HV"/>
    <hyperlink ref="A2997" location="'CDCM'!B2866" display="x2 = 2905. Contributions to pay-as-you-go unit rate 3 (p/kWh)"/>
    <hyperlink ref="A3026" location="'CDCM'!B1315" display="x1 = 2407. All units (MWh)"/>
    <hyperlink ref="A3027" location="'CDCM'!C115" display="x2 = 1041. Load factor for each type of demand user (in Load profile data for demand users)"/>
    <hyperlink ref="A3028" location="'CDCM'!F13" display="x3 = 1010. Days in the charging year (in Financial and general assumptions)"/>
    <hyperlink ref="A3029" location="'CDCM'!E1169" display="x4 = 2305. MPANs (in Equivalent volume for each end user)"/>
    <hyperlink ref="A3046" location="'CDCM'!B3013" display="x1 = 3101. Mapping of tariffs to tariff groups"/>
    <hyperlink ref="A3047" location="'CDCM'!B3033" display="x2 = 3102. Unit-based contributions to aggregate maximum load (kW) (in Capacity use for tariffs charged for capacity on an exit point basis)"/>
    <hyperlink ref="A3055" location="'CDCM'!B3013" display="x1 = 3101. Mapping of tariffs to tariff groups"/>
    <hyperlink ref="A3056" location="'CDCM'!C3033" display="x2 = 3102. MPANs (in Equivalent volume for each end user) (in Capacity use for tariffs charged for capacity on an exit point basis)"/>
    <hyperlink ref="A3064" location="'CDCM'!B3059" display="x1 = 3104. Aggregate number of users charged for capacity on an exit point basis"/>
    <hyperlink ref="A3065" location="'CDCM'!B3050" display="x2 = 3103. Aggregate capacity (kW)"/>
    <hyperlink ref="A3066" location="'CDCM'!E13" display="x3 = 1010. Power factor for all flows in the network model (in Financial and general assumptions)"/>
    <hyperlink ref="A3074" location="'CDCM'!B3013" display="x1 = 3101. Mapping of tariffs to tariff groups"/>
    <hyperlink ref="A3075" location="'CDCM'!B3069" display="x2 = 3105. Average maximum kVA by exit point"/>
    <hyperlink ref="A3091" location="'CDCM'!B2900" display="x1 = 3002. Capacity elements p/kVA/day"/>
    <hyperlink ref="A3092" location="'CDCM'!B3078" display="x2 = 3106. Deemed average maximum kVA for each tariff"/>
    <hyperlink ref="A3122" location="'CDCM'!B2927" display="x1 = 3003. Yardstick components p/kWh (taking account of standing charges)"/>
    <hyperlink ref="A3132" location="'CDCM'!B3125" display="x1 = 3202. Standard components p/kWh for reactive power (absolute value)"/>
    <hyperlink ref="A3133" location="'CDCM'!B331" display="x2 = 1092. Average kVAr by kVA, by network level"/>
    <hyperlink ref="A3134" location="'CDCM'!E13" display="x3 = 1010. Power factor for all flows in the network model (in Financial and general assumptions)"/>
    <hyperlink ref="A3144" location="'CDCM'!B913" display="x1 = 2302. Load coefficient"/>
    <hyperlink ref="A3157" location="'CDCM'!B2758" display="x1 = 2901. Unit cost at each level, £/kW/year (relative to system simultaneous maximum load)"/>
    <hyperlink ref="A3158" location="'CDCM'!B3147" display="x2 = 3204. Absolute value of load coefficient (kW peak / average kW)"/>
    <hyperlink ref="A3159" location="'CDCM'!I346" display="x3 = 2001. Loss adjustment factor to transmission (in Loss adjustment factors to transmission)"/>
    <hyperlink ref="A3160" location="'CDCM'!B409" display="x4 = 2004. Loss adjustment factor to transmission for each network level"/>
    <hyperlink ref="A3161" location="'CDCM'!B2720" display="x5 = 2804. Proportion of annual charge covered by contributions (for all charging levels)"/>
    <hyperlink ref="A3162" location="'CDCM'!B3112" display="x6 = 3201. Network use factors for generator reactive unit charges"/>
    <hyperlink ref="A3163" location="'CDCM'!F13" display="x7 = 1010. Days in the charging year (in Financial and general assumptions)"/>
    <hyperlink ref="A3176" location="'CDCM'!B3166" display="x1 = 3205. Pay-as-you-go components p/kWh for reactive power (absolute value)"/>
    <hyperlink ref="A3177" location="'CDCM'!B331" display="x2 = 1092. Average kVAr by kVA, by network level"/>
    <hyperlink ref="A3178" location="'CDCM'!E13" display="x3 = 1010. Power factor for all flows in the network model (in Financial and general assumptions)"/>
    <hyperlink ref="A3194" location="'CDCM'!B2954" display="x1 = 3004. Unit rate 1 total p/kWh (taking account of standing charges) — for Tariffs with Unit rate 1 p/kWh from Standard 1 kWh"/>
    <hyperlink ref="A3195" location="'CDCM'!B2808" display="x2 = 2903. Pay-as-you-go unit rate 1 (p/kWh) — for Tariffs with Unit rate 1 p/kWh from PAYG 1 kWh"/>
    <hyperlink ref="A3196" location="'CDCM'!B2808" display="x3 = 2903. Pay-as-you-go unit rate 1 (p/kWh) — for Tariffs with Unit rate 1 p/kWh from PAYG 1 kWh &amp; customer"/>
    <hyperlink ref="A3197" location="'CDCM'!B2770" display="x4 = 2902. Pay-as-you-go yardstick unit rate (p/kWh) — for Tariffs with Unit rate 1 p/kWh from PAYG yardstick kWh"/>
    <hyperlink ref="A3198" location="'CDCM'!B779" display="x5 = 2203. LV unmetered service model asset charge (p/kWh) — for Tariffs with Unit rate 1 p/kWh from PAYG 1 kWh &amp; customer"/>
    <hyperlink ref="A3199" location="'CDCM'!B2621" display="x6 = 2712. Operating expenditure for unmetered customer assets (p/kWh) — for Tariffs with Unit rate 1 p/kWh from PAYG 1 kWh &amp; customer"/>
    <hyperlink ref="A3233" location="'CDCM'!B2981" display="x1 = 3005. Unit rate 2 total p/kWh (taking account of standing charges) — for Tariffs with Unit rate 2 p/kWh from Standard 2 kWh"/>
    <hyperlink ref="A3234" location="'CDCM'!B2841" display="x2 = 2904. Pay-as-you-go unit rate 2 (p/kWh) — for Tariffs with Unit rate 2 p/kWh from PAYG 2 kWh"/>
    <hyperlink ref="A3235" location="'CDCM'!B2841" display="x3 = 2904. Pay-as-you-go unit rate 2 (p/kWh) — for Tariffs with Unit rate 2 p/kWh from PAYG 2 kWh &amp; customer"/>
    <hyperlink ref="A3236" location="'CDCM'!B779" display="x4 = 2203. LV unmetered service model asset charge (p/kWh) — for Tariffs with Unit rate 2 p/kWh from PAYG 2 kWh &amp; customer"/>
    <hyperlink ref="A3237" location="'CDCM'!B2621" display="x5 = 2712. Operating expenditure for unmetered customer assets (p/kWh) — for Tariffs with Unit rate 2 p/kWh from PAYG 2 kWh &amp; customer"/>
    <hyperlink ref="A3271" location="'CDCM'!B3000" display="x1 = 3006. Unit rate 3 total p/kWh (taking account of standing charges) — for Tariffs with Unit rate 3 p/kWh from Standard 3 kWh"/>
    <hyperlink ref="A3272" location="'CDCM'!B2866" display="x2 = 2905. Pay-as-you-go unit rate 3 (p/kWh) — for Tariffs with Unit rate 3 p/kWh from PAYG 3 kWh"/>
    <hyperlink ref="A3273" location="'CDCM'!B2866" display="x3 = 2905. Pay-as-you-go unit rate 3 (p/kWh) — for Tariffs with Unit rate 3 p/kWh from PAYG 3 kWh &amp; customer"/>
    <hyperlink ref="A3274" location="'CDCM'!B779" display="x4 = 2203. LV unmetered service model asset charge (p/kWh) — for Tariffs with Unit rate 3 p/kWh from PAYG 3 kWh &amp; customer"/>
    <hyperlink ref="A3275" location="'CDCM'!B2621" display="x5 = 2712. Operating expenditure for unmetered customer assets (p/kWh) — for Tariffs with Unit rate 3 p/kWh from PAYG 3 kWh &amp; customer"/>
    <hyperlink ref="A3309" location="'CDCM'!B3095" display="x1 = 3107. Fixed charge from standing charges factors p/MPAN/day — for Tariffs with Fixed charge p/MPAN/day from Fixed from network &amp; customer"/>
    <hyperlink ref="A3310" location="'CDCM'!B840" display="x2 = 2206. Service model p/MPAN/day (in Replacement annuities for service models) — for Tariffs with Fixed charge p/MPAN/day from Customer"/>
    <hyperlink ref="A3311" location="'CDCM'!B840" display="x3 = 2206. Service model p/MPAN/day (in Replacement annuities for service models) — for Tariffs with Fixed charge p/MPAN/day from Fixed from network &amp; customer"/>
    <hyperlink ref="A3312" location="'CDCM'!B2586" display="x4 = 2711. Operating expenditure for customer assets p/MPAN/day total (in Operating expenditure for customer assets p/MPAN/day) — for Tariffs with Fixed charge p/MPAN/day from Customer"/>
    <hyperlink ref="A3313" location="'CDCM'!B2586" display="x5 = 2711. Operating expenditure for customer assets p/MPAN/day total (in Operating expenditure for customer assets p/MPAN/day) — for Tariffs with Fixed charge p/MPAN/day from Fixed from network &amp; customer"/>
    <hyperlink ref="A3347" location="'CDCM'!B2900" display="x1 = 3002. Capacity charge p/kVA/day — for Tariffs with Capacity charge p/kVA/day from Capacity"/>
    <hyperlink ref="A3381" location="'CDCM'!B3181" display="x1 = 3206. Pay-as-you-go reactive p/kVArh"/>
    <hyperlink ref="A3382" location="'CDCM'!B3137" display="x2 = 3203. Standard reactive p/kVArh"/>
    <hyperlink ref="A3416" location="'CDCM'!B3202" display="x1 = 3301. Unit rate 1 p/kWh (elements)"/>
    <hyperlink ref="A3417" location="'CDCM'!B3240" display="x2 = 3302. Unit rate 2 p/kWh (elements)"/>
    <hyperlink ref="A3418" location="'CDCM'!B3278" display="x3 = 3303. Unit rate 3 p/kWh (elements)"/>
    <hyperlink ref="A3419" location="'CDCM'!B3316" display="x4 = 3304. Fixed charge p/MPAN/day (elements)"/>
    <hyperlink ref="A3420" location="'CDCM'!B3350" display="x5 = 3305. Capacity charge p/kVA/day (elements)"/>
    <hyperlink ref="A3421" location="'CDCM'!B3385" display="x6 = 3306. Reactive power charge p/kVArh (elements)"/>
    <hyperlink ref="A3458" location="'CDCM'!F13" display="x1 = 1010. Days in the charging year (in Financial and general assumptions)"/>
    <hyperlink ref="A3459" location="'CDCM'!E3425" display="x2 = 3307. Fixed charge p/MPAN/day (total) (in Summary of charges before revenue matching)"/>
    <hyperlink ref="A3460" location="'CDCM'!E1169" display="x3 = 2305. MPANs (in Equivalent volume for each end user)"/>
    <hyperlink ref="A3461" location="'CDCM'!F3425" display="x4 = 3307. Capacity charge p/kVA/day (total) (in Summary of charges before revenue matching)"/>
    <hyperlink ref="A3462" location="'CDCM'!F1169" display="x5 = 2305. Import capacity (kVA) (in Equivalent volume for each end user)"/>
    <hyperlink ref="A3463" location="'CDCM'!B3425" display="x6 = 3307. Unit rate 1 p/kWh (total) (in Summary of charges before revenue matching)"/>
    <hyperlink ref="A3464" location="'CDCM'!B1169" display="x7 = 2305. Rate 1 units (MWh) (in Equivalent volume for each end user)"/>
    <hyperlink ref="A3465" location="'CDCM'!C3425" display="x8 = 3307. Unit rate 2 p/kWh (total) (in Summary of charges before revenue matching)"/>
    <hyperlink ref="A3466" location="'CDCM'!C1169" display="x9 = 2305. Rate 2 units (MWh) (in Equivalent volume for each end user)"/>
    <hyperlink ref="A3467" location="'CDCM'!D3425" display="x10 = 3307. Unit rate 3 p/kWh (total) (in Summary of charges before revenue matching)"/>
    <hyperlink ref="A3468" location="'CDCM'!D1169" display="x11 = 2305. Rate 3 units (MWh) (in Equivalent volume for each end user)"/>
    <hyperlink ref="A3469" location="'CDCM'!G3425" display="x12 = 3307. Reactive power charge p/kVArh (in Summary of charges before revenue matching)"/>
    <hyperlink ref="A3470" location="'CDCM'!G1169" display="x13 = 2305. Reactive power units (MVArh) (in Equivalent volume for each end user)"/>
    <hyperlink ref="A3504" location="'CDCM'!B3473" display="x1 = 3401. Net revenues by tariff before matching (£)"/>
    <hyperlink ref="A3505" location="'CDCM'!B324" display="x2 = 1076. Target CDCM net revenue (£/year)"/>
    <hyperlink ref="A3506" location="'CDCM'!B3510" display="x3 = Total net revenues before matching (£) (in Revenue surplus or shortfall)"/>
    <hyperlink ref="A3518" location="'CDCM'!B2758" display="x1 = 2901. Unit cost at each level, £/kW/year (relative to system simultaneous maximum load)"/>
    <hyperlink ref="A3526" location="'CDCM'!B3521" display="x1 = 3501. Factor to scale to £1/kW at transmission exit level"/>
    <hyperlink ref="A3535" location="'CDCM'!B3202" display="x1 = 3301. Unit rate 1 p/kWh (elements)"/>
    <hyperlink ref="A3536" location="'CDCM'!B3530" display="x2 = 3502. Applicability factor for £1/kW scaler"/>
    <hyperlink ref="A3537" location="'CDCM'!B3240" display="x3 = 3302. Unit rate 2 p/kWh (elements)"/>
    <hyperlink ref="A3538" location="'CDCM'!B3278" display="x4 = 3303. Unit rate 3 p/kWh (elements)"/>
    <hyperlink ref="A3539" location="'CDCM'!B3316" display="x5 = 3304. Fixed charge p/MPAN/day (elements)"/>
    <hyperlink ref="A3540" location="'CDCM'!B3350" display="x6 = 3305. Capacity charge p/kVA/day (elements)"/>
    <hyperlink ref="A3541" location="'CDCM'!B3385" display="x7 = 3306. Reactive power charge p/kVArh (elements)"/>
    <hyperlink ref="A3576" location="'CDCM'!B913" display="x1 = 2302. Load coefficient"/>
    <hyperlink ref="A3577" location="'CDCM'!B3545" display="x2 = 3503. Unit rate 1 p/kWh scalable part (in Scalable elements of tariff components)"/>
    <hyperlink ref="A3578" location="'CDCM'!B1169" display="x3 = 2305. Rate 1 units (MWh) (in Equivalent volume for each end user)"/>
    <hyperlink ref="A3579" location="'CDCM'!C3545" display="x4 = 3503. Unit rate 2 p/kWh scalable part (in Scalable elements of tariff components)"/>
    <hyperlink ref="A3580" location="'CDCM'!C1169" display="x5 = 2305. Rate 2 units (MWh) (in Equivalent volume for each end user)"/>
    <hyperlink ref="A3581" location="'CDCM'!D3545" display="x6 = 3503. Unit rate 3 p/kWh scalable part (in Scalable elements of tariff components)"/>
    <hyperlink ref="A3582" location="'CDCM'!D1169" display="x7 = 2305. Rate 3 units (MWh) (in Equivalent volume for each end user)"/>
    <hyperlink ref="A3583" location="'CDCM'!E3545" display="x8 = 3503. Fixed charge p/MPAN/day scalable part (in Scalable elements of tariff components)"/>
    <hyperlink ref="A3584" location="'CDCM'!F13" display="x9 = 1010. Days in the charging year (in Financial and general assumptions)"/>
    <hyperlink ref="A3585" location="'CDCM'!E1169" display="x10 = 2305. MPANs (in Equivalent volume for each end user)"/>
    <hyperlink ref="A3586" location="'CDCM'!F3545" display="x11 = 3503. Capacity charge p/kVA/day scalable part (in Scalable elements of tariff components)"/>
    <hyperlink ref="A3587" location="'CDCM'!F1169" display="x12 = 2305. Import capacity (kVA) (in Equivalent volume for each end user)"/>
    <hyperlink ref="A3588" location="'CDCM'!G3545" display="x13 = 3503. Reactive power charge p/kVArh scalable part (in Scalable elements of tariff components)"/>
    <hyperlink ref="A3589" location="'CDCM'!G1169" display="x14 = 2305. Reactive power units (MVArh) (in Equivalent volume for each end user)"/>
    <hyperlink ref="A3624" location="'CDCM'!B3545" display="x1 = 3503. Unit rate 1 p/kWh scalable part (in Scalable elements of tariff components)"/>
    <hyperlink ref="A3625" location="'CDCM'!B3425" display="x2 = 3307. Unit rate 1 p/kWh (total) (in Summary of charges before revenue matching)"/>
    <hyperlink ref="A3626" location="'CDCM'!C3545" display="x3 = 3503. Unit rate 2 p/kWh scalable part (in Scalable elements of tariff components)"/>
    <hyperlink ref="A3627" location="'CDCM'!C3425" display="x4 = 3307. Unit rate 2 p/kWh (total) (in Summary of charges before revenue matching)"/>
    <hyperlink ref="A3628" location="'CDCM'!D3545" display="x5 = 3503. Unit rate 3 p/kWh scalable part (in Scalable elements of tariff components)"/>
    <hyperlink ref="A3629" location="'CDCM'!D3425" display="x6 = 3307. Unit rate 3 p/kWh (total) (in Summary of charges before revenue matching)"/>
    <hyperlink ref="A3630" location="'CDCM'!E3545" display="x7 = 3503. Fixed charge p/MPAN/day scalable part (in Scalable elements of tariff components)"/>
    <hyperlink ref="A3631" location="'CDCM'!E3425" display="x8 = 3307. Fixed charge p/MPAN/day (total) (in Summary of charges before revenue matching)"/>
    <hyperlink ref="A3632" location="'CDCM'!F3545" display="x9 = 3503. Capacity charge p/kVA/day scalable part (in Scalable elements of tariff components)"/>
    <hyperlink ref="A3633" location="'CDCM'!F3425" display="x10 = 3307. Capacity charge p/kVA/day (total) (in Summary of charges before revenue matching)"/>
    <hyperlink ref="A3634" location="'CDCM'!G3545" display="x11 = 3503. Reactive power charge p/kVArh scalable part (in Scalable elements of tariff components)"/>
    <hyperlink ref="A3635" location="'CDCM'!G3425" display="x12 = 3307. Reactive power charge p/kVArh (in Summary of charges before revenue matching)"/>
    <hyperlink ref="A3670" location="'CDCM'!C3510" display="x1 = 3402. Revenue shortfall (surplus) £ (in Revenue surplus or shortfall)"/>
    <hyperlink ref="A3671" location="'CDCM'!B3593" display="x2 = 3504. Effect through Unit rate 1 p/kWh (in Marginal revenue effect of scaler)"/>
    <hyperlink ref="A3672" location="'CDCM'!C3593" display="x3 = 3504. Effect through Unit rate 2 p/kWh (in Marginal revenue effect of scaler)"/>
    <hyperlink ref="A3673" location="'CDCM'!D3593" display="x4 = 3504. Effect through Unit rate 3 p/kWh (in Marginal revenue effect of scaler)"/>
    <hyperlink ref="A3674" location="'CDCM'!E3593" display="x5 = 3504. Effect through Fixed charge p/MPAN/day (in Marginal revenue effect of scaler)"/>
    <hyperlink ref="A3675" location="'CDCM'!F3593" display="x6 = 3504. Effect through Capacity charge p/kVA/day (in Marginal revenue effect of scaler)"/>
    <hyperlink ref="A3676" location="'CDCM'!G3593" display="x7 = 3504. Effect through Reactive power charge p/kVArh (in Marginal revenue effect of scaler)"/>
    <hyperlink ref="A3684" location="'CDCM'!B3679" display="x1 = 3506. Constraint-free solution"/>
    <hyperlink ref="A3685" location="'CDCM'!B3639" display="x2 = 3505. Scaler threshold for Unit rate 1 p/kWh (in Scaler value at which the minimum is breached)"/>
    <hyperlink ref="A3686" location="'CDCM'!C3639" display="x3 = 3505. Scaler threshold for Unit rate 2 p/kWh (in Scaler value at which the minimum is breached)"/>
    <hyperlink ref="A3687" location="'CDCM'!D3639" display="x4 = 3505. Scaler threshold for Unit rate 3 p/kWh (in Scaler value at which the minimum is breached)"/>
    <hyperlink ref="A3688" location="'CDCM'!E3639" display="x5 = 3505. Scaler threshold for Fixed charge p/MPAN/day (in Scaler value at which the minimum is breached)"/>
    <hyperlink ref="A3689" location="'CDCM'!F3639" display="x6 = 3505. Scaler threshold for Capacity charge p/kVA/day (in Scaler value at which the minimum is breached)"/>
    <hyperlink ref="A3690" location="'CDCM'!G3639" display="x7 = 3505. Scaler threshold for Reactive power charge p/kVArh (in Scaler value at which the minimum is breached)"/>
    <hyperlink ref="A3698" location="'CDCM'!B3693" display="x1 = 3507. Starting point"/>
    <hyperlink ref="A3699" location="'CDCM'!B3593" display="x2 = 3504. Effect through Unit rate 1 p/kWh (in Marginal revenue effect of scaler)"/>
    <hyperlink ref="A3700" location="'CDCM'!C3593" display="x3 = 3504. Effect through Unit rate 2 p/kWh (in Marginal revenue effect of scaler)"/>
    <hyperlink ref="A3701" location="'CDCM'!D3593" display="x4 = 3504. Effect through Unit rate 3 p/kWh (in Marginal revenue effect of scaler)"/>
    <hyperlink ref="A3702" location="'CDCM'!E3593" display="x5 = 3504. Effect through Fixed charge p/MPAN/day (in Marginal revenue effect of scaler)"/>
    <hyperlink ref="A3703" location="'CDCM'!F3593" display="x6 = 3504. Effect through Capacity charge p/kVA/day (in Marginal revenue effect of scaler)"/>
    <hyperlink ref="A3704" location="'CDCM'!G3593" display="x7 = 3504. Effect through Reactive power charge p/kVArh (in Marginal revenue effect of scaler)"/>
    <hyperlink ref="A3705" location="'CDCM'!B3722" display="x8 = Location (in Solve for General scaler rate)"/>
    <hyperlink ref="A3706" location="'CDCM'!C3722" display="x9 = Kink (in Solve for General scaler rate)"/>
    <hyperlink ref="A3707" location="'CDCM'!F3722" display="x10 = Ranking before tie break (in Solve for General scaler rate)"/>
    <hyperlink ref="A3708" location="'CDCM'!G3722" display="x11 = Counter (in Solve for General scaler rate)"/>
    <hyperlink ref="A3709" location="'CDCM'!H3722" display="x12 = Tie breaker (in Solve for General scaler rate)"/>
    <hyperlink ref="A3710" location="'CDCM'!I3722" display="x13 = Ranking (in Solve for General scaler rate)"/>
    <hyperlink ref="A3711" location="'CDCM'!J3722" display="x14 = Kink reordering (in Solve for General scaler rate)"/>
    <hyperlink ref="A3712" location="'CDCM'!D3722" display="x15 = Starting slope contributions (in Solve for General scaler rate)"/>
    <hyperlink ref="A3713" location="'CDCM'!L3722" display="x16 = New slope (in Solve for General scaler rate)"/>
    <hyperlink ref="A3714" location="'CDCM'!K3722" display="x17 = Location (ordered) (in Solve for General scaler rate)"/>
    <hyperlink ref="A3715" location="'CDCM'!E3722" display="x18 = Starting values (in Solve for General scaler rate)"/>
    <hyperlink ref="A3716" location="'CDCM'!C3510" display="x19 = 3402. Revenue shortfall (surplus) £ (in Revenue surplus or shortfall)"/>
    <hyperlink ref="A3717" location="'CDCM'!B3679" display="x20 = 3506. Constraint-free solution"/>
    <hyperlink ref="A3718" location="'CDCM'!M3722" display="x21 = Value (in Solve for General scaler rate)"/>
    <hyperlink ref="A3889" location="'CDCM'!N3722" display="x1 = 3508. Root (in Solve for General scaler rate)"/>
    <hyperlink ref="A3897" location="'CDCM'!B913" display="x1 = 2302. Load coefficient"/>
    <hyperlink ref="A3898" location="'CDCM'!B3545" display="x2 = 3503. Unit rate 1 p/kWh scalable part (in Scalable elements of tariff components)"/>
    <hyperlink ref="A3899" location="'CDCM'!B3892" display="x3 = 3509. General scaler rate"/>
    <hyperlink ref="A3900" location="'CDCM'!B3425" display="x4 = 3307. Unit rate 1 p/kWh (total) (in Summary of charges before revenue matching)"/>
    <hyperlink ref="A3901" location="'CDCM'!C3545" display="x5 = 3503. Unit rate 2 p/kWh scalable part (in Scalable elements of tariff components)"/>
    <hyperlink ref="A3902" location="'CDCM'!C3425" display="x6 = 3307. Unit rate 2 p/kWh (total) (in Summary of charges before revenue matching)"/>
    <hyperlink ref="A3903" location="'CDCM'!D3545" display="x7 = 3503. Unit rate 3 p/kWh scalable part (in Scalable elements of tariff components)"/>
    <hyperlink ref="A3904" location="'CDCM'!D3425" display="x8 = 3307. Unit rate 3 p/kWh (total) (in Summary of charges before revenue matching)"/>
    <hyperlink ref="A3905" location="'CDCM'!E3545" display="x9 = 3503. Fixed charge p/MPAN/day scalable part (in Scalable elements of tariff components)"/>
    <hyperlink ref="A3906" location="'CDCM'!E3425" display="x10 = 3307. Fixed charge p/MPAN/day (total) (in Summary of charges before revenue matching)"/>
    <hyperlink ref="A3907" location="'CDCM'!F3545" display="x11 = 3503. Capacity charge p/kVA/day scalable part (in Scalable elements of tariff components)"/>
    <hyperlink ref="A3908" location="'CDCM'!F3425" display="x12 = 3307. Capacity charge p/kVA/day (total) (in Summary of charges before revenue matching)"/>
    <hyperlink ref="A3909" location="'CDCM'!G3545" display="x13 = 3503. Reactive power charge p/kVArh scalable part (in Scalable elements of tariff components)"/>
    <hyperlink ref="A3910" location="'CDCM'!G3425" display="x14 = 3307. Reactive power charge p/kVArh (in Summary of charges before revenue matching)"/>
    <hyperlink ref="A3911" location="'CDCM'!F13" display="x15 = 1010. Days in the charging year (in Financial and general assumptions)"/>
    <hyperlink ref="A3912" location="'CDCM'!E3927" display="x16 = Fixed charge p/MPAN/day scaler (in Scaler)"/>
    <hyperlink ref="A3913" location="'CDCM'!E1169" display="x17 = 2305. MPANs (in Equivalent volume for each end user)"/>
    <hyperlink ref="A3914" location="'CDCM'!F3927" display="x18 = Capacity charge p/kVA/day scaler (in Scaler)"/>
    <hyperlink ref="A3915" location="'CDCM'!F1169" display="x19 = 2305. Import capacity (kVA) (in Equivalent volume for each end user)"/>
    <hyperlink ref="A3916" location="'CDCM'!B3927" display="x20 = Unit rate 1 p/kWh scaler (in Scaler)"/>
    <hyperlink ref="A3917" location="'CDCM'!B1169" display="x21 = 2305. Rate 1 units (MWh) (in Equivalent volume for each end user)"/>
    <hyperlink ref="A3918" location="'CDCM'!C3927" display="x22 = Unit rate 2 p/kWh scaler (in Scaler)"/>
    <hyperlink ref="A3919" location="'CDCM'!C1169" display="x23 = 2305. Rate 2 units (MWh) (in Equivalent volume for each end user)"/>
    <hyperlink ref="A3920" location="'CDCM'!D3927" display="x24 = Unit rate 3 p/kWh scaler (in Scaler)"/>
    <hyperlink ref="A3921" location="'CDCM'!D1169" display="x25 = 2305. Rate 3 units (MWh) (in Equivalent volume for each end user)"/>
    <hyperlink ref="A3922" location="'CDCM'!G3927" display="x26 = Reactive power charge p/kVArh scaler (in Scaler)"/>
    <hyperlink ref="A3923" location="'CDCM'!G1169" display="x27 = 2305. Reactive power units (MVArh) (in Equivalent volume for each end user)"/>
    <hyperlink ref="A3960" location="'CDCM'!B3425" display="x1 = 3307. Unit rate 1 p/kWh (total) (in Summary of charges before revenue matching)"/>
    <hyperlink ref="A3961" location="'CDCM'!B3927" display="x2 = 3510. Unit rate 1 p/kWh scaler (in Scaler)"/>
    <hyperlink ref="A3962" location="'CDCM'!C3425" display="x3 = 3307. Unit rate 2 p/kWh (total) (in Summary of charges before revenue matching)"/>
    <hyperlink ref="A3963" location="'CDCM'!C3927" display="x4 = 3510. Unit rate 2 p/kWh scaler (in Scaler)"/>
    <hyperlink ref="A3964" location="'CDCM'!D3425" display="x5 = 3307. Unit rate 3 p/kWh (total) (in Summary of charges before revenue matching)"/>
    <hyperlink ref="A3965" location="'CDCM'!D3927" display="x6 = 3510. Unit rate 3 p/kWh scaler (in Scaler)"/>
    <hyperlink ref="A3966" location="'CDCM'!E3425" display="x7 = 3307. Fixed charge p/MPAN/day (total) (in Summary of charges before revenue matching)"/>
    <hyperlink ref="A3967" location="'CDCM'!E3927" display="x8 = 3510. Fixed charge p/MPAN/day scaler (in Scaler)"/>
    <hyperlink ref="A3968" location="'CDCM'!F3425" display="x9 = 3307. Capacity charge p/kVA/day (total) (in Summary of charges before revenue matching)"/>
    <hyperlink ref="A3969" location="'CDCM'!F3927" display="x10 = 3510. Capacity charge p/kVA/day scaler (in Scaler)"/>
    <hyperlink ref="A3970" location="'CDCM'!G3425" display="x11 = 3307. Reactive power charge p/kVArh (in Summary of charges before revenue matching)"/>
    <hyperlink ref="A3971" location="'CDCM'!G3927" display="x12 = 3510. Reactive power charge p/kVArh scaler (in Scaler)"/>
    <hyperlink ref="A4011" location="'CDCM'!B3975" display="x1 = 3601. Unit rate 1 p/kWh before rounding (in Tariffs before rounding)"/>
    <hyperlink ref="A4012" location="'CDCM'!B4006" display="x2 = 3602. Unit rate 1 p/kWh decimal places (in Decimal places)"/>
    <hyperlink ref="A4013" location="'CDCM'!C3975" display="x3 = 3601. Unit rate 2 p/kWh before rounding (in Tariffs before rounding)"/>
    <hyperlink ref="A4014" location="'CDCM'!C4006" display="x4 = 3602. Unit rate 2 p/kWh decimal places (in Decimal places)"/>
    <hyperlink ref="A4015" location="'CDCM'!D3975" display="x5 = 3601. Unit rate 3 p/kWh before rounding (in Tariffs before rounding)"/>
    <hyperlink ref="A4016" location="'CDCM'!D4006" display="x6 = 3602. Unit rate 3 p/kWh decimal places (in Decimal places)"/>
    <hyperlink ref="A4017" location="'CDCM'!E3975" display="x7 = 3601. Fixed charge p/MPAN/day before rounding (in Tariffs before rounding)"/>
    <hyperlink ref="A4018" location="'CDCM'!E4006" display="x8 = 3602. Fixed charge p/MPAN/day decimal places (in Decimal places)"/>
    <hyperlink ref="A4019" location="'CDCM'!F3975" display="x9 = 3601. Capacity charge p/kVA/day before rounding (in Tariffs before rounding)"/>
    <hyperlink ref="A4020" location="'CDCM'!F4006" display="x10 = 3602. Capacity charge p/kVA/day decimal places (in Decimal places)"/>
    <hyperlink ref="A4021" location="'CDCM'!G3975" display="x11 = 3601. Reactive power charge p/kVArh before rounding (in Tariffs before rounding)"/>
    <hyperlink ref="A4022" location="'CDCM'!G4006" display="x12 = 3602. Reactive power charge p/kVArh decimal places (in Decimal places)"/>
    <hyperlink ref="A4057" location="'CDCM'!B3975" display="x1 = 3601. Unit rate 1 p/kWh before rounding (in Tariffs before rounding)"/>
    <hyperlink ref="A4058" location="'CDCM'!B4026" display="x2 = 3603. Unit rate 1 p/kWh rounding (in Tariff rounding)"/>
    <hyperlink ref="A4059" location="'CDCM'!C3975" display="x3 = 3601. Unit rate 2 p/kWh before rounding (in Tariffs before rounding)"/>
    <hyperlink ref="A4060" location="'CDCM'!C4026" display="x4 = 3603. Unit rate 2 p/kWh rounding (in Tariff rounding)"/>
    <hyperlink ref="A4061" location="'CDCM'!D3975" display="x5 = 3601. Unit rate 3 p/kWh before rounding (in Tariffs before rounding)"/>
    <hyperlink ref="A4062" location="'CDCM'!D4026" display="x6 = 3603. Unit rate 3 p/kWh rounding (in Tariff rounding)"/>
    <hyperlink ref="A4063" location="'CDCM'!E3975" display="x7 = 3601. Fixed charge p/MPAN/day before rounding (in Tariffs before rounding)"/>
    <hyperlink ref="A4064" location="'CDCM'!E4026" display="x8 = 3603. Fixed charge p/MPAN/day rounding (in Tariff rounding)"/>
    <hyperlink ref="A4065" location="'CDCM'!F3975" display="x9 = 3601. Capacity charge p/kVA/day before rounding (in Tariffs before rounding)"/>
    <hyperlink ref="A4066" location="'CDCM'!F4026" display="x10 = 3603. Capacity charge p/kVA/day rounding (in Tariff rounding)"/>
    <hyperlink ref="A4067" location="'CDCM'!G3975" display="x11 = 3601. Reactive power charge p/kVArh before rounding (in Tariffs before rounding)"/>
    <hyperlink ref="A4068" location="'CDCM'!G4026" display="x12 = 3603. Reactive power charge p/kVArh rounding (in Tariff rounding)"/>
    <hyperlink ref="A4103" location="'CDCM'!F13" display="x1 = 1010. Days in the charging year (in Financial and general assumptions)"/>
    <hyperlink ref="A4104" location="'CDCM'!E4026" display="x2 = 3603. Fixed charge p/MPAN/day rounding (in Tariff rounding)"/>
    <hyperlink ref="A4105" location="'CDCM'!E1169" display="x3 = 2305. MPANs (in Equivalent volume for each end user)"/>
    <hyperlink ref="A4106" location="'CDCM'!F4026" display="x4 = 3603. Capacity charge p/kVA/day rounding (in Tariff rounding)"/>
    <hyperlink ref="A4107" location="'CDCM'!F1169" display="x5 = 2305. Import capacity (kVA) (in Equivalent volume for each end user)"/>
    <hyperlink ref="A4108" location="'CDCM'!B4026" display="x6 = 3603. Unit rate 1 p/kWh rounding (in Tariff rounding)"/>
    <hyperlink ref="A4109" location="'CDCM'!B1169" display="x7 = 2305. Rate 1 units (MWh) (in Equivalent volume for each end user)"/>
    <hyperlink ref="A4110" location="'CDCM'!C4026" display="x8 = 3603. Unit rate 2 p/kWh rounding (in Tariff rounding)"/>
    <hyperlink ref="A4111" location="'CDCM'!C1169" display="x9 = 2305. Rate 2 units (MWh) (in Equivalent volume for each end user)"/>
    <hyperlink ref="A4112" location="'CDCM'!D4026" display="x10 = 3603. Unit rate 3 p/kWh rounding (in Tariff rounding)"/>
    <hyperlink ref="A4113" location="'CDCM'!D1169" display="x11 = 2305. Rate 3 units (MWh) (in Equivalent volume for each end user)"/>
    <hyperlink ref="A4114" location="'CDCM'!G4026" display="x12 = 3603. Reactive power charge p/kVArh rounding (in Tariff rounding)"/>
    <hyperlink ref="A4115" location="'CDCM'!G1169" display="x13 = 2305. Reactive power units (MVArh) (in Equivalent volume for each end user)"/>
    <hyperlink ref="A4149" location="'CDCM'!B3510" display="x1 = 3402. Total net revenues before matching (£) (in Revenue surplus or shortfall)"/>
    <hyperlink ref="A4150" location="'CDCM'!H3927" display="x2 = 3510. Net revenues by tariff from scaler (in Scaler)"/>
    <hyperlink ref="A4151" location="'CDCM'!B4118" display="x3 = 3605. Net revenues by tariff from rounding"/>
    <hyperlink ref="A4152" location="'CDCM'!B4160" display="x4 = Total net revenues before matching (£) (in Revenue forecast summary)"/>
    <hyperlink ref="A4153" location="'CDCM'!C4160" display="x5 = Total net revenues from scaler (£) (in Revenue forecast summary)"/>
    <hyperlink ref="A4154" location="'CDCM'!D4160" display="x6 = Total net revenues from rounding (£) (in Revenue forecast summary)"/>
    <hyperlink ref="A4155" location="'CDCM'!E4160" display="x7 = Total net revenues (£) (in Revenue forecast summary)"/>
    <hyperlink ref="A4156" location="'CDCM'!B324" display="x8 = 1076. Target CDCM net revenue (£/year)"/>
    <hyperlink ref="A4165" location="'CDCM'!B4072" display="x1 = 3604. Unit rate 1 p/kWh (in All the way tariffs)"/>
    <hyperlink ref="A4166" location="'CDCM'!B1059" display="x2 = 2304. Discount for each tariff (except for fixed charges) (in LDNO discounts and volumes adjusted for discount)"/>
    <hyperlink ref="A4167" location="'CDCM'!C4072" display="x3 = 3604. Unit rate 2 p/kWh (in All the way tariffs)"/>
    <hyperlink ref="A4168" location="'CDCM'!D4072" display="x4 = 3604. Unit rate 3 p/kWh (in All the way tariffs)"/>
    <hyperlink ref="A4169" location="'CDCM'!E4072" display="x5 = 3604. Fixed charge p/MPAN/day (in All the way tariffs)"/>
    <hyperlink ref="A4170" location="'CDCM'!C1059" display="x6 = 2304. Discount for each tariff for fixed charges only (in LDNO discounts and volumes adjusted for discount)"/>
    <hyperlink ref="A4171" location="'CDCM'!F4072" display="x7 = 3604. Capacity charge p/kVA/day (in All the way tariffs)"/>
    <hyperlink ref="A4172" location="'CDCM'!G4072" display="x8 = 3604. Reactive power charge p/kVArh (in All the way tariffs)"/>
  </hyperlinks>
  <pageMargins left="0.7" right="0.7" top="0.75" bottom="0.75" header="0.3" footer="0.3"/>
  <pageSetup paperSize="9" fitToHeight="0" orientation="landscape"/>
  <headerFooter>
    <oddHeader>&amp;L&amp;A&amp;C&amp;R&amp;P of &amp;N</oddHeader>
    <oddFoote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indexed="41"/>
  </sheetPr>
  <dimension ref="B3:B15"/>
  <sheetViews>
    <sheetView showGridLines="0" workbookViewId="0">
      <selection activeCell="F18" sqref="F18"/>
    </sheetView>
  </sheetViews>
  <sheetFormatPr defaultColWidth="8.85546875" defaultRowHeight="12.75"/>
  <cols>
    <col min="1" max="1" width="8.85546875" style="26"/>
    <col min="2" max="2" width="70.85546875" style="26" customWidth="1"/>
    <col min="3" max="16384" width="8.85546875" style="26"/>
  </cols>
  <sheetData>
    <row r="3" spans="2:2" ht="20.25">
      <c r="B3" s="30" t="str">
        <f>'CDCM Forecast Data'!E3</f>
        <v>WPD West Mids</v>
      </c>
    </row>
    <row r="6" spans="2:2">
      <c r="B6" s="27"/>
    </row>
    <row r="7" spans="2:2">
      <c r="B7" s="29"/>
    </row>
    <row r="8" spans="2:2">
      <c r="B8" s="27"/>
    </row>
    <row r="9" spans="2:2">
      <c r="B9" s="28"/>
    </row>
    <row r="10" spans="2:2">
      <c r="B10" s="27"/>
    </row>
    <row r="15" spans="2:2">
      <c r="B15" s="27"/>
    </row>
  </sheetData>
  <pageMargins left="0.75" right="0.75" top="1" bottom="1" header="0.5" footer="0.5"/>
  <pageSetup paperSize="9" orientation="portrait"/>
  <headerFooter alignWithMargins="0"/>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indexed="41"/>
    <pageSetUpPr fitToPage="1"/>
  </sheetPr>
  <dimension ref="A1:J271"/>
  <sheetViews>
    <sheetView showGridLines="0" tabSelected="1" topLeftCell="C1" workbookViewId="0">
      <selection activeCell="F7" sqref="F7"/>
    </sheetView>
  </sheetViews>
  <sheetFormatPr defaultColWidth="8.85546875" defaultRowHeight="12.75"/>
  <cols>
    <col min="1" max="1" width="4.140625" style="76" bestFit="1" customWidth="1"/>
    <col min="2" max="2" width="82.7109375" style="76" customWidth="1"/>
    <col min="3" max="9" width="16" style="78" customWidth="1"/>
    <col min="10" max="10" width="73.42578125" style="77" bestFit="1" customWidth="1"/>
    <col min="11" max="16384" width="8.85546875" style="76"/>
  </cols>
  <sheetData>
    <row r="1" spans="1:10">
      <c r="C1" s="76"/>
      <c r="D1" s="76"/>
      <c r="E1" s="76"/>
      <c r="F1" s="76"/>
      <c r="G1" s="76"/>
      <c r="H1" s="76"/>
      <c r="I1" s="76"/>
    </row>
    <row r="2" spans="1:10">
      <c r="C2" s="76"/>
      <c r="D2" s="76"/>
      <c r="E2" s="76"/>
      <c r="F2" s="76"/>
      <c r="G2" s="76"/>
      <c r="H2" s="76"/>
      <c r="I2" s="76"/>
    </row>
    <row r="3" spans="1:10" ht="15.75">
      <c r="C3" s="76"/>
      <c r="D3" s="128" t="s">
        <v>1309</v>
      </c>
      <c r="E3" s="337" t="s">
        <v>1850</v>
      </c>
      <c r="F3" s="337"/>
      <c r="G3" s="76"/>
      <c r="H3" s="76"/>
      <c r="I3" s="76"/>
    </row>
    <row r="4" spans="1:10" ht="15.75">
      <c r="C4" s="76"/>
      <c r="D4" s="128" t="s">
        <v>1308</v>
      </c>
      <c r="E4" s="338">
        <v>42339</v>
      </c>
      <c r="F4" s="338"/>
      <c r="G4" s="76"/>
      <c r="H4" s="76"/>
      <c r="I4" s="76"/>
    </row>
    <row r="5" spans="1:10" ht="15.75">
      <c r="C5" s="76"/>
      <c r="D5" s="128" t="s">
        <v>1418</v>
      </c>
      <c r="E5" s="339" t="s">
        <v>1892</v>
      </c>
      <c r="F5" s="339"/>
      <c r="G5" s="76"/>
      <c r="H5" s="76"/>
      <c r="I5" s="76"/>
    </row>
    <row r="6" spans="1:10">
      <c r="C6" s="76"/>
      <c r="D6" s="76"/>
      <c r="E6" s="76"/>
      <c r="F6" s="76"/>
      <c r="G6" s="76"/>
      <c r="H6" s="76"/>
      <c r="I6" s="76"/>
    </row>
    <row r="8" spans="1:10" ht="18.75">
      <c r="B8" s="127"/>
      <c r="C8" s="76"/>
      <c r="D8" s="76"/>
      <c r="E8" s="76"/>
      <c r="F8" s="76"/>
      <c r="G8" s="76"/>
      <c r="H8" s="76"/>
      <c r="I8" s="76"/>
    </row>
    <row r="9" spans="1:10" ht="25.5">
      <c r="B9" s="118"/>
      <c r="C9" s="340" t="s">
        <v>1417</v>
      </c>
      <c r="D9" s="340"/>
      <c r="E9" s="119" t="str">
        <f>"CDCM Values - "&amp;E5</f>
        <v>CDCM Values - Final</v>
      </c>
      <c r="F9" s="340" t="s">
        <v>1416</v>
      </c>
      <c r="G9" s="340"/>
      <c r="H9" s="340"/>
      <c r="I9" s="340"/>
    </row>
    <row r="10" spans="1:10">
      <c r="B10" s="126" t="s">
        <v>1415</v>
      </c>
      <c r="C10" s="125" t="s">
        <v>1414</v>
      </c>
      <c r="D10" s="125" t="s">
        <v>1413</v>
      </c>
      <c r="E10" s="125" t="s">
        <v>1412</v>
      </c>
      <c r="F10" s="125" t="s">
        <v>1411</v>
      </c>
      <c r="G10" s="125" t="s">
        <v>1410</v>
      </c>
      <c r="H10" s="125" t="s">
        <v>1409</v>
      </c>
      <c r="I10" s="125" t="s">
        <v>1408</v>
      </c>
    </row>
    <row r="11" spans="1:10" s="118" customFormat="1" ht="62.25" customHeight="1">
      <c r="B11" s="124" t="s">
        <v>1407</v>
      </c>
      <c r="C11" s="123" t="s">
        <v>1406</v>
      </c>
      <c r="D11" s="123" t="s">
        <v>1405</v>
      </c>
      <c r="E11" s="123" t="s">
        <v>1404</v>
      </c>
      <c r="F11" s="123" t="s">
        <v>1840</v>
      </c>
      <c r="G11" s="123" t="s">
        <v>1841</v>
      </c>
      <c r="H11" s="123" t="s">
        <v>1842</v>
      </c>
      <c r="I11" s="123" t="s">
        <v>1843</v>
      </c>
      <c r="J11" s="122"/>
    </row>
    <row r="12" spans="1:10" s="111" customFormat="1" ht="12.75" customHeight="1">
      <c r="A12" s="118"/>
      <c r="B12" s="121" t="s">
        <v>1403</v>
      </c>
      <c r="C12" s="120" t="s">
        <v>1402</v>
      </c>
      <c r="D12" s="120" t="s">
        <v>1402</v>
      </c>
      <c r="E12" s="120" t="s">
        <v>1402</v>
      </c>
      <c r="F12" s="120" t="s">
        <v>1402</v>
      </c>
      <c r="G12" s="120" t="s">
        <v>1402</v>
      </c>
      <c r="H12" s="120" t="s">
        <v>1402</v>
      </c>
      <c r="I12" s="120" t="s">
        <v>1402</v>
      </c>
      <c r="J12" s="119" t="s">
        <v>1367</v>
      </c>
    </row>
    <row r="13" spans="1:10" s="111" customFormat="1" ht="33.75" customHeight="1">
      <c r="A13" s="118"/>
      <c r="B13" s="117" t="s">
        <v>1401</v>
      </c>
      <c r="C13" s="116"/>
      <c r="D13" s="115"/>
      <c r="E13" s="114"/>
      <c r="F13" s="113">
        <f>'Table 1'!G9/'Table 1'!F9-1</f>
        <v>2.8722836752899328E-2</v>
      </c>
      <c r="G13" s="113">
        <f>'Table 1'!H9/'Table 1'!G9-1</f>
        <v>3.127874885004589E-2</v>
      </c>
      <c r="H13" s="113">
        <f>'Table 1'!I9/'Table 1'!H9-1</f>
        <v>2.8722836752899328E-2</v>
      </c>
      <c r="I13" s="113">
        <f>'Table 1'!J9/'Table 1'!I9-1</f>
        <v>3.127874885004589E-2</v>
      </c>
      <c r="J13" s="112"/>
    </row>
    <row r="14" spans="1:10">
      <c r="A14" s="76">
        <v>1</v>
      </c>
      <c r="B14" s="81" t="s">
        <v>1400</v>
      </c>
      <c r="C14" s="80"/>
      <c r="D14" s="80"/>
      <c r="E14" s="80"/>
      <c r="F14" s="80"/>
      <c r="G14" s="80"/>
      <c r="H14" s="80"/>
      <c r="I14" s="80"/>
      <c r="J14" s="79"/>
    </row>
    <row r="15" spans="1:10">
      <c r="A15" s="76">
        <v>2</v>
      </c>
      <c r="B15" s="105" t="s">
        <v>1</v>
      </c>
      <c r="C15" s="104"/>
      <c r="D15" s="104"/>
      <c r="E15" s="104" t="s">
        <v>1849</v>
      </c>
      <c r="F15" s="104" t="str">
        <f>E15</f>
        <v>West Mids</v>
      </c>
      <c r="G15" s="104" t="str">
        <f t="shared" ref="G15:I15" si="0">F15</f>
        <v>West Mids</v>
      </c>
      <c r="H15" s="104" t="str">
        <f t="shared" si="0"/>
        <v>West Mids</v>
      </c>
      <c r="I15" s="104" t="str">
        <f t="shared" si="0"/>
        <v>West Mids</v>
      </c>
      <c r="J15" s="82"/>
    </row>
    <row r="16" spans="1:10">
      <c r="A16" s="76">
        <v>3</v>
      </c>
      <c r="B16" s="105" t="s">
        <v>2</v>
      </c>
      <c r="C16" s="110"/>
      <c r="D16" s="110"/>
      <c r="E16" s="110"/>
      <c r="F16" s="110"/>
      <c r="G16" s="110"/>
      <c r="H16" s="110"/>
      <c r="I16" s="110"/>
      <c r="J16" s="109"/>
    </row>
    <row r="17" spans="1:10">
      <c r="A17" s="76">
        <v>4</v>
      </c>
      <c r="B17" s="105" t="s">
        <v>3</v>
      </c>
      <c r="C17" s="107"/>
      <c r="D17" s="107"/>
      <c r="E17" s="108" t="s">
        <v>1847</v>
      </c>
      <c r="F17" s="107" t="s">
        <v>1848</v>
      </c>
      <c r="G17" s="107" t="s">
        <v>1848</v>
      </c>
      <c r="H17" s="107" t="s">
        <v>1848</v>
      </c>
      <c r="I17" s="107" t="s">
        <v>1848</v>
      </c>
      <c r="J17" s="82"/>
    </row>
    <row r="18" spans="1:10">
      <c r="A18" s="76">
        <v>5</v>
      </c>
      <c r="B18" s="81" t="s">
        <v>1399</v>
      </c>
      <c r="C18" s="80"/>
      <c r="D18" s="80"/>
      <c r="E18" s="80"/>
      <c r="F18" s="80"/>
      <c r="G18" s="80"/>
      <c r="H18" s="80"/>
      <c r="I18" s="80"/>
      <c r="J18" s="79"/>
    </row>
    <row r="19" spans="1:10" ht="12.75" customHeight="1">
      <c r="A19" s="76">
        <v>6</v>
      </c>
      <c r="B19" s="85" t="s">
        <v>48</v>
      </c>
      <c r="C19" s="89">
        <v>5.6000000000000001E-2</v>
      </c>
      <c r="D19" s="89">
        <v>4.3499999999999997E-2</v>
      </c>
      <c r="E19" s="89">
        <v>4.3099999999999999E-2</v>
      </c>
      <c r="F19" s="89">
        <f>E19</f>
        <v>4.3099999999999999E-2</v>
      </c>
      <c r="G19" s="89">
        <f t="shared" ref="G19:I19" si="1">F19</f>
        <v>4.3099999999999999E-2</v>
      </c>
      <c r="H19" s="89">
        <f t="shared" si="1"/>
        <v>4.3099999999999999E-2</v>
      </c>
      <c r="I19" s="89">
        <f t="shared" si="1"/>
        <v>4.3099999999999999E-2</v>
      </c>
      <c r="J19" s="106"/>
    </row>
    <row r="20" spans="1:10">
      <c r="A20" s="76">
        <v>7</v>
      </c>
      <c r="B20" s="85" t="s">
        <v>49</v>
      </c>
      <c r="C20" s="101">
        <v>40</v>
      </c>
      <c r="D20" s="101">
        <v>40</v>
      </c>
      <c r="E20" s="101">
        <v>40</v>
      </c>
      <c r="F20" s="101">
        <f t="shared" ref="F20:I20" si="2">E20</f>
        <v>40</v>
      </c>
      <c r="G20" s="101">
        <f t="shared" si="2"/>
        <v>40</v>
      </c>
      <c r="H20" s="101">
        <f t="shared" si="2"/>
        <v>40</v>
      </c>
      <c r="I20" s="101">
        <f t="shared" si="2"/>
        <v>40</v>
      </c>
      <c r="J20" s="82"/>
    </row>
    <row r="21" spans="1:10">
      <c r="A21" s="76">
        <v>8</v>
      </c>
      <c r="B21" s="85" t="s">
        <v>51</v>
      </c>
      <c r="C21" s="104">
        <v>0.95</v>
      </c>
      <c r="D21" s="104">
        <v>0.95</v>
      </c>
      <c r="E21" s="104">
        <v>0.95</v>
      </c>
      <c r="F21" s="104">
        <f t="shared" ref="F21:I21" si="3">E21</f>
        <v>0.95</v>
      </c>
      <c r="G21" s="104">
        <f t="shared" si="3"/>
        <v>0.95</v>
      </c>
      <c r="H21" s="104">
        <f t="shared" si="3"/>
        <v>0.95</v>
      </c>
      <c r="I21" s="104">
        <f t="shared" si="3"/>
        <v>0.95</v>
      </c>
      <c r="J21" s="82"/>
    </row>
    <row r="22" spans="1:10">
      <c r="A22" s="76">
        <v>9</v>
      </c>
      <c r="B22" s="85" t="s">
        <v>1398</v>
      </c>
      <c r="C22" s="101">
        <v>366</v>
      </c>
      <c r="D22" s="101">
        <v>365</v>
      </c>
      <c r="E22" s="101">
        <v>365</v>
      </c>
      <c r="F22" s="101">
        <f t="shared" ref="F22:I22" si="4">E22</f>
        <v>365</v>
      </c>
      <c r="G22" s="101">
        <v>366</v>
      </c>
      <c r="H22" s="101">
        <v>365</v>
      </c>
      <c r="I22" s="101">
        <f t="shared" si="4"/>
        <v>365</v>
      </c>
      <c r="J22" s="82"/>
    </row>
    <row r="23" spans="1:10">
      <c r="A23" s="76">
        <v>10</v>
      </c>
      <c r="B23" s="81" t="s">
        <v>1397</v>
      </c>
      <c r="C23" s="80"/>
      <c r="D23" s="80"/>
      <c r="E23" s="80"/>
      <c r="F23" s="80"/>
      <c r="G23" s="80"/>
      <c r="H23" s="80"/>
      <c r="I23" s="80"/>
      <c r="J23" s="79"/>
    </row>
    <row r="24" spans="1:10" ht="15" customHeight="1">
      <c r="A24" s="76">
        <v>11</v>
      </c>
      <c r="B24" s="105" t="s">
        <v>60</v>
      </c>
      <c r="C24" s="104">
        <v>5.649040831841079E-2</v>
      </c>
      <c r="D24" s="104">
        <v>5.649040831841079E-2</v>
      </c>
      <c r="E24" s="89">
        <v>5.649040831841079E-2</v>
      </c>
      <c r="F24" s="253">
        <f>E24</f>
        <v>5.649040831841079E-2</v>
      </c>
      <c r="G24" s="253">
        <f t="shared" ref="G24:I24" si="5">F24</f>
        <v>5.649040831841079E-2</v>
      </c>
      <c r="H24" s="253">
        <f t="shared" si="5"/>
        <v>5.649040831841079E-2</v>
      </c>
      <c r="I24" s="253">
        <f t="shared" si="5"/>
        <v>5.649040831841079E-2</v>
      </c>
      <c r="J24" s="82"/>
    </row>
    <row r="25" spans="1:10">
      <c r="A25" s="76">
        <v>12</v>
      </c>
      <c r="B25" s="105" t="s">
        <v>61</v>
      </c>
      <c r="C25" s="104">
        <v>2.5568682496299511E-2</v>
      </c>
      <c r="D25" s="104">
        <v>2.5568682496299511E-2</v>
      </c>
      <c r="E25" s="89">
        <v>2.5568682496299511E-2</v>
      </c>
      <c r="F25" s="253">
        <f t="shared" ref="F25:I25" si="6">E25</f>
        <v>2.5568682496299511E-2</v>
      </c>
      <c r="G25" s="253">
        <f t="shared" si="6"/>
        <v>2.5568682496299511E-2</v>
      </c>
      <c r="H25" s="253">
        <f t="shared" si="6"/>
        <v>2.5568682496299511E-2</v>
      </c>
      <c r="I25" s="253">
        <f t="shared" si="6"/>
        <v>2.5568682496299511E-2</v>
      </c>
      <c r="J25" s="82"/>
    </row>
    <row r="26" spans="1:10">
      <c r="A26" s="76">
        <v>13</v>
      </c>
      <c r="B26" s="105" t="s">
        <v>63</v>
      </c>
      <c r="C26" s="104">
        <v>2.6631596666738533E-2</v>
      </c>
      <c r="D26" s="104">
        <v>2.6631596666738533E-2</v>
      </c>
      <c r="E26" s="89">
        <v>2.6631596666738533E-2</v>
      </c>
      <c r="F26" s="253">
        <f t="shared" ref="F26:I26" si="7">E26</f>
        <v>2.6631596666738533E-2</v>
      </c>
      <c r="G26" s="253">
        <f t="shared" si="7"/>
        <v>2.6631596666738533E-2</v>
      </c>
      <c r="H26" s="253">
        <f t="shared" si="7"/>
        <v>2.6631596666738533E-2</v>
      </c>
      <c r="I26" s="253">
        <f t="shared" si="7"/>
        <v>2.6631596666738533E-2</v>
      </c>
      <c r="J26" s="82"/>
    </row>
    <row r="27" spans="1:10">
      <c r="A27" s="76">
        <v>14</v>
      </c>
      <c r="B27" s="105" t="s">
        <v>65</v>
      </c>
      <c r="C27" s="104">
        <v>0.34000000000000008</v>
      </c>
      <c r="D27" s="104">
        <v>0.34000000000000008</v>
      </c>
      <c r="E27" s="89">
        <v>0.34000000000000008</v>
      </c>
      <c r="F27" s="253">
        <f t="shared" ref="F27:I27" si="8">E27</f>
        <v>0.34000000000000008</v>
      </c>
      <c r="G27" s="253">
        <f t="shared" si="8"/>
        <v>0.34000000000000008</v>
      </c>
      <c r="H27" s="253">
        <f t="shared" si="8"/>
        <v>0.34000000000000008</v>
      </c>
      <c r="I27" s="253">
        <f t="shared" si="8"/>
        <v>0.34000000000000008</v>
      </c>
      <c r="J27" s="82"/>
    </row>
    <row r="28" spans="1:10">
      <c r="A28" s="76">
        <v>15</v>
      </c>
      <c r="B28" s="81" t="s">
        <v>1396</v>
      </c>
      <c r="C28" s="104">
        <v>0.69256562916818787</v>
      </c>
      <c r="D28" s="104">
        <v>0.69256562916818787</v>
      </c>
      <c r="E28" s="89">
        <v>0.69256562916818787</v>
      </c>
      <c r="F28" s="253">
        <f t="shared" ref="F28:I28" si="9">E28</f>
        <v>0.69256562916818787</v>
      </c>
      <c r="G28" s="253">
        <f t="shared" si="9"/>
        <v>0.69256562916818787</v>
      </c>
      <c r="H28" s="253">
        <f t="shared" si="9"/>
        <v>0.69256562916818787</v>
      </c>
      <c r="I28" s="253">
        <f t="shared" si="9"/>
        <v>0.69256562916818787</v>
      </c>
      <c r="J28" s="82"/>
    </row>
    <row r="29" spans="1:10">
      <c r="A29" s="76">
        <v>16</v>
      </c>
      <c r="B29" s="81" t="s">
        <v>1395</v>
      </c>
      <c r="C29" s="101">
        <v>500</v>
      </c>
      <c r="D29" s="101">
        <v>500</v>
      </c>
      <c r="E29" s="101">
        <v>500</v>
      </c>
      <c r="F29" s="254">
        <f t="shared" ref="F29:I29" si="10">E29</f>
        <v>500</v>
      </c>
      <c r="G29" s="254">
        <f t="shared" si="10"/>
        <v>500</v>
      </c>
      <c r="H29" s="254">
        <f t="shared" si="10"/>
        <v>500</v>
      </c>
      <c r="I29" s="254">
        <f t="shared" si="10"/>
        <v>500</v>
      </c>
      <c r="J29" s="82"/>
    </row>
    <row r="30" spans="1:10">
      <c r="A30" s="76">
        <v>17</v>
      </c>
      <c r="B30" s="91" t="s">
        <v>1394</v>
      </c>
      <c r="C30" s="80"/>
      <c r="D30" s="80"/>
      <c r="E30" s="80"/>
      <c r="F30" s="80"/>
      <c r="G30" s="80"/>
      <c r="H30" s="80"/>
      <c r="I30" s="80"/>
      <c r="J30" s="79"/>
    </row>
    <row r="31" spans="1:10" ht="12.75" customHeight="1">
      <c r="A31" s="76">
        <v>18</v>
      </c>
      <c r="B31" s="85" t="s">
        <v>61</v>
      </c>
      <c r="C31" s="87">
        <v>71229941.128000006</v>
      </c>
      <c r="D31" s="87">
        <v>47746530.907388352</v>
      </c>
      <c r="E31" s="86">
        <v>49214736.732790545</v>
      </c>
      <c r="F31" s="96">
        <f>E31*(1+F$13)</f>
        <v>50628323.581803404</v>
      </c>
      <c r="G31" s="96">
        <f t="shared" ref="G31:I31" si="11">F31*(1+G$13)</f>
        <v>52211914.199817486</v>
      </c>
      <c r="H31" s="96">
        <f t="shared" si="11"/>
        <v>53711588.48793523</v>
      </c>
      <c r="I31" s="96">
        <f t="shared" si="11"/>
        <v>55391619.774586372</v>
      </c>
      <c r="J31" s="82"/>
    </row>
    <row r="32" spans="1:10">
      <c r="A32" s="76">
        <v>19</v>
      </c>
      <c r="B32" s="85" t="s">
        <v>62</v>
      </c>
      <c r="C32" s="87">
        <v>11108281.188000001</v>
      </c>
      <c r="D32" s="87">
        <v>10929842.800272003</v>
      </c>
      <c r="E32" s="86">
        <v>11265935.466380367</v>
      </c>
      <c r="F32" s="96">
        <f t="shared" ref="F32:I32" si="12">E32*(1+F$13)</f>
        <v>11589525.091649909</v>
      </c>
      <c r="G32" s="96">
        <f t="shared" si="12"/>
        <v>11952030.936282931</v>
      </c>
      <c r="H32" s="96">
        <f t="shared" si="12"/>
        <v>12295327.169731388</v>
      </c>
      <c r="I32" s="96">
        <f t="shared" si="12"/>
        <v>12679909.620302562</v>
      </c>
      <c r="J32" s="82"/>
    </row>
    <row r="33" spans="1:10">
      <c r="A33" s="76">
        <v>20</v>
      </c>
      <c r="B33" s="85" t="s">
        <v>63</v>
      </c>
      <c r="C33" s="87">
        <v>12794353.332</v>
      </c>
      <c r="D33" s="87">
        <v>11262392.606267763</v>
      </c>
      <c r="E33" s="86">
        <v>11608711.178910498</v>
      </c>
      <c r="F33" s="96">
        <f t="shared" ref="F33:I33" si="13">E33*(1+F$13)</f>
        <v>11942146.295013901</v>
      </c>
      <c r="G33" s="96">
        <f t="shared" si="13"/>
        <v>12315681.689706147</v>
      </c>
      <c r="H33" s="96">
        <f t="shared" si="13"/>
        <v>12669423.004380248</v>
      </c>
      <c r="I33" s="96">
        <f t="shared" si="13"/>
        <v>13065706.704609253</v>
      </c>
      <c r="J33" s="82"/>
    </row>
    <row r="34" spans="1:10">
      <c r="A34" s="76">
        <v>21</v>
      </c>
      <c r="B34" s="85" t="s">
        <v>64</v>
      </c>
      <c r="C34" s="87">
        <v>21860778.772</v>
      </c>
      <c r="D34" s="87">
        <v>21282685.996967997</v>
      </c>
      <c r="E34" s="86">
        <v>21937128.591374766</v>
      </c>
      <c r="F34" s="96">
        <f t="shared" ref="F34:I34" si="14">E34*(1+F$13)</f>
        <v>22567225.154732183</v>
      </c>
      <c r="G34" s="96">
        <f t="shared" si="14"/>
        <v>23273099.722589489</v>
      </c>
      <c r="H34" s="96">
        <f t="shared" si="14"/>
        <v>23941569.166655373</v>
      </c>
      <c r="I34" s="96">
        <f t="shared" si="14"/>
        <v>24690431.495695189</v>
      </c>
      <c r="J34" s="82"/>
    </row>
    <row r="35" spans="1:10">
      <c r="A35" s="76">
        <v>22</v>
      </c>
      <c r="B35" s="85" t="s">
        <v>69</v>
      </c>
      <c r="C35" s="87">
        <v>20209478.728</v>
      </c>
      <c r="D35" s="87">
        <v>22688479.511544</v>
      </c>
      <c r="E35" s="86">
        <v>23386150.256523978</v>
      </c>
      <c r="F35" s="96">
        <f t="shared" ref="F35:I35" si="15">E35*(1+F$13)</f>
        <v>24057866.832620893</v>
      </c>
      <c r="G35" s="96">
        <f t="shared" si="15"/>
        <v>24810366.807146292</v>
      </c>
      <c r="H35" s="96">
        <f t="shared" si="15"/>
        <v>25522990.922727507</v>
      </c>
      <c r="I35" s="96">
        <f t="shared" si="15"/>
        <v>26321318.145701502</v>
      </c>
      <c r="J35" s="82"/>
    </row>
    <row r="36" spans="1:10">
      <c r="A36" s="76">
        <v>23</v>
      </c>
      <c r="B36" s="85" t="s">
        <v>65</v>
      </c>
      <c r="C36" s="87">
        <v>111578064.244</v>
      </c>
      <c r="D36" s="87">
        <v>147329180.66695109</v>
      </c>
      <c r="E36" s="86">
        <v>151859552.97245985</v>
      </c>
      <c r="F36" s="96">
        <f t="shared" ref="F36:I36" si="16">E36*(1+F$13)</f>
        <v>156221390.12185609</v>
      </c>
      <c r="G36" s="96">
        <f t="shared" si="16"/>
        <v>161107799.74848267</v>
      </c>
      <c r="H36" s="96">
        <f t="shared" si="16"/>
        <v>165735272.78027713</v>
      </c>
      <c r="I36" s="96">
        <f t="shared" si="16"/>
        <v>170919264.75316527</v>
      </c>
      <c r="J36" s="82"/>
    </row>
    <row r="37" spans="1:10">
      <c r="A37" s="76">
        <v>24</v>
      </c>
      <c r="B37" s="85" t="s">
        <v>66</v>
      </c>
      <c r="C37" s="87">
        <v>69967719.552000001</v>
      </c>
      <c r="D37" s="87">
        <v>66476256.911063999</v>
      </c>
      <c r="E37" s="86">
        <v>68520401.811079219</v>
      </c>
      <c r="F37" s="96">
        <f t="shared" ref="F37:I37" si="17">E37*(1+F$13)</f>
        <v>70488502.126541913</v>
      </c>
      <c r="G37" s="96">
        <f t="shared" si="17"/>
        <v>72693294.281373948</v>
      </c>
      <c r="H37" s="96">
        <f t="shared" si="17"/>
        <v>74781251.906048328</v>
      </c>
      <c r="I37" s="96">
        <f t="shared" si="17"/>
        <v>77120315.903109625</v>
      </c>
      <c r="J37" s="82"/>
    </row>
    <row r="38" spans="1:10">
      <c r="A38" s="76">
        <v>25</v>
      </c>
      <c r="B38" s="85" t="s">
        <v>67</v>
      </c>
      <c r="C38" s="87">
        <v>97323307.384000003</v>
      </c>
      <c r="D38" s="87">
        <v>151471703.75041351</v>
      </c>
      <c r="E38" s="86">
        <v>156129458.64073873</v>
      </c>
      <c r="F38" s="96">
        <f t="shared" ref="F38:I38" si="18">E38*(1+F$13)</f>
        <v>160613939.59359521</v>
      </c>
      <c r="G38" s="96">
        <f t="shared" si="18"/>
        <v>165637742.6719597</v>
      </c>
      <c r="H38" s="96">
        <f t="shared" si="18"/>
        <v>170395328.51484513</v>
      </c>
      <c r="I38" s="96">
        <f t="shared" si="18"/>
        <v>175725081.20068204</v>
      </c>
      <c r="J38" s="82"/>
    </row>
    <row r="39" spans="1:10">
      <c r="A39" s="76">
        <v>26</v>
      </c>
      <c r="B39" s="81" t="s">
        <v>1393</v>
      </c>
      <c r="C39" s="80"/>
      <c r="D39" s="80"/>
      <c r="E39" s="80"/>
      <c r="F39" s="80"/>
      <c r="G39" s="80"/>
      <c r="H39" s="80"/>
      <c r="I39" s="80"/>
      <c r="J39" s="79"/>
    </row>
    <row r="40" spans="1:10" ht="12.75" customHeight="1">
      <c r="A40" s="76">
        <v>27</v>
      </c>
      <c r="B40" s="85" t="s">
        <v>75</v>
      </c>
      <c r="C40" s="87">
        <v>4818.3125333333337</v>
      </c>
      <c r="D40" s="87">
        <v>5105.1767199999995</v>
      </c>
      <c r="E40" s="86">
        <v>5262.1609041399997</v>
      </c>
      <c r="F40" s="96">
        <f t="shared" ref="F40:I40" si="19">E40*(1+F$13)</f>
        <v>5413.3050927571021</v>
      </c>
      <c r="G40" s="96">
        <f t="shared" si="19"/>
        <v>5582.6265032021256</v>
      </c>
      <c r="H40" s="96">
        <f t="shared" si="19"/>
        <v>5742.9753729060094</v>
      </c>
      <c r="I40" s="96">
        <f t="shared" si="19"/>
        <v>5922.6084572471354</v>
      </c>
      <c r="J40" s="82"/>
    </row>
    <row r="41" spans="1:10">
      <c r="A41" s="76">
        <v>28</v>
      </c>
      <c r="B41" s="85" t="s">
        <v>76</v>
      </c>
      <c r="C41" s="87">
        <v>588.84756666666658</v>
      </c>
      <c r="D41" s="87">
        <v>574.28134</v>
      </c>
      <c r="E41" s="86">
        <v>591.94049120500006</v>
      </c>
      <c r="F41" s="96">
        <f t="shared" ref="F41:I41" si="20">E41*(1+F$13)</f>
        <v>608.94270130131235</v>
      </c>
      <c r="G41" s="96">
        <f t="shared" si="20"/>
        <v>627.98966711938465</v>
      </c>
      <c r="H41" s="96">
        <f t="shared" si="20"/>
        <v>646.02731181056231</v>
      </c>
      <c r="I41" s="96">
        <f t="shared" si="20"/>
        <v>666.23423784695512</v>
      </c>
      <c r="J41" s="82"/>
    </row>
    <row r="42" spans="1:10">
      <c r="A42" s="76">
        <v>29</v>
      </c>
      <c r="B42" s="85" t="s">
        <v>77</v>
      </c>
      <c r="C42" s="87">
        <v>688.35500833333322</v>
      </c>
      <c r="D42" s="87">
        <v>699.18343999999991</v>
      </c>
      <c r="E42" s="86">
        <v>720.68333077999989</v>
      </c>
      <c r="F42" s="96">
        <f t="shared" ref="F42:I42" si="21">E42*(1+F$13)</f>
        <v>741.38340044052961</v>
      </c>
      <c r="G42" s="96">
        <f t="shared" si="21"/>
        <v>764.57294562450193</v>
      </c>
      <c r="H42" s="96">
        <f t="shared" si="21"/>
        <v>786.53364952735785</v>
      </c>
      <c r="I42" s="96">
        <f t="shared" si="21"/>
        <v>811.1354380130341</v>
      </c>
      <c r="J42" s="82"/>
    </row>
    <row r="43" spans="1:10">
      <c r="A43" s="76">
        <v>30</v>
      </c>
      <c r="B43" s="85" t="s">
        <v>78</v>
      </c>
      <c r="C43" s="87">
        <v>508.31873333333323</v>
      </c>
      <c r="D43" s="87">
        <v>518.52839999999992</v>
      </c>
      <c r="E43" s="86">
        <v>534.47314829999993</v>
      </c>
      <c r="F43" s="96">
        <f t="shared" ref="F43:I43" si="22">E43*(1+F$13)</f>
        <v>549.82473328742901</v>
      </c>
      <c r="G43" s="96">
        <f t="shared" si="22"/>
        <v>567.02256303146999</v>
      </c>
      <c r="H43" s="96">
        <f t="shared" si="22"/>
        <v>583.30905954463344</v>
      </c>
      <c r="I43" s="96">
        <f t="shared" si="22"/>
        <v>601.55423712008644</v>
      </c>
      <c r="J43" s="82"/>
    </row>
    <row r="44" spans="1:10">
      <c r="A44" s="76">
        <v>31</v>
      </c>
      <c r="B44" s="85" t="s">
        <v>79</v>
      </c>
      <c r="C44" s="87">
        <v>1179.9549533333334</v>
      </c>
      <c r="D44" s="87">
        <v>1178.730448</v>
      </c>
      <c r="E44" s="86">
        <v>1214.9764092760001</v>
      </c>
      <c r="F44" s="96">
        <f t="shared" ref="F44:I44" si="23">E44*(1+F$13)</f>
        <v>1249.8739783382584</v>
      </c>
      <c r="G44" s="96">
        <f t="shared" si="23"/>
        <v>1288.9684726009086</v>
      </c>
      <c r="H44" s="96">
        <f t="shared" si="23"/>
        <v>1325.9913036190585</v>
      </c>
      <c r="I44" s="96">
        <f t="shared" si="23"/>
        <v>1367.4666525823041</v>
      </c>
      <c r="J44" s="82"/>
    </row>
    <row r="45" spans="1:10">
      <c r="A45" s="76">
        <v>32</v>
      </c>
      <c r="B45" s="85" t="s">
        <v>80</v>
      </c>
      <c r="C45" s="87">
        <v>892.5078749999999</v>
      </c>
      <c r="D45" s="87">
        <v>907.87362000000007</v>
      </c>
      <c r="E45" s="86">
        <v>935.79073381500018</v>
      </c>
      <c r="F45" s="96">
        <f t="shared" ref="F45:I45" si="24">E45*(1+F$13)</f>
        <v>962.66929829724427</v>
      </c>
      <c r="G45" s="96">
        <f t="shared" si="24"/>
        <v>992.7803895043337</v>
      </c>
      <c r="H45" s="96">
        <f t="shared" si="24"/>
        <v>1021.2958585635465</v>
      </c>
      <c r="I45" s="96">
        <f t="shared" si="24"/>
        <v>1053.2407152251476</v>
      </c>
      <c r="J45" s="82"/>
    </row>
    <row r="46" spans="1:10">
      <c r="A46" s="76">
        <v>33</v>
      </c>
      <c r="B46" s="85" t="s">
        <v>81</v>
      </c>
      <c r="C46" s="87">
        <v>0</v>
      </c>
      <c r="D46" s="87">
        <v>0</v>
      </c>
      <c r="E46" s="87">
        <v>0</v>
      </c>
      <c r="F46" s="103">
        <f t="shared" ref="F46:I46" si="25">E46*(1+F$13)</f>
        <v>0</v>
      </c>
      <c r="G46" s="103">
        <f t="shared" si="25"/>
        <v>0</v>
      </c>
      <c r="H46" s="103">
        <f t="shared" si="25"/>
        <v>0</v>
      </c>
      <c r="I46" s="103">
        <f t="shared" si="25"/>
        <v>0</v>
      </c>
      <c r="J46" s="82"/>
    </row>
    <row r="47" spans="1:10">
      <c r="A47" s="76">
        <v>34</v>
      </c>
      <c r="B47" s="85" t="s">
        <v>82</v>
      </c>
      <c r="C47" s="87">
        <v>468.81480000000005</v>
      </c>
      <c r="D47" s="87">
        <v>474.82320000000004</v>
      </c>
      <c r="E47" s="87">
        <v>489.42401340000009</v>
      </c>
      <c r="F47" s="103">
        <f t="shared" ref="F47:I47" si="26">E47*(1+F$13)</f>
        <v>503.48165943983713</v>
      </c>
      <c r="G47" s="103">
        <f t="shared" si="26"/>
        <v>519.22993581606011</v>
      </c>
      <c r="H47" s="103">
        <f t="shared" si="26"/>
        <v>534.14369249972322</v>
      </c>
      <c r="I47" s="103">
        <f t="shared" si="26"/>
        <v>550.85103890725816</v>
      </c>
      <c r="J47" s="82"/>
    </row>
    <row r="48" spans="1:10">
      <c r="A48" s="76">
        <v>35</v>
      </c>
      <c r="B48" s="81" t="s">
        <v>1392</v>
      </c>
      <c r="C48" s="80"/>
      <c r="D48" s="80"/>
      <c r="E48" s="80"/>
      <c r="F48" s="80"/>
      <c r="G48" s="80"/>
      <c r="H48" s="80"/>
      <c r="I48" s="80"/>
      <c r="J48" s="79"/>
    </row>
    <row r="49" spans="1:10" ht="12.75" customHeight="1">
      <c r="A49" s="76">
        <v>36</v>
      </c>
      <c r="B49" s="85" t="s">
        <v>85</v>
      </c>
      <c r="C49" s="101">
        <v>8971.2505600000022</v>
      </c>
      <c r="D49" s="101">
        <v>9007.1597759999986</v>
      </c>
      <c r="E49" s="102">
        <v>9284.1299391119992</v>
      </c>
      <c r="F49" s="103">
        <f t="shared" ref="F49:I49" si="27">E49*(1+F$13)</f>
        <v>9550.796487745818</v>
      </c>
      <c r="G49" s="103">
        <f t="shared" si="27"/>
        <v>9849.533452403919</v>
      </c>
      <c r="H49" s="103">
        <f t="shared" si="27"/>
        <v>10132.439993849537</v>
      </c>
      <c r="I49" s="103">
        <f t="shared" si="27"/>
        <v>10449.370039655318</v>
      </c>
      <c r="J49" s="82"/>
    </row>
    <row r="50" spans="1:10">
      <c r="A50" s="76">
        <v>37</v>
      </c>
      <c r="B50" s="85" t="s">
        <v>86</v>
      </c>
      <c r="C50" s="101">
        <v>4334.24</v>
      </c>
      <c r="D50" s="101">
        <v>4342.6559999999999</v>
      </c>
      <c r="E50" s="102">
        <v>4476.1926720000001</v>
      </c>
      <c r="F50" s="103">
        <f t="shared" ref="F50:I50" si="28">E50*(1+F$13)</f>
        <v>4604.76162339238</v>
      </c>
      <c r="G50" s="103">
        <f t="shared" si="28"/>
        <v>4748.7928057248</v>
      </c>
      <c r="H50" s="103">
        <f t="shared" si="28"/>
        <v>4885.1916062569762</v>
      </c>
      <c r="I50" s="103">
        <f t="shared" si="28"/>
        <v>5037.9942875934403</v>
      </c>
      <c r="J50" s="82"/>
    </row>
    <row r="51" spans="1:10">
      <c r="A51" s="76">
        <v>38</v>
      </c>
      <c r="B51" s="85" t="s">
        <v>87</v>
      </c>
      <c r="C51" s="101"/>
      <c r="D51" s="101"/>
      <c r="E51" s="101">
        <v>0</v>
      </c>
      <c r="F51" s="103">
        <f t="shared" ref="F51:I51" si="29">E51*(1+F$13)</f>
        <v>0</v>
      </c>
      <c r="G51" s="103">
        <f t="shared" si="29"/>
        <v>0</v>
      </c>
      <c r="H51" s="103">
        <f t="shared" si="29"/>
        <v>0</v>
      </c>
      <c r="I51" s="103">
        <f t="shared" si="29"/>
        <v>0</v>
      </c>
      <c r="J51" s="82"/>
    </row>
    <row r="52" spans="1:10">
      <c r="A52" s="76">
        <v>39</v>
      </c>
      <c r="B52" s="85" t="s">
        <v>88</v>
      </c>
      <c r="C52" s="101"/>
      <c r="D52" s="101"/>
      <c r="E52" s="101">
        <v>0</v>
      </c>
      <c r="F52" s="103">
        <f t="shared" ref="F52:I52" si="30">E52*(1+F$13)</f>
        <v>0</v>
      </c>
      <c r="G52" s="103">
        <f t="shared" si="30"/>
        <v>0</v>
      </c>
      <c r="H52" s="103">
        <f t="shared" si="30"/>
        <v>0</v>
      </c>
      <c r="I52" s="103">
        <f t="shared" si="30"/>
        <v>0</v>
      </c>
      <c r="J52" s="82"/>
    </row>
    <row r="53" spans="1:10">
      <c r="A53" s="76">
        <v>40</v>
      </c>
      <c r="B53" s="85" t="s">
        <v>89</v>
      </c>
      <c r="C53" s="101"/>
      <c r="D53" s="101"/>
      <c r="E53" s="101">
        <v>0</v>
      </c>
      <c r="F53" s="103">
        <f t="shared" ref="F53:I53" si="31">E53*(1+F$13)</f>
        <v>0</v>
      </c>
      <c r="G53" s="103">
        <f t="shared" si="31"/>
        <v>0</v>
      </c>
      <c r="H53" s="103">
        <f t="shared" si="31"/>
        <v>0</v>
      </c>
      <c r="I53" s="103">
        <f t="shared" si="31"/>
        <v>0</v>
      </c>
      <c r="J53" s="82"/>
    </row>
    <row r="54" spans="1:10" ht="12.75" customHeight="1">
      <c r="A54" s="76">
        <v>41</v>
      </c>
      <c r="B54" s="81" t="s">
        <v>1391</v>
      </c>
      <c r="C54" s="80"/>
      <c r="D54" s="80"/>
      <c r="E54" s="80"/>
      <c r="F54" s="80"/>
      <c r="G54" s="80"/>
      <c r="H54" s="80"/>
      <c r="I54" s="80"/>
      <c r="J54" s="79"/>
    </row>
    <row r="55" spans="1:10">
      <c r="A55" s="76">
        <v>42</v>
      </c>
      <c r="B55" s="81" t="s">
        <v>1390</v>
      </c>
      <c r="C55" s="80"/>
      <c r="D55" s="80"/>
      <c r="E55" s="80"/>
      <c r="F55" s="80"/>
      <c r="G55" s="80"/>
      <c r="H55" s="80"/>
      <c r="I55" s="80"/>
      <c r="J55" s="79"/>
    </row>
    <row r="56" spans="1:10">
      <c r="A56" s="76">
        <v>43</v>
      </c>
      <c r="B56" s="81" t="s">
        <v>1389</v>
      </c>
      <c r="C56" s="80"/>
      <c r="D56" s="80"/>
      <c r="E56" s="80"/>
      <c r="F56" s="80"/>
      <c r="G56" s="80"/>
      <c r="H56" s="80"/>
      <c r="I56" s="80"/>
      <c r="J56" s="79"/>
    </row>
    <row r="57" spans="1:10">
      <c r="A57" s="76">
        <v>44</v>
      </c>
      <c r="B57" s="81" t="s">
        <v>1388</v>
      </c>
      <c r="C57" s="80"/>
      <c r="D57" s="80"/>
      <c r="E57" s="80"/>
      <c r="F57" s="80"/>
      <c r="G57" s="80"/>
      <c r="H57" s="80"/>
      <c r="I57" s="80"/>
      <c r="J57" s="79"/>
    </row>
    <row r="58" spans="1:10" ht="12.75" customHeight="1">
      <c r="A58" s="76">
        <v>45</v>
      </c>
      <c r="B58" s="85" t="s">
        <v>61</v>
      </c>
      <c r="C58" s="84">
        <v>1.002</v>
      </c>
      <c r="D58" s="84">
        <v>1.002</v>
      </c>
      <c r="E58" s="83">
        <v>1.002</v>
      </c>
      <c r="F58" s="83">
        <f t="shared" ref="F58:I58" si="32">E58</f>
        <v>1.002</v>
      </c>
      <c r="G58" s="83">
        <f t="shared" si="32"/>
        <v>1.002</v>
      </c>
      <c r="H58" s="83">
        <f t="shared" si="32"/>
        <v>1.002</v>
      </c>
      <c r="I58" s="83">
        <f t="shared" si="32"/>
        <v>1.002</v>
      </c>
      <c r="J58" s="82"/>
    </row>
    <row r="59" spans="1:10">
      <c r="A59" s="76">
        <v>46</v>
      </c>
      <c r="B59" s="85" t="s">
        <v>62</v>
      </c>
      <c r="C59" s="84">
        <v>1.0069999999999999</v>
      </c>
      <c r="D59" s="84">
        <v>1.0069999999999999</v>
      </c>
      <c r="E59" s="83">
        <v>1.0069999999999999</v>
      </c>
      <c r="F59" s="83">
        <f t="shared" ref="F59:I59" si="33">E59</f>
        <v>1.0069999999999999</v>
      </c>
      <c r="G59" s="83">
        <f t="shared" si="33"/>
        <v>1.0069999999999999</v>
      </c>
      <c r="H59" s="83">
        <f t="shared" si="33"/>
        <v>1.0069999999999999</v>
      </c>
      <c r="I59" s="83">
        <f t="shared" si="33"/>
        <v>1.0069999999999999</v>
      </c>
      <c r="J59" s="82"/>
    </row>
    <row r="60" spans="1:10">
      <c r="A60" s="76">
        <v>47</v>
      </c>
      <c r="B60" s="85" t="s">
        <v>63</v>
      </c>
      <c r="C60" s="84">
        <v>1.016</v>
      </c>
      <c r="D60" s="84">
        <v>1.016</v>
      </c>
      <c r="E60" s="83">
        <v>1.016</v>
      </c>
      <c r="F60" s="83">
        <f t="shared" ref="F60:I60" si="34">E60</f>
        <v>1.016</v>
      </c>
      <c r="G60" s="83">
        <f t="shared" si="34"/>
        <v>1.016</v>
      </c>
      <c r="H60" s="83">
        <f t="shared" si="34"/>
        <v>1.016</v>
      </c>
      <c r="I60" s="83">
        <f t="shared" si="34"/>
        <v>1.016</v>
      </c>
      <c r="J60" s="82"/>
    </row>
    <row r="61" spans="1:10">
      <c r="A61" s="76">
        <v>48</v>
      </c>
      <c r="B61" s="85" t="s">
        <v>64</v>
      </c>
      <c r="C61" s="84">
        <v>1.0229999999999999</v>
      </c>
      <c r="D61" s="84">
        <v>1.0229999999999999</v>
      </c>
      <c r="E61" s="83">
        <v>1.0229999999999999</v>
      </c>
      <c r="F61" s="83">
        <f t="shared" ref="F61:I61" si="35">E61</f>
        <v>1.0229999999999999</v>
      </c>
      <c r="G61" s="83">
        <f t="shared" si="35"/>
        <v>1.0229999999999999</v>
      </c>
      <c r="H61" s="83">
        <f t="shared" si="35"/>
        <v>1.0229999999999999</v>
      </c>
      <c r="I61" s="83">
        <f t="shared" si="35"/>
        <v>1.0229999999999999</v>
      </c>
      <c r="J61" s="82"/>
    </row>
    <row r="62" spans="1:10">
      <c r="A62" s="76">
        <v>49</v>
      </c>
      <c r="B62" s="85" t="s">
        <v>65</v>
      </c>
      <c r="C62" s="84">
        <v>1.0509999999999999</v>
      </c>
      <c r="D62" s="84">
        <v>1.0509999999999999</v>
      </c>
      <c r="E62" s="83">
        <v>1.0509999999999999</v>
      </c>
      <c r="F62" s="83">
        <f t="shared" ref="F62:I62" si="36">E62</f>
        <v>1.0509999999999999</v>
      </c>
      <c r="G62" s="83">
        <f t="shared" si="36"/>
        <v>1.0509999999999999</v>
      </c>
      <c r="H62" s="83">
        <f t="shared" si="36"/>
        <v>1.0509999999999999</v>
      </c>
      <c r="I62" s="83">
        <f t="shared" si="36"/>
        <v>1.0509999999999999</v>
      </c>
      <c r="J62" s="82"/>
    </row>
    <row r="63" spans="1:10">
      <c r="A63" s="76">
        <v>50</v>
      </c>
      <c r="B63" s="85" t="s">
        <v>66</v>
      </c>
      <c r="C63" s="84">
        <v>1.069</v>
      </c>
      <c r="D63" s="84">
        <v>1.07</v>
      </c>
      <c r="E63" s="83">
        <v>1.07</v>
      </c>
      <c r="F63" s="83">
        <f t="shared" ref="F63:I63" si="37">E63</f>
        <v>1.07</v>
      </c>
      <c r="G63" s="83">
        <f t="shared" si="37"/>
        <v>1.07</v>
      </c>
      <c r="H63" s="83">
        <f t="shared" si="37"/>
        <v>1.07</v>
      </c>
      <c r="I63" s="83">
        <f t="shared" si="37"/>
        <v>1.07</v>
      </c>
      <c r="J63" s="82"/>
    </row>
    <row r="64" spans="1:10">
      <c r="A64" s="76">
        <v>51</v>
      </c>
      <c r="B64" s="85" t="s">
        <v>67</v>
      </c>
      <c r="C64" s="84">
        <v>1.087</v>
      </c>
      <c r="D64" s="84">
        <v>1.087</v>
      </c>
      <c r="E64" s="83">
        <v>1.087</v>
      </c>
      <c r="F64" s="83">
        <f t="shared" ref="F64:I64" si="38">E64</f>
        <v>1.087</v>
      </c>
      <c r="G64" s="83">
        <f t="shared" si="38"/>
        <v>1.087</v>
      </c>
      <c r="H64" s="83">
        <f t="shared" si="38"/>
        <v>1.087</v>
      </c>
      <c r="I64" s="83">
        <f t="shared" si="38"/>
        <v>1.087</v>
      </c>
      <c r="J64" s="82"/>
    </row>
    <row r="65" spans="1:10">
      <c r="A65" s="76">
        <v>52</v>
      </c>
      <c r="B65" s="81" t="s">
        <v>1387</v>
      </c>
      <c r="C65" s="80"/>
      <c r="D65" s="80"/>
      <c r="E65" s="80"/>
      <c r="F65" s="80"/>
      <c r="G65" s="80"/>
      <c r="H65" s="80"/>
      <c r="I65" s="80"/>
      <c r="J65" s="79"/>
    </row>
    <row r="66" spans="1:10" ht="12.75" customHeight="1">
      <c r="A66" s="76">
        <v>53</v>
      </c>
      <c r="B66" s="85" t="s">
        <v>120</v>
      </c>
      <c r="C66" s="92">
        <v>0.31358738043331302</v>
      </c>
      <c r="D66" s="92">
        <v>0.31358738043331302</v>
      </c>
      <c r="E66" s="100">
        <v>0.33064254054995224</v>
      </c>
      <c r="F66" s="100">
        <f t="shared" ref="F66:I66" si="39">E66</f>
        <v>0.33064254054995224</v>
      </c>
      <c r="G66" s="100">
        <f t="shared" si="39"/>
        <v>0.33064254054995224</v>
      </c>
      <c r="H66" s="100">
        <f t="shared" si="39"/>
        <v>0.33064254054995224</v>
      </c>
      <c r="I66" s="100">
        <f t="shared" si="39"/>
        <v>0.33064254054995224</v>
      </c>
      <c r="J66" s="82"/>
    </row>
    <row r="67" spans="1:10">
      <c r="A67" s="76">
        <v>54</v>
      </c>
      <c r="B67" s="85" t="s">
        <v>121</v>
      </c>
      <c r="C67" s="92">
        <v>0.50737147843381658</v>
      </c>
      <c r="D67" s="92">
        <v>0.50737147843381658</v>
      </c>
      <c r="E67" s="100">
        <v>0.51417010196128798</v>
      </c>
      <c r="F67" s="100">
        <f t="shared" ref="F67:I67" si="40">E67</f>
        <v>0.51417010196128798</v>
      </c>
      <c r="G67" s="100">
        <f t="shared" si="40"/>
        <v>0.51417010196128798</v>
      </c>
      <c r="H67" s="100">
        <f t="shared" si="40"/>
        <v>0.51417010196128798</v>
      </c>
      <c r="I67" s="100">
        <f t="shared" si="40"/>
        <v>0.51417010196128798</v>
      </c>
      <c r="J67" s="82"/>
    </row>
    <row r="68" spans="1:10">
      <c r="A68" s="76">
        <v>55</v>
      </c>
      <c r="B68" s="85" t="s">
        <v>122</v>
      </c>
      <c r="C68" s="92">
        <v>0.25862800657935681</v>
      </c>
      <c r="D68" s="92">
        <v>0.25862800657935681</v>
      </c>
      <c r="E68" s="100">
        <v>0.25833648748307197</v>
      </c>
      <c r="F68" s="100">
        <f t="shared" ref="F68:I68" si="41">E68</f>
        <v>0.25833648748307197</v>
      </c>
      <c r="G68" s="100">
        <f t="shared" si="41"/>
        <v>0.25833648748307197</v>
      </c>
      <c r="H68" s="100">
        <f t="shared" si="41"/>
        <v>0.25833648748307197</v>
      </c>
      <c r="I68" s="100">
        <f t="shared" si="41"/>
        <v>0.25833648748307197</v>
      </c>
      <c r="J68" s="82"/>
    </row>
    <row r="69" spans="1:10">
      <c r="A69" s="76">
        <v>56</v>
      </c>
      <c r="B69" s="85" t="s">
        <v>123</v>
      </c>
      <c r="C69" s="92">
        <v>0.1546241098037909</v>
      </c>
      <c r="D69" s="92">
        <v>0.1546241098037909</v>
      </c>
      <c r="E69" s="100">
        <v>0.15078510117655297</v>
      </c>
      <c r="F69" s="100">
        <f t="shared" ref="F69:I69" si="42">E69</f>
        <v>0.15078510117655297</v>
      </c>
      <c r="G69" s="100">
        <f t="shared" si="42"/>
        <v>0.15078510117655297</v>
      </c>
      <c r="H69" s="100">
        <f t="shared" si="42"/>
        <v>0.15078510117655297</v>
      </c>
      <c r="I69" s="100">
        <f t="shared" si="42"/>
        <v>0.15078510117655297</v>
      </c>
      <c r="J69" s="82"/>
    </row>
    <row r="70" spans="1:10">
      <c r="A70" s="76">
        <v>57</v>
      </c>
      <c r="B70" s="81" t="s">
        <v>1386</v>
      </c>
      <c r="C70" s="80"/>
      <c r="D70" s="80"/>
      <c r="E70" s="80"/>
      <c r="F70" s="80"/>
      <c r="G70" s="80"/>
      <c r="H70" s="80"/>
      <c r="I70" s="80"/>
      <c r="J70" s="79"/>
    </row>
    <row r="71" spans="1:10">
      <c r="A71" s="76">
        <v>58</v>
      </c>
      <c r="B71" s="85" t="s">
        <v>92</v>
      </c>
      <c r="C71" s="83">
        <v>0.89252089451487138</v>
      </c>
      <c r="D71" s="83">
        <v>0.89738819736502429</v>
      </c>
      <c r="E71" s="83">
        <f>'Smoothed Input Details'!E15</f>
        <v>0.89738819736502429</v>
      </c>
      <c r="F71" s="83">
        <f t="shared" ref="F71:I71" si="43">E71</f>
        <v>0.89738819736502429</v>
      </c>
      <c r="G71" s="83">
        <f t="shared" si="43"/>
        <v>0.89738819736502429</v>
      </c>
      <c r="H71" s="83">
        <f t="shared" si="43"/>
        <v>0.89738819736502429</v>
      </c>
      <c r="I71" s="83">
        <f t="shared" si="43"/>
        <v>0.89738819736502429</v>
      </c>
      <c r="J71" s="82"/>
    </row>
    <row r="72" spans="1:10">
      <c r="A72" s="76">
        <v>59</v>
      </c>
      <c r="B72" s="85" t="s">
        <v>93</v>
      </c>
      <c r="C72" s="83">
        <v>0.38919277835623473</v>
      </c>
      <c r="D72" s="83">
        <v>0.41597516714124932</v>
      </c>
      <c r="E72" s="83">
        <f>'Smoothed Input Details'!E16</f>
        <v>0.41597516714124932</v>
      </c>
      <c r="F72" s="83">
        <f t="shared" ref="F72:I72" si="44">E72</f>
        <v>0.41597516714124932</v>
      </c>
      <c r="G72" s="83">
        <f t="shared" si="44"/>
        <v>0.41597516714124932</v>
      </c>
      <c r="H72" s="83">
        <f t="shared" si="44"/>
        <v>0.41597516714124932</v>
      </c>
      <c r="I72" s="83">
        <f t="shared" si="44"/>
        <v>0.41597516714124932</v>
      </c>
      <c r="J72" s="82"/>
    </row>
    <row r="73" spans="1:10">
      <c r="A73" s="76">
        <v>60</v>
      </c>
      <c r="B73" s="85" t="s">
        <v>129</v>
      </c>
      <c r="C73" s="99"/>
      <c r="D73" s="99"/>
      <c r="E73" s="99"/>
      <c r="F73" s="99"/>
      <c r="G73" s="99"/>
      <c r="H73" s="99"/>
      <c r="I73" s="99"/>
      <c r="J73" s="82"/>
    </row>
    <row r="74" spans="1:10">
      <c r="A74" s="76">
        <v>61</v>
      </c>
      <c r="B74" s="85" t="s">
        <v>94</v>
      </c>
      <c r="C74" s="83">
        <v>0.67286709945844925</v>
      </c>
      <c r="D74" s="83">
        <v>0.69492206140680768</v>
      </c>
      <c r="E74" s="83">
        <f>'Smoothed Input Details'!E18</f>
        <v>0.69492206140680768</v>
      </c>
      <c r="F74" s="83">
        <f t="shared" ref="F74:I74" si="45">E74</f>
        <v>0.69492206140680768</v>
      </c>
      <c r="G74" s="83">
        <f t="shared" si="45"/>
        <v>0.69492206140680768</v>
      </c>
      <c r="H74" s="83">
        <f t="shared" si="45"/>
        <v>0.69492206140680768</v>
      </c>
      <c r="I74" s="83">
        <f t="shared" si="45"/>
        <v>0.69492206140680768</v>
      </c>
      <c r="J74" s="82"/>
    </row>
    <row r="75" spans="1:10">
      <c r="A75" s="76">
        <v>62</v>
      </c>
      <c r="B75" s="85" t="s">
        <v>95</v>
      </c>
      <c r="C75" s="83">
        <v>0.71477074586728329</v>
      </c>
      <c r="D75" s="83">
        <v>0.74846447157386065</v>
      </c>
      <c r="E75" s="83">
        <f>'Smoothed Input Details'!E19</f>
        <v>0.74846447157386065</v>
      </c>
      <c r="F75" s="83">
        <f t="shared" ref="F75:I75" si="46">E75</f>
        <v>0.74846447157386065</v>
      </c>
      <c r="G75" s="83">
        <f t="shared" si="46"/>
        <v>0.74846447157386065</v>
      </c>
      <c r="H75" s="83">
        <f t="shared" si="46"/>
        <v>0.74846447157386065</v>
      </c>
      <c r="I75" s="83">
        <f t="shared" si="46"/>
        <v>0.74846447157386065</v>
      </c>
      <c r="J75" s="82"/>
    </row>
    <row r="76" spans="1:10">
      <c r="A76" s="76">
        <v>63</v>
      </c>
      <c r="B76" s="85" t="s">
        <v>130</v>
      </c>
      <c r="C76" s="99"/>
      <c r="D76" s="99"/>
      <c r="E76" s="99"/>
      <c r="F76" s="99"/>
      <c r="G76" s="99"/>
      <c r="H76" s="99"/>
      <c r="I76" s="99"/>
      <c r="J76" s="82"/>
    </row>
    <row r="77" spans="1:10">
      <c r="A77" s="76">
        <v>64</v>
      </c>
      <c r="B77" s="85" t="s">
        <v>96</v>
      </c>
      <c r="C77" s="83">
        <v>0.84503694418841191</v>
      </c>
      <c r="D77" s="83">
        <v>0.83801012339332381</v>
      </c>
      <c r="E77" s="83">
        <f>'Smoothed Input Details'!E21</f>
        <v>0.83801012339332381</v>
      </c>
      <c r="F77" s="83">
        <f t="shared" ref="F77:I77" si="47">E77</f>
        <v>0.83801012339332381</v>
      </c>
      <c r="G77" s="83">
        <f t="shared" si="47"/>
        <v>0.83801012339332381</v>
      </c>
      <c r="H77" s="83">
        <f t="shared" si="47"/>
        <v>0.83801012339332381</v>
      </c>
      <c r="I77" s="83">
        <f t="shared" si="47"/>
        <v>0.83801012339332381</v>
      </c>
      <c r="J77" s="82"/>
    </row>
    <row r="78" spans="1:10">
      <c r="A78" s="76">
        <v>65</v>
      </c>
      <c r="B78" s="85" t="s">
        <v>97</v>
      </c>
      <c r="C78" s="83">
        <v>0.84503694418841191</v>
      </c>
      <c r="D78" s="83">
        <v>0.83801012339332381</v>
      </c>
      <c r="E78" s="83">
        <f>'Smoothed Input Details'!E22</f>
        <v>0.83801012339332381</v>
      </c>
      <c r="F78" s="83">
        <f t="shared" ref="F78:I78" si="48">E78</f>
        <v>0.83801012339332381</v>
      </c>
      <c r="G78" s="83">
        <f t="shared" si="48"/>
        <v>0.83801012339332381</v>
      </c>
      <c r="H78" s="83">
        <f t="shared" si="48"/>
        <v>0.83801012339332381</v>
      </c>
      <c r="I78" s="83">
        <f t="shared" si="48"/>
        <v>0.83801012339332381</v>
      </c>
      <c r="J78" s="82"/>
    </row>
    <row r="79" spans="1:10">
      <c r="A79" s="76">
        <v>66</v>
      </c>
      <c r="B79" s="85" t="s">
        <v>110</v>
      </c>
      <c r="C79" s="83">
        <v>0.625681969193434</v>
      </c>
      <c r="D79" s="83">
        <v>0.64043929029771907</v>
      </c>
      <c r="E79" s="83">
        <f>'Smoothed Input Details'!E23</f>
        <v>0.64043929029771907</v>
      </c>
      <c r="F79" s="83">
        <f t="shared" ref="F79:I79" si="49">E79</f>
        <v>0.64043929029771907</v>
      </c>
      <c r="G79" s="83">
        <f t="shared" si="49"/>
        <v>0.64043929029771907</v>
      </c>
      <c r="H79" s="83">
        <f t="shared" si="49"/>
        <v>0.64043929029771907</v>
      </c>
      <c r="I79" s="83">
        <f t="shared" si="49"/>
        <v>0.64043929029771907</v>
      </c>
      <c r="J79" s="82"/>
    </row>
    <row r="80" spans="1:10">
      <c r="A80" s="76">
        <v>67</v>
      </c>
      <c r="B80" s="85" t="s">
        <v>1536</v>
      </c>
      <c r="C80" s="83">
        <v>0.82491972093724242</v>
      </c>
      <c r="D80" s="83">
        <v>0.83273040302787538</v>
      </c>
      <c r="E80" s="83">
        <f>'Smoothed Input Details'!E24</f>
        <v>0.83273040302787538</v>
      </c>
      <c r="F80" s="83">
        <f t="shared" ref="F80:I80" si="50">E80</f>
        <v>0.83273040302787538</v>
      </c>
      <c r="G80" s="83">
        <f t="shared" si="50"/>
        <v>0.83273040302787538</v>
      </c>
      <c r="H80" s="83">
        <f t="shared" si="50"/>
        <v>0.83273040302787538</v>
      </c>
      <c r="I80" s="83">
        <f t="shared" si="50"/>
        <v>0.83273040302787538</v>
      </c>
      <c r="J80" s="82"/>
    </row>
    <row r="81" spans="1:10">
      <c r="A81" s="76">
        <v>68</v>
      </c>
      <c r="B81" s="85" t="s">
        <v>1535</v>
      </c>
      <c r="C81" s="83">
        <v>0.68108505034705102</v>
      </c>
      <c r="D81" s="83">
        <v>0.70542255324747616</v>
      </c>
      <c r="E81" s="83">
        <f>'Smoothed Input Details'!E25</f>
        <v>0.70542255324747616</v>
      </c>
      <c r="F81" s="83">
        <f t="shared" ref="F81:I81" si="51">E81</f>
        <v>0.70542255324747616</v>
      </c>
      <c r="G81" s="83">
        <f t="shared" si="51"/>
        <v>0.70542255324747616</v>
      </c>
      <c r="H81" s="83">
        <f t="shared" si="51"/>
        <v>0.70542255324747616</v>
      </c>
      <c r="I81" s="83">
        <f t="shared" si="51"/>
        <v>0.70542255324747616</v>
      </c>
      <c r="J81" s="82"/>
    </row>
    <row r="82" spans="1:10">
      <c r="A82" s="76">
        <v>69</v>
      </c>
      <c r="B82" s="85" t="s">
        <v>98</v>
      </c>
      <c r="C82" s="83">
        <v>0.79682388844573893</v>
      </c>
      <c r="D82" s="83">
        <v>0.79385686220007168</v>
      </c>
      <c r="E82" s="83">
        <f>'Smoothed Input Details'!E26</f>
        <v>0.79385686220007168</v>
      </c>
      <c r="F82" s="83">
        <f t="shared" ref="F82:I82" si="52">E82</f>
        <v>0.79385686220007168</v>
      </c>
      <c r="G82" s="83">
        <f t="shared" si="52"/>
        <v>0.79385686220007168</v>
      </c>
      <c r="H82" s="83">
        <f t="shared" si="52"/>
        <v>0.79385686220007168</v>
      </c>
      <c r="I82" s="83">
        <f t="shared" si="52"/>
        <v>0.79385686220007168</v>
      </c>
      <c r="J82" s="82"/>
    </row>
    <row r="83" spans="1:10">
      <c r="A83" s="76">
        <v>70</v>
      </c>
      <c r="B83" s="85" t="s">
        <v>99</v>
      </c>
      <c r="C83" s="83">
        <v>0.79682388844573893</v>
      </c>
      <c r="D83" s="83">
        <v>0.80793779849955216</v>
      </c>
      <c r="E83" s="83">
        <f>'Smoothed Input Details'!E27</f>
        <v>0.80793779849955216</v>
      </c>
      <c r="F83" s="83">
        <f t="shared" ref="F83:I83" si="53">E83</f>
        <v>0.80793779849955216</v>
      </c>
      <c r="G83" s="83">
        <f t="shared" si="53"/>
        <v>0.80793779849955216</v>
      </c>
      <c r="H83" s="83">
        <f t="shared" si="53"/>
        <v>0.80793779849955216</v>
      </c>
      <c r="I83" s="83">
        <f t="shared" si="53"/>
        <v>0.80793779849955216</v>
      </c>
      <c r="J83" s="82"/>
    </row>
    <row r="84" spans="1:10">
      <c r="A84" s="76">
        <v>71</v>
      </c>
      <c r="B84" s="85" t="s">
        <v>111</v>
      </c>
      <c r="C84" s="83">
        <v>0.78726824811692087</v>
      </c>
      <c r="D84" s="83">
        <v>0.78892978454231644</v>
      </c>
      <c r="E84" s="83">
        <f>'Smoothed Input Details'!E28</f>
        <v>0.78892978454231644</v>
      </c>
      <c r="F84" s="83">
        <f t="shared" ref="F84:I84" si="54">E84</f>
        <v>0.78892978454231644</v>
      </c>
      <c r="G84" s="83">
        <f t="shared" si="54"/>
        <v>0.78892978454231644</v>
      </c>
      <c r="H84" s="83">
        <f t="shared" si="54"/>
        <v>0.78892978454231644</v>
      </c>
      <c r="I84" s="83">
        <f t="shared" si="54"/>
        <v>0.78892978454231644</v>
      </c>
      <c r="J84" s="82"/>
    </row>
    <row r="85" spans="1:10">
      <c r="A85" s="76">
        <v>72</v>
      </c>
      <c r="B85" s="85" t="s">
        <v>131</v>
      </c>
      <c r="C85" s="83">
        <v>1</v>
      </c>
      <c r="D85" s="83">
        <v>1</v>
      </c>
      <c r="E85" s="83">
        <f>'Smoothed Input Details'!E29</f>
        <v>1</v>
      </c>
      <c r="F85" s="83">
        <f t="shared" ref="F85:I85" si="55">E85</f>
        <v>1</v>
      </c>
      <c r="G85" s="83">
        <f t="shared" si="55"/>
        <v>1</v>
      </c>
      <c r="H85" s="83">
        <f t="shared" si="55"/>
        <v>1</v>
      </c>
      <c r="I85" s="83">
        <f t="shared" si="55"/>
        <v>1</v>
      </c>
      <c r="J85" s="82"/>
    </row>
    <row r="86" spans="1:10">
      <c r="A86" s="76">
        <v>73</v>
      </c>
      <c r="B86" s="85" t="s">
        <v>132</v>
      </c>
      <c r="C86" s="83">
        <v>0.99301420785685035</v>
      </c>
      <c r="D86" s="83">
        <v>0.99301420785685035</v>
      </c>
      <c r="E86" s="83">
        <f>'Smoothed Input Details'!E30</f>
        <v>0.99301420785685035</v>
      </c>
      <c r="F86" s="83">
        <f t="shared" ref="F86:I86" si="56">E86</f>
        <v>0.99301420785685035</v>
      </c>
      <c r="G86" s="83">
        <f t="shared" si="56"/>
        <v>0.99301420785685035</v>
      </c>
      <c r="H86" s="83">
        <f t="shared" si="56"/>
        <v>0.99301420785685035</v>
      </c>
      <c r="I86" s="83">
        <f t="shared" si="56"/>
        <v>0.99301420785685035</v>
      </c>
      <c r="J86" s="82"/>
    </row>
    <row r="87" spans="1:10">
      <c r="A87" s="76">
        <v>74</v>
      </c>
      <c r="B87" s="85" t="s">
        <v>133</v>
      </c>
      <c r="C87" s="83">
        <v>0.95213478843576482</v>
      </c>
      <c r="D87" s="83">
        <v>0.95213478843576482</v>
      </c>
      <c r="E87" s="83">
        <f>'Smoothed Input Details'!E31</f>
        <v>0.95213478843576482</v>
      </c>
      <c r="F87" s="83">
        <f t="shared" ref="F87:I87" si="57">E87</f>
        <v>0.95213478843576482</v>
      </c>
      <c r="G87" s="83">
        <f t="shared" si="57"/>
        <v>0.95213478843576482</v>
      </c>
      <c r="H87" s="83">
        <f t="shared" si="57"/>
        <v>0.95213478843576482</v>
      </c>
      <c r="I87" s="83">
        <f t="shared" si="57"/>
        <v>0.95213478843576482</v>
      </c>
      <c r="J87" s="82"/>
    </row>
    <row r="88" spans="1:10">
      <c r="A88" s="76">
        <v>75</v>
      </c>
      <c r="B88" s="85" t="s">
        <v>134</v>
      </c>
      <c r="C88" s="83">
        <v>6.4133333333333334E-2</v>
      </c>
      <c r="D88" s="83">
        <v>0</v>
      </c>
      <c r="E88" s="83">
        <f>'Smoothed Input Details'!E32</f>
        <v>0</v>
      </c>
      <c r="F88" s="83">
        <f t="shared" ref="F88:I88" si="58">E88</f>
        <v>0</v>
      </c>
      <c r="G88" s="83">
        <f t="shared" si="58"/>
        <v>0</v>
      </c>
      <c r="H88" s="83">
        <f t="shared" si="58"/>
        <v>0</v>
      </c>
      <c r="I88" s="83">
        <f t="shared" si="58"/>
        <v>0</v>
      </c>
      <c r="J88" s="82"/>
    </row>
    <row r="89" spans="1:10">
      <c r="A89" s="76">
        <v>76</v>
      </c>
      <c r="B89" s="85" t="s">
        <v>135</v>
      </c>
      <c r="C89" s="83">
        <v>0.94160914055511513</v>
      </c>
      <c r="D89" s="83">
        <v>0.94398062288314322</v>
      </c>
      <c r="E89" s="83">
        <f>'Smoothed Input Details'!E33</f>
        <v>0.94398062288314322</v>
      </c>
      <c r="F89" s="83">
        <f t="shared" ref="F89:I89" si="59">E89</f>
        <v>0.94398062288314322</v>
      </c>
      <c r="G89" s="83">
        <f t="shared" si="59"/>
        <v>0.94398062288314322</v>
      </c>
      <c r="H89" s="83">
        <f t="shared" si="59"/>
        <v>0.94398062288314322</v>
      </c>
      <c r="I89" s="83">
        <f t="shared" si="59"/>
        <v>0.94398062288314322</v>
      </c>
      <c r="J89" s="82"/>
    </row>
    <row r="90" spans="1:10">
      <c r="A90" s="76">
        <v>77</v>
      </c>
      <c r="B90" s="81" t="s">
        <v>1385</v>
      </c>
      <c r="C90" s="80"/>
      <c r="D90" s="80"/>
      <c r="E90" s="80"/>
      <c r="F90" s="80"/>
      <c r="G90" s="80"/>
      <c r="H90" s="80"/>
      <c r="I90" s="80"/>
      <c r="J90" s="79"/>
    </row>
    <row r="91" spans="1:10">
      <c r="A91" s="76">
        <v>78</v>
      </c>
      <c r="B91" s="85" t="s">
        <v>92</v>
      </c>
      <c r="C91" s="84">
        <v>0.42920710835427828</v>
      </c>
      <c r="D91" s="84">
        <v>0.43411076877330973</v>
      </c>
      <c r="E91" s="83">
        <f>'Smoothed Input Details'!E42</f>
        <v>0.43411076877330973</v>
      </c>
      <c r="F91" s="83">
        <f t="shared" ref="F91:I91" si="60">E91</f>
        <v>0.43411076877330973</v>
      </c>
      <c r="G91" s="83">
        <f t="shared" si="60"/>
        <v>0.43411076877330973</v>
      </c>
      <c r="H91" s="83">
        <f t="shared" si="60"/>
        <v>0.43411076877330973</v>
      </c>
      <c r="I91" s="83">
        <f t="shared" si="60"/>
        <v>0.43411076877330973</v>
      </c>
      <c r="J91" s="82"/>
    </row>
    <row r="92" spans="1:10">
      <c r="A92" s="76">
        <v>79</v>
      </c>
      <c r="B92" s="85" t="s">
        <v>93</v>
      </c>
      <c r="C92" s="84">
        <v>0.28410713621442868</v>
      </c>
      <c r="D92" s="84">
        <v>0.30069751871841721</v>
      </c>
      <c r="E92" s="83">
        <f>'Smoothed Input Details'!E43</f>
        <v>0.30069751871841721</v>
      </c>
      <c r="F92" s="83">
        <f t="shared" ref="F92:I92" si="61">E92</f>
        <v>0.30069751871841721</v>
      </c>
      <c r="G92" s="83">
        <f t="shared" si="61"/>
        <v>0.30069751871841721</v>
      </c>
      <c r="H92" s="83">
        <f t="shared" si="61"/>
        <v>0.30069751871841721</v>
      </c>
      <c r="I92" s="83">
        <f t="shared" si="61"/>
        <v>0.30069751871841721</v>
      </c>
      <c r="J92" s="82"/>
    </row>
    <row r="93" spans="1:10">
      <c r="A93" s="76">
        <v>80</v>
      </c>
      <c r="B93" s="85" t="s">
        <v>129</v>
      </c>
      <c r="C93" s="84">
        <v>0.17192263337346533</v>
      </c>
      <c r="D93" s="84">
        <v>0.17961939605399557</v>
      </c>
      <c r="E93" s="83">
        <f>'Smoothed Input Details'!E44</f>
        <v>0.17961939605399557</v>
      </c>
      <c r="F93" s="83">
        <f t="shared" ref="F93:I93" si="62">E93</f>
        <v>0.17961939605399557</v>
      </c>
      <c r="G93" s="83">
        <f t="shared" si="62"/>
        <v>0.17961939605399557</v>
      </c>
      <c r="H93" s="83">
        <f t="shared" si="62"/>
        <v>0.17961939605399557</v>
      </c>
      <c r="I93" s="83">
        <f t="shared" si="62"/>
        <v>0.17961939605399557</v>
      </c>
      <c r="J93" s="82"/>
    </row>
    <row r="94" spans="1:10">
      <c r="A94" s="76">
        <v>81</v>
      </c>
      <c r="B94" s="85" t="s">
        <v>94</v>
      </c>
      <c r="C94" s="84">
        <v>0.38787695223621305</v>
      </c>
      <c r="D94" s="84">
        <v>0.39797534499698228</v>
      </c>
      <c r="E94" s="83">
        <f>'Smoothed Input Details'!E45</f>
        <v>0.39797534499698228</v>
      </c>
      <c r="F94" s="83">
        <f t="shared" ref="F94:I94" si="63">E94</f>
        <v>0.39797534499698228</v>
      </c>
      <c r="G94" s="83">
        <f t="shared" si="63"/>
        <v>0.39797534499698228</v>
      </c>
      <c r="H94" s="83">
        <f t="shared" si="63"/>
        <v>0.39797534499698228</v>
      </c>
      <c r="I94" s="83">
        <f t="shared" si="63"/>
        <v>0.39797534499698228</v>
      </c>
      <c r="J94" s="82"/>
    </row>
    <row r="95" spans="1:10">
      <c r="A95" s="76">
        <v>82</v>
      </c>
      <c r="B95" s="85" t="s">
        <v>95</v>
      </c>
      <c r="C95" s="84">
        <v>0.50240686660926193</v>
      </c>
      <c r="D95" s="84">
        <v>0.52024521708825189</v>
      </c>
      <c r="E95" s="83">
        <f>'Smoothed Input Details'!E46</f>
        <v>0.52024521708825189</v>
      </c>
      <c r="F95" s="83">
        <f t="shared" ref="F95:I95" si="64">E95</f>
        <v>0.52024521708825189</v>
      </c>
      <c r="G95" s="83">
        <f t="shared" si="64"/>
        <v>0.52024521708825189</v>
      </c>
      <c r="H95" s="83">
        <f t="shared" si="64"/>
        <v>0.52024521708825189</v>
      </c>
      <c r="I95" s="83">
        <f t="shared" si="64"/>
        <v>0.52024521708825189</v>
      </c>
      <c r="J95" s="82"/>
    </row>
    <row r="96" spans="1:10">
      <c r="A96" s="76">
        <v>83</v>
      </c>
      <c r="B96" s="85" t="s">
        <v>130</v>
      </c>
      <c r="C96" s="84">
        <v>0.20414741840131367</v>
      </c>
      <c r="D96" s="84">
        <v>0.21120992364816046</v>
      </c>
      <c r="E96" s="83">
        <f>'Smoothed Input Details'!E47</f>
        <v>0.21120992364816046</v>
      </c>
      <c r="F96" s="83">
        <f t="shared" ref="F96:I96" si="65">E96</f>
        <v>0.21120992364816046</v>
      </c>
      <c r="G96" s="83">
        <f t="shared" si="65"/>
        <v>0.21120992364816046</v>
      </c>
      <c r="H96" s="83">
        <f t="shared" si="65"/>
        <v>0.21120992364816046</v>
      </c>
      <c r="I96" s="83">
        <f t="shared" si="65"/>
        <v>0.21120992364816046</v>
      </c>
      <c r="J96" s="82"/>
    </row>
    <row r="97" spans="1:10">
      <c r="A97" s="76">
        <v>84</v>
      </c>
      <c r="B97" s="85" t="s">
        <v>96</v>
      </c>
      <c r="C97" s="84">
        <v>0.52587670193901093</v>
      </c>
      <c r="D97" s="84">
        <v>0.53574416845541439</v>
      </c>
      <c r="E97" s="83">
        <f>'Smoothed Input Details'!E48</f>
        <v>0.53574416845541439</v>
      </c>
      <c r="F97" s="83">
        <f t="shared" ref="F97:I97" si="66">E97</f>
        <v>0.53574416845541439</v>
      </c>
      <c r="G97" s="83">
        <f t="shared" si="66"/>
        <v>0.53574416845541439</v>
      </c>
      <c r="H97" s="83">
        <f t="shared" si="66"/>
        <v>0.53574416845541439</v>
      </c>
      <c r="I97" s="83">
        <f t="shared" si="66"/>
        <v>0.53574416845541439</v>
      </c>
      <c r="J97" s="82"/>
    </row>
    <row r="98" spans="1:10">
      <c r="A98" s="76">
        <v>85</v>
      </c>
      <c r="B98" s="85" t="s">
        <v>97</v>
      </c>
      <c r="C98" s="84">
        <v>0.52587670193901093</v>
      </c>
      <c r="D98" s="84">
        <v>0.53574416845541439</v>
      </c>
      <c r="E98" s="83">
        <f>'Smoothed Input Details'!E49</f>
        <v>0.53574416845541439</v>
      </c>
      <c r="F98" s="83">
        <f t="shared" ref="F98:I98" si="67">E98</f>
        <v>0.53574416845541439</v>
      </c>
      <c r="G98" s="83">
        <f t="shared" si="67"/>
        <v>0.53574416845541439</v>
      </c>
      <c r="H98" s="83">
        <f t="shared" si="67"/>
        <v>0.53574416845541439</v>
      </c>
      <c r="I98" s="83">
        <f t="shared" si="67"/>
        <v>0.53574416845541439</v>
      </c>
      <c r="J98" s="82"/>
    </row>
    <row r="99" spans="1:10">
      <c r="A99" s="76">
        <v>86</v>
      </c>
      <c r="B99" s="85" t="s">
        <v>110</v>
      </c>
      <c r="C99" s="84">
        <v>0.41860894347472805</v>
      </c>
      <c r="D99" s="84">
        <v>0.43446675238274496</v>
      </c>
      <c r="E99" s="83">
        <f>'Smoothed Input Details'!E50</f>
        <v>0.43446675238274496</v>
      </c>
      <c r="F99" s="83">
        <f t="shared" ref="F99:I99" si="68">E99</f>
        <v>0.43446675238274496</v>
      </c>
      <c r="G99" s="83">
        <f t="shared" si="68"/>
        <v>0.43446675238274496</v>
      </c>
      <c r="H99" s="83">
        <f t="shared" si="68"/>
        <v>0.43446675238274496</v>
      </c>
      <c r="I99" s="83">
        <f t="shared" si="68"/>
        <v>0.43446675238274496</v>
      </c>
      <c r="J99" s="82"/>
    </row>
    <row r="100" spans="1:10">
      <c r="A100" s="76">
        <v>87</v>
      </c>
      <c r="B100" s="85" t="s">
        <v>1536</v>
      </c>
      <c r="C100" s="84">
        <v>0.40862779962522572</v>
      </c>
      <c r="D100" s="84">
        <v>0.41510669865444888</v>
      </c>
      <c r="E100" s="83">
        <f>'Smoothed Input Details'!E51</f>
        <v>0.41510669865444888</v>
      </c>
      <c r="F100" s="83">
        <f t="shared" ref="F100:I100" si="69">E100</f>
        <v>0.41510669865444888</v>
      </c>
      <c r="G100" s="83">
        <f t="shared" si="69"/>
        <v>0.41510669865444888</v>
      </c>
      <c r="H100" s="83">
        <f t="shared" si="69"/>
        <v>0.41510669865444888</v>
      </c>
      <c r="I100" s="83">
        <f t="shared" si="69"/>
        <v>0.41510669865444888</v>
      </c>
      <c r="J100" s="82"/>
    </row>
    <row r="101" spans="1:10">
      <c r="A101" s="76">
        <v>88</v>
      </c>
      <c r="B101" s="85" t="s">
        <v>1535</v>
      </c>
      <c r="C101" s="84">
        <v>0.40927473090722505</v>
      </c>
      <c r="D101" s="84">
        <v>0.42086756514790613</v>
      </c>
      <c r="E101" s="83">
        <f>'Smoothed Input Details'!E52</f>
        <v>0.42086756514790613</v>
      </c>
      <c r="F101" s="83">
        <f t="shared" ref="F101:I101" si="70">E101</f>
        <v>0.42086756514790613</v>
      </c>
      <c r="G101" s="83">
        <f t="shared" si="70"/>
        <v>0.42086756514790613</v>
      </c>
      <c r="H101" s="83">
        <f t="shared" si="70"/>
        <v>0.42086756514790613</v>
      </c>
      <c r="I101" s="83">
        <f t="shared" si="70"/>
        <v>0.42086756514790613</v>
      </c>
      <c r="J101" s="82"/>
    </row>
    <row r="102" spans="1:10">
      <c r="A102" s="76">
        <v>89</v>
      </c>
      <c r="B102" s="85" t="s">
        <v>98</v>
      </c>
      <c r="C102" s="84">
        <v>0.53129233147155608</v>
      </c>
      <c r="D102" s="84">
        <v>0.53736458823526412</v>
      </c>
      <c r="E102" s="83">
        <f>'Smoothed Input Details'!E53</f>
        <v>0.53736458823526412</v>
      </c>
      <c r="F102" s="83">
        <f t="shared" ref="F102:I102" si="71">E102</f>
        <v>0.53736458823526412</v>
      </c>
      <c r="G102" s="83">
        <f t="shared" si="71"/>
        <v>0.53736458823526412</v>
      </c>
      <c r="H102" s="83">
        <f t="shared" si="71"/>
        <v>0.53736458823526412</v>
      </c>
      <c r="I102" s="83">
        <f t="shared" si="71"/>
        <v>0.53736458823526412</v>
      </c>
      <c r="J102" s="82"/>
    </row>
    <row r="103" spans="1:10">
      <c r="A103" s="76">
        <v>90</v>
      </c>
      <c r="B103" s="85" t="s">
        <v>99</v>
      </c>
      <c r="C103" s="84">
        <v>0.53129233147155608</v>
      </c>
      <c r="D103" s="84">
        <v>0.52702405279759323</v>
      </c>
      <c r="E103" s="83">
        <f>'Smoothed Input Details'!E54</f>
        <v>0.52702405279759323</v>
      </c>
      <c r="F103" s="83">
        <f t="shared" ref="F103:I103" si="72">E103</f>
        <v>0.52702405279759323</v>
      </c>
      <c r="G103" s="83">
        <f t="shared" si="72"/>
        <v>0.52702405279759323</v>
      </c>
      <c r="H103" s="83">
        <f t="shared" si="72"/>
        <v>0.52702405279759323</v>
      </c>
      <c r="I103" s="83">
        <f t="shared" si="72"/>
        <v>0.52702405279759323</v>
      </c>
      <c r="J103" s="82"/>
    </row>
    <row r="104" spans="1:10">
      <c r="A104" s="76">
        <v>91</v>
      </c>
      <c r="B104" s="85" t="s">
        <v>111</v>
      </c>
      <c r="C104" s="84">
        <v>0.6564363545557369</v>
      </c>
      <c r="D104" s="84">
        <v>0.66158319064179105</v>
      </c>
      <c r="E104" s="83">
        <f>'Smoothed Input Details'!E55</f>
        <v>0.66158319064179105</v>
      </c>
      <c r="F104" s="83">
        <f t="shared" ref="F104:I104" si="73">E104</f>
        <v>0.66158319064179105</v>
      </c>
      <c r="G104" s="83">
        <f t="shared" si="73"/>
        <v>0.66158319064179105</v>
      </c>
      <c r="H104" s="83">
        <f t="shared" si="73"/>
        <v>0.66158319064179105</v>
      </c>
      <c r="I104" s="83">
        <f t="shared" si="73"/>
        <v>0.66158319064179105</v>
      </c>
      <c r="J104" s="82"/>
    </row>
    <row r="105" spans="1:10">
      <c r="A105" s="76">
        <v>92</v>
      </c>
      <c r="B105" s="85" t="s">
        <v>131</v>
      </c>
      <c r="C105" s="84">
        <v>1</v>
      </c>
      <c r="D105" s="84">
        <v>1</v>
      </c>
      <c r="E105" s="83">
        <f>'Smoothed Input Details'!E56</f>
        <v>1</v>
      </c>
      <c r="F105" s="83">
        <f t="shared" ref="F105:I105" si="74">E105</f>
        <v>1</v>
      </c>
      <c r="G105" s="83">
        <f t="shared" si="74"/>
        <v>1</v>
      </c>
      <c r="H105" s="83">
        <f t="shared" si="74"/>
        <v>1</v>
      </c>
      <c r="I105" s="83">
        <f t="shared" si="74"/>
        <v>1</v>
      </c>
      <c r="J105" s="82"/>
    </row>
    <row r="106" spans="1:10">
      <c r="A106" s="76">
        <v>93</v>
      </c>
      <c r="B106" s="85" t="s">
        <v>132</v>
      </c>
      <c r="C106" s="84">
        <v>0.47272366945678246</v>
      </c>
      <c r="D106" s="84">
        <v>0.46960080865953691</v>
      </c>
      <c r="E106" s="83">
        <f>'Smoothed Input Details'!E57</f>
        <v>0.46960080865953691</v>
      </c>
      <c r="F106" s="83">
        <f t="shared" ref="F106:I106" si="75">E106</f>
        <v>0.46960080865953691</v>
      </c>
      <c r="G106" s="83">
        <f t="shared" si="75"/>
        <v>0.46960080865953691</v>
      </c>
      <c r="H106" s="83">
        <f t="shared" si="75"/>
        <v>0.46960080865953691</v>
      </c>
      <c r="I106" s="83">
        <f t="shared" si="75"/>
        <v>0.46960080865953691</v>
      </c>
      <c r="J106" s="82"/>
    </row>
    <row r="107" spans="1:10">
      <c r="A107" s="76">
        <v>94</v>
      </c>
      <c r="B107" s="85" t="s">
        <v>133</v>
      </c>
      <c r="C107" s="84">
        <v>0.25681543512436672</v>
      </c>
      <c r="D107" s="84">
        <v>0.25417039627197974</v>
      </c>
      <c r="E107" s="83">
        <f>'Smoothed Input Details'!E58</f>
        <v>0.25417039627197974</v>
      </c>
      <c r="F107" s="83">
        <f t="shared" ref="F107:I107" si="76">E107</f>
        <v>0.25417039627197974</v>
      </c>
      <c r="G107" s="83">
        <f t="shared" si="76"/>
        <v>0.25417039627197974</v>
      </c>
      <c r="H107" s="83">
        <f t="shared" si="76"/>
        <v>0.25417039627197974</v>
      </c>
      <c r="I107" s="83">
        <f t="shared" si="76"/>
        <v>0.25417039627197974</v>
      </c>
      <c r="J107" s="82"/>
    </row>
    <row r="108" spans="1:10">
      <c r="A108" s="76">
        <v>95</v>
      </c>
      <c r="B108" s="85" t="s">
        <v>134</v>
      </c>
      <c r="C108" s="84">
        <v>0.5144501532864002</v>
      </c>
      <c r="D108" s="84">
        <v>0.51587229987729666</v>
      </c>
      <c r="E108" s="83">
        <f>'Smoothed Input Details'!E59</f>
        <v>0.51587229987729666</v>
      </c>
      <c r="F108" s="83">
        <f t="shared" ref="F108:I108" si="77">E108</f>
        <v>0.51587229987729666</v>
      </c>
      <c r="G108" s="83">
        <f t="shared" si="77"/>
        <v>0.51587229987729666</v>
      </c>
      <c r="H108" s="83">
        <f t="shared" si="77"/>
        <v>0.51587229987729666</v>
      </c>
      <c r="I108" s="83">
        <f t="shared" si="77"/>
        <v>0.51587229987729666</v>
      </c>
      <c r="J108" s="82"/>
    </row>
    <row r="109" spans="1:10">
      <c r="A109" s="76">
        <v>96</v>
      </c>
      <c r="B109" s="85" t="s">
        <v>135</v>
      </c>
      <c r="C109" s="84">
        <v>0.48188452003017535</v>
      </c>
      <c r="D109" s="84">
        <v>0.47630128718610992</v>
      </c>
      <c r="E109" s="83">
        <f>'Smoothed Input Details'!E60</f>
        <v>0.47630128718610992</v>
      </c>
      <c r="F109" s="83">
        <f t="shared" ref="F109:I109" si="78">E109</f>
        <v>0.47630128718610992</v>
      </c>
      <c r="G109" s="83">
        <f t="shared" si="78"/>
        <v>0.47630128718610992</v>
      </c>
      <c r="H109" s="83">
        <f t="shared" si="78"/>
        <v>0.47630128718610992</v>
      </c>
      <c r="I109" s="83">
        <f t="shared" si="78"/>
        <v>0.47630128718610992</v>
      </c>
      <c r="J109" s="82"/>
    </row>
    <row r="110" spans="1:10">
      <c r="A110" s="76">
        <v>97</v>
      </c>
      <c r="B110" s="98" t="s">
        <v>136</v>
      </c>
      <c r="C110" s="80"/>
      <c r="D110" s="80"/>
      <c r="E110" s="80"/>
      <c r="F110" s="80"/>
      <c r="G110" s="80"/>
      <c r="H110" s="80"/>
      <c r="I110" s="80"/>
      <c r="J110" s="79"/>
    </row>
    <row r="111" spans="1:10">
      <c r="A111" s="76">
        <v>98</v>
      </c>
      <c r="B111" s="81" t="s">
        <v>1384</v>
      </c>
      <c r="C111" s="87">
        <v>11298535.368480001</v>
      </c>
      <c r="D111" s="87">
        <v>11499193.3684058</v>
      </c>
      <c r="E111" s="86">
        <f>11.9762731239321*1000000</f>
        <v>11976273.123932099</v>
      </c>
      <c r="F111" s="255">
        <f>12.33556131765*1000000</f>
        <v>12335561.317650001</v>
      </c>
      <c r="G111" s="255">
        <f>13.5708657468521*1000000</f>
        <v>13570865.7468521</v>
      </c>
      <c r="H111" s="255">
        <f>14.6621147228802*1000000</f>
        <v>14662114.7228802</v>
      </c>
      <c r="I111" s="255">
        <f>15.1019781645666*1000000</f>
        <v>15101978.164566599</v>
      </c>
      <c r="J111" s="82"/>
    </row>
    <row r="112" spans="1:10">
      <c r="A112" s="76">
        <v>99</v>
      </c>
      <c r="B112" s="81" t="s">
        <v>1383</v>
      </c>
      <c r="C112" s="80"/>
      <c r="D112" s="80"/>
      <c r="E112" s="80"/>
      <c r="F112" s="80"/>
      <c r="G112" s="80"/>
      <c r="H112" s="80"/>
      <c r="I112" s="80"/>
      <c r="J112" s="79"/>
    </row>
    <row r="113" spans="1:10">
      <c r="A113" s="76">
        <v>100</v>
      </c>
      <c r="B113" s="85" t="s">
        <v>211</v>
      </c>
      <c r="C113" s="87">
        <v>26306766.764984842</v>
      </c>
      <c r="D113" s="87">
        <v>25580490.782745607</v>
      </c>
      <c r="E113" s="86">
        <v>26093896.10720193</v>
      </c>
      <c r="F113" s="255">
        <f t="shared" ref="F113:I113" si="79">E113*(1+F$13)</f>
        <v>26843386.825336207</v>
      </c>
      <c r="G113" s="255">
        <f t="shared" si="79"/>
        <v>27683014.380130529</v>
      </c>
      <c r="H113" s="255">
        <f t="shared" si="79"/>
        <v>28478149.082999185</v>
      </c>
      <c r="I113" s="255">
        <f t="shared" si="79"/>
        <v>29368909.955880482</v>
      </c>
      <c r="J113" s="82"/>
    </row>
    <row r="114" spans="1:10">
      <c r="A114" s="76">
        <v>101</v>
      </c>
      <c r="B114" s="85" t="s">
        <v>212</v>
      </c>
      <c r="C114" s="87">
        <v>113733758.48123839</v>
      </c>
      <c r="D114" s="87">
        <v>112907941.81722662</v>
      </c>
      <c r="E114" s="86">
        <v>108802306.51666826</v>
      </c>
      <c r="F114" s="255">
        <f t="shared" ref="F114:I114" si="80">E114*(1+F$13)</f>
        <v>111927417.40508544</v>
      </c>
      <c r="G114" s="255">
        <f t="shared" si="80"/>
        <v>115428366.98353337</v>
      </c>
      <c r="H114" s="255">
        <f t="shared" si="80"/>
        <v>118743797.12505515</v>
      </c>
      <c r="I114" s="255">
        <f t="shared" si="80"/>
        <v>122457954.53283055</v>
      </c>
      <c r="J114" s="82"/>
    </row>
    <row r="115" spans="1:10">
      <c r="A115" s="76">
        <v>102</v>
      </c>
      <c r="B115" s="85" t="s">
        <v>213</v>
      </c>
      <c r="C115" s="97">
        <v>0.6</v>
      </c>
      <c r="D115" s="97">
        <v>0.6</v>
      </c>
      <c r="E115" s="97">
        <v>0.6</v>
      </c>
      <c r="F115" s="256">
        <f t="shared" ref="F115:I115" si="81">E115</f>
        <v>0.6</v>
      </c>
      <c r="G115" s="256">
        <f t="shared" si="81"/>
        <v>0.6</v>
      </c>
      <c r="H115" s="256">
        <f t="shared" si="81"/>
        <v>0.6</v>
      </c>
      <c r="I115" s="256">
        <f t="shared" si="81"/>
        <v>0.6</v>
      </c>
      <c r="J115" s="82"/>
    </row>
    <row r="116" spans="1:10">
      <c r="A116" s="76">
        <v>103</v>
      </c>
      <c r="B116" s="85" t="s">
        <v>214</v>
      </c>
      <c r="C116" s="87">
        <v>27686620</v>
      </c>
      <c r="D116" s="87">
        <v>28019599</v>
      </c>
      <c r="E116" s="86">
        <v>32558777.802500002</v>
      </c>
      <c r="F116" s="255">
        <v>39307166.729475625</v>
      </c>
      <c r="G116" s="255">
        <v>48171343</v>
      </c>
      <c r="H116" s="255">
        <v>49616483</v>
      </c>
      <c r="I116" s="255">
        <v>51104978</v>
      </c>
      <c r="J116" s="82"/>
    </row>
    <row r="117" spans="1:10">
      <c r="A117" s="76">
        <v>104</v>
      </c>
      <c r="B117" s="81" t="s">
        <v>1382</v>
      </c>
      <c r="C117" s="80"/>
      <c r="D117" s="80"/>
      <c r="E117" s="80"/>
      <c r="F117" s="80"/>
      <c r="G117" s="80"/>
      <c r="H117" s="80"/>
      <c r="I117" s="80"/>
      <c r="J117" s="79"/>
    </row>
    <row r="118" spans="1:10">
      <c r="A118" s="76">
        <v>105</v>
      </c>
      <c r="B118" s="81" t="s">
        <v>228</v>
      </c>
      <c r="C118" s="80"/>
      <c r="D118" s="80"/>
      <c r="E118" s="80"/>
      <c r="F118" s="80"/>
      <c r="G118" s="80"/>
      <c r="H118" s="80"/>
      <c r="I118" s="80"/>
      <c r="J118" s="79"/>
    </row>
    <row r="119" spans="1:10">
      <c r="A119" s="76">
        <v>106</v>
      </c>
      <c r="B119" s="94" t="s">
        <v>352</v>
      </c>
      <c r="C119" s="92">
        <v>0</v>
      </c>
      <c r="D119" s="92">
        <v>0</v>
      </c>
      <c r="E119" s="92">
        <v>0</v>
      </c>
      <c r="F119" s="92">
        <f t="shared" ref="F119:I119" si="82">E119</f>
        <v>0</v>
      </c>
      <c r="G119" s="92">
        <f t="shared" si="82"/>
        <v>0</v>
      </c>
      <c r="H119" s="92">
        <f t="shared" si="82"/>
        <v>0</v>
      </c>
      <c r="I119" s="92">
        <f t="shared" si="82"/>
        <v>0</v>
      </c>
      <c r="J119" s="82"/>
    </row>
    <row r="120" spans="1:10">
      <c r="A120" s="76">
        <v>107</v>
      </c>
      <c r="B120" s="94" t="s">
        <v>353</v>
      </c>
      <c r="C120" s="92">
        <v>0</v>
      </c>
      <c r="D120" s="92">
        <v>0</v>
      </c>
      <c r="E120" s="92">
        <v>0</v>
      </c>
      <c r="F120" s="92">
        <f t="shared" ref="F120:I120" si="83">E120</f>
        <v>0</v>
      </c>
      <c r="G120" s="92">
        <f t="shared" si="83"/>
        <v>0</v>
      </c>
      <c r="H120" s="92">
        <f t="shared" si="83"/>
        <v>0</v>
      </c>
      <c r="I120" s="92">
        <f t="shared" si="83"/>
        <v>0</v>
      </c>
      <c r="J120" s="82"/>
    </row>
    <row r="121" spans="1:10">
      <c r="A121" s="76">
        <v>108</v>
      </c>
      <c r="B121" s="85" t="s">
        <v>354</v>
      </c>
      <c r="C121" s="92">
        <v>0</v>
      </c>
      <c r="D121" s="92">
        <v>0</v>
      </c>
      <c r="E121" s="92">
        <v>0</v>
      </c>
      <c r="F121" s="92">
        <f t="shared" ref="F121:I121" si="84">E121</f>
        <v>0</v>
      </c>
      <c r="G121" s="92">
        <f t="shared" si="84"/>
        <v>0</v>
      </c>
      <c r="H121" s="92">
        <f t="shared" si="84"/>
        <v>0</v>
      </c>
      <c r="I121" s="92">
        <f t="shared" si="84"/>
        <v>0</v>
      </c>
      <c r="J121" s="82"/>
    </row>
    <row r="122" spans="1:10">
      <c r="A122" s="76">
        <v>109</v>
      </c>
      <c r="B122" s="85" t="s">
        <v>355</v>
      </c>
      <c r="C122" s="92">
        <v>0</v>
      </c>
      <c r="D122" s="92">
        <v>0</v>
      </c>
      <c r="E122" s="92">
        <v>0</v>
      </c>
      <c r="F122" s="92">
        <f t="shared" ref="F122:I122" si="85">E122</f>
        <v>0</v>
      </c>
      <c r="G122" s="92">
        <f t="shared" si="85"/>
        <v>0</v>
      </c>
      <c r="H122" s="92">
        <f t="shared" si="85"/>
        <v>0</v>
      </c>
      <c r="I122" s="92">
        <f t="shared" si="85"/>
        <v>0</v>
      </c>
      <c r="J122" s="82"/>
    </row>
    <row r="123" spans="1:10">
      <c r="A123" s="76">
        <v>110</v>
      </c>
      <c r="B123" s="85" t="s">
        <v>356</v>
      </c>
      <c r="C123" s="92">
        <v>0</v>
      </c>
      <c r="D123" s="92">
        <v>0</v>
      </c>
      <c r="E123" s="92">
        <v>0</v>
      </c>
      <c r="F123" s="92">
        <f t="shared" ref="F123:I123" si="86">E123</f>
        <v>0</v>
      </c>
      <c r="G123" s="92">
        <f t="shared" si="86"/>
        <v>0</v>
      </c>
      <c r="H123" s="92">
        <f t="shared" si="86"/>
        <v>0</v>
      </c>
      <c r="I123" s="92">
        <f t="shared" si="86"/>
        <v>0</v>
      </c>
      <c r="J123" s="82"/>
    </row>
    <row r="124" spans="1:10">
      <c r="A124" s="76">
        <v>111</v>
      </c>
      <c r="B124" s="85" t="s">
        <v>357</v>
      </c>
      <c r="C124" s="92">
        <v>0.38684969697494365</v>
      </c>
      <c r="D124" s="92">
        <v>0.38684969697494365</v>
      </c>
      <c r="E124" s="92">
        <v>0.38684969697494365</v>
      </c>
      <c r="F124" s="92">
        <f t="shared" ref="F124:I124" si="87">E124</f>
        <v>0.38684969697494365</v>
      </c>
      <c r="G124" s="92">
        <f t="shared" si="87"/>
        <v>0.38684969697494365</v>
      </c>
      <c r="H124" s="92">
        <f t="shared" si="87"/>
        <v>0.38684969697494365</v>
      </c>
      <c r="I124" s="92">
        <f t="shared" si="87"/>
        <v>0.38684969697494365</v>
      </c>
      <c r="J124" s="82"/>
    </row>
    <row r="125" spans="1:10">
      <c r="A125" s="76">
        <v>112</v>
      </c>
      <c r="B125" s="85" t="s">
        <v>358</v>
      </c>
      <c r="C125" s="92">
        <v>0.64124825573068889</v>
      </c>
      <c r="D125" s="92">
        <v>0.64124825573068889</v>
      </c>
      <c r="E125" s="92">
        <v>0.64124825573068889</v>
      </c>
      <c r="F125" s="92">
        <f t="shared" ref="F125:I125" si="88">E125</f>
        <v>0.64124825573068889</v>
      </c>
      <c r="G125" s="92">
        <f t="shared" si="88"/>
        <v>0.64124825573068889</v>
      </c>
      <c r="H125" s="92">
        <f t="shared" si="88"/>
        <v>0.64124825573068889</v>
      </c>
      <c r="I125" s="92">
        <f t="shared" si="88"/>
        <v>0.64124825573068889</v>
      </c>
      <c r="J125" s="82"/>
    </row>
    <row r="126" spans="1:10">
      <c r="A126" s="76">
        <v>113</v>
      </c>
      <c r="B126" s="85" t="s">
        <v>359</v>
      </c>
      <c r="C126" s="92">
        <v>0.89564681448643413</v>
      </c>
      <c r="D126" s="92">
        <v>0.89564681448643413</v>
      </c>
      <c r="E126" s="92">
        <v>0.89564681448643413</v>
      </c>
      <c r="F126" s="92">
        <f t="shared" ref="F126:I126" si="89">E126</f>
        <v>0.89564681448643413</v>
      </c>
      <c r="G126" s="92">
        <f t="shared" si="89"/>
        <v>0.89564681448643413</v>
      </c>
      <c r="H126" s="92">
        <f t="shared" si="89"/>
        <v>0.89564681448643413</v>
      </c>
      <c r="I126" s="92">
        <f t="shared" si="89"/>
        <v>0.89564681448643413</v>
      </c>
      <c r="J126" s="82"/>
    </row>
    <row r="127" spans="1:10">
      <c r="A127" s="76">
        <v>114</v>
      </c>
      <c r="B127" s="81" t="s">
        <v>229</v>
      </c>
      <c r="C127" s="80"/>
      <c r="D127" s="80"/>
      <c r="E127" s="95"/>
      <c r="F127" s="95"/>
      <c r="G127" s="95"/>
      <c r="H127" s="95"/>
      <c r="I127" s="95"/>
      <c r="J127" s="79"/>
    </row>
    <row r="128" spans="1:10">
      <c r="A128" s="76">
        <v>115</v>
      </c>
      <c r="B128" s="94" t="s">
        <v>352</v>
      </c>
      <c r="C128" s="89">
        <v>0</v>
      </c>
      <c r="D128" s="89">
        <v>0</v>
      </c>
      <c r="E128" s="89">
        <v>0</v>
      </c>
      <c r="F128" s="92">
        <f t="shared" ref="F128:I128" si="90">E128</f>
        <v>0</v>
      </c>
      <c r="G128" s="92">
        <f t="shared" si="90"/>
        <v>0</v>
      </c>
      <c r="H128" s="92">
        <f t="shared" si="90"/>
        <v>0</v>
      </c>
      <c r="I128" s="92">
        <f t="shared" si="90"/>
        <v>0</v>
      </c>
      <c r="J128" s="82"/>
    </row>
    <row r="129" spans="1:10">
      <c r="A129" s="76">
        <v>116</v>
      </c>
      <c r="B129" s="94" t="s">
        <v>353</v>
      </c>
      <c r="C129" s="89">
        <v>0</v>
      </c>
      <c r="D129" s="89">
        <v>0</v>
      </c>
      <c r="E129" s="89">
        <v>0</v>
      </c>
      <c r="F129" s="92">
        <f t="shared" ref="F129:I129" si="91">E129</f>
        <v>0</v>
      </c>
      <c r="G129" s="92">
        <f t="shared" si="91"/>
        <v>0</v>
      </c>
      <c r="H129" s="92">
        <f t="shared" si="91"/>
        <v>0</v>
      </c>
      <c r="I129" s="92">
        <f t="shared" si="91"/>
        <v>0</v>
      </c>
      <c r="J129" s="82"/>
    </row>
    <row r="130" spans="1:10">
      <c r="A130" s="76">
        <v>117</v>
      </c>
      <c r="B130" s="85" t="s">
        <v>354</v>
      </c>
      <c r="C130" s="89">
        <v>0</v>
      </c>
      <c r="D130" s="89">
        <v>0</v>
      </c>
      <c r="E130" s="89">
        <v>0</v>
      </c>
      <c r="F130" s="92">
        <f t="shared" ref="F130:I130" si="92">E130</f>
        <v>0</v>
      </c>
      <c r="G130" s="92">
        <f t="shared" si="92"/>
        <v>0</v>
      </c>
      <c r="H130" s="92">
        <f t="shared" si="92"/>
        <v>0</v>
      </c>
      <c r="I130" s="92">
        <f t="shared" si="92"/>
        <v>0</v>
      </c>
      <c r="J130" s="82"/>
    </row>
    <row r="131" spans="1:10">
      <c r="A131" s="76">
        <v>118</v>
      </c>
      <c r="B131" s="85" t="s">
        <v>355</v>
      </c>
      <c r="C131" s="89">
        <v>0</v>
      </c>
      <c r="D131" s="89">
        <v>0</v>
      </c>
      <c r="E131" s="89">
        <v>0</v>
      </c>
      <c r="F131" s="92">
        <f t="shared" ref="F131:I131" si="93">E131</f>
        <v>0</v>
      </c>
      <c r="G131" s="92">
        <f t="shared" si="93"/>
        <v>0</v>
      </c>
      <c r="H131" s="92">
        <f t="shared" si="93"/>
        <v>0</v>
      </c>
      <c r="I131" s="92">
        <f t="shared" si="93"/>
        <v>0</v>
      </c>
      <c r="J131" s="82"/>
    </row>
    <row r="132" spans="1:10">
      <c r="A132" s="76">
        <v>119</v>
      </c>
      <c r="B132" s="85" t="s">
        <v>356</v>
      </c>
      <c r="C132" s="89">
        <v>0</v>
      </c>
      <c r="D132" s="89">
        <v>0</v>
      </c>
      <c r="E132" s="92">
        <v>0</v>
      </c>
      <c r="F132" s="92">
        <f t="shared" ref="F132:I132" si="94">E132</f>
        <v>0</v>
      </c>
      <c r="G132" s="92">
        <f t="shared" si="94"/>
        <v>0</v>
      </c>
      <c r="H132" s="92">
        <f t="shared" si="94"/>
        <v>0</v>
      </c>
      <c r="I132" s="92">
        <f t="shared" si="94"/>
        <v>0</v>
      </c>
      <c r="J132" s="82"/>
    </row>
    <row r="133" spans="1:10">
      <c r="A133" s="76">
        <v>120</v>
      </c>
      <c r="B133" s="85" t="s">
        <v>357</v>
      </c>
      <c r="C133" s="89">
        <v>0.38684969697494365</v>
      </c>
      <c r="D133" s="89">
        <v>0.38684969697494365</v>
      </c>
      <c r="E133" s="92">
        <v>0.38684969697494365</v>
      </c>
      <c r="F133" s="92">
        <f t="shared" ref="F133:I133" si="95">E133</f>
        <v>0.38684969697494365</v>
      </c>
      <c r="G133" s="92">
        <f t="shared" si="95"/>
        <v>0.38684969697494365</v>
      </c>
      <c r="H133" s="92">
        <f t="shared" si="95"/>
        <v>0.38684969697494365</v>
      </c>
      <c r="I133" s="92">
        <f t="shared" si="95"/>
        <v>0.38684969697494365</v>
      </c>
      <c r="J133" s="82"/>
    </row>
    <row r="134" spans="1:10">
      <c r="A134" s="76">
        <v>121</v>
      </c>
      <c r="B134" s="85" t="s">
        <v>358</v>
      </c>
      <c r="C134" s="89">
        <v>0.64124825573068889</v>
      </c>
      <c r="D134" s="89">
        <v>0.64124825573068889</v>
      </c>
      <c r="E134" s="89">
        <v>0.64124825573068889</v>
      </c>
      <c r="F134" s="92">
        <f t="shared" ref="F134:I134" si="96">E134</f>
        <v>0.64124825573068889</v>
      </c>
      <c r="G134" s="92">
        <f t="shared" si="96"/>
        <v>0.64124825573068889</v>
      </c>
      <c r="H134" s="92">
        <f t="shared" si="96"/>
        <v>0.64124825573068889</v>
      </c>
      <c r="I134" s="92">
        <f t="shared" si="96"/>
        <v>0.64124825573068889</v>
      </c>
      <c r="J134" s="82"/>
    </row>
    <row r="135" spans="1:10">
      <c r="A135" s="76">
        <v>122</v>
      </c>
      <c r="B135" s="81" t="s">
        <v>230</v>
      </c>
      <c r="C135" s="80"/>
      <c r="D135" s="80"/>
      <c r="E135" s="95"/>
      <c r="F135" s="95"/>
      <c r="G135" s="95"/>
      <c r="H135" s="95"/>
      <c r="I135" s="95"/>
      <c r="J135" s="79"/>
    </row>
    <row r="136" spans="1:10">
      <c r="A136" s="76">
        <v>123</v>
      </c>
      <c r="B136" s="94" t="s">
        <v>352</v>
      </c>
      <c r="C136" s="89">
        <v>0</v>
      </c>
      <c r="D136" s="89">
        <v>0</v>
      </c>
      <c r="E136" s="89">
        <v>0</v>
      </c>
      <c r="F136" s="92">
        <f t="shared" ref="F136:I136" si="97">E136</f>
        <v>0</v>
      </c>
      <c r="G136" s="92">
        <f t="shared" si="97"/>
        <v>0</v>
      </c>
      <c r="H136" s="92">
        <f t="shared" si="97"/>
        <v>0</v>
      </c>
      <c r="I136" s="92">
        <f t="shared" si="97"/>
        <v>0</v>
      </c>
      <c r="J136" s="82"/>
    </row>
    <row r="137" spans="1:10">
      <c r="A137" s="76">
        <v>124</v>
      </c>
      <c r="B137" s="94" t="s">
        <v>353</v>
      </c>
      <c r="C137" s="89">
        <v>0</v>
      </c>
      <c r="D137" s="89">
        <v>0</v>
      </c>
      <c r="E137" s="89">
        <v>0</v>
      </c>
      <c r="F137" s="92">
        <f t="shared" ref="F137:I137" si="98">E137</f>
        <v>0</v>
      </c>
      <c r="G137" s="92">
        <f t="shared" si="98"/>
        <v>0</v>
      </c>
      <c r="H137" s="92">
        <f t="shared" si="98"/>
        <v>0</v>
      </c>
      <c r="I137" s="92">
        <f t="shared" si="98"/>
        <v>0</v>
      </c>
      <c r="J137" s="82"/>
    </row>
    <row r="138" spans="1:10">
      <c r="A138" s="76">
        <v>125</v>
      </c>
      <c r="B138" s="85" t="s">
        <v>354</v>
      </c>
      <c r="C138" s="89">
        <v>0</v>
      </c>
      <c r="D138" s="89">
        <v>0</v>
      </c>
      <c r="E138" s="89">
        <v>0</v>
      </c>
      <c r="F138" s="92">
        <f t="shared" ref="F138:I138" si="99">E138</f>
        <v>0</v>
      </c>
      <c r="G138" s="92">
        <f t="shared" si="99"/>
        <v>0</v>
      </c>
      <c r="H138" s="92">
        <f t="shared" si="99"/>
        <v>0</v>
      </c>
      <c r="I138" s="92">
        <f t="shared" si="99"/>
        <v>0</v>
      </c>
      <c r="J138" s="82"/>
    </row>
    <row r="139" spans="1:10">
      <c r="A139" s="76">
        <v>126</v>
      </c>
      <c r="B139" s="85" t="s">
        <v>355</v>
      </c>
      <c r="C139" s="89">
        <v>0.25764106948138837</v>
      </c>
      <c r="D139" s="89">
        <v>0.25764106948138837</v>
      </c>
      <c r="E139" s="89">
        <v>0.25764106948138837</v>
      </c>
      <c r="F139" s="92">
        <f t="shared" ref="F139:I139" si="100">E139</f>
        <v>0.25764106948138837</v>
      </c>
      <c r="G139" s="92">
        <f t="shared" si="100"/>
        <v>0.25764106948138837</v>
      </c>
      <c r="H139" s="92">
        <f t="shared" si="100"/>
        <v>0.25764106948138837</v>
      </c>
      <c r="I139" s="92">
        <f t="shared" si="100"/>
        <v>0.25764106948138837</v>
      </c>
      <c r="J139" s="82"/>
    </row>
    <row r="140" spans="1:10">
      <c r="A140" s="76">
        <v>127</v>
      </c>
      <c r="B140" s="85" t="s">
        <v>356</v>
      </c>
      <c r="C140" s="89">
        <v>0.25764106948138837</v>
      </c>
      <c r="D140" s="89">
        <v>0.25764106948138837</v>
      </c>
      <c r="E140" s="89">
        <v>0.25764106948138837</v>
      </c>
      <c r="F140" s="92">
        <f t="shared" ref="F140:I140" si="101">E140</f>
        <v>0.25764106948138837</v>
      </c>
      <c r="G140" s="92">
        <f t="shared" si="101"/>
        <v>0.25764106948138837</v>
      </c>
      <c r="H140" s="92">
        <f t="shared" si="101"/>
        <v>0.25764106948138837</v>
      </c>
      <c r="I140" s="92">
        <f t="shared" si="101"/>
        <v>0.25764106948138837</v>
      </c>
      <c r="J140" s="82"/>
    </row>
    <row r="141" spans="1:10">
      <c r="A141" s="76">
        <v>128</v>
      </c>
      <c r="B141" s="85" t="s">
        <v>357</v>
      </c>
      <c r="C141" s="89">
        <v>0.51528213896277675</v>
      </c>
      <c r="D141" s="89">
        <v>0.51528213896277675</v>
      </c>
      <c r="E141" s="89">
        <v>0.51528213896277675</v>
      </c>
      <c r="F141" s="92">
        <f t="shared" ref="F141:I141" si="102">E141</f>
        <v>0.51528213896277675</v>
      </c>
      <c r="G141" s="92">
        <f t="shared" si="102"/>
        <v>0.51528213896277675</v>
      </c>
      <c r="H141" s="92">
        <f t="shared" si="102"/>
        <v>0.51528213896277675</v>
      </c>
      <c r="I141" s="92">
        <f t="shared" si="102"/>
        <v>0.51528213896277675</v>
      </c>
      <c r="J141" s="82"/>
    </row>
    <row r="142" spans="1:10">
      <c r="A142" s="76">
        <v>129</v>
      </c>
      <c r="B142" s="81" t="s">
        <v>231</v>
      </c>
      <c r="C142" s="80"/>
      <c r="D142" s="80"/>
      <c r="E142" s="95"/>
      <c r="F142" s="95"/>
      <c r="G142" s="95"/>
      <c r="H142" s="95"/>
      <c r="I142" s="95"/>
      <c r="J142" s="79"/>
    </row>
    <row r="143" spans="1:10">
      <c r="A143" s="76">
        <v>130</v>
      </c>
      <c r="B143" s="94" t="s">
        <v>352</v>
      </c>
      <c r="C143" s="89">
        <v>0</v>
      </c>
      <c r="D143" s="89">
        <v>0</v>
      </c>
      <c r="E143" s="89">
        <v>0</v>
      </c>
      <c r="F143" s="92">
        <f t="shared" ref="F143:I143" si="103">E143</f>
        <v>0</v>
      </c>
      <c r="G143" s="92">
        <f t="shared" si="103"/>
        <v>0</v>
      </c>
      <c r="H143" s="92">
        <f t="shared" si="103"/>
        <v>0</v>
      </c>
      <c r="I143" s="92">
        <f t="shared" si="103"/>
        <v>0</v>
      </c>
      <c r="J143" s="82"/>
    </row>
    <row r="144" spans="1:10">
      <c r="A144" s="76">
        <v>131</v>
      </c>
      <c r="B144" s="94" t="s">
        <v>353</v>
      </c>
      <c r="C144" s="89">
        <v>0</v>
      </c>
      <c r="D144" s="89">
        <v>0</v>
      </c>
      <c r="E144" s="89">
        <v>0</v>
      </c>
      <c r="F144" s="92">
        <f t="shared" ref="F144:I144" si="104">E144</f>
        <v>0</v>
      </c>
      <c r="G144" s="92">
        <f t="shared" si="104"/>
        <v>0</v>
      </c>
      <c r="H144" s="92">
        <f t="shared" si="104"/>
        <v>0</v>
      </c>
      <c r="I144" s="92">
        <f t="shared" si="104"/>
        <v>0</v>
      </c>
      <c r="J144" s="82"/>
    </row>
    <row r="145" spans="1:10">
      <c r="A145" s="76">
        <v>132</v>
      </c>
      <c r="B145" s="85" t="s">
        <v>354</v>
      </c>
      <c r="C145" s="89">
        <v>0</v>
      </c>
      <c r="D145" s="89">
        <v>0</v>
      </c>
      <c r="E145" s="89">
        <v>0</v>
      </c>
      <c r="F145" s="92">
        <f t="shared" ref="F145:I145" si="105">E145</f>
        <v>0</v>
      </c>
      <c r="G145" s="92">
        <f t="shared" si="105"/>
        <v>0</v>
      </c>
      <c r="H145" s="92">
        <f t="shared" si="105"/>
        <v>0</v>
      </c>
      <c r="I145" s="92">
        <f t="shared" si="105"/>
        <v>0</v>
      </c>
      <c r="J145" s="82"/>
    </row>
    <row r="146" spans="1:10">
      <c r="A146" s="76">
        <v>133</v>
      </c>
      <c r="B146" s="85" t="s">
        <v>355</v>
      </c>
      <c r="C146" s="89">
        <v>0.25764106948138837</v>
      </c>
      <c r="D146" s="89">
        <v>0.25764106948138837</v>
      </c>
      <c r="E146" s="89">
        <v>0.25764106948138837</v>
      </c>
      <c r="F146" s="92">
        <f t="shared" ref="F146:I146" si="106">E146</f>
        <v>0.25764106948138837</v>
      </c>
      <c r="G146" s="92">
        <f t="shared" si="106"/>
        <v>0.25764106948138837</v>
      </c>
      <c r="H146" s="92">
        <f t="shared" si="106"/>
        <v>0.25764106948138837</v>
      </c>
      <c r="I146" s="92">
        <f t="shared" si="106"/>
        <v>0.25764106948138837</v>
      </c>
      <c r="J146" s="82"/>
    </row>
    <row r="147" spans="1:10">
      <c r="A147" s="76">
        <v>134</v>
      </c>
      <c r="B147" s="81" t="s">
        <v>1381</v>
      </c>
      <c r="C147" s="80"/>
      <c r="D147" s="80"/>
      <c r="E147" s="80"/>
      <c r="F147" s="80"/>
      <c r="G147" s="80"/>
      <c r="H147" s="80"/>
      <c r="I147" s="80"/>
      <c r="J147" s="79"/>
    </row>
    <row r="148" spans="1:10">
      <c r="A148" s="76">
        <v>135</v>
      </c>
      <c r="B148" s="91" t="s">
        <v>1376</v>
      </c>
      <c r="C148" s="80"/>
      <c r="D148" s="80"/>
      <c r="E148" s="80"/>
      <c r="F148" s="80"/>
      <c r="G148" s="80"/>
      <c r="H148" s="80"/>
      <c r="I148" s="80"/>
      <c r="J148" s="79"/>
    </row>
    <row r="149" spans="1:10">
      <c r="A149" s="76">
        <v>136</v>
      </c>
      <c r="B149" s="85" t="s">
        <v>92</v>
      </c>
      <c r="C149" s="89">
        <v>0.15114838196984207</v>
      </c>
      <c r="D149" s="89">
        <v>0.15163735853906232</v>
      </c>
      <c r="E149" s="88">
        <f>'Smoothed Input Details'!K70</f>
        <v>0.15163735853906232</v>
      </c>
      <c r="F149" s="88">
        <f t="shared" ref="F149:I149" si="107">E149</f>
        <v>0.15163735853906232</v>
      </c>
      <c r="G149" s="88">
        <f t="shared" si="107"/>
        <v>0.15163735853906232</v>
      </c>
      <c r="H149" s="88">
        <f t="shared" si="107"/>
        <v>0.15163735853906232</v>
      </c>
      <c r="I149" s="88">
        <f t="shared" si="107"/>
        <v>0.15163735853906232</v>
      </c>
      <c r="J149" s="82"/>
    </row>
    <row r="150" spans="1:10">
      <c r="A150" s="76">
        <v>137</v>
      </c>
      <c r="B150" s="85" t="s">
        <v>93</v>
      </c>
      <c r="C150" s="89">
        <v>0.14702230481213763</v>
      </c>
      <c r="D150" s="89">
        <v>0.14794456993942195</v>
      </c>
      <c r="E150" s="88">
        <f>'Smoothed Input Details'!K71</f>
        <v>0.14794456993942195</v>
      </c>
      <c r="F150" s="88">
        <f t="shared" ref="F150:I150" si="108">E150</f>
        <v>0.14794456993942195</v>
      </c>
      <c r="G150" s="88">
        <f t="shared" si="108"/>
        <v>0.14794456993942195</v>
      </c>
      <c r="H150" s="88">
        <f t="shared" si="108"/>
        <v>0.14794456993942195</v>
      </c>
      <c r="I150" s="88">
        <f t="shared" si="108"/>
        <v>0.14794456993942195</v>
      </c>
      <c r="J150" s="82"/>
    </row>
    <row r="151" spans="1:10">
      <c r="A151" s="76">
        <v>138</v>
      </c>
      <c r="B151" s="85" t="s">
        <v>129</v>
      </c>
      <c r="C151" s="89">
        <v>2.6775841142992331E-3</v>
      </c>
      <c r="D151" s="89">
        <v>2.8213273611215495E-3</v>
      </c>
      <c r="E151" s="88">
        <f>'Smoothed Input Details'!K72</f>
        <v>2.8213273611215495E-3</v>
      </c>
      <c r="F151" s="88">
        <f t="shared" ref="F151:I151" si="109">E151</f>
        <v>2.8213273611215495E-3</v>
      </c>
      <c r="G151" s="88">
        <f t="shared" si="109"/>
        <v>2.8213273611215495E-3</v>
      </c>
      <c r="H151" s="88">
        <f t="shared" si="109"/>
        <v>2.8213273611215495E-3</v>
      </c>
      <c r="I151" s="88">
        <f t="shared" si="109"/>
        <v>2.8213273611215495E-3</v>
      </c>
      <c r="J151" s="82"/>
    </row>
    <row r="152" spans="1:10">
      <c r="A152" s="76">
        <v>139</v>
      </c>
      <c r="B152" s="85" t="s">
        <v>94</v>
      </c>
      <c r="C152" s="89">
        <v>0.13238257183240798</v>
      </c>
      <c r="D152" s="89">
        <v>0.13166491281892173</v>
      </c>
      <c r="E152" s="88">
        <f>'Smoothed Input Details'!K73</f>
        <v>0.13166491281892173</v>
      </c>
      <c r="F152" s="88">
        <f t="shared" ref="F152:I152" si="110">E152</f>
        <v>0.13166491281892173</v>
      </c>
      <c r="G152" s="88">
        <f t="shared" si="110"/>
        <v>0.13166491281892173</v>
      </c>
      <c r="H152" s="88">
        <f t="shared" si="110"/>
        <v>0.13166491281892173</v>
      </c>
      <c r="I152" s="88">
        <f t="shared" si="110"/>
        <v>0.13166491281892173</v>
      </c>
      <c r="J152" s="82"/>
    </row>
    <row r="153" spans="1:10">
      <c r="A153" s="76">
        <v>140</v>
      </c>
      <c r="B153" s="85" t="s">
        <v>95</v>
      </c>
      <c r="C153" s="89">
        <v>0.13134797027404574</v>
      </c>
      <c r="D153" s="89">
        <v>0.13097267676429289</v>
      </c>
      <c r="E153" s="88">
        <f>'Smoothed Input Details'!K74</f>
        <v>0.13097267676429289</v>
      </c>
      <c r="F153" s="88">
        <f t="shared" ref="F153:I153" si="111">E153</f>
        <v>0.13097267676429289</v>
      </c>
      <c r="G153" s="88">
        <f t="shared" si="111"/>
        <v>0.13097267676429289</v>
      </c>
      <c r="H153" s="88">
        <f t="shared" si="111"/>
        <v>0.13097267676429289</v>
      </c>
      <c r="I153" s="88">
        <f t="shared" si="111"/>
        <v>0.13097267676429289</v>
      </c>
      <c r="J153" s="82"/>
    </row>
    <row r="154" spans="1:10">
      <c r="A154" s="76">
        <v>141</v>
      </c>
      <c r="B154" s="85" t="s">
        <v>130</v>
      </c>
      <c r="C154" s="89">
        <v>1.9760752926172548E-2</v>
      </c>
      <c r="D154" s="89">
        <v>2.1180943708626887E-2</v>
      </c>
      <c r="E154" s="88">
        <f>'Smoothed Input Details'!K75</f>
        <v>2.1180943708626887E-2</v>
      </c>
      <c r="F154" s="88">
        <f t="shared" ref="F154:I154" si="112">E154</f>
        <v>2.1180943708626887E-2</v>
      </c>
      <c r="G154" s="88">
        <f t="shared" si="112"/>
        <v>2.1180943708626887E-2</v>
      </c>
      <c r="H154" s="88">
        <f t="shared" si="112"/>
        <v>2.1180943708626887E-2</v>
      </c>
      <c r="I154" s="88">
        <f t="shared" si="112"/>
        <v>2.1180943708626887E-2</v>
      </c>
      <c r="J154" s="82"/>
    </row>
    <row r="155" spans="1:10">
      <c r="A155" s="76">
        <v>142</v>
      </c>
      <c r="B155" s="85" t="s">
        <v>96</v>
      </c>
      <c r="C155" s="89">
        <v>0.13770184251723208</v>
      </c>
      <c r="D155" s="89">
        <v>0.13675751648464302</v>
      </c>
      <c r="E155" s="88">
        <f>'Smoothed Input Details'!K76</f>
        <v>0.13675751648464302</v>
      </c>
      <c r="F155" s="88">
        <f t="shared" ref="F155:I155" si="113">E155</f>
        <v>0.13675751648464302</v>
      </c>
      <c r="G155" s="88">
        <f t="shared" si="113"/>
        <v>0.13675751648464302</v>
      </c>
      <c r="H155" s="88">
        <f t="shared" si="113"/>
        <v>0.13675751648464302</v>
      </c>
      <c r="I155" s="88">
        <f t="shared" si="113"/>
        <v>0.13675751648464302</v>
      </c>
      <c r="J155" s="82"/>
    </row>
    <row r="156" spans="1:10">
      <c r="A156" s="76">
        <v>143</v>
      </c>
      <c r="B156" s="85" t="s">
        <v>97</v>
      </c>
      <c r="C156" s="89">
        <v>0.13531366410712045</v>
      </c>
      <c r="D156" s="89">
        <v>0.13246682554357336</v>
      </c>
      <c r="E156" s="88">
        <f>'Smoothed Input Details'!K77</f>
        <v>0.13246682554357336</v>
      </c>
      <c r="F156" s="88">
        <f t="shared" ref="F156:I156" si="114">E156</f>
        <v>0.13246682554357336</v>
      </c>
      <c r="G156" s="88">
        <f t="shared" si="114"/>
        <v>0.13246682554357336</v>
      </c>
      <c r="H156" s="88">
        <f t="shared" si="114"/>
        <v>0.13246682554357336</v>
      </c>
      <c r="I156" s="88">
        <f t="shared" si="114"/>
        <v>0.13246682554357336</v>
      </c>
      <c r="J156" s="82"/>
    </row>
    <row r="157" spans="1:10">
      <c r="A157" s="76">
        <v>144</v>
      </c>
      <c r="B157" s="85" t="s">
        <v>110</v>
      </c>
      <c r="C157" s="89">
        <v>0.13098351779127618</v>
      </c>
      <c r="D157" s="89">
        <v>0.13067404581003325</v>
      </c>
      <c r="E157" s="88">
        <f>'Smoothed Input Details'!K78</f>
        <v>0.13067404581003325</v>
      </c>
      <c r="F157" s="88">
        <f t="shared" ref="F157:I157" si="115">E157</f>
        <v>0.13067404581003325</v>
      </c>
      <c r="G157" s="88">
        <f t="shared" si="115"/>
        <v>0.13067404581003325</v>
      </c>
      <c r="H157" s="88">
        <f t="shared" si="115"/>
        <v>0.13067404581003325</v>
      </c>
      <c r="I157" s="88">
        <f t="shared" si="115"/>
        <v>0.13067404581003325</v>
      </c>
      <c r="J157" s="82"/>
    </row>
    <row r="158" spans="1:10">
      <c r="A158" s="76">
        <v>145</v>
      </c>
      <c r="B158" s="91" t="s">
        <v>1375</v>
      </c>
      <c r="C158" s="90"/>
      <c r="D158" s="90"/>
      <c r="E158" s="90"/>
      <c r="F158" s="90"/>
      <c r="G158" s="90"/>
      <c r="H158" s="90"/>
      <c r="I158" s="90"/>
      <c r="J158" s="79"/>
    </row>
    <row r="159" spans="1:10">
      <c r="A159" s="76">
        <v>146</v>
      </c>
      <c r="B159" s="85" t="s">
        <v>92</v>
      </c>
      <c r="C159" s="89">
        <v>0.41634543106595306</v>
      </c>
      <c r="D159" s="89">
        <v>0.41909005511697384</v>
      </c>
      <c r="E159" s="88">
        <f>'Smoothed Input Details'!L70</f>
        <v>0.41909005511697384</v>
      </c>
      <c r="F159" s="88">
        <f t="shared" ref="F159:I159" si="116">E159</f>
        <v>0.41909005511697384</v>
      </c>
      <c r="G159" s="88">
        <f t="shared" si="116"/>
        <v>0.41909005511697384</v>
      </c>
      <c r="H159" s="88">
        <f t="shared" si="116"/>
        <v>0.41909005511697384</v>
      </c>
      <c r="I159" s="88">
        <f t="shared" si="116"/>
        <v>0.41909005511697384</v>
      </c>
      <c r="J159" s="82"/>
    </row>
    <row r="160" spans="1:10">
      <c r="A160" s="76">
        <v>147</v>
      </c>
      <c r="B160" s="85" t="s">
        <v>93</v>
      </c>
      <c r="C160" s="89">
        <v>0.41358881229791716</v>
      </c>
      <c r="D160" s="89">
        <v>0.41591847408405047</v>
      </c>
      <c r="E160" s="88">
        <f>'Smoothed Input Details'!L71</f>
        <v>0.41591847408405047</v>
      </c>
      <c r="F160" s="88">
        <f t="shared" ref="F160:I160" si="117">E160</f>
        <v>0.41591847408405047</v>
      </c>
      <c r="G160" s="88">
        <f t="shared" si="117"/>
        <v>0.41591847408405047</v>
      </c>
      <c r="H160" s="88">
        <f t="shared" si="117"/>
        <v>0.41591847408405047</v>
      </c>
      <c r="I160" s="88">
        <f t="shared" si="117"/>
        <v>0.41591847408405047</v>
      </c>
      <c r="J160" s="82"/>
    </row>
    <row r="161" spans="1:10">
      <c r="A161" s="76">
        <v>148</v>
      </c>
      <c r="B161" s="85" t="s">
        <v>129</v>
      </c>
      <c r="C161" s="89">
        <v>0.20794791142591895</v>
      </c>
      <c r="D161" s="89">
        <v>0.20906851428116469</v>
      </c>
      <c r="E161" s="88">
        <f>'Smoothed Input Details'!L72</f>
        <v>0.20906851428116469</v>
      </c>
      <c r="F161" s="88">
        <f t="shared" ref="F161:I161" si="118">E161</f>
        <v>0.20906851428116469</v>
      </c>
      <c r="G161" s="88">
        <f t="shared" si="118"/>
        <v>0.20906851428116469</v>
      </c>
      <c r="H161" s="88">
        <f t="shared" si="118"/>
        <v>0.20906851428116469</v>
      </c>
      <c r="I161" s="88">
        <f t="shared" si="118"/>
        <v>0.20906851428116469</v>
      </c>
      <c r="J161" s="82"/>
    </row>
    <row r="162" spans="1:10">
      <c r="A162" s="76">
        <v>149</v>
      </c>
      <c r="B162" s="85" t="s">
        <v>94</v>
      </c>
      <c r="C162" s="89">
        <v>0.58731576593429191</v>
      </c>
      <c r="D162" s="89">
        <v>0.58418150754710119</v>
      </c>
      <c r="E162" s="88">
        <f>'Smoothed Input Details'!L73</f>
        <v>0.58418150754710119</v>
      </c>
      <c r="F162" s="88">
        <f t="shared" ref="F162:I162" si="119">E162</f>
        <v>0.58418150754710119</v>
      </c>
      <c r="G162" s="88">
        <f t="shared" si="119"/>
        <v>0.58418150754710119</v>
      </c>
      <c r="H162" s="88">
        <f t="shared" si="119"/>
        <v>0.58418150754710119</v>
      </c>
      <c r="I162" s="88">
        <f t="shared" si="119"/>
        <v>0.58418150754710119</v>
      </c>
      <c r="J162" s="82"/>
    </row>
    <row r="163" spans="1:10">
      <c r="A163" s="76">
        <v>150</v>
      </c>
      <c r="B163" s="85" t="s">
        <v>95</v>
      </c>
      <c r="C163" s="89">
        <v>0.53396130834309519</v>
      </c>
      <c r="D163" s="89">
        <v>0.53624987448173789</v>
      </c>
      <c r="E163" s="88">
        <f>'Smoothed Input Details'!L74</f>
        <v>0.53624987448173789</v>
      </c>
      <c r="F163" s="88">
        <f t="shared" ref="F163:I163" si="120">E163</f>
        <v>0.53624987448173789</v>
      </c>
      <c r="G163" s="88">
        <f t="shared" si="120"/>
        <v>0.53624987448173789</v>
      </c>
      <c r="H163" s="88">
        <f t="shared" si="120"/>
        <v>0.53624987448173789</v>
      </c>
      <c r="I163" s="88">
        <f t="shared" si="120"/>
        <v>0.53624987448173789</v>
      </c>
      <c r="J163" s="82"/>
    </row>
    <row r="164" spans="1:10">
      <c r="A164" s="76">
        <v>151</v>
      </c>
      <c r="B164" s="85" t="s">
        <v>130</v>
      </c>
      <c r="C164" s="89">
        <v>0.17340036911724233</v>
      </c>
      <c r="D164" s="89">
        <v>0.17461755756654385</v>
      </c>
      <c r="E164" s="88">
        <f>'Smoothed Input Details'!L75</f>
        <v>0.17461755756654385</v>
      </c>
      <c r="F164" s="88">
        <f t="shared" ref="F164:I164" si="121">E164</f>
        <v>0.17461755756654385</v>
      </c>
      <c r="G164" s="88">
        <f t="shared" si="121"/>
        <v>0.17461755756654385</v>
      </c>
      <c r="H164" s="88">
        <f t="shared" si="121"/>
        <v>0.17461755756654385</v>
      </c>
      <c r="I164" s="88">
        <f t="shared" si="121"/>
        <v>0.17461755756654385</v>
      </c>
      <c r="J164" s="82"/>
    </row>
    <row r="165" spans="1:10">
      <c r="A165" s="76">
        <v>152</v>
      </c>
      <c r="B165" s="85" t="s">
        <v>96</v>
      </c>
      <c r="C165" s="89">
        <v>0.52572686026061077</v>
      </c>
      <c r="D165" s="89">
        <v>0.52643299691979983</v>
      </c>
      <c r="E165" s="88">
        <f>'Smoothed Input Details'!L76</f>
        <v>0.52643299691979983</v>
      </c>
      <c r="F165" s="88">
        <f t="shared" ref="F165:I165" si="122">E165</f>
        <v>0.52643299691979983</v>
      </c>
      <c r="G165" s="88">
        <f t="shared" si="122"/>
        <v>0.52643299691979983</v>
      </c>
      <c r="H165" s="88">
        <f t="shared" si="122"/>
        <v>0.52643299691979983</v>
      </c>
      <c r="I165" s="88">
        <f t="shared" si="122"/>
        <v>0.52643299691979983</v>
      </c>
      <c r="J165" s="82"/>
    </row>
    <row r="166" spans="1:10">
      <c r="A166" s="76">
        <v>153</v>
      </c>
      <c r="B166" s="85" t="s">
        <v>97</v>
      </c>
      <c r="C166" s="89">
        <v>0.53427205653317544</v>
      </c>
      <c r="D166" s="89">
        <v>0.5419021330055962</v>
      </c>
      <c r="E166" s="88">
        <f>'Smoothed Input Details'!L77</f>
        <v>0.5419021330055962</v>
      </c>
      <c r="F166" s="88">
        <f t="shared" ref="F166:I166" si="123">E166</f>
        <v>0.5419021330055962</v>
      </c>
      <c r="G166" s="88">
        <f t="shared" si="123"/>
        <v>0.5419021330055962</v>
      </c>
      <c r="H166" s="88">
        <f t="shared" si="123"/>
        <v>0.5419021330055962</v>
      </c>
      <c r="I166" s="88">
        <f t="shared" si="123"/>
        <v>0.5419021330055962</v>
      </c>
      <c r="J166" s="82"/>
    </row>
    <row r="167" spans="1:10">
      <c r="A167" s="76">
        <v>154</v>
      </c>
      <c r="B167" s="85" t="s">
        <v>110</v>
      </c>
      <c r="C167" s="89">
        <v>0.55492320882697233</v>
      </c>
      <c r="D167" s="89">
        <v>0.55375454532068635</v>
      </c>
      <c r="E167" s="88">
        <f>'Smoothed Input Details'!L78</f>
        <v>0.55375454532068635</v>
      </c>
      <c r="F167" s="88">
        <f t="shared" ref="F167:I167" si="124">E167</f>
        <v>0.55375454532068635</v>
      </c>
      <c r="G167" s="88">
        <f t="shared" si="124"/>
        <v>0.55375454532068635</v>
      </c>
      <c r="H167" s="88">
        <f t="shared" si="124"/>
        <v>0.55375454532068635</v>
      </c>
      <c r="I167" s="88">
        <f t="shared" si="124"/>
        <v>0.55375454532068635</v>
      </c>
      <c r="J167" s="82"/>
    </row>
    <row r="168" spans="1:10">
      <c r="A168" s="76">
        <v>155</v>
      </c>
      <c r="B168" s="91" t="s">
        <v>1374</v>
      </c>
      <c r="C168" s="90"/>
      <c r="D168" s="90"/>
      <c r="E168" s="90"/>
      <c r="F168" s="90"/>
      <c r="G168" s="90"/>
      <c r="H168" s="90"/>
      <c r="I168" s="90"/>
      <c r="J168" s="79"/>
    </row>
    <row r="169" spans="1:10">
      <c r="A169" s="76">
        <v>156</v>
      </c>
      <c r="B169" s="85" t="s">
        <v>92</v>
      </c>
      <c r="C169" s="89">
        <v>0.4325061869642049</v>
      </c>
      <c r="D169" s="89">
        <v>0.42927258634396387</v>
      </c>
      <c r="E169" s="88">
        <f>'Smoothed Input Details'!M70</f>
        <v>0.42927258634396387</v>
      </c>
      <c r="F169" s="88">
        <f t="shared" ref="F169:I169" si="125">E169</f>
        <v>0.42927258634396387</v>
      </c>
      <c r="G169" s="88">
        <f t="shared" si="125"/>
        <v>0.42927258634396387</v>
      </c>
      <c r="H169" s="88">
        <f t="shared" si="125"/>
        <v>0.42927258634396387</v>
      </c>
      <c r="I169" s="88">
        <f t="shared" si="125"/>
        <v>0.42927258634396387</v>
      </c>
      <c r="J169" s="82"/>
    </row>
    <row r="170" spans="1:10">
      <c r="A170" s="76">
        <v>157</v>
      </c>
      <c r="B170" s="85" t="s">
        <v>93</v>
      </c>
      <c r="C170" s="89">
        <v>0.43938888288994526</v>
      </c>
      <c r="D170" s="89">
        <v>0.43613695597652757</v>
      </c>
      <c r="E170" s="88">
        <f>'Smoothed Input Details'!M71</f>
        <v>0.43613695597652757</v>
      </c>
      <c r="F170" s="88">
        <f t="shared" ref="F170:I170" si="126">E170</f>
        <v>0.43613695597652757</v>
      </c>
      <c r="G170" s="88">
        <f t="shared" si="126"/>
        <v>0.43613695597652757</v>
      </c>
      <c r="H170" s="88">
        <f t="shared" si="126"/>
        <v>0.43613695597652757</v>
      </c>
      <c r="I170" s="88">
        <f t="shared" si="126"/>
        <v>0.43613695597652757</v>
      </c>
      <c r="J170" s="82"/>
    </row>
    <row r="171" spans="1:10">
      <c r="A171" s="76">
        <v>158</v>
      </c>
      <c r="B171" s="85" t="s">
        <v>129</v>
      </c>
      <c r="C171" s="89">
        <v>0.78937450445978186</v>
      </c>
      <c r="D171" s="89">
        <v>0.78811015835771381</v>
      </c>
      <c r="E171" s="88">
        <f>'Smoothed Input Details'!M72</f>
        <v>0.78811015835771381</v>
      </c>
      <c r="F171" s="88">
        <f t="shared" ref="F171:I171" si="127">E171</f>
        <v>0.78811015835771381</v>
      </c>
      <c r="G171" s="88">
        <f t="shared" si="127"/>
        <v>0.78811015835771381</v>
      </c>
      <c r="H171" s="88">
        <f t="shared" si="127"/>
        <v>0.78811015835771381</v>
      </c>
      <c r="I171" s="88">
        <f t="shared" si="127"/>
        <v>0.78811015835771381</v>
      </c>
      <c r="J171" s="82"/>
    </row>
    <row r="172" spans="1:10">
      <c r="A172" s="76">
        <v>159</v>
      </c>
      <c r="B172" s="85" t="s">
        <v>94</v>
      </c>
      <c r="C172" s="89">
        <v>0.28030166223330011</v>
      </c>
      <c r="D172" s="89">
        <v>0.28415357963397708</v>
      </c>
      <c r="E172" s="88">
        <f>'Smoothed Input Details'!M73</f>
        <v>0.28415357963397708</v>
      </c>
      <c r="F172" s="88">
        <f t="shared" ref="F172:I172" si="128">E172</f>
        <v>0.28415357963397708</v>
      </c>
      <c r="G172" s="88">
        <f t="shared" si="128"/>
        <v>0.28415357963397708</v>
      </c>
      <c r="H172" s="88">
        <f t="shared" si="128"/>
        <v>0.28415357963397708</v>
      </c>
      <c r="I172" s="88">
        <f t="shared" si="128"/>
        <v>0.28415357963397708</v>
      </c>
      <c r="J172" s="82"/>
    </row>
    <row r="173" spans="1:10">
      <c r="A173" s="76">
        <v>160</v>
      </c>
      <c r="B173" s="85" t="s">
        <v>95</v>
      </c>
      <c r="C173" s="89">
        <v>0.3346907213828591</v>
      </c>
      <c r="D173" s="89">
        <v>0.33277744875396925</v>
      </c>
      <c r="E173" s="88">
        <f>'Smoothed Input Details'!M74</f>
        <v>0.33277744875396925</v>
      </c>
      <c r="F173" s="88">
        <f t="shared" ref="F173:I173" si="129">E173</f>
        <v>0.33277744875396925</v>
      </c>
      <c r="G173" s="88">
        <f t="shared" si="129"/>
        <v>0.33277744875396925</v>
      </c>
      <c r="H173" s="88">
        <f t="shared" si="129"/>
        <v>0.33277744875396925</v>
      </c>
      <c r="I173" s="88">
        <f t="shared" si="129"/>
        <v>0.33277744875396925</v>
      </c>
      <c r="J173" s="82"/>
    </row>
    <row r="174" spans="1:10">
      <c r="A174" s="76">
        <v>161</v>
      </c>
      <c r="B174" s="85" t="s">
        <v>130</v>
      </c>
      <c r="C174" s="89">
        <v>0.80683887795658515</v>
      </c>
      <c r="D174" s="89">
        <v>0.80420149872482938</v>
      </c>
      <c r="E174" s="88">
        <f>'Smoothed Input Details'!M75</f>
        <v>0.80420149872482938</v>
      </c>
      <c r="F174" s="88">
        <f t="shared" ref="F174:I174" si="130">E174</f>
        <v>0.80420149872482938</v>
      </c>
      <c r="G174" s="88">
        <f t="shared" si="130"/>
        <v>0.80420149872482938</v>
      </c>
      <c r="H174" s="88">
        <f t="shared" si="130"/>
        <v>0.80420149872482938</v>
      </c>
      <c r="I174" s="88">
        <f t="shared" si="130"/>
        <v>0.80420149872482938</v>
      </c>
      <c r="J174" s="82"/>
    </row>
    <row r="175" spans="1:10">
      <c r="A175" s="76">
        <v>162</v>
      </c>
      <c r="B175" s="85" t="s">
        <v>96</v>
      </c>
      <c r="C175" s="89">
        <v>0.33657129722215723</v>
      </c>
      <c r="D175" s="89">
        <v>0.33680948659555715</v>
      </c>
      <c r="E175" s="88">
        <f>'Smoothed Input Details'!M76</f>
        <v>0.33680948659555715</v>
      </c>
      <c r="F175" s="88">
        <f t="shared" ref="F175:I175" si="131">E175</f>
        <v>0.33680948659555715</v>
      </c>
      <c r="G175" s="88">
        <f t="shared" si="131"/>
        <v>0.33680948659555715</v>
      </c>
      <c r="H175" s="88">
        <f t="shared" si="131"/>
        <v>0.33680948659555715</v>
      </c>
      <c r="I175" s="88">
        <f t="shared" si="131"/>
        <v>0.33680948659555715</v>
      </c>
      <c r="J175" s="82"/>
    </row>
    <row r="176" spans="1:10">
      <c r="A176" s="76">
        <v>163</v>
      </c>
      <c r="B176" s="85" t="s">
        <v>97</v>
      </c>
      <c r="C176" s="89">
        <v>0.33041427935970408</v>
      </c>
      <c r="D176" s="89">
        <v>0.32563104145083038</v>
      </c>
      <c r="E176" s="88">
        <f>'Smoothed Input Details'!M77</f>
        <v>0.32563104145083038</v>
      </c>
      <c r="F176" s="88">
        <f t="shared" ref="F176:I176" si="132">E176</f>
        <v>0.32563104145083038</v>
      </c>
      <c r="G176" s="88">
        <f t="shared" si="132"/>
        <v>0.32563104145083038</v>
      </c>
      <c r="H176" s="88">
        <f t="shared" si="132"/>
        <v>0.32563104145083038</v>
      </c>
      <c r="I176" s="88">
        <f t="shared" si="132"/>
        <v>0.32563104145083038</v>
      </c>
      <c r="J176" s="82"/>
    </row>
    <row r="177" spans="1:10">
      <c r="A177" s="76">
        <v>164</v>
      </c>
      <c r="B177" s="85" t="s">
        <v>110</v>
      </c>
      <c r="C177" s="89">
        <v>0.31409327338175147</v>
      </c>
      <c r="D177" s="89">
        <v>0.31557140886928042</v>
      </c>
      <c r="E177" s="88">
        <f>'Smoothed Input Details'!M78</f>
        <v>0.31557140886928042</v>
      </c>
      <c r="F177" s="88">
        <f t="shared" ref="F177:I177" si="133">E177</f>
        <v>0.31557140886928042</v>
      </c>
      <c r="G177" s="88">
        <f t="shared" si="133"/>
        <v>0.31557140886928042</v>
      </c>
      <c r="H177" s="88">
        <f t="shared" si="133"/>
        <v>0.31557140886928042</v>
      </c>
      <c r="I177" s="88">
        <f t="shared" si="133"/>
        <v>0.31557140886928042</v>
      </c>
      <c r="J177" s="82"/>
    </row>
    <row r="178" spans="1:10">
      <c r="A178" s="76">
        <v>165</v>
      </c>
      <c r="B178" s="81" t="s">
        <v>1380</v>
      </c>
      <c r="C178" s="80"/>
      <c r="D178" s="80"/>
      <c r="E178" s="80"/>
      <c r="F178" s="80"/>
      <c r="G178" s="80"/>
      <c r="H178" s="80"/>
      <c r="I178" s="80"/>
      <c r="J178" s="79"/>
    </row>
    <row r="179" spans="1:10">
      <c r="A179" s="76">
        <v>166</v>
      </c>
      <c r="B179" s="91" t="s">
        <v>1376</v>
      </c>
      <c r="C179" s="80"/>
      <c r="D179" s="80"/>
      <c r="E179" s="80"/>
      <c r="F179" s="80"/>
      <c r="G179" s="80"/>
      <c r="H179" s="80"/>
      <c r="I179" s="80"/>
      <c r="J179" s="79"/>
    </row>
    <row r="180" spans="1:10">
      <c r="A180" s="76">
        <v>167</v>
      </c>
      <c r="B180" s="85" t="s">
        <v>93</v>
      </c>
      <c r="C180" s="92">
        <v>0</v>
      </c>
      <c r="D180" s="92">
        <v>0</v>
      </c>
      <c r="E180" s="88">
        <f>'Smoothed Input Details'!K88</f>
        <v>0</v>
      </c>
      <c r="F180" s="88">
        <f t="shared" ref="F180:I180" si="134">E180</f>
        <v>0</v>
      </c>
      <c r="G180" s="88">
        <f t="shared" si="134"/>
        <v>0</v>
      </c>
      <c r="H180" s="88">
        <f t="shared" si="134"/>
        <v>0</v>
      </c>
      <c r="I180" s="88">
        <f t="shared" si="134"/>
        <v>0</v>
      </c>
      <c r="J180" s="82"/>
    </row>
    <row r="181" spans="1:10">
      <c r="A181" s="76">
        <v>168</v>
      </c>
      <c r="B181" s="85" t="s">
        <v>95</v>
      </c>
      <c r="C181" s="92">
        <v>0</v>
      </c>
      <c r="D181" s="92">
        <v>0</v>
      </c>
      <c r="E181" s="88">
        <f>'Smoothed Input Details'!K89</f>
        <v>0</v>
      </c>
      <c r="F181" s="88">
        <f t="shared" ref="F181:I181" si="135">E181</f>
        <v>0</v>
      </c>
      <c r="G181" s="88">
        <f t="shared" si="135"/>
        <v>0</v>
      </c>
      <c r="H181" s="88">
        <f t="shared" si="135"/>
        <v>0</v>
      </c>
      <c r="I181" s="88">
        <f t="shared" si="135"/>
        <v>0</v>
      </c>
      <c r="J181" s="82"/>
    </row>
    <row r="182" spans="1:10">
      <c r="A182" s="76">
        <v>169</v>
      </c>
      <c r="B182" s="85" t="s">
        <v>96</v>
      </c>
      <c r="C182" s="92">
        <v>0</v>
      </c>
      <c r="D182" s="92">
        <v>0</v>
      </c>
      <c r="E182" s="88">
        <f>'Smoothed Input Details'!K90</f>
        <v>0</v>
      </c>
      <c r="F182" s="88">
        <f t="shared" ref="F182:I182" si="136">E182</f>
        <v>0</v>
      </c>
      <c r="G182" s="88">
        <f t="shared" si="136"/>
        <v>0</v>
      </c>
      <c r="H182" s="88">
        <f t="shared" si="136"/>
        <v>0</v>
      </c>
      <c r="I182" s="88">
        <f t="shared" si="136"/>
        <v>0</v>
      </c>
      <c r="J182" s="82"/>
    </row>
    <row r="183" spans="1:10">
      <c r="A183" s="76">
        <v>170</v>
      </c>
      <c r="B183" s="85" t="s">
        <v>97</v>
      </c>
      <c r="C183" s="92">
        <v>0</v>
      </c>
      <c r="D183" s="92">
        <v>0</v>
      </c>
      <c r="E183" s="88">
        <f>'Smoothed Input Details'!K91</f>
        <v>0</v>
      </c>
      <c r="F183" s="88">
        <f t="shared" ref="F183:I183" si="137">E183</f>
        <v>0</v>
      </c>
      <c r="G183" s="88">
        <f t="shared" si="137"/>
        <v>0</v>
      </c>
      <c r="H183" s="88">
        <f t="shared" si="137"/>
        <v>0</v>
      </c>
      <c r="I183" s="88">
        <f t="shared" si="137"/>
        <v>0</v>
      </c>
      <c r="J183" s="82"/>
    </row>
    <row r="184" spans="1:10">
      <c r="A184" s="76">
        <v>171</v>
      </c>
      <c r="B184" s="85" t="s">
        <v>110</v>
      </c>
      <c r="C184" s="92">
        <v>0</v>
      </c>
      <c r="D184" s="92">
        <v>0</v>
      </c>
      <c r="E184" s="88">
        <f>'Smoothed Input Details'!K92</f>
        <v>0</v>
      </c>
      <c r="F184" s="88">
        <f t="shared" ref="F184:I184" si="138">E184</f>
        <v>0</v>
      </c>
      <c r="G184" s="88">
        <f t="shared" si="138"/>
        <v>0</v>
      </c>
      <c r="H184" s="88">
        <f t="shared" si="138"/>
        <v>0</v>
      </c>
      <c r="I184" s="88">
        <f t="shared" si="138"/>
        <v>0</v>
      </c>
      <c r="J184" s="82"/>
    </row>
    <row r="185" spans="1:10">
      <c r="A185" s="76">
        <v>172</v>
      </c>
      <c r="B185" s="91" t="s">
        <v>1375</v>
      </c>
      <c r="C185" s="93"/>
      <c r="D185" s="93"/>
      <c r="E185" s="80"/>
      <c r="F185" s="80"/>
      <c r="G185" s="80"/>
      <c r="H185" s="80"/>
      <c r="I185" s="80"/>
      <c r="J185" s="79"/>
    </row>
    <row r="186" spans="1:10">
      <c r="A186" s="76">
        <v>173</v>
      </c>
      <c r="B186" s="85" t="s">
        <v>93</v>
      </c>
      <c r="C186" s="92">
        <v>0</v>
      </c>
      <c r="D186" s="92">
        <v>0</v>
      </c>
      <c r="E186" s="88">
        <f>'Smoothed Input Details'!L88</f>
        <v>0</v>
      </c>
      <c r="F186" s="88">
        <f t="shared" ref="F186:I186" si="139">E186</f>
        <v>0</v>
      </c>
      <c r="G186" s="88">
        <f t="shared" si="139"/>
        <v>0</v>
      </c>
      <c r="H186" s="88">
        <f t="shared" si="139"/>
        <v>0</v>
      </c>
      <c r="I186" s="88">
        <f t="shared" si="139"/>
        <v>0</v>
      </c>
      <c r="J186" s="82"/>
    </row>
    <row r="187" spans="1:10">
      <c r="A187" s="76">
        <v>174</v>
      </c>
      <c r="B187" s="85" t="s">
        <v>95</v>
      </c>
      <c r="C187" s="92">
        <v>0</v>
      </c>
      <c r="D187" s="92">
        <v>0</v>
      </c>
      <c r="E187" s="88">
        <f>'Smoothed Input Details'!L89</f>
        <v>0</v>
      </c>
      <c r="F187" s="88">
        <f t="shared" ref="F187:I187" si="140">E187</f>
        <v>0</v>
      </c>
      <c r="G187" s="88">
        <f t="shared" si="140"/>
        <v>0</v>
      </c>
      <c r="H187" s="88">
        <f t="shared" si="140"/>
        <v>0</v>
      </c>
      <c r="I187" s="88">
        <f t="shared" si="140"/>
        <v>0</v>
      </c>
      <c r="J187" s="82"/>
    </row>
    <row r="188" spans="1:10">
      <c r="A188" s="76">
        <v>175</v>
      </c>
      <c r="B188" s="85" t="s">
        <v>96</v>
      </c>
      <c r="C188" s="92">
        <v>0</v>
      </c>
      <c r="D188" s="92">
        <v>0</v>
      </c>
      <c r="E188" s="88">
        <f>'Smoothed Input Details'!L90</f>
        <v>0</v>
      </c>
      <c r="F188" s="88">
        <f t="shared" ref="F188:I188" si="141">E188</f>
        <v>0</v>
      </c>
      <c r="G188" s="88">
        <f t="shared" si="141"/>
        <v>0</v>
      </c>
      <c r="H188" s="88">
        <f t="shared" si="141"/>
        <v>0</v>
      </c>
      <c r="I188" s="88">
        <f t="shared" si="141"/>
        <v>0</v>
      </c>
      <c r="J188" s="82"/>
    </row>
    <row r="189" spans="1:10">
      <c r="A189" s="76">
        <v>176</v>
      </c>
      <c r="B189" s="85" t="s">
        <v>97</v>
      </c>
      <c r="C189" s="92">
        <v>0</v>
      </c>
      <c r="D189" s="92">
        <v>0</v>
      </c>
      <c r="E189" s="88">
        <f>'Smoothed Input Details'!L91</f>
        <v>0</v>
      </c>
      <c r="F189" s="88">
        <f t="shared" ref="F189:I189" si="142">E189</f>
        <v>0</v>
      </c>
      <c r="G189" s="88">
        <f t="shared" si="142"/>
        <v>0</v>
      </c>
      <c r="H189" s="88">
        <f t="shared" si="142"/>
        <v>0</v>
      </c>
      <c r="I189" s="88">
        <f t="shared" si="142"/>
        <v>0</v>
      </c>
      <c r="J189" s="82"/>
    </row>
    <row r="190" spans="1:10">
      <c r="A190" s="76">
        <v>177</v>
      </c>
      <c r="B190" s="85" t="s">
        <v>110</v>
      </c>
      <c r="C190" s="92">
        <v>0</v>
      </c>
      <c r="D190" s="92">
        <v>0</v>
      </c>
      <c r="E190" s="88">
        <f>'Smoothed Input Details'!L92</f>
        <v>0</v>
      </c>
      <c r="F190" s="88">
        <f t="shared" ref="F190:I190" si="143">E190</f>
        <v>0</v>
      </c>
      <c r="G190" s="88">
        <f t="shared" si="143"/>
        <v>0</v>
      </c>
      <c r="H190" s="88">
        <f t="shared" si="143"/>
        <v>0</v>
      </c>
      <c r="I190" s="88">
        <f t="shared" si="143"/>
        <v>0</v>
      </c>
      <c r="J190" s="82"/>
    </row>
    <row r="191" spans="1:10">
      <c r="A191" s="76">
        <v>178</v>
      </c>
      <c r="B191" s="91" t="s">
        <v>1374</v>
      </c>
      <c r="C191" s="80"/>
      <c r="D191" s="80"/>
      <c r="E191" s="80"/>
      <c r="F191" s="80"/>
      <c r="G191" s="80"/>
      <c r="H191" s="80"/>
      <c r="I191" s="80"/>
      <c r="J191" s="79"/>
    </row>
    <row r="192" spans="1:10">
      <c r="A192" s="76">
        <v>179</v>
      </c>
      <c r="B192" s="85" t="s">
        <v>93</v>
      </c>
      <c r="C192" s="89">
        <v>1</v>
      </c>
      <c r="D192" s="89">
        <v>1</v>
      </c>
      <c r="E192" s="88">
        <f>'Smoothed Input Details'!M88</f>
        <v>1</v>
      </c>
      <c r="F192" s="88">
        <f t="shared" ref="F192:I192" si="144">E192</f>
        <v>1</v>
      </c>
      <c r="G192" s="88">
        <f t="shared" si="144"/>
        <v>1</v>
      </c>
      <c r="H192" s="88">
        <f t="shared" si="144"/>
        <v>1</v>
      </c>
      <c r="I192" s="88">
        <f t="shared" si="144"/>
        <v>1</v>
      </c>
      <c r="J192" s="82"/>
    </row>
    <row r="193" spans="1:10">
      <c r="A193" s="76">
        <v>180</v>
      </c>
      <c r="B193" s="85" t="s">
        <v>95</v>
      </c>
      <c r="C193" s="89">
        <v>1</v>
      </c>
      <c r="D193" s="89">
        <v>1</v>
      </c>
      <c r="E193" s="88">
        <f>'Smoothed Input Details'!M89</f>
        <v>1</v>
      </c>
      <c r="F193" s="88">
        <f t="shared" ref="F193:I193" si="145">E193</f>
        <v>1</v>
      </c>
      <c r="G193" s="88">
        <f t="shared" si="145"/>
        <v>1</v>
      </c>
      <c r="H193" s="88">
        <f t="shared" si="145"/>
        <v>1</v>
      </c>
      <c r="I193" s="88">
        <f t="shared" si="145"/>
        <v>1</v>
      </c>
      <c r="J193" s="82"/>
    </row>
    <row r="194" spans="1:10">
      <c r="A194" s="76">
        <v>181</v>
      </c>
      <c r="B194" s="85" t="s">
        <v>96</v>
      </c>
      <c r="C194" s="89">
        <v>1</v>
      </c>
      <c r="D194" s="89">
        <v>1</v>
      </c>
      <c r="E194" s="88">
        <f>'Smoothed Input Details'!M90</f>
        <v>1</v>
      </c>
      <c r="F194" s="88">
        <f t="shared" ref="F194:I194" si="146">E194</f>
        <v>1</v>
      </c>
      <c r="G194" s="88">
        <f t="shared" si="146"/>
        <v>1</v>
      </c>
      <c r="H194" s="88">
        <f t="shared" si="146"/>
        <v>1</v>
      </c>
      <c r="I194" s="88">
        <f t="shared" si="146"/>
        <v>1</v>
      </c>
      <c r="J194" s="82"/>
    </row>
    <row r="195" spans="1:10">
      <c r="A195" s="76">
        <v>182</v>
      </c>
      <c r="B195" s="85" t="s">
        <v>97</v>
      </c>
      <c r="C195" s="89">
        <v>1</v>
      </c>
      <c r="D195" s="89">
        <v>1</v>
      </c>
      <c r="E195" s="88">
        <f>'Smoothed Input Details'!M91</f>
        <v>1</v>
      </c>
      <c r="F195" s="88">
        <f t="shared" ref="F195:I195" si="147">E195</f>
        <v>1</v>
      </c>
      <c r="G195" s="88">
        <f t="shared" si="147"/>
        <v>1</v>
      </c>
      <c r="H195" s="88">
        <f t="shared" si="147"/>
        <v>1</v>
      </c>
      <c r="I195" s="88">
        <f t="shared" si="147"/>
        <v>1</v>
      </c>
      <c r="J195" s="82"/>
    </row>
    <row r="196" spans="1:10">
      <c r="A196" s="76">
        <v>183</v>
      </c>
      <c r="B196" s="85" t="s">
        <v>110</v>
      </c>
      <c r="C196" s="89">
        <v>1</v>
      </c>
      <c r="D196" s="89">
        <v>1</v>
      </c>
      <c r="E196" s="88">
        <f>'Smoothed Input Details'!M92</f>
        <v>1</v>
      </c>
      <c r="F196" s="88">
        <f t="shared" ref="F196:I196" si="148">E196</f>
        <v>1</v>
      </c>
      <c r="G196" s="88">
        <f t="shared" si="148"/>
        <v>1</v>
      </c>
      <c r="H196" s="88">
        <f t="shared" si="148"/>
        <v>1</v>
      </c>
      <c r="I196" s="88">
        <f t="shared" si="148"/>
        <v>1</v>
      </c>
      <c r="J196" s="82"/>
    </row>
    <row r="197" spans="1:10">
      <c r="A197" s="76">
        <v>184</v>
      </c>
      <c r="B197" s="81" t="s">
        <v>237</v>
      </c>
      <c r="C197" s="80"/>
      <c r="D197" s="80"/>
      <c r="E197" s="80"/>
      <c r="F197" s="80"/>
      <c r="G197" s="80"/>
      <c r="H197" s="80"/>
      <c r="I197" s="80"/>
      <c r="J197" s="79"/>
    </row>
    <row r="198" spans="1:10">
      <c r="A198" s="76">
        <v>185</v>
      </c>
      <c r="B198" s="91" t="s">
        <v>1373</v>
      </c>
      <c r="C198" s="80"/>
      <c r="D198" s="80"/>
      <c r="E198" s="80"/>
      <c r="F198" s="80"/>
      <c r="G198" s="80"/>
      <c r="H198" s="80"/>
      <c r="I198" s="80"/>
      <c r="J198" s="79"/>
    </row>
    <row r="199" spans="1:10">
      <c r="A199" s="76">
        <v>186</v>
      </c>
      <c r="B199" s="85" t="s">
        <v>131</v>
      </c>
      <c r="C199" s="89">
        <v>2.9566210045662098E-2</v>
      </c>
      <c r="D199" s="89">
        <v>2.9337899543378995E-2</v>
      </c>
      <c r="E199" s="89">
        <f>'Smoothed Input Details'!K102</f>
        <v>2.9337899543378995E-2</v>
      </c>
      <c r="F199" s="89">
        <f t="shared" ref="F199:I199" si="149">E199</f>
        <v>2.9337899543378995E-2</v>
      </c>
      <c r="G199" s="89">
        <f t="shared" si="149"/>
        <v>2.9337899543378995E-2</v>
      </c>
      <c r="H199" s="89">
        <f t="shared" si="149"/>
        <v>2.9337899543378995E-2</v>
      </c>
      <c r="I199" s="89">
        <f t="shared" si="149"/>
        <v>2.9337899543378995E-2</v>
      </c>
      <c r="J199" s="82"/>
    </row>
    <row r="200" spans="1:10">
      <c r="A200" s="76">
        <v>187</v>
      </c>
      <c r="B200" s="85" t="s">
        <v>132</v>
      </c>
      <c r="C200" s="89">
        <v>4.9204800112680559E-2</v>
      </c>
      <c r="D200" s="89">
        <v>4.891355254087474E-2</v>
      </c>
      <c r="E200" s="89">
        <f>'Smoothed Input Details'!K103</f>
        <v>4.891355254087474E-2</v>
      </c>
      <c r="F200" s="89">
        <f t="shared" ref="F200:I200" si="150">E200</f>
        <v>4.891355254087474E-2</v>
      </c>
      <c r="G200" s="89">
        <f t="shared" si="150"/>
        <v>4.891355254087474E-2</v>
      </c>
      <c r="H200" s="89">
        <f t="shared" si="150"/>
        <v>4.891355254087474E-2</v>
      </c>
      <c r="I200" s="89">
        <f t="shared" si="150"/>
        <v>4.891355254087474E-2</v>
      </c>
      <c r="J200" s="82"/>
    </row>
    <row r="201" spans="1:10">
      <c r="A201" s="76">
        <v>188</v>
      </c>
      <c r="B201" s="85" t="s">
        <v>133</v>
      </c>
      <c r="C201" s="89">
        <v>9.1858375952070373E-2</v>
      </c>
      <c r="D201" s="89">
        <v>8.9373751938750981E-2</v>
      </c>
      <c r="E201" s="89">
        <f>'Smoothed Input Details'!K104</f>
        <v>8.9373751938750981E-2</v>
      </c>
      <c r="F201" s="89">
        <f t="shared" ref="F201:I201" si="151">E201</f>
        <v>8.9373751938750981E-2</v>
      </c>
      <c r="G201" s="89">
        <f t="shared" si="151"/>
        <v>8.9373751938750981E-2</v>
      </c>
      <c r="H201" s="89">
        <f t="shared" si="151"/>
        <v>8.9373751938750981E-2</v>
      </c>
      <c r="I201" s="89">
        <f t="shared" si="151"/>
        <v>8.9373751938750981E-2</v>
      </c>
      <c r="J201" s="82"/>
    </row>
    <row r="202" spans="1:10">
      <c r="A202" s="76">
        <v>189</v>
      </c>
      <c r="B202" s="85" t="s">
        <v>134</v>
      </c>
      <c r="C202" s="89">
        <v>1.2434888136014901E-2</v>
      </c>
      <c r="D202" s="89">
        <v>9.8662176030754195E-3</v>
      </c>
      <c r="E202" s="89">
        <f>'Smoothed Input Details'!K105</f>
        <v>9.8662176030754195E-3</v>
      </c>
      <c r="F202" s="89">
        <f t="shared" ref="F202:I202" si="152">E202</f>
        <v>9.8662176030754195E-3</v>
      </c>
      <c r="G202" s="89">
        <f t="shared" si="152"/>
        <v>9.8662176030754195E-3</v>
      </c>
      <c r="H202" s="89">
        <f t="shared" si="152"/>
        <v>9.8662176030754195E-3</v>
      </c>
      <c r="I202" s="89">
        <f t="shared" si="152"/>
        <v>9.8662176030754195E-3</v>
      </c>
      <c r="J202" s="82"/>
    </row>
    <row r="203" spans="1:10">
      <c r="A203" s="76">
        <v>190</v>
      </c>
      <c r="B203" s="91" t="s">
        <v>1379</v>
      </c>
      <c r="C203" s="90"/>
      <c r="D203" s="90"/>
      <c r="E203" s="90"/>
      <c r="F203" s="90"/>
      <c r="G203" s="90"/>
      <c r="H203" s="90"/>
      <c r="I203" s="90"/>
      <c r="J203" s="79"/>
    </row>
    <row r="204" spans="1:10">
      <c r="A204" s="76">
        <v>191</v>
      </c>
      <c r="B204" s="85" t="s">
        <v>131</v>
      </c>
      <c r="C204" s="89">
        <v>0.37214611872146119</v>
      </c>
      <c r="D204" s="89">
        <v>0.37237442922374431</v>
      </c>
      <c r="E204" s="89">
        <f>'Smoothed Input Details'!L102</f>
        <v>0.37237442922374431</v>
      </c>
      <c r="F204" s="89">
        <f t="shared" ref="F204:I204" si="153">E204</f>
        <v>0.37237442922374431</v>
      </c>
      <c r="G204" s="89">
        <f t="shared" si="153"/>
        <v>0.37237442922374431</v>
      </c>
      <c r="H204" s="89">
        <f t="shared" si="153"/>
        <v>0.37237442922374431</v>
      </c>
      <c r="I204" s="89">
        <f t="shared" si="153"/>
        <v>0.37237442922374431</v>
      </c>
      <c r="J204" s="82"/>
    </row>
    <row r="205" spans="1:10">
      <c r="A205" s="76">
        <v>192</v>
      </c>
      <c r="B205" s="85" t="s">
        <v>132</v>
      </c>
      <c r="C205" s="89">
        <v>8.8538332048538074E-2</v>
      </c>
      <c r="D205" s="89">
        <v>8.8639017251141775E-2</v>
      </c>
      <c r="E205" s="89">
        <f>'Smoothed Input Details'!L103</f>
        <v>8.8639017251141775E-2</v>
      </c>
      <c r="F205" s="89">
        <f t="shared" ref="F205:I205" si="154">E205</f>
        <v>8.8639017251141775E-2</v>
      </c>
      <c r="G205" s="89">
        <f t="shared" si="154"/>
        <v>8.8639017251141775E-2</v>
      </c>
      <c r="H205" s="89">
        <f t="shared" si="154"/>
        <v>8.8639017251141775E-2</v>
      </c>
      <c r="I205" s="89">
        <f t="shared" si="154"/>
        <v>8.8639017251141775E-2</v>
      </c>
      <c r="J205" s="82"/>
    </row>
    <row r="206" spans="1:10">
      <c r="A206" s="76">
        <v>193</v>
      </c>
      <c r="B206" s="85" t="s">
        <v>133</v>
      </c>
      <c r="C206" s="89">
        <v>0.16779049921915001</v>
      </c>
      <c r="D206" s="89">
        <v>0.1511733177646977</v>
      </c>
      <c r="E206" s="89">
        <f>'Smoothed Input Details'!L104</f>
        <v>0.1511733177646977</v>
      </c>
      <c r="F206" s="89">
        <f t="shared" ref="F206:I206" si="155">E206</f>
        <v>0.1511733177646977</v>
      </c>
      <c r="G206" s="89">
        <f t="shared" si="155"/>
        <v>0.1511733177646977</v>
      </c>
      <c r="H206" s="89">
        <f t="shared" si="155"/>
        <v>0.1511733177646977</v>
      </c>
      <c r="I206" s="89">
        <f t="shared" si="155"/>
        <v>0.1511733177646977</v>
      </c>
      <c r="J206" s="82"/>
    </row>
    <row r="207" spans="1:10">
      <c r="A207" s="76">
        <v>194</v>
      </c>
      <c r="B207" s="85" t="s">
        <v>134</v>
      </c>
      <c r="C207" s="89">
        <v>0.62564676625718285</v>
      </c>
      <c r="D207" s="89">
        <v>0.63526803788016351</v>
      </c>
      <c r="E207" s="89">
        <f>'Smoothed Input Details'!L105</f>
        <v>0.63526803788016351</v>
      </c>
      <c r="F207" s="89">
        <f t="shared" ref="F207:I207" si="156">E207</f>
        <v>0.63526803788016351</v>
      </c>
      <c r="G207" s="89">
        <f t="shared" si="156"/>
        <v>0.63526803788016351</v>
      </c>
      <c r="H207" s="89">
        <f t="shared" si="156"/>
        <v>0.63526803788016351</v>
      </c>
      <c r="I207" s="89">
        <f t="shared" si="156"/>
        <v>0.63526803788016351</v>
      </c>
      <c r="J207" s="82"/>
    </row>
    <row r="208" spans="1:10">
      <c r="A208" s="76">
        <v>195</v>
      </c>
      <c r="B208" s="91" t="s">
        <v>1374</v>
      </c>
      <c r="C208" s="90"/>
      <c r="D208" s="90"/>
      <c r="E208" s="90"/>
      <c r="F208" s="90"/>
      <c r="G208" s="90"/>
      <c r="H208" s="90"/>
      <c r="I208" s="90"/>
      <c r="J208" s="79"/>
    </row>
    <row r="209" spans="1:10">
      <c r="A209" s="76">
        <v>196</v>
      </c>
      <c r="B209" s="85" t="s">
        <v>131</v>
      </c>
      <c r="C209" s="89">
        <v>0.59828767123287674</v>
      </c>
      <c r="D209" s="89">
        <v>0.59828767123287674</v>
      </c>
      <c r="E209" s="89">
        <f>'Smoothed Input Details'!M102</f>
        <v>0.59828767123287674</v>
      </c>
      <c r="F209" s="89">
        <f t="shared" ref="F209:I209" si="157">E209</f>
        <v>0.59828767123287674</v>
      </c>
      <c r="G209" s="89">
        <f t="shared" si="157"/>
        <v>0.59828767123287674</v>
      </c>
      <c r="H209" s="89">
        <f t="shared" si="157"/>
        <v>0.59828767123287674</v>
      </c>
      <c r="I209" s="89">
        <f t="shared" si="157"/>
        <v>0.59828767123287674</v>
      </c>
      <c r="J209" s="82"/>
    </row>
    <row r="210" spans="1:10">
      <c r="A210" s="76">
        <v>197</v>
      </c>
      <c r="B210" s="85" t="s">
        <v>132</v>
      </c>
      <c r="C210" s="89">
        <v>0.8622568678387813</v>
      </c>
      <c r="D210" s="89">
        <v>0.86244743020798342</v>
      </c>
      <c r="E210" s="89">
        <f>'Smoothed Input Details'!M103</f>
        <v>0.86244743020798342</v>
      </c>
      <c r="F210" s="89">
        <f t="shared" ref="F210:I210" si="158">E210</f>
        <v>0.86244743020798342</v>
      </c>
      <c r="G210" s="89">
        <f t="shared" si="158"/>
        <v>0.86244743020798342</v>
      </c>
      <c r="H210" s="89">
        <f t="shared" si="158"/>
        <v>0.86244743020798342</v>
      </c>
      <c r="I210" s="89">
        <f t="shared" si="158"/>
        <v>0.86244743020798342</v>
      </c>
      <c r="J210" s="82"/>
    </row>
    <row r="211" spans="1:10">
      <c r="A211" s="76">
        <v>198</v>
      </c>
      <c r="B211" s="85" t="s">
        <v>133</v>
      </c>
      <c r="C211" s="89">
        <v>0.74035112482877963</v>
      </c>
      <c r="D211" s="89">
        <v>0.75945293029655137</v>
      </c>
      <c r="E211" s="89">
        <f>'Smoothed Input Details'!M104</f>
        <v>0.75945293029655137</v>
      </c>
      <c r="F211" s="89">
        <f t="shared" ref="F211:I211" si="159">E211</f>
        <v>0.75945293029655137</v>
      </c>
      <c r="G211" s="89">
        <f t="shared" si="159"/>
        <v>0.75945293029655137</v>
      </c>
      <c r="H211" s="89">
        <f t="shared" si="159"/>
        <v>0.75945293029655137</v>
      </c>
      <c r="I211" s="89">
        <f t="shared" si="159"/>
        <v>0.75945293029655137</v>
      </c>
      <c r="J211" s="82"/>
    </row>
    <row r="212" spans="1:10">
      <c r="A212" s="76">
        <v>199</v>
      </c>
      <c r="B212" s="85" t="s">
        <v>134</v>
      </c>
      <c r="C212" s="89">
        <v>0.36191834560680225</v>
      </c>
      <c r="D212" s="89">
        <v>0.35486574451676106</v>
      </c>
      <c r="E212" s="89">
        <f>'Smoothed Input Details'!M105</f>
        <v>0.35486574451676106</v>
      </c>
      <c r="F212" s="89">
        <f t="shared" ref="F212:I212" si="160">E212</f>
        <v>0.35486574451676106</v>
      </c>
      <c r="G212" s="89">
        <f t="shared" si="160"/>
        <v>0.35486574451676106</v>
      </c>
      <c r="H212" s="89">
        <f t="shared" si="160"/>
        <v>0.35486574451676106</v>
      </c>
      <c r="I212" s="89">
        <f t="shared" si="160"/>
        <v>0.35486574451676106</v>
      </c>
      <c r="J212" s="82"/>
    </row>
    <row r="213" spans="1:10">
      <c r="A213" s="76">
        <v>200</v>
      </c>
      <c r="B213" s="81" t="s">
        <v>240</v>
      </c>
      <c r="C213" s="80"/>
      <c r="D213" s="80"/>
      <c r="E213" s="80"/>
      <c r="F213" s="80"/>
      <c r="G213" s="80"/>
      <c r="H213" s="80"/>
      <c r="I213" s="80"/>
      <c r="J213" s="79"/>
    </row>
    <row r="214" spans="1:10">
      <c r="A214" s="76">
        <v>201</v>
      </c>
      <c r="B214" s="85" t="s">
        <v>1846</v>
      </c>
      <c r="C214" s="87">
        <v>258</v>
      </c>
      <c r="D214" s="87">
        <v>258</v>
      </c>
      <c r="E214" s="87">
        <v>258</v>
      </c>
      <c r="F214" s="87">
        <v>258</v>
      </c>
      <c r="G214" s="87">
        <v>258</v>
      </c>
      <c r="H214" s="87">
        <v>255</v>
      </c>
      <c r="I214" s="87">
        <v>258</v>
      </c>
      <c r="J214" s="82"/>
    </row>
    <row r="215" spans="1:10">
      <c r="A215" s="76">
        <v>202</v>
      </c>
      <c r="B215" s="85" t="s">
        <v>239</v>
      </c>
      <c r="C215" s="87">
        <v>3279</v>
      </c>
      <c r="D215" s="87">
        <v>3265.5</v>
      </c>
      <c r="E215" s="87">
        <v>3252</v>
      </c>
      <c r="F215" s="87">
        <v>3252</v>
      </c>
      <c r="G215" s="87">
        <v>3279</v>
      </c>
      <c r="H215" s="87">
        <v>3268.5</v>
      </c>
      <c r="I215" s="87">
        <v>3265.5</v>
      </c>
      <c r="J215" s="82"/>
    </row>
    <row r="216" spans="1:10">
      <c r="A216" s="76">
        <v>203</v>
      </c>
      <c r="B216" s="85" t="s">
        <v>235</v>
      </c>
      <c r="C216" s="87">
        <v>5247</v>
      </c>
      <c r="D216" s="87">
        <v>5236.5</v>
      </c>
      <c r="E216" s="87">
        <v>5250</v>
      </c>
      <c r="F216" s="87">
        <v>5250</v>
      </c>
      <c r="G216" s="87">
        <v>5247</v>
      </c>
      <c r="H216" s="87">
        <v>5236.5</v>
      </c>
      <c r="I216" s="87">
        <v>5236.5</v>
      </c>
      <c r="J216" s="82"/>
    </row>
    <row r="217" spans="1:10">
      <c r="A217" s="76">
        <v>204</v>
      </c>
      <c r="B217" s="81" t="s">
        <v>1378</v>
      </c>
      <c r="C217" s="80"/>
      <c r="D217" s="80"/>
      <c r="E217" s="80"/>
      <c r="F217" s="80"/>
      <c r="G217" s="80"/>
      <c r="H217" s="80"/>
      <c r="I217" s="80"/>
      <c r="J217" s="79"/>
    </row>
    <row r="218" spans="1:10">
      <c r="A218" s="76">
        <v>205</v>
      </c>
      <c r="B218" s="85" t="s">
        <v>233</v>
      </c>
      <c r="C218" s="87">
        <v>786</v>
      </c>
      <c r="D218" s="87">
        <v>783</v>
      </c>
      <c r="E218" s="86">
        <v>780</v>
      </c>
      <c r="F218" s="87">
        <v>780</v>
      </c>
      <c r="G218" s="87">
        <v>786</v>
      </c>
      <c r="H218" s="87">
        <v>783</v>
      </c>
      <c r="I218" s="87">
        <v>783</v>
      </c>
      <c r="J218" s="82"/>
    </row>
    <row r="219" spans="1:10">
      <c r="A219" s="76">
        <v>206</v>
      </c>
      <c r="B219" s="85" t="s">
        <v>234</v>
      </c>
      <c r="C219" s="87">
        <v>2751</v>
      </c>
      <c r="D219" s="87">
        <v>2740.5</v>
      </c>
      <c r="E219" s="86">
        <v>2730</v>
      </c>
      <c r="F219" s="87">
        <v>2730</v>
      </c>
      <c r="G219" s="87">
        <v>2751</v>
      </c>
      <c r="H219" s="87">
        <v>2740.5</v>
      </c>
      <c r="I219" s="87">
        <v>2740.5</v>
      </c>
      <c r="J219" s="82"/>
    </row>
    <row r="220" spans="1:10">
      <c r="A220" s="76">
        <v>207</v>
      </c>
      <c r="B220" s="85" t="s">
        <v>235</v>
      </c>
      <c r="C220" s="87">
        <v>5247</v>
      </c>
      <c r="D220" s="87">
        <v>5236.5</v>
      </c>
      <c r="E220" s="86">
        <v>5250</v>
      </c>
      <c r="F220" s="87">
        <v>5250</v>
      </c>
      <c r="G220" s="87">
        <v>5247</v>
      </c>
      <c r="H220" s="87">
        <v>5236.5</v>
      </c>
      <c r="I220" s="87">
        <v>5236.5</v>
      </c>
      <c r="J220" s="82"/>
    </row>
    <row r="221" spans="1:10">
      <c r="A221" s="76">
        <v>208</v>
      </c>
      <c r="B221" s="81" t="s">
        <v>1377</v>
      </c>
      <c r="C221" s="80"/>
      <c r="D221" s="80"/>
      <c r="E221" s="80"/>
      <c r="F221" s="80"/>
      <c r="G221" s="80"/>
      <c r="H221" s="80"/>
      <c r="I221" s="80"/>
      <c r="J221" s="79"/>
    </row>
    <row r="222" spans="1:10">
      <c r="A222" s="76">
        <v>209</v>
      </c>
      <c r="B222" s="91" t="s">
        <v>1376</v>
      </c>
      <c r="C222" s="90"/>
      <c r="D222" s="90"/>
      <c r="E222" s="90"/>
      <c r="F222" s="90"/>
      <c r="G222" s="90"/>
      <c r="H222" s="90"/>
      <c r="I222" s="90"/>
      <c r="J222" s="79"/>
    </row>
    <row r="223" spans="1:10">
      <c r="A223" s="76">
        <v>210</v>
      </c>
      <c r="B223" s="85" t="s">
        <v>60</v>
      </c>
      <c r="C223" s="89">
        <v>0.8784465744031662</v>
      </c>
      <c r="D223" s="89">
        <v>0.85470794540392048</v>
      </c>
      <c r="E223" s="88">
        <f>'Smoothed Input Details'!K115</f>
        <v>0.85470794540392048</v>
      </c>
      <c r="F223" s="88">
        <f t="shared" ref="F223:I223" si="161">E223</f>
        <v>0.85470794540392048</v>
      </c>
      <c r="G223" s="88">
        <f t="shared" si="161"/>
        <v>0.85470794540392048</v>
      </c>
      <c r="H223" s="88">
        <f t="shared" si="161"/>
        <v>0.85470794540392048</v>
      </c>
      <c r="I223" s="88">
        <f t="shared" si="161"/>
        <v>0.85470794540392048</v>
      </c>
      <c r="J223" s="82"/>
    </row>
    <row r="224" spans="1:10">
      <c r="A224" s="76">
        <v>211</v>
      </c>
      <c r="B224" s="85" t="s">
        <v>61</v>
      </c>
      <c r="C224" s="89">
        <v>0.74314387901792356</v>
      </c>
      <c r="D224" s="89">
        <v>0.73347807576361312</v>
      </c>
      <c r="E224" s="88">
        <f>'Smoothed Input Details'!K116</f>
        <v>0.73347807576361312</v>
      </c>
      <c r="F224" s="88">
        <f t="shared" ref="F224:I224" si="162">E224</f>
        <v>0.73347807576361312</v>
      </c>
      <c r="G224" s="88">
        <f t="shared" si="162"/>
        <v>0.73347807576361312</v>
      </c>
      <c r="H224" s="88">
        <f t="shared" si="162"/>
        <v>0.73347807576361312</v>
      </c>
      <c r="I224" s="88">
        <f t="shared" si="162"/>
        <v>0.73347807576361312</v>
      </c>
      <c r="J224" s="82"/>
    </row>
    <row r="225" spans="1:10">
      <c r="A225" s="76">
        <v>212</v>
      </c>
      <c r="B225" s="85" t="s">
        <v>62</v>
      </c>
      <c r="C225" s="89">
        <v>0.74314387901792356</v>
      </c>
      <c r="D225" s="89">
        <v>0.73347807576361312</v>
      </c>
      <c r="E225" s="88">
        <f>'Smoothed Input Details'!K117</f>
        <v>0.73347807576361312</v>
      </c>
      <c r="F225" s="88">
        <f t="shared" ref="F225:I225" si="163">E225</f>
        <v>0.73347807576361312</v>
      </c>
      <c r="G225" s="88">
        <f t="shared" si="163"/>
        <v>0.73347807576361312</v>
      </c>
      <c r="H225" s="88">
        <f t="shared" si="163"/>
        <v>0.73347807576361312</v>
      </c>
      <c r="I225" s="88">
        <f t="shared" si="163"/>
        <v>0.73347807576361312</v>
      </c>
      <c r="J225" s="82"/>
    </row>
    <row r="226" spans="1:10">
      <c r="A226" s="76">
        <v>213</v>
      </c>
      <c r="B226" s="85" t="s">
        <v>63</v>
      </c>
      <c r="C226" s="89">
        <v>0.75011756459301948</v>
      </c>
      <c r="D226" s="89">
        <v>0.74849318073591797</v>
      </c>
      <c r="E226" s="88">
        <f>'Smoothed Input Details'!K118</f>
        <v>0.74849318073591797</v>
      </c>
      <c r="F226" s="88">
        <f t="shared" ref="F226:I226" si="164">E226</f>
        <v>0.74849318073591797</v>
      </c>
      <c r="G226" s="88">
        <f t="shared" si="164"/>
        <v>0.74849318073591797</v>
      </c>
      <c r="H226" s="88">
        <f t="shared" si="164"/>
        <v>0.74849318073591797</v>
      </c>
      <c r="I226" s="88">
        <f t="shared" si="164"/>
        <v>0.74849318073591797</v>
      </c>
      <c r="J226" s="82"/>
    </row>
    <row r="227" spans="1:10">
      <c r="A227" s="76">
        <v>214</v>
      </c>
      <c r="B227" s="85" t="s">
        <v>64</v>
      </c>
      <c r="C227" s="89">
        <v>0.75011756459301948</v>
      </c>
      <c r="D227" s="89">
        <v>0.74849318073591797</v>
      </c>
      <c r="E227" s="88">
        <f>'Smoothed Input Details'!K119</f>
        <v>0.74849318073591797</v>
      </c>
      <c r="F227" s="88">
        <f t="shared" ref="F227:I227" si="165">E227</f>
        <v>0.74849318073591797</v>
      </c>
      <c r="G227" s="88">
        <f t="shared" si="165"/>
        <v>0.74849318073591797</v>
      </c>
      <c r="H227" s="88">
        <f t="shared" si="165"/>
        <v>0.74849318073591797</v>
      </c>
      <c r="I227" s="88">
        <f t="shared" si="165"/>
        <v>0.74849318073591797</v>
      </c>
      <c r="J227" s="82"/>
    </row>
    <row r="228" spans="1:10">
      <c r="A228" s="76">
        <v>215</v>
      </c>
      <c r="B228" s="85" t="s">
        <v>69</v>
      </c>
      <c r="C228" s="89">
        <v>0.74314387901792356</v>
      </c>
      <c r="D228" s="89">
        <v>0.73347807576361312</v>
      </c>
      <c r="E228" s="88">
        <f>'Smoothed Input Details'!K120</f>
        <v>0.73347807576361312</v>
      </c>
      <c r="F228" s="88">
        <f t="shared" ref="F228:I228" si="166">E228</f>
        <v>0.73347807576361312</v>
      </c>
      <c r="G228" s="88">
        <f t="shared" si="166"/>
        <v>0.73347807576361312</v>
      </c>
      <c r="H228" s="88">
        <f t="shared" si="166"/>
        <v>0.73347807576361312</v>
      </c>
      <c r="I228" s="88">
        <f t="shared" si="166"/>
        <v>0.73347807576361312</v>
      </c>
      <c r="J228" s="82"/>
    </row>
    <row r="229" spans="1:10">
      <c r="A229" s="76">
        <v>216</v>
      </c>
      <c r="B229" s="85" t="s">
        <v>65</v>
      </c>
      <c r="C229" s="89">
        <v>0.75011756459301948</v>
      </c>
      <c r="D229" s="89">
        <v>0.74849318073591797</v>
      </c>
      <c r="E229" s="88">
        <f>'Smoothed Input Details'!K121</f>
        <v>0.74849318073591797</v>
      </c>
      <c r="F229" s="88">
        <f t="shared" ref="F229:I229" si="167">E229</f>
        <v>0.74849318073591797</v>
      </c>
      <c r="G229" s="88">
        <f t="shared" si="167"/>
        <v>0.74849318073591797</v>
      </c>
      <c r="H229" s="88">
        <f t="shared" si="167"/>
        <v>0.74849318073591797</v>
      </c>
      <c r="I229" s="88">
        <f t="shared" si="167"/>
        <v>0.74849318073591797</v>
      </c>
      <c r="J229" s="82"/>
    </row>
    <row r="230" spans="1:10">
      <c r="A230" s="76">
        <v>217</v>
      </c>
      <c r="B230" s="85" t="s">
        <v>66</v>
      </c>
      <c r="C230" s="89">
        <v>0.75011756459301948</v>
      </c>
      <c r="D230" s="89">
        <v>0.74849318073591797</v>
      </c>
      <c r="E230" s="88">
        <f>'Smoothed Input Details'!K122</f>
        <v>0.74849318073591797</v>
      </c>
      <c r="F230" s="88">
        <f t="shared" ref="F230:I230" si="168">E230</f>
        <v>0.74849318073591797</v>
      </c>
      <c r="G230" s="88">
        <f t="shared" si="168"/>
        <v>0.74849318073591797</v>
      </c>
      <c r="H230" s="88">
        <f t="shared" si="168"/>
        <v>0.74849318073591797</v>
      </c>
      <c r="I230" s="88">
        <f t="shared" si="168"/>
        <v>0.74849318073591797</v>
      </c>
      <c r="J230" s="82"/>
    </row>
    <row r="231" spans="1:10">
      <c r="A231" s="76">
        <v>218</v>
      </c>
      <c r="B231" s="85" t="s">
        <v>67</v>
      </c>
      <c r="C231" s="89">
        <v>0.75011756459301948</v>
      </c>
      <c r="D231" s="89">
        <v>0.74849318073591797</v>
      </c>
      <c r="E231" s="88">
        <f>'Smoothed Input Details'!K123</f>
        <v>0.74849318073591797</v>
      </c>
      <c r="F231" s="88">
        <f t="shared" ref="F231:I231" si="169">E231</f>
        <v>0.74849318073591797</v>
      </c>
      <c r="G231" s="88">
        <f t="shared" si="169"/>
        <v>0.74849318073591797</v>
      </c>
      <c r="H231" s="88">
        <f t="shared" si="169"/>
        <v>0.74849318073591797</v>
      </c>
      <c r="I231" s="88">
        <f t="shared" si="169"/>
        <v>0.74849318073591797</v>
      </c>
      <c r="J231" s="82"/>
    </row>
    <row r="232" spans="1:10">
      <c r="A232" s="76">
        <v>219</v>
      </c>
      <c r="B232" s="91" t="s">
        <v>1375</v>
      </c>
      <c r="C232" s="90"/>
      <c r="D232" s="90"/>
      <c r="E232" s="90"/>
      <c r="F232" s="90"/>
      <c r="G232" s="90"/>
      <c r="H232" s="90"/>
      <c r="I232" s="90"/>
      <c r="J232" s="79"/>
    </row>
    <row r="233" spans="1:10">
      <c r="A233" s="76">
        <v>220</v>
      </c>
      <c r="B233" s="85" t="s">
        <v>60</v>
      </c>
      <c r="C233" s="89">
        <v>0.12155342559683391</v>
      </c>
      <c r="D233" s="89">
        <v>0.14529205459607944</v>
      </c>
      <c r="E233" s="88">
        <f>'Smoothed Input Details'!L115</f>
        <v>0.14529205459607944</v>
      </c>
      <c r="F233" s="88">
        <f t="shared" ref="F233:I233" si="170">E233</f>
        <v>0.14529205459607944</v>
      </c>
      <c r="G233" s="88">
        <f t="shared" si="170"/>
        <v>0.14529205459607944</v>
      </c>
      <c r="H233" s="88">
        <f t="shared" si="170"/>
        <v>0.14529205459607944</v>
      </c>
      <c r="I233" s="88">
        <f t="shared" si="170"/>
        <v>0.14529205459607944</v>
      </c>
      <c r="J233" s="82"/>
    </row>
    <row r="234" spans="1:10">
      <c r="A234" s="76">
        <v>221</v>
      </c>
      <c r="B234" s="85" t="s">
        <v>61</v>
      </c>
      <c r="C234" s="89">
        <v>0.23166363811488069</v>
      </c>
      <c r="D234" s="89">
        <v>0.23785008473510372</v>
      </c>
      <c r="E234" s="88">
        <f>'Smoothed Input Details'!L116</f>
        <v>0.23785008473510372</v>
      </c>
      <c r="F234" s="88">
        <f t="shared" ref="F234:I234" si="171">E234</f>
        <v>0.23785008473510372</v>
      </c>
      <c r="G234" s="88">
        <f t="shared" si="171"/>
        <v>0.23785008473510372</v>
      </c>
      <c r="H234" s="88">
        <f t="shared" si="171"/>
        <v>0.23785008473510372</v>
      </c>
      <c r="I234" s="88">
        <f t="shared" si="171"/>
        <v>0.23785008473510372</v>
      </c>
      <c r="J234" s="82"/>
    </row>
    <row r="235" spans="1:10">
      <c r="A235" s="76">
        <v>222</v>
      </c>
      <c r="B235" s="85" t="s">
        <v>62</v>
      </c>
      <c r="C235" s="89">
        <v>0.23166363811488069</v>
      </c>
      <c r="D235" s="89">
        <v>0.23785008473510372</v>
      </c>
      <c r="E235" s="88">
        <f>'Smoothed Input Details'!L117</f>
        <v>0.23785008473510372</v>
      </c>
      <c r="F235" s="88">
        <f t="shared" ref="F235:I235" si="172">E235</f>
        <v>0.23785008473510372</v>
      </c>
      <c r="G235" s="88">
        <f t="shared" si="172"/>
        <v>0.23785008473510372</v>
      </c>
      <c r="H235" s="88">
        <f t="shared" si="172"/>
        <v>0.23785008473510372</v>
      </c>
      <c r="I235" s="88">
        <f t="shared" si="172"/>
        <v>0.23785008473510372</v>
      </c>
      <c r="J235" s="82"/>
    </row>
    <row r="236" spans="1:10">
      <c r="A236" s="76">
        <v>223</v>
      </c>
      <c r="B236" s="85" t="s">
        <v>63</v>
      </c>
      <c r="C236" s="89">
        <v>0.19340674239045438</v>
      </c>
      <c r="D236" s="89">
        <v>0.18814792948012682</v>
      </c>
      <c r="E236" s="88">
        <f>'Smoothed Input Details'!L118</f>
        <v>0.18814792948012682</v>
      </c>
      <c r="F236" s="88">
        <f t="shared" ref="F236:I236" si="173">E236</f>
        <v>0.18814792948012682</v>
      </c>
      <c r="G236" s="88">
        <f t="shared" si="173"/>
        <v>0.18814792948012682</v>
      </c>
      <c r="H236" s="88">
        <f t="shared" si="173"/>
        <v>0.18814792948012682</v>
      </c>
      <c r="I236" s="88">
        <f t="shared" si="173"/>
        <v>0.18814792948012682</v>
      </c>
      <c r="J236" s="82"/>
    </row>
    <row r="237" spans="1:10">
      <c r="A237" s="76">
        <v>224</v>
      </c>
      <c r="B237" s="85" t="s">
        <v>64</v>
      </c>
      <c r="C237" s="89">
        <v>0.19340674239045438</v>
      </c>
      <c r="D237" s="89">
        <v>0.18814792948012682</v>
      </c>
      <c r="E237" s="88">
        <f>'Smoothed Input Details'!L119</f>
        <v>0.18814792948012682</v>
      </c>
      <c r="F237" s="88">
        <f t="shared" ref="F237:I237" si="174">E237</f>
        <v>0.18814792948012682</v>
      </c>
      <c r="G237" s="88">
        <f t="shared" si="174"/>
        <v>0.18814792948012682</v>
      </c>
      <c r="H237" s="88">
        <f t="shared" si="174"/>
        <v>0.18814792948012682</v>
      </c>
      <c r="I237" s="88">
        <f t="shared" si="174"/>
        <v>0.18814792948012682</v>
      </c>
      <c r="J237" s="82"/>
    </row>
    <row r="238" spans="1:10">
      <c r="A238" s="76">
        <v>225</v>
      </c>
      <c r="B238" s="85" t="s">
        <v>69</v>
      </c>
      <c r="C238" s="89">
        <v>0.23166363811488069</v>
      </c>
      <c r="D238" s="89">
        <v>0.23785008473510372</v>
      </c>
      <c r="E238" s="88">
        <f>'Smoothed Input Details'!L120</f>
        <v>0.23785008473510372</v>
      </c>
      <c r="F238" s="88">
        <f t="shared" ref="F238:I238" si="175">E238</f>
        <v>0.23785008473510372</v>
      </c>
      <c r="G238" s="88">
        <f t="shared" si="175"/>
        <v>0.23785008473510372</v>
      </c>
      <c r="H238" s="88">
        <f t="shared" si="175"/>
        <v>0.23785008473510372</v>
      </c>
      <c r="I238" s="88">
        <f t="shared" si="175"/>
        <v>0.23785008473510372</v>
      </c>
      <c r="J238" s="82"/>
    </row>
    <row r="239" spans="1:10">
      <c r="A239" s="76">
        <v>226</v>
      </c>
      <c r="B239" s="85" t="s">
        <v>65</v>
      </c>
      <c r="C239" s="89">
        <v>0.19340674239045438</v>
      </c>
      <c r="D239" s="89">
        <v>0.18814792948012682</v>
      </c>
      <c r="E239" s="88">
        <f>'Smoothed Input Details'!L121</f>
        <v>0.18814792948012682</v>
      </c>
      <c r="F239" s="88">
        <f t="shared" ref="F239:I239" si="176">E239</f>
        <v>0.18814792948012682</v>
      </c>
      <c r="G239" s="88">
        <f t="shared" si="176"/>
        <v>0.18814792948012682</v>
      </c>
      <c r="H239" s="88">
        <f t="shared" si="176"/>
        <v>0.18814792948012682</v>
      </c>
      <c r="I239" s="88">
        <f t="shared" si="176"/>
        <v>0.18814792948012682</v>
      </c>
      <c r="J239" s="82"/>
    </row>
    <row r="240" spans="1:10">
      <c r="A240" s="76">
        <v>227</v>
      </c>
      <c r="B240" s="85" t="s">
        <v>66</v>
      </c>
      <c r="C240" s="89">
        <v>0.19340674239045438</v>
      </c>
      <c r="D240" s="89">
        <v>0.18814792948012682</v>
      </c>
      <c r="E240" s="88">
        <f>'Smoothed Input Details'!L122</f>
        <v>0.18814792948012682</v>
      </c>
      <c r="F240" s="88">
        <f t="shared" ref="F240:I240" si="177">E240</f>
        <v>0.18814792948012682</v>
      </c>
      <c r="G240" s="88">
        <f t="shared" si="177"/>
        <v>0.18814792948012682</v>
      </c>
      <c r="H240" s="88">
        <f t="shared" si="177"/>
        <v>0.18814792948012682</v>
      </c>
      <c r="I240" s="88">
        <f t="shared" si="177"/>
        <v>0.18814792948012682</v>
      </c>
      <c r="J240" s="82"/>
    </row>
    <row r="241" spans="1:10">
      <c r="A241" s="76">
        <v>228</v>
      </c>
      <c r="B241" s="85" t="s">
        <v>67</v>
      </c>
      <c r="C241" s="89">
        <v>0.19340674239045438</v>
      </c>
      <c r="D241" s="89">
        <v>0.18814792948012682</v>
      </c>
      <c r="E241" s="88">
        <f>'Smoothed Input Details'!L123</f>
        <v>0.18814792948012682</v>
      </c>
      <c r="F241" s="88">
        <f t="shared" ref="F241:I241" si="178">E241</f>
        <v>0.18814792948012682</v>
      </c>
      <c r="G241" s="88">
        <f t="shared" si="178"/>
        <v>0.18814792948012682</v>
      </c>
      <c r="H241" s="88">
        <f t="shared" si="178"/>
        <v>0.18814792948012682</v>
      </c>
      <c r="I241" s="88">
        <f t="shared" si="178"/>
        <v>0.18814792948012682</v>
      </c>
      <c r="J241" s="82"/>
    </row>
    <row r="242" spans="1:10">
      <c r="A242" s="76">
        <v>229</v>
      </c>
      <c r="B242" s="91" t="s">
        <v>1374</v>
      </c>
      <c r="C242" s="90"/>
      <c r="D242" s="90"/>
      <c r="E242" s="90"/>
      <c r="F242" s="90"/>
      <c r="G242" s="90"/>
      <c r="H242" s="90"/>
      <c r="I242" s="90"/>
      <c r="J242" s="79"/>
    </row>
    <row r="243" spans="1:10">
      <c r="A243" s="76">
        <v>230</v>
      </c>
      <c r="B243" s="85" t="s">
        <v>60</v>
      </c>
      <c r="C243" s="89">
        <v>0</v>
      </c>
      <c r="D243" s="89">
        <v>0</v>
      </c>
      <c r="E243" s="88">
        <f>'Smoothed Input Details'!M115</f>
        <v>0</v>
      </c>
      <c r="F243" s="88">
        <f t="shared" ref="F243:I243" si="179">E243</f>
        <v>0</v>
      </c>
      <c r="G243" s="88">
        <f t="shared" si="179"/>
        <v>0</v>
      </c>
      <c r="H243" s="88">
        <f t="shared" si="179"/>
        <v>0</v>
      </c>
      <c r="I243" s="88">
        <f t="shared" si="179"/>
        <v>0</v>
      </c>
      <c r="J243" s="82"/>
    </row>
    <row r="244" spans="1:10">
      <c r="A244" s="76">
        <v>231</v>
      </c>
      <c r="B244" s="85" t="s">
        <v>61</v>
      </c>
      <c r="C244" s="89">
        <v>2.5192482867195675E-2</v>
      </c>
      <c r="D244" s="89">
        <v>2.8671839501283092E-2</v>
      </c>
      <c r="E244" s="88">
        <f>'Smoothed Input Details'!M116</f>
        <v>2.8671839501283092E-2</v>
      </c>
      <c r="F244" s="88">
        <f t="shared" ref="F244:I244" si="180">E244</f>
        <v>2.8671839501283092E-2</v>
      </c>
      <c r="G244" s="88">
        <f t="shared" si="180"/>
        <v>2.8671839501283092E-2</v>
      </c>
      <c r="H244" s="88">
        <f t="shared" si="180"/>
        <v>2.8671839501283092E-2</v>
      </c>
      <c r="I244" s="88">
        <f t="shared" si="180"/>
        <v>2.8671839501283092E-2</v>
      </c>
      <c r="J244" s="82"/>
    </row>
    <row r="245" spans="1:10">
      <c r="A245" s="76">
        <v>232</v>
      </c>
      <c r="B245" s="85" t="s">
        <v>62</v>
      </c>
      <c r="C245" s="89">
        <v>2.5192482867195675E-2</v>
      </c>
      <c r="D245" s="89">
        <v>2.8671839501283092E-2</v>
      </c>
      <c r="E245" s="88">
        <f>'Smoothed Input Details'!M117</f>
        <v>2.8671839501283092E-2</v>
      </c>
      <c r="F245" s="88">
        <f t="shared" ref="F245:I245" si="181">E245</f>
        <v>2.8671839501283092E-2</v>
      </c>
      <c r="G245" s="88">
        <f t="shared" si="181"/>
        <v>2.8671839501283092E-2</v>
      </c>
      <c r="H245" s="88">
        <f t="shared" si="181"/>
        <v>2.8671839501283092E-2</v>
      </c>
      <c r="I245" s="88">
        <f t="shared" si="181"/>
        <v>2.8671839501283092E-2</v>
      </c>
      <c r="J245" s="82"/>
    </row>
    <row r="246" spans="1:10">
      <c r="A246" s="76">
        <v>233</v>
      </c>
      <c r="B246" s="85" t="s">
        <v>63</v>
      </c>
      <c r="C246" s="89">
        <v>5.6475693016526003E-2</v>
      </c>
      <c r="D246" s="89">
        <v>6.3358889783955152E-2</v>
      </c>
      <c r="E246" s="88">
        <f>'Smoothed Input Details'!M118</f>
        <v>6.3358889783955152E-2</v>
      </c>
      <c r="F246" s="88">
        <f t="shared" ref="F246:I246" si="182">E246</f>
        <v>6.3358889783955152E-2</v>
      </c>
      <c r="G246" s="88">
        <f t="shared" si="182"/>
        <v>6.3358889783955152E-2</v>
      </c>
      <c r="H246" s="88">
        <f t="shared" si="182"/>
        <v>6.3358889783955152E-2</v>
      </c>
      <c r="I246" s="88">
        <f t="shared" si="182"/>
        <v>6.3358889783955152E-2</v>
      </c>
      <c r="J246" s="82"/>
    </row>
    <row r="247" spans="1:10">
      <c r="A247" s="76">
        <v>234</v>
      </c>
      <c r="B247" s="85" t="s">
        <v>64</v>
      </c>
      <c r="C247" s="89">
        <v>5.6475693016526003E-2</v>
      </c>
      <c r="D247" s="89">
        <v>6.3358889783955152E-2</v>
      </c>
      <c r="E247" s="88">
        <f>'Smoothed Input Details'!M119</f>
        <v>6.3358889783955152E-2</v>
      </c>
      <c r="F247" s="88">
        <f t="shared" ref="F247:I247" si="183">E247</f>
        <v>6.3358889783955152E-2</v>
      </c>
      <c r="G247" s="88">
        <f t="shared" si="183"/>
        <v>6.3358889783955152E-2</v>
      </c>
      <c r="H247" s="88">
        <f t="shared" si="183"/>
        <v>6.3358889783955152E-2</v>
      </c>
      <c r="I247" s="88">
        <f t="shared" si="183"/>
        <v>6.3358889783955152E-2</v>
      </c>
      <c r="J247" s="82"/>
    </row>
    <row r="248" spans="1:10">
      <c r="A248" s="76">
        <v>235</v>
      </c>
      <c r="B248" s="85" t="s">
        <v>69</v>
      </c>
      <c r="C248" s="89">
        <v>2.5192482867195675E-2</v>
      </c>
      <c r="D248" s="89">
        <v>2.8671839501283092E-2</v>
      </c>
      <c r="E248" s="88">
        <f>'Smoothed Input Details'!M120</f>
        <v>2.8671839501283092E-2</v>
      </c>
      <c r="F248" s="88">
        <f t="shared" ref="F248:I248" si="184">E248</f>
        <v>2.8671839501283092E-2</v>
      </c>
      <c r="G248" s="88">
        <f t="shared" si="184"/>
        <v>2.8671839501283092E-2</v>
      </c>
      <c r="H248" s="88">
        <f t="shared" si="184"/>
        <v>2.8671839501283092E-2</v>
      </c>
      <c r="I248" s="88">
        <f t="shared" si="184"/>
        <v>2.8671839501283092E-2</v>
      </c>
      <c r="J248" s="82"/>
    </row>
    <row r="249" spans="1:10">
      <c r="A249" s="76">
        <v>236</v>
      </c>
      <c r="B249" s="85" t="s">
        <v>65</v>
      </c>
      <c r="C249" s="89">
        <v>5.6475693016526003E-2</v>
      </c>
      <c r="D249" s="89">
        <v>6.3358889783955152E-2</v>
      </c>
      <c r="E249" s="88">
        <f>'Smoothed Input Details'!M121</f>
        <v>6.3358889783955152E-2</v>
      </c>
      <c r="F249" s="88">
        <f t="shared" ref="F249:I249" si="185">E249</f>
        <v>6.3358889783955152E-2</v>
      </c>
      <c r="G249" s="88">
        <f t="shared" si="185"/>
        <v>6.3358889783955152E-2</v>
      </c>
      <c r="H249" s="88">
        <f t="shared" si="185"/>
        <v>6.3358889783955152E-2</v>
      </c>
      <c r="I249" s="88">
        <f t="shared" si="185"/>
        <v>6.3358889783955152E-2</v>
      </c>
      <c r="J249" s="82"/>
    </row>
    <row r="250" spans="1:10">
      <c r="A250" s="76">
        <v>237</v>
      </c>
      <c r="B250" s="85" t="s">
        <v>66</v>
      </c>
      <c r="C250" s="89">
        <v>5.6475693016526003E-2</v>
      </c>
      <c r="D250" s="89">
        <v>6.3358889783955152E-2</v>
      </c>
      <c r="E250" s="88">
        <f>'Smoothed Input Details'!M122</f>
        <v>6.3358889783955152E-2</v>
      </c>
      <c r="F250" s="88">
        <f t="shared" ref="F250:I250" si="186">E250</f>
        <v>6.3358889783955152E-2</v>
      </c>
      <c r="G250" s="88">
        <f t="shared" si="186"/>
        <v>6.3358889783955152E-2</v>
      </c>
      <c r="H250" s="88">
        <f t="shared" si="186"/>
        <v>6.3358889783955152E-2</v>
      </c>
      <c r="I250" s="88">
        <f t="shared" si="186"/>
        <v>6.3358889783955152E-2</v>
      </c>
      <c r="J250" s="82"/>
    </row>
    <row r="251" spans="1:10">
      <c r="A251" s="76">
        <v>238</v>
      </c>
      <c r="B251" s="85" t="s">
        <v>67</v>
      </c>
      <c r="C251" s="89">
        <v>5.6475693016526003E-2</v>
      </c>
      <c r="D251" s="89">
        <v>6.3358889783955152E-2</v>
      </c>
      <c r="E251" s="88">
        <f>'Smoothed Input Details'!M123</f>
        <v>6.3358889783955152E-2</v>
      </c>
      <c r="F251" s="88">
        <f t="shared" ref="F251:I251" si="187">E251</f>
        <v>6.3358889783955152E-2</v>
      </c>
      <c r="G251" s="88">
        <f t="shared" si="187"/>
        <v>6.3358889783955152E-2</v>
      </c>
      <c r="H251" s="88">
        <f t="shared" si="187"/>
        <v>6.3358889783955152E-2</v>
      </c>
      <c r="I251" s="88">
        <f t="shared" si="187"/>
        <v>6.3358889783955152E-2</v>
      </c>
      <c r="J251" s="82"/>
    </row>
    <row r="252" spans="1:10">
      <c r="A252" s="76">
        <v>239</v>
      </c>
      <c r="B252" s="91" t="s">
        <v>1373</v>
      </c>
      <c r="C252" s="90"/>
      <c r="D252" s="90"/>
      <c r="E252" s="90"/>
      <c r="F252" s="90"/>
      <c r="G252" s="90"/>
      <c r="H252" s="90"/>
      <c r="I252" s="90"/>
      <c r="J252" s="79"/>
    </row>
    <row r="253" spans="1:10">
      <c r="A253" s="76">
        <v>240</v>
      </c>
      <c r="B253" s="85" t="s">
        <v>60</v>
      </c>
      <c r="C253" s="89">
        <v>0.8784465744031662</v>
      </c>
      <c r="D253" s="89">
        <v>0.84810150959791342</v>
      </c>
      <c r="E253" s="88">
        <v>0.84810150959791342</v>
      </c>
      <c r="F253" s="88">
        <f t="shared" ref="F253:I253" si="188">E253</f>
        <v>0.84810150959791342</v>
      </c>
      <c r="G253" s="88">
        <f t="shared" si="188"/>
        <v>0.84810150959791342</v>
      </c>
      <c r="H253" s="88">
        <f t="shared" si="188"/>
        <v>0.84810150959791342</v>
      </c>
      <c r="I253" s="88">
        <f t="shared" si="188"/>
        <v>0.84810150959791342</v>
      </c>
      <c r="J253" s="82"/>
    </row>
    <row r="254" spans="1:10">
      <c r="A254" s="76">
        <v>241</v>
      </c>
      <c r="B254" s="85" t="s">
        <v>61</v>
      </c>
      <c r="C254" s="89">
        <v>0.73722832597673527</v>
      </c>
      <c r="D254" s="89">
        <v>0.72115228218186689</v>
      </c>
      <c r="E254" s="88">
        <v>0.72115228218186689</v>
      </c>
      <c r="F254" s="88">
        <f t="shared" ref="F254:I254" si="189">E254</f>
        <v>0.72115228218186689</v>
      </c>
      <c r="G254" s="88">
        <f t="shared" si="189"/>
        <v>0.72115228218186689</v>
      </c>
      <c r="H254" s="88">
        <f t="shared" si="189"/>
        <v>0.72115228218186689</v>
      </c>
      <c r="I254" s="88">
        <f t="shared" si="189"/>
        <v>0.72115228218186689</v>
      </c>
      <c r="J254" s="82"/>
    </row>
    <row r="255" spans="1:10">
      <c r="A255" s="76">
        <v>242</v>
      </c>
      <c r="B255" s="85" t="s">
        <v>62</v>
      </c>
      <c r="C255" s="89">
        <v>0.73722832597673527</v>
      </c>
      <c r="D255" s="89">
        <v>0.72115228218186689</v>
      </c>
      <c r="E255" s="88">
        <v>0.72115228218186689</v>
      </c>
      <c r="F255" s="88">
        <f t="shared" ref="F255:I255" si="190">E255</f>
        <v>0.72115228218186689</v>
      </c>
      <c r="G255" s="88">
        <f t="shared" si="190"/>
        <v>0.72115228218186689</v>
      </c>
      <c r="H255" s="88">
        <f t="shared" si="190"/>
        <v>0.72115228218186689</v>
      </c>
      <c r="I255" s="88">
        <f t="shared" si="190"/>
        <v>0.72115228218186689</v>
      </c>
      <c r="J255" s="82"/>
    </row>
    <row r="256" spans="1:10">
      <c r="A256" s="76">
        <v>243</v>
      </c>
      <c r="B256" s="85" t="s">
        <v>63</v>
      </c>
      <c r="C256" s="89">
        <v>0.74693161952175613</v>
      </c>
      <c r="D256" s="89">
        <v>0.7448691829953189</v>
      </c>
      <c r="E256" s="88">
        <v>0.7448691829953189</v>
      </c>
      <c r="F256" s="88">
        <f t="shared" ref="F256:I256" si="191">E256</f>
        <v>0.7448691829953189</v>
      </c>
      <c r="G256" s="88">
        <f t="shared" si="191"/>
        <v>0.7448691829953189</v>
      </c>
      <c r="H256" s="88">
        <f t="shared" si="191"/>
        <v>0.7448691829953189</v>
      </c>
      <c r="I256" s="88">
        <f t="shared" si="191"/>
        <v>0.7448691829953189</v>
      </c>
      <c r="J256" s="82"/>
    </row>
    <row r="257" spans="1:10">
      <c r="A257" s="76">
        <v>244</v>
      </c>
      <c r="B257" s="85" t="s">
        <v>64</v>
      </c>
      <c r="C257" s="89">
        <v>0.74693161952175613</v>
      </c>
      <c r="D257" s="89">
        <v>0.7448691829953189</v>
      </c>
      <c r="E257" s="88">
        <v>0.7448691829953189</v>
      </c>
      <c r="F257" s="88">
        <f t="shared" ref="F257:I257" si="192">E257</f>
        <v>0.7448691829953189</v>
      </c>
      <c r="G257" s="88">
        <f t="shared" si="192"/>
        <v>0.7448691829953189</v>
      </c>
      <c r="H257" s="88">
        <f t="shared" si="192"/>
        <v>0.7448691829953189</v>
      </c>
      <c r="I257" s="88">
        <f t="shared" si="192"/>
        <v>0.7448691829953189</v>
      </c>
      <c r="J257" s="82"/>
    </row>
    <row r="258" spans="1:10">
      <c r="A258" s="76">
        <v>245</v>
      </c>
      <c r="B258" s="85" t="s">
        <v>69</v>
      </c>
      <c r="C258" s="89">
        <v>0.73722832597673527</v>
      </c>
      <c r="D258" s="89">
        <v>0.72115228218186689</v>
      </c>
      <c r="E258" s="88">
        <v>0.72115228218186689</v>
      </c>
      <c r="F258" s="88">
        <f t="shared" ref="F258:I258" si="193">E258</f>
        <v>0.72115228218186689</v>
      </c>
      <c r="G258" s="88">
        <f t="shared" si="193"/>
        <v>0.72115228218186689</v>
      </c>
      <c r="H258" s="88">
        <f t="shared" si="193"/>
        <v>0.72115228218186689</v>
      </c>
      <c r="I258" s="88">
        <f t="shared" si="193"/>
        <v>0.72115228218186689</v>
      </c>
      <c r="J258" s="82"/>
    </row>
    <row r="259" spans="1:10">
      <c r="A259" s="76">
        <v>246</v>
      </c>
      <c r="B259" s="85" t="s">
        <v>65</v>
      </c>
      <c r="C259" s="89">
        <v>0.74693161952175613</v>
      </c>
      <c r="D259" s="89">
        <v>0.7448691829953189</v>
      </c>
      <c r="E259" s="88">
        <v>0.7448691829953189</v>
      </c>
      <c r="F259" s="88">
        <f t="shared" ref="F259:I259" si="194">E259</f>
        <v>0.7448691829953189</v>
      </c>
      <c r="G259" s="88">
        <f t="shared" si="194"/>
        <v>0.7448691829953189</v>
      </c>
      <c r="H259" s="88">
        <f t="shared" si="194"/>
        <v>0.7448691829953189</v>
      </c>
      <c r="I259" s="88">
        <f t="shared" si="194"/>
        <v>0.7448691829953189</v>
      </c>
      <c r="J259" s="82"/>
    </row>
    <row r="260" spans="1:10">
      <c r="A260" s="76">
        <v>247</v>
      </c>
      <c r="B260" s="85" t="s">
        <v>66</v>
      </c>
      <c r="C260" s="89">
        <v>0.74693161952175613</v>
      </c>
      <c r="D260" s="89">
        <v>0.7448691829953189</v>
      </c>
      <c r="E260" s="88">
        <v>0.7448691829953189</v>
      </c>
      <c r="F260" s="88">
        <f t="shared" ref="F260:I260" si="195">E260</f>
        <v>0.7448691829953189</v>
      </c>
      <c r="G260" s="88">
        <f t="shared" si="195"/>
        <v>0.7448691829953189</v>
      </c>
      <c r="H260" s="88">
        <f t="shared" si="195"/>
        <v>0.7448691829953189</v>
      </c>
      <c r="I260" s="88">
        <f t="shared" si="195"/>
        <v>0.7448691829953189</v>
      </c>
      <c r="J260" s="82"/>
    </row>
    <row r="261" spans="1:10">
      <c r="A261" s="76">
        <v>248</v>
      </c>
      <c r="B261" s="85" t="s">
        <v>67</v>
      </c>
      <c r="C261" s="89">
        <v>0.74693161952175613</v>
      </c>
      <c r="D261" s="89">
        <v>0.7448691829953189</v>
      </c>
      <c r="E261" s="88">
        <v>0.7448691829953189</v>
      </c>
      <c r="F261" s="88">
        <f t="shared" ref="F261:I261" si="196">E261</f>
        <v>0.7448691829953189</v>
      </c>
      <c r="G261" s="88">
        <f t="shared" si="196"/>
        <v>0.7448691829953189</v>
      </c>
      <c r="H261" s="88">
        <f t="shared" si="196"/>
        <v>0.7448691829953189</v>
      </c>
      <c r="I261" s="88">
        <f t="shared" si="196"/>
        <v>0.7448691829953189</v>
      </c>
      <c r="J261" s="82"/>
    </row>
    <row r="262" spans="1:10">
      <c r="A262" s="76">
        <v>249</v>
      </c>
      <c r="B262" s="81" t="s">
        <v>1372</v>
      </c>
      <c r="C262" s="80"/>
      <c r="D262" s="80"/>
      <c r="E262" s="80"/>
      <c r="F262" s="80"/>
      <c r="G262" s="80"/>
      <c r="H262" s="80"/>
      <c r="I262" s="80"/>
      <c r="J262" s="79"/>
    </row>
    <row r="263" spans="1:10" ht="12.75" customHeight="1">
      <c r="A263" s="76">
        <v>250</v>
      </c>
      <c r="B263" s="85" t="s">
        <v>60</v>
      </c>
      <c r="C263" s="84">
        <v>0.2810621222726124</v>
      </c>
      <c r="D263" s="84">
        <v>0.2810621222726124</v>
      </c>
      <c r="E263" s="83">
        <v>0.2810621222726124</v>
      </c>
      <c r="F263" s="83">
        <f t="shared" ref="F263:I263" si="197">E263</f>
        <v>0.2810621222726124</v>
      </c>
      <c r="G263" s="83">
        <f t="shared" si="197"/>
        <v>0.2810621222726124</v>
      </c>
      <c r="H263" s="83">
        <f t="shared" si="197"/>
        <v>0.2810621222726124</v>
      </c>
      <c r="I263" s="83">
        <f t="shared" si="197"/>
        <v>0.2810621222726124</v>
      </c>
      <c r="J263" s="82"/>
    </row>
    <row r="264" spans="1:10">
      <c r="A264" s="76">
        <v>251</v>
      </c>
      <c r="B264" s="85" t="s">
        <v>61</v>
      </c>
      <c r="C264" s="84">
        <v>0.2810621222726124</v>
      </c>
      <c r="D264" s="84">
        <v>0.2810621222726124</v>
      </c>
      <c r="E264" s="83">
        <v>0.2810621222726124</v>
      </c>
      <c r="F264" s="83">
        <f t="shared" ref="F264:I264" si="198">E264</f>
        <v>0.2810621222726124</v>
      </c>
      <c r="G264" s="83">
        <f t="shared" si="198"/>
        <v>0.2810621222726124</v>
      </c>
      <c r="H264" s="83">
        <f t="shared" si="198"/>
        <v>0.2810621222726124</v>
      </c>
      <c r="I264" s="83">
        <f t="shared" si="198"/>
        <v>0.2810621222726124</v>
      </c>
      <c r="J264" s="82"/>
    </row>
    <row r="265" spans="1:10">
      <c r="A265" s="76">
        <v>252</v>
      </c>
      <c r="B265" s="85" t="s">
        <v>62</v>
      </c>
      <c r="C265" s="84">
        <v>0.2810621222726124</v>
      </c>
      <c r="D265" s="84">
        <v>0.2810621222726124</v>
      </c>
      <c r="E265" s="83">
        <v>0.2810621222726124</v>
      </c>
      <c r="F265" s="83">
        <f t="shared" ref="F265:I265" si="199">E265</f>
        <v>0.2810621222726124</v>
      </c>
      <c r="G265" s="83">
        <f t="shared" si="199"/>
        <v>0.2810621222726124</v>
      </c>
      <c r="H265" s="83">
        <f t="shared" si="199"/>
        <v>0.2810621222726124</v>
      </c>
      <c r="I265" s="83">
        <f t="shared" si="199"/>
        <v>0.2810621222726124</v>
      </c>
      <c r="J265" s="82"/>
    </row>
    <row r="266" spans="1:10">
      <c r="A266" s="76">
        <v>253</v>
      </c>
      <c r="B266" s="85" t="s">
        <v>63</v>
      </c>
      <c r="C266" s="84">
        <v>0.2810621222726124</v>
      </c>
      <c r="D266" s="84">
        <v>0.2810621222726124</v>
      </c>
      <c r="E266" s="83">
        <v>0.2810621222726124</v>
      </c>
      <c r="F266" s="83">
        <f t="shared" ref="F266:I266" si="200">E266</f>
        <v>0.2810621222726124</v>
      </c>
      <c r="G266" s="83">
        <f t="shared" si="200"/>
        <v>0.2810621222726124</v>
      </c>
      <c r="H266" s="83">
        <f t="shared" si="200"/>
        <v>0.2810621222726124</v>
      </c>
      <c r="I266" s="83">
        <f t="shared" si="200"/>
        <v>0.2810621222726124</v>
      </c>
      <c r="J266" s="82"/>
    </row>
    <row r="267" spans="1:10">
      <c r="A267" s="76">
        <v>254</v>
      </c>
      <c r="B267" s="85" t="s">
        <v>64</v>
      </c>
      <c r="C267" s="84">
        <v>0.2810621222726124</v>
      </c>
      <c r="D267" s="84">
        <v>0.2810621222726124</v>
      </c>
      <c r="E267" s="83">
        <v>0.2810621222726124</v>
      </c>
      <c r="F267" s="83">
        <f t="shared" ref="F267:I267" si="201">E267</f>
        <v>0.2810621222726124</v>
      </c>
      <c r="G267" s="83">
        <f t="shared" si="201"/>
        <v>0.2810621222726124</v>
      </c>
      <c r="H267" s="83">
        <f t="shared" si="201"/>
        <v>0.2810621222726124</v>
      </c>
      <c r="I267" s="83">
        <f t="shared" si="201"/>
        <v>0.2810621222726124</v>
      </c>
      <c r="J267" s="82"/>
    </row>
    <row r="268" spans="1:10">
      <c r="A268" s="76">
        <v>255</v>
      </c>
      <c r="B268" s="85" t="s">
        <v>69</v>
      </c>
      <c r="C268" s="84">
        <v>0.2810621222726124</v>
      </c>
      <c r="D268" s="84">
        <v>0.2810621222726124</v>
      </c>
      <c r="E268" s="83">
        <v>0.2810621222726124</v>
      </c>
      <c r="F268" s="83">
        <f t="shared" ref="F268:I268" si="202">E268</f>
        <v>0.2810621222726124</v>
      </c>
      <c r="G268" s="83">
        <f t="shared" si="202"/>
        <v>0.2810621222726124</v>
      </c>
      <c r="H268" s="83">
        <f t="shared" si="202"/>
        <v>0.2810621222726124</v>
      </c>
      <c r="I268" s="83">
        <f t="shared" si="202"/>
        <v>0.2810621222726124</v>
      </c>
      <c r="J268" s="82"/>
    </row>
    <row r="269" spans="1:10">
      <c r="A269" s="76">
        <v>256</v>
      </c>
      <c r="B269" s="85" t="s">
        <v>65</v>
      </c>
      <c r="C269" s="84">
        <v>0.2810621222726124</v>
      </c>
      <c r="D269" s="84">
        <v>0.2810621222726124</v>
      </c>
      <c r="E269" s="83">
        <v>0.2810621222726124</v>
      </c>
      <c r="F269" s="83">
        <f t="shared" ref="F269:I269" si="203">E269</f>
        <v>0.2810621222726124</v>
      </c>
      <c r="G269" s="83">
        <f t="shared" si="203"/>
        <v>0.2810621222726124</v>
      </c>
      <c r="H269" s="83">
        <f t="shared" si="203"/>
        <v>0.2810621222726124</v>
      </c>
      <c r="I269" s="83">
        <f t="shared" si="203"/>
        <v>0.2810621222726124</v>
      </c>
      <c r="J269" s="82"/>
    </row>
    <row r="270" spans="1:10">
      <c r="A270" s="76">
        <v>257</v>
      </c>
      <c r="B270" s="85" t="s">
        <v>66</v>
      </c>
      <c r="C270" s="84">
        <v>0.2810621222726124</v>
      </c>
      <c r="D270" s="84">
        <v>0.2810621222726124</v>
      </c>
      <c r="E270" s="83">
        <v>0.2810621222726124</v>
      </c>
      <c r="F270" s="83">
        <f t="shared" ref="F270:I270" si="204">E270</f>
        <v>0.2810621222726124</v>
      </c>
      <c r="G270" s="83">
        <f t="shared" si="204"/>
        <v>0.2810621222726124</v>
      </c>
      <c r="H270" s="83">
        <f t="shared" si="204"/>
        <v>0.2810621222726124</v>
      </c>
      <c r="I270" s="83">
        <f t="shared" si="204"/>
        <v>0.2810621222726124</v>
      </c>
      <c r="J270" s="82"/>
    </row>
    <row r="271" spans="1:10">
      <c r="A271" s="76">
        <v>258</v>
      </c>
      <c r="B271" s="85" t="s">
        <v>67</v>
      </c>
      <c r="C271" s="84">
        <v>0.2810621222726124</v>
      </c>
      <c r="D271" s="84">
        <v>0.2810621222726124</v>
      </c>
      <c r="E271" s="83">
        <v>0.2810621222726124</v>
      </c>
      <c r="F271" s="83">
        <f t="shared" ref="F271:I271" si="205">E271</f>
        <v>0.2810621222726124</v>
      </c>
      <c r="G271" s="83">
        <f t="shared" si="205"/>
        <v>0.2810621222726124</v>
      </c>
      <c r="H271" s="83">
        <f t="shared" si="205"/>
        <v>0.2810621222726124</v>
      </c>
      <c r="I271" s="83">
        <f t="shared" si="205"/>
        <v>0.2810621222726124</v>
      </c>
      <c r="J271" s="82"/>
    </row>
  </sheetData>
  <mergeCells count="5">
    <mergeCell ref="E3:F3"/>
    <mergeCell ref="E4:F4"/>
    <mergeCell ref="E5:F5"/>
    <mergeCell ref="C9:D9"/>
    <mergeCell ref="F9:I9"/>
  </mergeCells>
  <dataValidations count="7">
    <dataValidation type="decimal" allowBlank="1" showInputMessage="1" showErrorMessage="1" error="Must be a non-negative percentage value." sqref="D24:I27">
      <formula1>0</formula1>
      <formula2>4</formula2>
    </dataValidation>
    <dataValidation type="decimal" operator="greaterThanOrEqual" allowBlank="1" showInputMessage="1" showErrorMessage="1" sqref="E31:I38 E40:I45 E113:I114 E218:E220 E111:I111 E116:I116 E49:E50">
      <formula1>0</formula1>
    </dataValidation>
    <dataValidation type="decimal" operator="greaterThan" allowBlank="1" showInputMessage="1" showErrorMessage="1" sqref="E58:I64">
      <formula1>0</formula1>
    </dataValidation>
    <dataValidation type="decimal" allowBlank="1" showInputMessage="1" showErrorMessage="1" error="The LDNO discount must be between 0% and 100%." sqref="E66:I69">
      <formula1>0</formula1>
      <formula2>1</formula2>
    </dataValidation>
    <dataValidation type="decimal" allowBlank="1" showInputMessage="1" showErrorMessage="1" error="The coincidence factor must be between 0% and 100%." sqref="F91:I109 E71:I89">
      <formula1>0</formula1>
      <formula2>1</formula2>
    </dataValidation>
    <dataValidation type="decimal" allowBlank="1" showInputMessage="1" showErrorMessage="1" sqref="E192:I196 E180:I184 E149:I157 E263:I271 E223:I231 E159:I167 E233:I241 E169:I177 E253:I261 E186:I190 E243:I251">
      <formula1>0</formula1>
      <formula2>1</formula2>
    </dataValidation>
    <dataValidation type="decimal" allowBlank="1" showInputMessage="1" showErrorMessage="1" error="The load factor must be between 0% and 100%." sqref="E91:E109">
      <formula1>0</formula1>
      <formula2>1</formula2>
    </dataValidation>
  </dataValidations>
  <pageMargins left="0.75" right="0.75" top="1" bottom="1" header="0.5" footer="0.5"/>
  <pageSetup paperSize="9" scale="36" fitToWidth="2" fitToHeight="3" orientation="landscape"/>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D6FCFD"/>
    <pageSetUpPr fitToPage="1"/>
  </sheetPr>
  <dimension ref="A1:K51"/>
  <sheetViews>
    <sheetView showGridLines="0" zoomScaleNormal="100" workbookViewId="0">
      <selection activeCell="H7" sqref="H7"/>
    </sheetView>
  </sheetViews>
  <sheetFormatPr defaultColWidth="8.85546875" defaultRowHeight="12.75"/>
  <cols>
    <col min="1" max="1" width="42.7109375" style="31" customWidth="1"/>
    <col min="2" max="2" width="15.42578125" style="31" customWidth="1"/>
    <col min="3" max="10" width="9.85546875" style="31" customWidth="1"/>
    <col min="11" max="11" width="64.85546875" style="31" customWidth="1"/>
    <col min="12" max="13" width="8.85546875" style="31"/>
    <col min="14" max="14" width="22.28515625" style="31" customWidth="1"/>
    <col min="15" max="16384" width="8.85546875" style="31"/>
  </cols>
  <sheetData>
    <row r="1" spans="1:11" ht="15.75">
      <c r="A1" s="75" t="s">
        <v>1371</v>
      </c>
      <c r="B1" s="73"/>
      <c r="C1" s="71"/>
      <c r="D1" s="71"/>
      <c r="E1" s="71"/>
      <c r="F1" s="71"/>
      <c r="G1" s="71"/>
      <c r="H1" s="71"/>
      <c r="I1" s="71"/>
      <c r="J1" s="71"/>
      <c r="K1" s="71"/>
    </row>
    <row r="2" spans="1:11" ht="15.75">
      <c r="A2" s="74" t="str">
        <f>"Company Name: "&amp;'CDCM Forecast Data'!E3</f>
        <v>Company Name: WPD West Mids</v>
      </c>
      <c r="B2" s="73"/>
      <c r="C2" s="71"/>
      <c r="D2" s="71"/>
      <c r="E2" s="71"/>
      <c r="F2" s="71"/>
      <c r="G2" s="71"/>
      <c r="H2" s="71"/>
      <c r="I2" s="71"/>
      <c r="J2" s="71"/>
      <c r="K2" s="71"/>
    </row>
    <row r="3" spans="1:11" ht="15.75">
      <c r="A3" s="74" t="s">
        <v>1370</v>
      </c>
      <c r="B3" s="72"/>
      <c r="C3" s="71"/>
      <c r="D3" s="71"/>
      <c r="E3" s="71"/>
      <c r="F3" s="71"/>
      <c r="G3" s="71"/>
      <c r="H3" s="71"/>
      <c r="I3" s="71"/>
      <c r="J3" s="71"/>
      <c r="K3" s="71"/>
    </row>
    <row r="4" spans="1:11" ht="15.75">
      <c r="A4" s="71"/>
      <c r="B4" s="73"/>
      <c r="C4" s="71"/>
      <c r="D4" s="72"/>
      <c r="E4" s="72"/>
      <c r="F4" s="72"/>
      <c r="G4" s="72"/>
      <c r="H4" s="72"/>
      <c r="I4" s="72"/>
      <c r="J4" s="72"/>
      <c r="K4" s="71"/>
    </row>
    <row r="5" spans="1:11" ht="15.75">
      <c r="A5" s="68" t="s">
        <v>1369</v>
      </c>
      <c r="B5" s="67" t="s">
        <v>1368</v>
      </c>
      <c r="C5" s="67" t="s">
        <v>5</v>
      </c>
      <c r="D5" s="47"/>
      <c r="E5" s="47"/>
      <c r="F5" s="47"/>
      <c r="G5" s="47"/>
      <c r="H5" s="47"/>
      <c r="I5" s="47"/>
      <c r="J5" s="47"/>
      <c r="K5" s="69" t="s">
        <v>1367</v>
      </c>
    </row>
    <row r="6" spans="1:11" ht="15.75">
      <c r="A6" s="68" t="s">
        <v>1359</v>
      </c>
      <c r="B6" s="67"/>
      <c r="C6" s="67"/>
      <c r="D6" s="70" t="s">
        <v>1366</v>
      </c>
      <c r="E6" s="66" t="s">
        <v>1365</v>
      </c>
      <c r="F6" s="66" t="s">
        <v>1364</v>
      </c>
      <c r="G6" s="70" t="s">
        <v>1363</v>
      </c>
      <c r="H6" s="70" t="s">
        <v>1362</v>
      </c>
      <c r="I6" s="70" t="s">
        <v>1361</v>
      </c>
      <c r="J6" s="70" t="s">
        <v>1360</v>
      </c>
      <c r="K6" s="69"/>
    </row>
    <row r="7" spans="1:11" ht="15.75">
      <c r="A7" s="68" t="s">
        <v>1359</v>
      </c>
      <c r="B7" s="67"/>
      <c r="C7" s="67"/>
      <c r="D7" s="66" t="str">
        <f>'CDCM Forecast Data'!C11</f>
        <v>2015/16</v>
      </c>
      <c r="E7" s="66" t="str">
        <f>'CDCM Forecast Data'!D11</f>
        <v>2016/17</v>
      </c>
      <c r="F7" s="66" t="str">
        <f>'CDCM Forecast Data'!E11</f>
        <v>2017/18</v>
      </c>
      <c r="G7" s="66" t="str">
        <f>'CDCM Forecast Data'!F11</f>
        <v>2018/19</v>
      </c>
      <c r="H7" s="66" t="str">
        <f>'CDCM Forecast Data'!G11</f>
        <v>2019/20</v>
      </c>
      <c r="I7" s="66" t="str">
        <f>'CDCM Forecast Data'!H11</f>
        <v>2020/21</v>
      </c>
      <c r="J7" s="66" t="str">
        <f>'CDCM Forecast Data'!I11</f>
        <v>2021/22</v>
      </c>
      <c r="K7" s="32"/>
    </row>
    <row r="8" spans="1:11" ht="15.75">
      <c r="A8" s="47" t="s">
        <v>1358</v>
      </c>
      <c r="B8" s="34" t="s">
        <v>8</v>
      </c>
      <c r="C8" s="34" t="s">
        <v>35</v>
      </c>
      <c r="D8" s="257">
        <v>385.8</v>
      </c>
      <c r="E8" s="257">
        <v>398.887750657418</v>
      </c>
      <c r="F8" s="257">
        <v>400.77206045253632</v>
      </c>
      <c r="G8" s="257">
        <v>407.94047388227597</v>
      </c>
      <c r="H8" s="257">
        <v>408.24415610390406</v>
      </c>
      <c r="I8" s="257">
        <v>406.20925766583781</v>
      </c>
      <c r="J8" s="257">
        <v>410.16043588128736</v>
      </c>
      <c r="K8" s="32"/>
    </row>
    <row r="9" spans="1:11" ht="15.75">
      <c r="A9" s="35" t="s">
        <v>1357</v>
      </c>
      <c r="B9" s="34" t="s">
        <v>9</v>
      </c>
      <c r="C9" s="34" t="s">
        <v>35</v>
      </c>
      <c r="D9" s="257">
        <v>1.0820000000000001</v>
      </c>
      <c r="E9" s="257">
        <v>1.087</v>
      </c>
      <c r="F9" s="257">
        <v>1.121</v>
      </c>
      <c r="G9" s="257">
        <v>1.1531983000000001</v>
      </c>
      <c r="H9" s="257">
        <v>1.1892689000000001</v>
      </c>
      <c r="I9" s="257">
        <v>1.2234280764700003</v>
      </c>
      <c r="J9" s="257">
        <v>1.2616953760100003</v>
      </c>
      <c r="K9" s="32"/>
    </row>
    <row r="10" spans="1:11" ht="15.75">
      <c r="A10" s="35" t="s">
        <v>1356</v>
      </c>
      <c r="B10" s="34" t="s">
        <v>10</v>
      </c>
      <c r="C10" s="34" t="s">
        <v>35</v>
      </c>
      <c r="D10" s="257"/>
      <c r="E10" s="257"/>
      <c r="F10" s="257"/>
      <c r="G10" s="257"/>
      <c r="H10" s="257"/>
      <c r="I10" s="257"/>
      <c r="J10" s="257"/>
      <c r="K10" s="65"/>
    </row>
    <row r="11" spans="1:11" ht="31.5">
      <c r="A11" s="41" t="s">
        <v>1355</v>
      </c>
      <c r="B11" s="45" t="s">
        <v>11</v>
      </c>
      <c r="C11" s="45" t="s">
        <v>35</v>
      </c>
      <c r="D11" s="44">
        <f t="shared" ref="D11:J11" si="0">D8*D9-D10</f>
        <v>417.43560000000002</v>
      </c>
      <c r="E11" s="44">
        <f t="shared" si="0"/>
        <v>433.59098496461337</v>
      </c>
      <c r="F11" s="44">
        <f t="shared" si="0"/>
        <v>449.26547976729324</v>
      </c>
      <c r="G11" s="44">
        <f t="shared" si="0"/>
        <v>470.43626098223507</v>
      </c>
      <c r="H11" s="44">
        <f t="shared" si="0"/>
        <v>485.51207846111828</v>
      </c>
      <c r="I11" s="44">
        <f t="shared" si="0"/>
        <v>496.9678107504227</v>
      </c>
      <c r="J11" s="44">
        <f t="shared" si="0"/>
        <v>517.49752537366646</v>
      </c>
      <c r="K11" s="43" t="s">
        <v>1354</v>
      </c>
    </row>
    <row r="12" spans="1:11" ht="15.75">
      <c r="A12" s="47" t="s">
        <v>1353</v>
      </c>
      <c r="B12" s="34" t="s">
        <v>12</v>
      </c>
      <c r="C12" s="34" t="s">
        <v>36</v>
      </c>
      <c r="D12" s="257">
        <v>0</v>
      </c>
      <c r="E12" s="257">
        <v>0</v>
      </c>
      <c r="F12" s="257">
        <v>0.31295113685471754</v>
      </c>
      <c r="G12" s="257">
        <v>9.5541218516676157E-2</v>
      </c>
      <c r="H12" s="257">
        <v>5.6685427835995332E-2</v>
      </c>
      <c r="I12" s="257">
        <v>0.1117692882097889</v>
      </c>
      <c r="J12" s="257">
        <v>0.1412632022322601</v>
      </c>
      <c r="K12" s="32"/>
    </row>
    <row r="13" spans="1:11" ht="15.75">
      <c r="A13" s="47" t="s">
        <v>1352</v>
      </c>
      <c r="B13" s="34" t="s">
        <v>13</v>
      </c>
      <c r="C13" s="34" t="s">
        <v>36</v>
      </c>
      <c r="D13" s="257">
        <v>0</v>
      </c>
      <c r="E13" s="257">
        <v>0</v>
      </c>
      <c r="F13" s="257">
        <v>0.28586851416540082</v>
      </c>
      <c r="G13" s="257">
        <v>0.2976899949367422</v>
      </c>
      <c r="H13" s="257">
        <v>0.30399150910573847</v>
      </c>
      <c r="I13" s="257">
        <v>0.31418635462589362</v>
      </c>
      <c r="J13" s="257">
        <v>0.32036000994796782</v>
      </c>
      <c r="K13" s="32"/>
    </row>
    <row r="14" spans="1:11" ht="15.75">
      <c r="A14" s="47" t="s">
        <v>1351</v>
      </c>
      <c r="B14" s="34" t="s">
        <v>14</v>
      </c>
      <c r="C14" s="34" t="s">
        <v>36</v>
      </c>
      <c r="D14" s="257">
        <v>0</v>
      </c>
      <c r="E14" s="257">
        <v>0</v>
      </c>
      <c r="F14" s="257">
        <v>-2.920466203217492</v>
      </c>
      <c r="G14" s="257">
        <v>-3.0041698524806115</v>
      </c>
      <c r="H14" s="257">
        <v>-3.2123846138839958</v>
      </c>
      <c r="I14" s="257">
        <v>-3.2780396841391601</v>
      </c>
      <c r="J14" s="257">
        <v>-2.8101915317708364</v>
      </c>
      <c r="K14" s="32"/>
    </row>
    <row r="15" spans="1:11" ht="15.75">
      <c r="A15" s="47" t="s">
        <v>1350</v>
      </c>
      <c r="B15" s="34" t="s">
        <v>15</v>
      </c>
      <c r="C15" s="34" t="s">
        <v>36</v>
      </c>
      <c r="D15" s="257">
        <v>0</v>
      </c>
      <c r="E15" s="257">
        <v>0</v>
      </c>
      <c r="F15" s="257">
        <v>-9.6323379843019544E-2</v>
      </c>
      <c r="G15" s="257">
        <v>0</v>
      </c>
      <c r="H15" s="257">
        <v>1.4172665952599828E-16</v>
      </c>
      <c r="I15" s="257">
        <v>0</v>
      </c>
      <c r="J15" s="257">
        <v>0</v>
      </c>
      <c r="K15" s="36"/>
    </row>
    <row r="16" spans="1:11" ht="31.5">
      <c r="A16" s="47" t="s">
        <v>1349</v>
      </c>
      <c r="B16" s="34" t="s">
        <v>16</v>
      </c>
      <c r="C16" s="34" t="s">
        <v>36</v>
      </c>
      <c r="D16" s="257">
        <v>0</v>
      </c>
      <c r="E16" s="257">
        <v>0</v>
      </c>
      <c r="F16" s="257">
        <v>0.26195594121754845</v>
      </c>
      <c r="G16" s="257">
        <v>0</v>
      </c>
      <c r="H16" s="257">
        <v>0</v>
      </c>
      <c r="I16" s="257">
        <v>0</v>
      </c>
      <c r="J16" s="257">
        <v>0</v>
      </c>
      <c r="K16" s="36"/>
    </row>
    <row r="17" spans="1:11" ht="31.5">
      <c r="A17" s="64" t="s">
        <v>1348</v>
      </c>
      <c r="B17" s="45" t="s">
        <v>17</v>
      </c>
      <c r="C17" s="45" t="s">
        <v>35</v>
      </c>
      <c r="D17" s="44">
        <f t="shared" ref="D17:J17" si="1">SUM(D12:D16)</f>
        <v>0</v>
      </c>
      <c r="E17" s="44">
        <f t="shared" si="1"/>
        <v>0</v>
      </c>
      <c r="F17" s="44">
        <f t="shared" si="1"/>
        <v>-2.1560139908228448</v>
      </c>
      <c r="G17" s="44">
        <f t="shared" si="1"/>
        <v>-2.6109386390271929</v>
      </c>
      <c r="H17" s="44">
        <f t="shared" si="1"/>
        <v>-2.851707676942262</v>
      </c>
      <c r="I17" s="44">
        <f t="shared" si="1"/>
        <v>-2.8520840413034776</v>
      </c>
      <c r="J17" s="44">
        <f t="shared" si="1"/>
        <v>-2.3485683195906084</v>
      </c>
      <c r="K17" s="43" t="s">
        <v>1347</v>
      </c>
    </row>
    <row r="18" spans="1:11" ht="15.75">
      <c r="A18" s="341" t="s">
        <v>1346</v>
      </c>
      <c r="B18" s="63" t="s">
        <v>18</v>
      </c>
      <c r="C18" s="63" t="s">
        <v>37</v>
      </c>
      <c r="D18" s="257">
        <v>0</v>
      </c>
      <c r="E18" s="257">
        <v>0</v>
      </c>
      <c r="F18" s="257">
        <v>0</v>
      </c>
      <c r="G18" s="257">
        <v>0</v>
      </c>
      <c r="H18" s="257">
        <v>0</v>
      </c>
      <c r="I18" s="257">
        <v>0</v>
      </c>
      <c r="J18" s="257">
        <v>0</v>
      </c>
      <c r="K18" s="344"/>
    </row>
    <row r="19" spans="1:11" ht="15.75">
      <c r="A19" s="342"/>
      <c r="B19" s="52" t="s">
        <v>19</v>
      </c>
      <c r="C19" s="34" t="s">
        <v>37</v>
      </c>
      <c r="D19" s="257">
        <v>0</v>
      </c>
      <c r="E19" s="257">
        <v>0</v>
      </c>
      <c r="F19" s="257">
        <v>0</v>
      </c>
      <c r="G19" s="257">
        <v>0</v>
      </c>
      <c r="H19" s="257">
        <v>0</v>
      </c>
      <c r="I19" s="257">
        <v>0</v>
      </c>
      <c r="J19" s="257">
        <v>0</v>
      </c>
      <c r="K19" s="345"/>
    </row>
    <row r="20" spans="1:11" ht="15.75">
      <c r="A20" s="342"/>
      <c r="B20" s="62" t="s">
        <v>20</v>
      </c>
      <c r="C20" s="34" t="s">
        <v>37</v>
      </c>
      <c r="D20" s="257">
        <v>0</v>
      </c>
      <c r="E20" s="257">
        <v>0</v>
      </c>
      <c r="F20" s="257">
        <v>0</v>
      </c>
      <c r="G20" s="257">
        <v>0</v>
      </c>
      <c r="H20" s="257">
        <v>0</v>
      </c>
      <c r="I20" s="257">
        <v>0</v>
      </c>
      <c r="J20" s="257">
        <v>0</v>
      </c>
      <c r="K20" s="345"/>
    </row>
    <row r="21" spans="1:11" ht="15.75">
      <c r="A21" s="343"/>
      <c r="B21" s="34" t="s">
        <v>21</v>
      </c>
      <c r="C21" s="34" t="s">
        <v>37</v>
      </c>
      <c r="D21" s="257">
        <v>-12.581030634372675</v>
      </c>
      <c r="E21" s="257">
        <v>-9.5352639613767707</v>
      </c>
      <c r="F21" s="257">
        <v>0</v>
      </c>
      <c r="G21" s="257">
        <v>0</v>
      </c>
      <c r="H21" s="257">
        <v>0</v>
      </c>
      <c r="I21" s="257">
        <v>0</v>
      </c>
      <c r="J21" s="257">
        <v>0</v>
      </c>
      <c r="K21" s="346"/>
    </row>
    <row r="22" spans="1:11" ht="15.75">
      <c r="A22" s="47" t="s">
        <v>1345</v>
      </c>
      <c r="B22" s="34" t="s">
        <v>22</v>
      </c>
      <c r="C22" s="34" t="s">
        <v>38</v>
      </c>
      <c r="D22" s="257">
        <v>35.240511790305</v>
      </c>
      <c r="E22" s="257">
        <v>38.798497365075001</v>
      </c>
      <c r="F22" s="257">
        <v>23.387444218542505</v>
      </c>
      <c r="G22" s="257">
        <v>22.396720187574775</v>
      </c>
      <c r="H22" s="257">
        <v>21.357935225857613</v>
      </c>
      <c r="I22" s="257">
        <v>20.405068873609544</v>
      </c>
      <c r="J22" s="257">
        <v>19.21307533775304</v>
      </c>
      <c r="K22" s="61"/>
    </row>
    <row r="23" spans="1:11" ht="31.5">
      <c r="A23" s="47" t="s">
        <v>1344</v>
      </c>
      <c r="B23" s="34" t="s">
        <v>23</v>
      </c>
      <c r="C23" s="34" t="s">
        <v>39</v>
      </c>
      <c r="D23" s="257">
        <v>0</v>
      </c>
      <c r="E23" s="257">
        <v>0</v>
      </c>
      <c r="F23" s="257">
        <v>0</v>
      </c>
      <c r="G23" s="257">
        <v>0</v>
      </c>
      <c r="H23" s="257">
        <v>0</v>
      </c>
      <c r="I23" s="257">
        <v>0</v>
      </c>
      <c r="J23" s="257">
        <v>0</v>
      </c>
      <c r="K23" s="59"/>
    </row>
    <row r="24" spans="1:11" ht="15.75">
      <c r="A24" s="47" t="s">
        <v>1343</v>
      </c>
      <c r="B24" s="34" t="s">
        <v>24</v>
      </c>
      <c r="C24" s="34" t="s">
        <v>40</v>
      </c>
      <c r="D24" s="257">
        <v>1.2393000000000001</v>
      </c>
      <c r="E24" s="257">
        <v>2.167954924823067</v>
      </c>
      <c r="F24" s="257">
        <v>2.2463273988364665</v>
      </c>
      <c r="G24" s="257">
        <v>2.3521813049111753</v>
      </c>
      <c r="H24" s="257">
        <v>2.4275603923055913</v>
      </c>
      <c r="I24" s="257">
        <v>2.4848390537521134</v>
      </c>
      <c r="J24" s="257">
        <v>2.5874876268683322</v>
      </c>
      <c r="K24" s="59"/>
    </row>
    <row r="25" spans="1:11" ht="31.5">
      <c r="A25" s="47" t="s">
        <v>1342</v>
      </c>
      <c r="B25" s="60" t="s">
        <v>25</v>
      </c>
      <c r="C25" s="34" t="s">
        <v>41</v>
      </c>
      <c r="D25" s="257">
        <v>0</v>
      </c>
      <c r="E25" s="257">
        <v>0</v>
      </c>
      <c r="F25" s="257">
        <v>0</v>
      </c>
      <c r="G25" s="257">
        <v>0</v>
      </c>
      <c r="H25" s="257">
        <v>0</v>
      </c>
      <c r="I25" s="257">
        <v>0</v>
      </c>
      <c r="J25" s="257">
        <v>0</v>
      </c>
      <c r="K25" s="59"/>
    </row>
    <row r="26" spans="1:11" ht="31.5">
      <c r="A26" s="47" t="s">
        <v>1341</v>
      </c>
      <c r="B26" s="34" t="s">
        <v>1340</v>
      </c>
      <c r="C26" s="34" t="s">
        <v>42</v>
      </c>
      <c r="D26" s="257">
        <v>0</v>
      </c>
      <c r="E26" s="257">
        <v>0</v>
      </c>
      <c r="F26" s="257">
        <v>0</v>
      </c>
      <c r="G26" s="257">
        <v>0</v>
      </c>
      <c r="H26" s="257">
        <v>0</v>
      </c>
      <c r="I26" s="257">
        <v>0</v>
      </c>
      <c r="J26" s="257">
        <v>0</v>
      </c>
      <c r="K26" s="59"/>
    </row>
    <row r="27" spans="1:11" ht="15.75">
      <c r="A27" s="341" t="s">
        <v>1339</v>
      </c>
      <c r="B27" s="34" t="s">
        <v>26</v>
      </c>
      <c r="C27" s="34" t="s">
        <v>43</v>
      </c>
      <c r="D27" s="257">
        <v>0</v>
      </c>
      <c r="E27" s="257">
        <v>0</v>
      </c>
      <c r="F27" s="257">
        <v>0</v>
      </c>
      <c r="G27" s="257">
        <v>0</v>
      </c>
      <c r="H27" s="257">
        <v>0</v>
      </c>
      <c r="I27" s="257">
        <v>0</v>
      </c>
      <c r="J27" s="257">
        <v>0</v>
      </c>
      <c r="K27" s="32"/>
    </row>
    <row r="28" spans="1:11" ht="15.75">
      <c r="A28" s="342"/>
      <c r="B28" s="34" t="s">
        <v>27</v>
      </c>
      <c r="C28" s="34" t="s">
        <v>43</v>
      </c>
      <c r="D28" s="257">
        <v>1.69969959</v>
      </c>
      <c r="E28" s="257">
        <v>0.55407604573040004</v>
      </c>
      <c r="F28" s="257">
        <v>0.55407604573040004</v>
      </c>
      <c r="G28" s="257">
        <v>0</v>
      </c>
      <c r="H28" s="257">
        <v>0</v>
      </c>
      <c r="I28" s="257">
        <v>0</v>
      </c>
      <c r="J28" s="257">
        <v>0</v>
      </c>
      <c r="K28" s="32"/>
    </row>
    <row r="29" spans="1:11" ht="15.75">
      <c r="A29" s="343"/>
      <c r="B29" s="34" t="s">
        <v>28</v>
      </c>
      <c r="C29" s="34" t="s">
        <v>43</v>
      </c>
      <c r="D29" s="257">
        <v>0</v>
      </c>
      <c r="E29" s="257">
        <v>0</v>
      </c>
      <c r="F29" s="257">
        <v>0</v>
      </c>
      <c r="G29" s="257">
        <v>0</v>
      </c>
      <c r="H29" s="257">
        <v>0</v>
      </c>
      <c r="I29" s="257">
        <v>0</v>
      </c>
      <c r="J29" s="257">
        <v>0</v>
      </c>
      <c r="K29" s="32"/>
    </row>
    <row r="30" spans="1:11" ht="47.25">
      <c r="A30" s="49" t="s">
        <v>1338</v>
      </c>
      <c r="B30" s="45"/>
      <c r="C30" s="45"/>
      <c r="D30" s="44">
        <f t="shared" ref="D30" si="2">SUM(D18:D29)</f>
        <v>25.598480745932328</v>
      </c>
      <c r="E30" s="44">
        <f t="shared" ref="E30:J30" si="3">SUM(E18:E29)</f>
        <v>31.985264374251699</v>
      </c>
      <c r="F30" s="44">
        <f t="shared" si="3"/>
        <v>26.187847663109373</v>
      </c>
      <c r="G30" s="44">
        <f t="shared" si="3"/>
        <v>24.748901492485949</v>
      </c>
      <c r="H30" s="44">
        <f t="shared" si="3"/>
        <v>23.785495618163203</v>
      </c>
      <c r="I30" s="44">
        <f t="shared" si="3"/>
        <v>22.889907927361659</v>
      </c>
      <c r="J30" s="44">
        <f t="shared" si="3"/>
        <v>21.800562964621371</v>
      </c>
      <c r="K30" s="43" t="s">
        <v>1337</v>
      </c>
    </row>
    <row r="31" spans="1:11" ht="15.75">
      <c r="A31" s="41" t="s">
        <v>1336</v>
      </c>
      <c r="B31" s="58" t="s">
        <v>29</v>
      </c>
      <c r="C31" s="45" t="s">
        <v>35</v>
      </c>
      <c r="D31" s="320">
        <v>0</v>
      </c>
      <c r="E31" s="320">
        <v>29.504147831255587</v>
      </c>
      <c r="F31" s="320">
        <v>-0.94921696009768175</v>
      </c>
      <c r="G31" s="320">
        <v>2.5924847734839843E-2</v>
      </c>
      <c r="H31" s="320">
        <v>6.03814563790726E-2</v>
      </c>
      <c r="I31" s="320">
        <v>-3.2936088662154364E-7</v>
      </c>
      <c r="J31" s="320">
        <v>-1.4698954271352706E-7</v>
      </c>
      <c r="K31" s="57"/>
    </row>
    <row r="32" spans="1:11" ht="15.75">
      <c r="A32" s="56" t="s">
        <v>1335</v>
      </c>
      <c r="B32" s="45" t="s">
        <v>30</v>
      </c>
      <c r="C32" s="45" t="s">
        <v>35</v>
      </c>
      <c r="D32" s="321">
        <v>0</v>
      </c>
      <c r="E32" s="321">
        <v>0</v>
      </c>
      <c r="F32" s="321">
        <v>0</v>
      </c>
      <c r="G32" s="321">
        <v>0</v>
      </c>
      <c r="H32" s="321">
        <v>0</v>
      </c>
      <c r="I32" s="321">
        <v>0</v>
      </c>
      <c r="J32" s="321">
        <v>0</v>
      </c>
      <c r="K32" s="55"/>
    </row>
    <row r="33" spans="1:11" ht="31.5">
      <c r="A33" s="54" t="s">
        <v>1334</v>
      </c>
      <c r="B33" s="45" t="s">
        <v>31</v>
      </c>
      <c r="C33" s="53"/>
      <c r="D33" s="40">
        <f t="shared" ref="D33" si="4">D11+D17+D30+D31+D32</f>
        <v>443.03408074593233</v>
      </c>
      <c r="E33" s="40">
        <f t="shared" ref="E33:J33" si="5">E11+E17+E30+E31+E32</f>
        <v>495.08039717012065</v>
      </c>
      <c r="F33" s="40">
        <f t="shared" si="5"/>
        <v>472.34809647948214</v>
      </c>
      <c r="G33" s="40">
        <f t="shared" si="5"/>
        <v>492.60014868342864</v>
      </c>
      <c r="H33" s="40">
        <f t="shared" si="5"/>
        <v>506.50624785871827</v>
      </c>
      <c r="I33" s="40">
        <f t="shared" si="5"/>
        <v>517.00563430711998</v>
      </c>
      <c r="J33" s="40">
        <f t="shared" si="5"/>
        <v>536.94951987170759</v>
      </c>
      <c r="K33" s="39" t="s">
        <v>1333</v>
      </c>
    </row>
    <row r="34" spans="1:11" ht="31.5">
      <c r="A34" s="51" t="s">
        <v>1332</v>
      </c>
      <c r="B34" s="52" t="s">
        <v>32</v>
      </c>
      <c r="C34" s="34" t="s">
        <v>44</v>
      </c>
      <c r="D34" s="257">
        <v>0</v>
      </c>
      <c r="E34" s="257">
        <v>0</v>
      </c>
      <c r="F34" s="257">
        <v>0</v>
      </c>
      <c r="G34" s="257">
        <v>0</v>
      </c>
      <c r="H34" s="257">
        <v>0</v>
      </c>
      <c r="I34" s="257">
        <v>0</v>
      </c>
      <c r="J34" s="257">
        <v>0</v>
      </c>
      <c r="K34" s="32"/>
    </row>
    <row r="35" spans="1:11" ht="31.5">
      <c r="A35" s="51" t="s">
        <v>1331</v>
      </c>
      <c r="B35" s="34" t="s">
        <v>33</v>
      </c>
      <c r="C35" s="34" t="s">
        <v>44</v>
      </c>
      <c r="D35" s="257">
        <v>0</v>
      </c>
      <c r="E35" s="257">
        <v>0</v>
      </c>
      <c r="F35" s="257">
        <v>0</v>
      </c>
      <c r="G35" s="257">
        <v>0</v>
      </c>
      <c r="H35" s="257">
        <v>0</v>
      </c>
      <c r="I35" s="257">
        <v>0</v>
      </c>
      <c r="J35" s="257">
        <v>0</v>
      </c>
      <c r="K35" s="32"/>
    </row>
    <row r="36" spans="1:11" ht="31.5">
      <c r="A36" s="51" t="s">
        <v>1330</v>
      </c>
      <c r="B36" s="34" t="s">
        <v>34</v>
      </c>
      <c r="C36" s="34" t="s">
        <v>44</v>
      </c>
      <c r="D36" s="257">
        <v>0</v>
      </c>
      <c r="E36" s="257">
        <v>0</v>
      </c>
      <c r="F36" s="257">
        <v>0</v>
      </c>
      <c r="G36" s="257">
        <v>0</v>
      </c>
      <c r="H36" s="257">
        <v>0</v>
      </c>
      <c r="I36" s="257">
        <v>0</v>
      </c>
      <c r="J36" s="257">
        <v>0</v>
      </c>
      <c r="K36" s="36"/>
    </row>
    <row r="37" spans="1:11" ht="31.5">
      <c r="A37" s="50" t="s">
        <v>1329</v>
      </c>
      <c r="B37" s="34"/>
      <c r="C37" s="34"/>
      <c r="D37" s="257"/>
      <c r="E37" s="257">
        <v>0</v>
      </c>
      <c r="F37" s="257">
        <v>0</v>
      </c>
      <c r="G37" s="257">
        <v>0</v>
      </c>
      <c r="H37" s="257">
        <v>0</v>
      </c>
      <c r="I37" s="257">
        <v>0</v>
      </c>
      <c r="J37" s="257">
        <v>0</v>
      </c>
      <c r="K37" s="36"/>
    </row>
    <row r="38" spans="1:11" ht="31.5">
      <c r="A38" s="50" t="s">
        <v>1328</v>
      </c>
      <c r="B38" s="34"/>
      <c r="C38" s="34"/>
      <c r="D38" s="257">
        <v>0</v>
      </c>
      <c r="E38" s="257">
        <v>0</v>
      </c>
      <c r="F38" s="257">
        <v>0</v>
      </c>
      <c r="G38" s="257">
        <v>0</v>
      </c>
      <c r="H38" s="257">
        <v>0</v>
      </c>
      <c r="I38" s="257">
        <v>0</v>
      </c>
      <c r="J38" s="257">
        <v>0</v>
      </c>
      <c r="K38" s="36"/>
    </row>
    <row r="39" spans="1:11" ht="47.25">
      <c r="A39" s="49" t="s">
        <v>1327</v>
      </c>
      <c r="B39" s="45"/>
      <c r="C39" s="45"/>
      <c r="D39" s="44">
        <f t="shared" ref="D39" si="6">SUM(D34:D38)</f>
        <v>0</v>
      </c>
      <c r="E39" s="44">
        <f t="shared" ref="E39:J39" si="7">SUM(E34:E38)</f>
        <v>0</v>
      </c>
      <c r="F39" s="44">
        <f t="shared" si="7"/>
        <v>0</v>
      </c>
      <c r="G39" s="44">
        <f t="shared" si="7"/>
        <v>0</v>
      </c>
      <c r="H39" s="44">
        <f t="shared" si="7"/>
        <v>0</v>
      </c>
      <c r="I39" s="44">
        <f t="shared" si="7"/>
        <v>0</v>
      </c>
      <c r="J39" s="44">
        <f t="shared" si="7"/>
        <v>0</v>
      </c>
      <c r="K39" s="43" t="s">
        <v>1326</v>
      </c>
    </row>
    <row r="40" spans="1:11" ht="47.25">
      <c r="A40" s="42" t="s">
        <v>1325</v>
      </c>
      <c r="B40" s="48"/>
      <c r="C40" s="48"/>
      <c r="D40" s="40">
        <f t="shared" ref="D40" si="8">D39+D33</f>
        <v>443.03408074593233</v>
      </c>
      <c r="E40" s="40">
        <f t="shared" ref="E40:J40" si="9">E39+E33</f>
        <v>495.08039717012065</v>
      </c>
      <c r="F40" s="40">
        <f t="shared" si="9"/>
        <v>472.34809647948214</v>
      </c>
      <c r="G40" s="40">
        <f t="shared" si="9"/>
        <v>492.60014868342864</v>
      </c>
      <c r="H40" s="40">
        <f t="shared" si="9"/>
        <v>506.50624785871827</v>
      </c>
      <c r="I40" s="40">
        <f t="shared" si="9"/>
        <v>517.00563430711998</v>
      </c>
      <c r="J40" s="40">
        <f t="shared" si="9"/>
        <v>536.94951987170759</v>
      </c>
      <c r="K40" s="39" t="s">
        <v>7</v>
      </c>
    </row>
    <row r="41" spans="1:11" ht="31.5">
      <c r="A41" s="47" t="s">
        <v>1324</v>
      </c>
      <c r="B41" s="34"/>
      <c r="C41" s="34"/>
      <c r="D41" s="257">
        <v>5.0706959526039901</v>
      </c>
      <c r="E41" s="257">
        <v>3.80706328281933</v>
      </c>
      <c r="F41" s="257">
        <v>4.2213428481095701</v>
      </c>
      <c r="G41" s="257">
        <v>4.4023340627833543</v>
      </c>
      <c r="H41" s="257">
        <v>4.5266119263679307</v>
      </c>
      <c r="I41" s="257">
        <v>4.6204442297557025</v>
      </c>
      <c r="J41" s="257">
        <v>4.7986813801095938</v>
      </c>
      <c r="K41" s="32"/>
    </row>
    <row r="42" spans="1:11" ht="31.5">
      <c r="A42" s="47" t="s">
        <v>1323</v>
      </c>
      <c r="B42" s="34"/>
      <c r="C42" s="34"/>
      <c r="D42" s="257">
        <v>0</v>
      </c>
      <c r="E42" s="257">
        <v>0</v>
      </c>
      <c r="F42" s="257">
        <v>0</v>
      </c>
      <c r="G42" s="257">
        <v>0</v>
      </c>
      <c r="H42" s="257">
        <v>0</v>
      </c>
      <c r="I42" s="257">
        <v>0</v>
      </c>
      <c r="J42" s="257">
        <v>0</v>
      </c>
      <c r="K42" s="32"/>
    </row>
    <row r="43" spans="1:11" ht="31.5">
      <c r="A43" s="46" t="s">
        <v>1322</v>
      </c>
      <c r="B43" s="34"/>
      <c r="C43" s="34"/>
      <c r="D43" s="257"/>
      <c r="E43" s="257">
        <v>11.948479396877399</v>
      </c>
      <c r="F43" s="257">
        <v>0</v>
      </c>
      <c r="G43" s="257">
        <v>0</v>
      </c>
      <c r="H43" s="257">
        <v>0</v>
      </c>
      <c r="I43" s="257">
        <v>0</v>
      </c>
      <c r="J43" s="257">
        <v>0</v>
      </c>
      <c r="K43" s="36"/>
    </row>
    <row r="44" spans="1:11" ht="31.5">
      <c r="A44" s="46" t="s">
        <v>1321</v>
      </c>
      <c r="B44" s="34"/>
      <c r="C44" s="34"/>
      <c r="D44" s="257">
        <v>0</v>
      </c>
      <c r="E44" s="257">
        <v>0</v>
      </c>
      <c r="F44" s="257">
        <v>0</v>
      </c>
      <c r="G44" s="257">
        <v>0</v>
      </c>
      <c r="H44" s="257">
        <v>0</v>
      </c>
      <c r="I44" s="257">
        <v>0</v>
      </c>
      <c r="J44" s="257">
        <v>0</v>
      </c>
      <c r="K44" s="36"/>
    </row>
    <row r="45" spans="1:11" ht="31.5">
      <c r="A45" s="41" t="s">
        <v>1320</v>
      </c>
      <c r="B45" s="45"/>
      <c r="C45" s="45"/>
      <c r="D45" s="44">
        <f t="shared" ref="D45" si="10">D41+D42+D43+D44</f>
        <v>5.0706959526039901</v>
      </c>
      <c r="E45" s="44">
        <f t="shared" ref="E45:J45" si="11">E41+E42+E43+E44</f>
        <v>15.755542679696729</v>
      </c>
      <c r="F45" s="44">
        <f t="shared" si="11"/>
        <v>4.2213428481095701</v>
      </c>
      <c r="G45" s="44">
        <f t="shared" si="11"/>
        <v>4.4023340627833543</v>
      </c>
      <c r="H45" s="44">
        <f t="shared" si="11"/>
        <v>4.5266119263679307</v>
      </c>
      <c r="I45" s="44">
        <f t="shared" si="11"/>
        <v>4.6204442297557025</v>
      </c>
      <c r="J45" s="44">
        <f t="shared" si="11"/>
        <v>4.7986813801095938</v>
      </c>
      <c r="K45" s="43" t="s">
        <v>1319</v>
      </c>
    </row>
    <row r="46" spans="1:11" ht="31.5">
      <c r="A46" s="42" t="s">
        <v>1318</v>
      </c>
      <c r="B46" s="41"/>
      <c r="C46" s="41"/>
      <c r="D46" s="40">
        <f t="shared" ref="D46" si="12">D40-D45</f>
        <v>437.96338479332832</v>
      </c>
      <c r="E46" s="40">
        <f t="shared" ref="E46:J46" si="13">E40-E45</f>
        <v>479.32485449042395</v>
      </c>
      <c r="F46" s="40">
        <f t="shared" si="13"/>
        <v>468.12675363137259</v>
      </c>
      <c r="G46" s="40">
        <f t="shared" si="13"/>
        <v>488.19781462064526</v>
      </c>
      <c r="H46" s="40">
        <f t="shared" si="13"/>
        <v>501.97963593235033</v>
      </c>
      <c r="I46" s="40">
        <f t="shared" si="13"/>
        <v>512.38519007736431</v>
      </c>
      <c r="J46" s="40">
        <f t="shared" si="13"/>
        <v>532.15083849159805</v>
      </c>
      <c r="K46" s="39" t="s">
        <v>1317</v>
      </c>
    </row>
    <row r="47" spans="1:11" ht="15.75">
      <c r="A47" s="42" t="s">
        <v>1316</v>
      </c>
      <c r="B47" s="41"/>
      <c r="C47" s="41"/>
      <c r="D47" s="322">
        <v>438.18006600000001</v>
      </c>
      <c r="E47" s="322">
        <v>479.32485449042395</v>
      </c>
      <c r="F47" s="322">
        <v>468.12675363137259</v>
      </c>
      <c r="G47" s="322">
        <v>488.19781462064526</v>
      </c>
      <c r="H47" s="322">
        <v>501.97963593235033</v>
      </c>
      <c r="I47" s="322">
        <v>512.38519007736431</v>
      </c>
      <c r="J47" s="322">
        <v>532.15083849159805</v>
      </c>
      <c r="K47" s="39"/>
    </row>
    <row r="48" spans="1:11" ht="15.75">
      <c r="A48" s="35" t="s">
        <v>1315</v>
      </c>
      <c r="B48" s="34"/>
      <c r="C48" s="34"/>
      <c r="D48" s="322">
        <v>443.94643845459984</v>
      </c>
      <c r="E48" s="322">
        <v>495.05547901581957</v>
      </c>
      <c r="F48" s="322">
        <v>472.29005970864489</v>
      </c>
      <c r="G48" s="322">
        <v>492.60014900000004</v>
      </c>
      <c r="H48" s="322">
        <v>506.50624800000003</v>
      </c>
      <c r="I48" s="322">
        <v>517.0056340000001</v>
      </c>
      <c r="J48" s="322">
        <v>536.94952000000001</v>
      </c>
      <c r="K48" s="36"/>
    </row>
    <row r="49" spans="1:11" ht="31.5">
      <c r="A49" s="35" t="s">
        <v>1314</v>
      </c>
      <c r="B49" s="34"/>
      <c r="C49" s="34"/>
      <c r="D49" s="38">
        <f t="shared" ref="D49" si="14">D48-D39-D33+D42</f>
        <v>0.91235770866751409</v>
      </c>
      <c r="E49" s="38">
        <f t="shared" ref="E49:J49" si="15">E48-E39-E33+E42</f>
        <v>-2.4918154301076356E-2</v>
      </c>
      <c r="F49" s="38">
        <f t="shared" si="15"/>
        <v>-5.8036770837247786E-2</v>
      </c>
      <c r="G49" s="38">
        <f t="shared" si="15"/>
        <v>3.1657140198149136E-7</v>
      </c>
      <c r="H49" s="38">
        <f t="shared" si="15"/>
        <v>1.4128175962468958E-7</v>
      </c>
      <c r="I49" s="38">
        <f t="shared" si="15"/>
        <v>-3.0711987619724823E-7</v>
      </c>
      <c r="J49" s="38">
        <f t="shared" si="15"/>
        <v>1.2829241313738748E-7</v>
      </c>
      <c r="K49" s="36" t="s">
        <v>1313</v>
      </c>
    </row>
    <row r="50" spans="1:11" ht="31.5">
      <c r="A50" s="35" t="s">
        <v>1312</v>
      </c>
      <c r="B50" s="34"/>
      <c r="C50" s="34"/>
      <c r="D50" s="37" t="e">
        <f t="shared" ref="D50:J50" si="16">D33/C33-1</f>
        <v>#DIV/0!</v>
      </c>
      <c r="E50" s="37">
        <f t="shared" si="16"/>
        <v>0.11747700388321913</v>
      </c>
      <c r="F50" s="37">
        <f t="shared" si="16"/>
        <v>-4.5916382107989651E-2</v>
      </c>
      <c r="G50" s="37">
        <f t="shared" si="16"/>
        <v>4.2875270070716232E-2</v>
      </c>
      <c r="H50" s="37">
        <f t="shared" si="16"/>
        <v>2.8229993865118486E-2</v>
      </c>
      <c r="I50" s="37">
        <f t="shared" si="16"/>
        <v>2.0729036399429246E-2</v>
      </c>
      <c r="J50" s="37">
        <f t="shared" si="16"/>
        <v>3.857576057428469E-2</v>
      </c>
      <c r="K50" s="36" t="s">
        <v>1311</v>
      </c>
    </row>
    <row r="51" spans="1:11" ht="47.25">
      <c r="A51" s="35" t="s">
        <v>1310</v>
      </c>
      <c r="B51" s="34"/>
      <c r="C51" s="34"/>
      <c r="D51" s="33" t="e">
        <f t="shared" ref="D51:J51" si="17">D48/C48-1</f>
        <v>#DIV/0!</v>
      </c>
      <c r="E51" s="33">
        <f t="shared" si="17"/>
        <v>0.11512433963685553</v>
      </c>
      <c r="F51" s="33">
        <f t="shared" si="17"/>
        <v>-4.5985592064212266E-2</v>
      </c>
      <c r="G51" s="33">
        <f t="shared" si="17"/>
        <v>4.3003423158819887E-2</v>
      </c>
      <c r="H51" s="33">
        <f t="shared" si="17"/>
        <v>2.8229993491130534E-2</v>
      </c>
      <c r="I51" s="33">
        <f t="shared" si="17"/>
        <v>2.0729035508363802E-2</v>
      </c>
      <c r="J51" s="33">
        <f t="shared" si="17"/>
        <v>3.8575761439380907E-2</v>
      </c>
      <c r="K51" s="32"/>
    </row>
  </sheetData>
  <mergeCells count="3">
    <mergeCell ref="A18:A21"/>
    <mergeCell ref="K18:K21"/>
    <mergeCell ref="A27:A29"/>
  </mergeCells>
  <pageMargins left="0.70866141732283472" right="0.70866141732283472" top="0.74803149606299213" bottom="0.74803149606299213" header="0.31496062992125984" footer="0.31496062992125984"/>
  <pageSetup paperSize="9" scale="43"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1"/>
  </sheetPr>
  <dimension ref="A1:M123"/>
  <sheetViews>
    <sheetView showGridLines="0" topLeftCell="A94" workbookViewId="0">
      <selection activeCell="H115" sqref="H115:J123"/>
    </sheetView>
  </sheetViews>
  <sheetFormatPr defaultColWidth="8.85546875" defaultRowHeight="15"/>
  <cols>
    <col min="1" max="1" width="38.42578125" style="129" customWidth="1"/>
    <col min="2" max="4" width="10" style="129" customWidth="1"/>
    <col min="5" max="5" width="15.28515625" style="129" customWidth="1"/>
    <col min="6" max="10" width="10" style="129" customWidth="1"/>
    <col min="11" max="13" width="13.5703125" style="129" bestFit="1" customWidth="1"/>
    <col min="14" max="16384" width="8.85546875" style="129"/>
  </cols>
  <sheetData>
    <row r="1" spans="1:5" ht="15.75">
      <c r="A1" s="169" t="s">
        <v>1434</v>
      </c>
      <c r="B1" s="358" t="str">
        <f>+'CDCM Forecast Data'!E3</f>
        <v>WPD West Mids</v>
      </c>
      <c r="C1" s="359"/>
      <c r="D1" s="359"/>
      <c r="E1" s="360"/>
    </row>
    <row r="2" spans="1:5" ht="15.75">
      <c r="A2" s="169" t="s">
        <v>1433</v>
      </c>
      <c r="B2" s="361" t="str">
        <f>+'CDCM Forecast Data'!E11</f>
        <v>2017/18</v>
      </c>
      <c r="C2" s="362"/>
      <c r="D2" s="149"/>
      <c r="E2" s="149"/>
    </row>
    <row r="3" spans="1:5">
      <c r="A3" s="171"/>
      <c r="B3" s="149"/>
      <c r="C3" s="149"/>
      <c r="D3" s="149"/>
      <c r="E3" s="149"/>
    </row>
    <row r="4" spans="1:5" ht="15.75">
      <c r="A4" s="169" t="s">
        <v>1432</v>
      </c>
      <c r="B4" s="358" t="str">
        <f>+'CDCM Forecast Data'!D11</f>
        <v>2016/17</v>
      </c>
      <c r="C4" s="360"/>
      <c r="D4" s="149"/>
      <c r="E4" s="149"/>
    </row>
    <row r="5" spans="1:5">
      <c r="A5" s="149"/>
      <c r="B5" s="170"/>
      <c r="C5" s="149"/>
      <c r="D5" s="149"/>
      <c r="E5" s="149"/>
    </row>
    <row r="6" spans="1:5" ht="15.75">
      <c r="A6" s="169" t="s">
        <v>1431</v>
      </c>
      <c r="B6" s="170"/>
      <c r="C6" s="149"/>
      <c r="D6" s="149"/>
      <c r="E6" s="149"/>
    </row>
    <row r="7" spans="1:5" ht="15.75">
      <c r="A7" s="169" t="s">
        <v>1430</v>
      </c>
      <c r="B7" s="168"/>
      <c r="C7" s="149"/>
      <c r="D7" s="149"/>
      <c r="E7" s="149"/>
    </row>
    <row r="8" spans="1:5" ht="15.75">
      <c r="A8" s="169" t="s">
        <v>1429</v>
      </c>
      <c r="B8" s="168"/>
      <c r="C8" s="149"/>
      <c r="D8" s="149"/>
      <c r="E8" s="149"/>
    </row>
    <row r="9" spans="1:5" ht="15.75">
      <c r="A9" s="169" t="s">
        <v>1428</v>
      </c>
      <c r="B9" s="168"/>
      <c r="C9" s="154" t="s">
        <v>1201</v>
      </c>
      <c r="D9" s="149"/>
      <c r="E9" s="149"/>
    </row>
    <row r="10" spans="1:5" ht="18.75">
      <c r="A10" s="167"/>
      <c r="B10" s="149"/>
      <c r="C10" s="149"/>
      <c r="D10" s="149"/>
      <c r="E10" s="149"/>
    </row>
    <row r="11" spans="1:5" ht="15.75">
      <c r="A11" s="150" t="s">
        <v>1427</v>
      </c>
      <c r="B11" s="149"/>
      <c r="C11" s="149"/>
      <c r="D11" s="154" t="s">
        <v>1201</v>
      </c>
      <c r="E11" s="149"/>
    </row>
    <row r="12" spans="1:5">
      <c r="A12" s="319" t="s">
        <v>1844</v>
      </c>
      <c r="B12" s="149"/>
      <c r="C12" s="149"/>
      <c r="D12" s="149"/>
      <c r="E12" s="149"/>
    </row>
    <row r="13" spans="1:5" ht="15.75" thickBot="1">
      <c r="A13" s="149"/>
      <c r="B13" s="149"/>
      <c r="C13" s="149"/>
      <c r="D13" s="149"/>
      <c r="E13" s="149"/>
    </row>
    <row r="14" spans="1:5" ht="60">
      <c r="A14" s="162"/>
      <c r="B14" s="161" t="s">
        <v>1422</v>
      </c>
      <c r="C14" s="160" t="s">
        <v>1421</v>
      </c>
      <c r="D14" s="159" t="s">
        <v>1420</v>
      </c>
      <c r="E14" s="158" t="s">
        <v>1419</v>
      </c>
    </row>
    <row r="15" spans="1:5">
      <c r="A15" s="144" t="s">
        <v>92</v>
      </c>
      <c r="B15" s="142">
        <v>0.84419330027731654</v>
      </c>
      <c r="C15" s="82">
        <v>0.87475518543913167</v>
      </c>
      <c r="D15" s="141">
        <v>0.97321610637862477</v>
      </c>
      <c r="E15" s="157">
        <f>AVERAGE(B15:D15)</f>
        <v>0.89738819736502429</v>
      </c>
    </row>
    <row r="16" spans="1:5">
      <c r="A16" s="144" t="s">
        <v>93</v>
      </c>
      <c r="B16" s="142">
        <v>0.36485273985328026</v>
      </c>
      <c r="C16" s="82">
        <v>0.41359187139204284</v>
      </c>
      <c r="D16" s="141">
        <v>0.46948089017842481</v>
      </c>
      <c r="E16" s="157">
        <f>AVERAGE(B16:D16)</f>
        <v>0.41597516714124932</v>
      </c>
    </row>
    <row r="17" spans="1:5">
      <c r="A17" s="144" t="s">
        <v>129</v>
      </c>
      <c r="B17" s="166"/>
      <c r="C17" s="165"/>
      <c r="D17" s="164"/>
      <c r="E17" s="163"/>
    </row>
    <row r="18" spans="1:5">
      <c r="A18" s="144" t="s">
        <v>94</v>
      </c>
      <c r="B18" s="142">
        <v>0.7758262942306311</v>
      </c>
      <c r="C18" s="82">
        <v>0.68573687602554079</v>
      </c>
      <c r="D18" s="141">
        <v>0.62320301396425104</v>
      </c>
      <c r="E18" s="157">
        <f>AVERAGE(B18:D18)</f>
        <v>0.69492206140680768</v>
      </c>
    </row>
    <row r="19" spans="1:5">
      <c r="A19" s="144" t="s">
        <v>95</v>
      </c>
      <c r="B19" s="142">
        <v>0.76578492281052923</v>
      </c>
      <c r="C19" s="82">
        <v>0.76668068632271902</v>
      </c>
      <c r="D19" s="141">
        <v>0.71292780558833369</v>
      </c>
      <c r="E19" s="157">
        <f>AVERAGE(B19:D19)</f>
        <v>0.74846447157386065</v>
      </c>
    </row>
    <row r="20" spans="1:5">
      <c r="A20" s="144" t="s">
        <v>130</v>
      </c>
      <c r="B20" s="166"/>
      <c r="C20" s="165"/>
      <c r="D20" s="164"/>
      <c r="E20" s="163"/>
    </row>
    <row r="21" spans="1:5">
      <c r="A21" s="144" t="s">
        <v>96</v>
      </c>
      <c r="B21" s="142">
        <v>0.86061062050368331</v>
      </c>
      <c r="C21" s="82">
        <v>0.85477494876489701</v>
      </c>
      <c r="D21" s="141">
        <v>0.79864480091139123</v>
      </c>
      <c r="E21" s="157">
        <f t="shared" ref="E21:E33" si="0">AVERAGE(B21:D21)</f>
        <v>0.83801012339332381</v>
      </c>
    </row>
    <row r="22" spans="1:5">
      <c r="A22" s="144" t="s">
        <v>97</v>
      </c>
      <c r="B22" s="142">
        <v>0.86061062050368331</v>
      </c>
      <c r="C22" s="82">
        <v>0.85477494876489701</v>
      </c>
      <c r="D22" s="141">
        <v>0.79864480091139123</v>
      </c>
      <c r="E22" s="157">
        <f t="shared" si="0"/>
        <v>0.83801012339332381</v>
      </c>
    </row>
    <row r="23" spans="1:5">
      <c r="A23" s="144" t="s">
        <v>110</v>
      </c>
      <c r="B23" s="142">
        <v>0.49899196492823195</v>
      </c>
      <c r="C23" s="82">
        <v>0.76027086609007133</v>
      </c>
      <c r="D23" s="141">
        <v>0.66205503987485392</v>
      </c>
      <c r="E23" s="157">
        <f t="shared" si="0"/>
        <v>0.64043929029771907</v>
      </c>
    </row>
    <row r="24" spans="1:5">
      <c r="A24" s="144" t="s">
        <v>1536</v>
      </c>
      <c r="B24" s="142">
        <v>0.77981385595910901</v>
      </c>
      <c r="C24" s="82">
        <v>0.81281709726226092</v>
      </c>
      <c r="D24" s="141">
        <v>0.90556025586225597</v>
      </c>
      <c r="E24" s="157">
        <f t="shared" ref="E24:E25" si="1">AVERAGE(B24:D24)</f>
        <v>0.83273040302787538</v>
      </c>
    </row>
    <row r="25" spans="1:5">
      <c r="A25" s="144" t="s">
        <v>1535</v>
      </c>
      <c r="B25" s="142">
        <v>0.77385702653541666</v>
      </c>
      <c r="C25" s="82">
        <v>0.7016112047478803</v>
      </c>
      <c r="D25" s="141">
        <v>0.64079942845913129</v>
      </c>
      <c r="E25" s="157">
        <f t="shared" si="1"/>
        <v>0.70542255324747616</v>
      </c>
    </row>
    <row r="26" spans="1:5">
      <c r="A26" s="144" t="s">
        <v>98</v>
      </c>
      <c r="B26" s="142">
        <v>0.85081811858889889</v>
      </c>
      <c r="C26" s="82">
        <v>0.7895742058070695</v>
      </c>
      <c r="D26" s="141">
        <v>0.74117826220424665</v>
      </c>
      <c r="E26" s="157">
        <f t="shared" si="0"/>
        <v>0.79385686220007168</v>
      </c>
    </row>
    <row r="27" spans="1:5">
      <c r="A27" s="144" t="s">
        <v>99</v>
      </c>
      <c r="B27" s="142">
        <v>0.85081811858889889</v>
      </c>
      <c r="C27" s="82">
        <v>0.7895742058070695</v>
      </c>
      <c r="D27" s="141">
        <v>0.78342107110268822</v>
      </c>
      <c r="E27" s="157">
        <f t="shared" si="0"/>
        <v>0.80793779849955216</v>
      </c>
    </row>
    <row r="28" spans="1:5">
      <c r="A28" s="144" t="s">
        <v>111</v>
      </c>
      <c r="B28" s="142">
        <v>0.81596481859007719</v>
      </c>
      <c r="C28" s="82">
        <v>0.7797024441460596</v>
      </c>
      <c r="D28" s="141">
        <v>0.77112209089081263</v>
      </c>
      <c r="E28" s="157">
        <f t="shared" si="0"/>
        <v>0.78892978454231644</v>
      </c>
    </row>
    <row r="29" spans="1:5">
      <c r="A29" s="144" t="s">
        <v>131</v>
      </c>
      <c r="B29" s="142">
        <v>1</v>
      </c>
      <c r="C29" s="82">
        <v>1</v>
      </c>
      <c r="D29" s="141">
        <v>1</v>
      </c>
      <c r="E29" s="157">
        <f t="shared" ref="E29" si="2">AVERAGE(B29:D29)</f>
        <v>1</v>
      </c>
    </row>
    <row r="30" spans="1:5">
      <c r="A30" s="144" t="s">
        <v>132</v>
      </c>
      <c r="B30" s="142">
        <v>1</v>
      </c>
      <c r="C30" s="82">
        <v>0.97904262357055105</v>
      </c>
      <c r="D30" s="141">
        <v>1</v>
      </c>
      <c r="E30" s="157">
        <f t="shared" si="0"/>
        <v>0.99301420785685035</v>
      </c>
    </row>
    <row r="31" spans="1:5">
      <c r="A31" s="144" t="s">
        <v>133</v>
      </c>
      <c r="B31" s="142">
        <v>1</v>
      </c>
      <c r="C31" s="82">
        <v>0.85640436530729469</v>
      </c>
      <c r="D31" s="141">
        <v>1</v>
      </c>
      <c r="E31" s="157">
        <f t="shared" ref="E31" si="3">AVERAGE(B31:D31)</f>
        <v>0.95213478843576482</v>
      </c>
    </row>
    <row r="32" spans="1:5">
      <c r="A32" s="144" t="s">
        <v>134</v>
      </c>
      <c r="B32" s="142">
        <v>0</v>
      </c>
      <c r="C32" s="82">
        <v>0</v>
      </c>
      <c r="D32" s="141">
        <v>0</v>
      </c>
      <c r="E32" s="157">
        <f t="shared" si="0"/>
        <v>0</v>
      </c>
    </row>
    <row r="33" spans="1:5" ht="15.75" thickBot="1">
      <c r="A33" s="137" t="s">
        <v>135</v>
      </c>
      <c r="B33" s="135">
        <v>0.98855327080367172</v>
      </c>
      <c r="C33" s="134">
        <v>0.8504636062419838</v>
      </c>
      <c r="D33" s="133">
        <v>0.99292499160377423</v>
      </c>
      <c r="E33" s="156">
        <f t="shared" si="0"/>
        <v>0.94398062288314322</v>
      </c>
    </row>
    <row r="35" spans="1:5">
      <c r="A35" s="151"/>
      <c r="B35" s="151"/>
      <c r="C35" s="151"/>
      <c r="D35" s="151"/>
      <c r="E35" s="151"/>
    </row>
    <row r="37" spans="1:5" ht="15.75">
      <c r="A37" s="150" t="s">
        <v>1426</v>
      </c>
      <c r="B37" s="149"/>
      <c r="C37" s="149"/>
      <c r="D37" s="149"/>
      <c r="E37" s="149"/>
    </row>
    <row r="38" spans="1:5">
      <c r="A38" s="319" t="s">
        <v>1844</v>
      </c>
      <c r="B38" s="149"/>
      <c r="C38" s="149"/>
      <c r="D38" s="149"/>
      <c r="E38" s="149"/>
    </row>
    <row r="39" spans="1:5">
      <c r="A39" s="149"/>
      <c r="B39" s="149"/>
      <c r="C39" s="149"/>
      <c r="D39" s="149"/>
      <c r="E39" s="149"/>
    </row>
    <row r="40" spans="1:5" ht="15.75" thickBot="1">
      <c r="A40" s="149"/>
      <c r="B40" s="149"/>
      <c r="C40" s="149"/>
      <c r="D40" s="149"/>
      <c r="E40" s="149"/>
    </row>
    <row r="41" spans="1:5" ht="60">
      <c r="A41" s="162"/>
      <c r="B41" s="161" t="s">
        <v>1422</v>
      </c>
      <c r="C41" s="160" t="s">
        <v>1421</v>
      </c>
      <c r="D41" s="159" t="s">
        <v>1420</v>
      </c>
      <c r="E41" s="158" t="s">
        <v>1419</v>
      </c>
    </row>
    <row r="42" spans="1:5">
      <c r="A42" s="144" t="s">
        <v>92</v>
      </c>
      <c r="B42" s="142">
        <v>0.43095659348789278</v>
      </c>
      <c r="C42" s="82">
        <v>0.43967878682853517</v>
      </c>
      <c r="D42" s="141">
        <v>0.4316969260035014</v>
      </c>
      <c r="E42" s="157">
        <f t="shared" ref="E42:E60" si="4">AVERAGE(B42:D42)</f>
        <v>0.43411076877330973</v>
      </c>
    </row>
    <row r="43" spans="1:5">
      <c r="A43" s="144" t="s">
        <v>93</v>
      </c>
      <c r="B43" s="142">
        <v>0.2881882607342553</v>
      </c>
      <c r="C43" s="82">
        <v>0.31226812377408902</v>
      </c>
      <c r="D43" s="141">
        <v>0.30163617164690726</v>
      </c>
      <c r="E43" s="157">
        <f t="shared" si="4"/>
        <v>0.30069751871841721</v>
      </c>
    </row>
    <row r="44" spans="1:5">
      <c r="A44" s="144" t="s">
        <v>129</v>
      </c>
      <c r="B44" s="142">
        <v>0.17808386259454173</v>
      </c>
      <c r="C44" s="82">
        <v>0.18587017393535901</v>
      </c>
      <c r="D44" s="141">
        <v>0.17490415163208597</v>
      </c>
      <c r="E44" s="157">
        <f t="shared" si="4"/>
        <v>0.17961939605399557</v>
      </c>
    </row>
    <row r="45" spans="1:5">
      <c r="A45" s="144" t="s">
        <v>94</v>
      </c>
      <c r="B45" s="142">
        <v>0.3923514974572419</v>
      </c>
      <c r="C45" s="82">
        <v>0.40109625154418638</v>
      </c>
      <c r="D45" s="141">
        <v>0.40047828598951868</v>
      </c>
      <c r="E45" s="157">
        <f t="shared" si="4"/>
        <v>0.39797534499698228</v>
      </c>
    </row>
    <row r="46" spans="1:5">
      <c r="A46" s="144" t="s">
        <v>95</v>
      </c>
      <c r="B46" s="142">
        <v>0.50381503902256242</v>
      </c>
      <c r="C46" s="82">
        <v>0.54412267923523971</v>
      </c>
      <c r="D46" s="141">
        <v>0.51279793300695331</v>
      </c>
      <c r="E46" s="157">
        <f t="shared" si="4"/>
        <v>0.52024521708825189</v>
      </c>
    </row>
    <row r="47" spans="1:5">
      <c r="A47" s="144" t="s">
        <v>130</v>
      </c>
      <c r="B47" s="142">
        <v>0.21995451840733496</v>
      </c>
      <c r="C47" s="82">
        <v>0.20946800618144246</v>
      </c>
      <c r="D47" s="141">
        <v>0.20420724635570398</v>
      </c>
      <c r="E47" s="157">
        <f t="shared" si="4"/>
        <v>0.21120992364816046</v>
      </c>
    </row>
    <row r="48" spans="1:5">
      <c r="A48" s="144" t="s">
        <v>96</v>
      </c>
      <c r="B48" s="142">
        <v>0.53873658591426776</v>
      </c>
      <c r="C48" s="82">
        <v>0.5355741984395046</v>
      </c>
      <c r="D48" s="141">
        <v>0.53292172101247115</v>
      </c>
      <c r="E48" s="157">
        <f t="shared" si="4"/>
        <v>0.53574416845541439</v>
      </c>
    </row>
    <row r="49" spans="1:13">
      <c r="A49" s="144" t="s">
        <v>97</v>
      </c>
      <c r="B49" s="142">
        <v>0.53873658591426776</v>
      </c>
      <c r="C49" s="82">
        <v>0.5355741984395046</v>
      </c>
      <c r="D49" s="141">
        <v>0.53292172101247115</v>
      </c>
      <c r="E49" s="157">
        <f t="shared" si="4"/>
        <v>0.53574416845541439</v>
      </c>
    </row>
    <row r="50" spans="1:13">
      <c r="A50" s="144" t="s">
        <v>110</v>
      </c>
      <c r="B50" s="142">
        <v>0.332210036542743</v>
      </c>
      <c r="C50" s="82">
        <v>0.47131804542132866</v>
      </c>
      <c r="D50" s="141">
        <v>0.49987217518416316</v>
      </c>
      <c r="E50" s="157">
        <f t="shared" si="4"/>
        <v>0.43446675238274496</v>
      </c>
    </row>
    <row r="51" spans="1:13">
      <c r="A51" s="144" t="s">
        <v>1536</v>
      </c>
      <c r="B51" s="142">
        <v>0.41070925048599816</v>
      </c>
      <c r="C51" s="82">
        <v>0.42148034790695643</v>
      </c>
      <c r="D51" s="141">
        <v>0.41313049757039194</v>
      </c>
      <c r="E51" s="157">
        <f t="shared" ref="E51:E52" si="5">AVERAGE(B51:D51)</f>
        <v>0.41510669865444888</v>
      </c>
    </row>
    <row r="52" spans="1:13">
      <c r="A52" s="144" t="s">
        <v>1535</v>
      </c>
      <c r="B52" s="142">
        <v>0.41320945508390072</v>
      </c>
      <c r="C52" s="82">
        <v>0.42801308303651214</v>
      </c>
      <c r="D52" s="141">
        <v>0.42138015732330569</v>
      </c>
      <c r="E52" s="157">
        <f t="shared" si="5"/>
        <v>0.42086756514790613</v>
      </c>
    </row>
    <row r="53" spans="1:13">
      <c r="A53" s="144" t="s">
        <v>98</v>
      </c>
      <c r="B53" s="142">
        <v>0.53116773462567246</v>
      </c>
      <c r="C53" s="82">
        <v>0.5459528260102493</v>
      </c>
      <c r="D53" s="141">
        <v>0.5349732040698707</v>
      </c>
      <c r="E53" s="157">
        <f t="shared" si="4"/>
        <v>0.53736458823526412</v>
      </c>
    </row>
    <row r="54" spans="1:13">
      <c r="A54" s="144" t="s">
        <v>99</v>
      </c>
      <c r="B54" s="142">
        <v>0.53116773462567246</v>
      </c>
      <c r="C54" s="82">
        <v>0.5459528260102493</v>
      </c>
      <c r="D54" s="141">
        <v>0.50395159775685772</v>
      </c>
      <c r="E54" s="157">
        <f t="shared" si="4"/>
        <v>0.52702405279759323</v>
      </c>
    </row>
    <row r="55" spans="1:13">
      <c r="A55" s="144" t="s">
        <v>111</v>
      </c>
      <c r="B55" s="142">
        <v>0.656159888829428</v>
      </c>
      <c r="C55" s="82">
        <v>0.66587859722370979</v>
      </c>
      <c r="D55" s="141">
        <v>0.66271108587223537</v>
      </c>
      <c r="E55" s="157">
        <f t="shared" si="4"/>
        <v>0.66158319064179105</v>
      </c>
    </row>
    <row r="56" spans="1:13">
      <c r="A56" s="144" t="s">
        <v>131</v>
      </c>
      <c r="B56" s="142">
        <v>1</v>
      </c>
      <c r="C56" s="82">
        <v>1</v>
      </c>
      <c r="D56" s="141">
        <v>1</v>
      </c>
      <c r="E56" s="157">
        <f t="shared" si="4"/>
        <v>1</v>
      </c>
    </row>
    <row r="57" spans="1:13">
      <c r="A57" s="144" t="s">
        <v>132</v>
      </c>
      <c r="B57" s="142">
        <v>0.47224403158243428</v>
      </c>
      <c r="C57" s="82">
        <v>0.47224403158243428</v>
      </c>
      <c r="D57" s="141">
        <v>0.46431436281374205</v>
      </c>
      <c r="E57" s="157">
        <f t="shared" si="4"/>
        <v>0.46960080865953691</v>
      </c>
    </row>
    <row r="58" spans="1:13">
      <c r="A58" s="144" t="s">
        <v>133</v>
      </c>
      <c r="B58" s="142">
        <v>0.25664631411642269</v>
      </c>
      <c r="C58" s="82">
        <v>0.25664631411642269</v>
      </c>
      <c r="D58" s="141">
        <v>0.24921856058309388</v>
      </c>
      <c r="E58" s="157">
        <f t="shared" si="4"/>
        <v>0.25417039627197974</v>
      </c>
    </row>
    <row r="59" spans="1:13">
      <c r="A59" s="144" t="s">
        <v>134</v>
      </c>
      <c r="B59" s="142">
        <v>0.51581253586567333</v>
      </c>
      <c r="C59" s="82">
        <v>0.51581253586567333</v>
      </c>
      <c r="D59" s="141">
        <v>0.51599182790054321</v>
      </c>
      <c r="E59" s="157">
        <f t="shared" si="4"/>
        <v>0.51587229987729666</v>
      </c>
    </row>
    <row r="60" spans="1:13" ht="15.75" thickBot="1">
      <c r="A60" s="137" t="s">
        <v>135</v>
      </c>
      <c r="B60" s="135">
        <v>0.48287896623182186</v>
      </c>
      <c r="C60" s="134">
        <v>0.47570389326173224</v>
      </c>
      <c r="D60" s="133">
        <v>0.47032100206477573</v>
      </c>
      <c r="E60" s="156">
        <f t="shared" si="4"/>
        <v>0.47630128718610992</v>
      </c>
    </row>
    <row r="62" spans="1:13">
      <c r="A62" s="151"/>
      <c r="B62" s="151"/>
      <c r="C62" s="151"/>
      <c r="D62" s="151"/>
      <c r="E62" s="151"/>
    </row>
    <row r="64" spans="1:13" ht="15.75">
      <c r="A64" s="150" t="s">
        <v>1425</v>
      </c>
      <c r="B64" s="149"/>
      <c r="C64" s="149"/>
      <c r="D64" s="149"/>
      <c r="E64" s="149"/>
      <c r="F64" s="149"/>
      <c r="G64" s="149"/>
      <c r="H64" s="149"/>
      <c r="I64" s="149"/>
      <c r="J64" s="149"/>
      <c r="K64" s="149"/>
      <c r="L64" s="149"/>
      <c r="M64" s="149"/>
    </row>
    <row r="65" spans="1:13">
      <c r="A65" s="319" t="s">
        <v>1844</v>
      </c>
      <c r="B65" s="149"/>
      <c r="C65" s="149"/>
      <c r="D65" s="149"/>
      <c r="E65" s="149"/>
      <c r="F65" s="149"/>
      <c r="G65" s="149"/>
      <c r="H65" s="149"/>
      <c r="I65" s="149"/>
      <c r="J65" s="149"/>
      <c r="K65" s="149"/>
      <c r="L65" s="149"/>
      <c r="M65" s="149"/>
    </row>
    <row r="66" spans="1:13">
      <c r="A66" s="149"/>
      <c r="B66" s="149"/>
      <c r="C66" s="149"/>
      <c r="D66" s="149"/>
      <c r="E66" s="149"/>
      <c r="F66" s="149"/>
      <c r="G66" s="149"/>
      <c r="H66" s="149"/>
      <c r="I66" s="149"/>
      <c r="J66" s="149"/>
      <c r="K66" s="149"/>
      <c r="L66" s="149"/>
      <c r="M66" s="149"/>
    </row>
    <row r="67" spans="1:13" ht="15.75" thickBot="1">
      <c r="A67" s="149"/>
      <c r="B67" s="149"/>
      <c r="C67" s="149"/>
      <c r="D67" s="149"/>
      <c r="E67" s="149"/>
      <c r="F67" s="149"/>
      <c r="G67" s="149"/>
      <c r="H67" s="149"/>
      <c r="I67" s="149"/>
      <c r="J67" s="149"/>
      <c r="K67" s="149"/>
      <c r="L67" s="149"/>
      <c r="M67" s="149"/>
    </row>
    <row r="68" spans="1:13" ht="30" customHeight="1">
      <c r="A68" s="347"/>
      <c r="B68" s="349" t="s">
        <v>1422</v>
      </c>
      <c r="C68" s="350"/>
      <c r="D68" s="351"/>
      <c r="E68" s="349" t="s">
        <v>1421</v>
      </c>
      <c r="F68" s="352"/>
      <c r="G68" s="353"/>
      <c r="H68" s="349" t="s">
        <v>1420</v>
      </c>
      <c r="I68" s="352"/>
      <c r="J68" s="352"/>
      <c r="K68" s="349" t="s">
        <v>1419</v>
      </c>
      <c r="L68" s="352"/>
      <c r="M68" s="353"/>
    </row>
    <row r="69" spans="1:13">
      <c r="A69" s="348"/>
      <c r="B69" s="147" t="s">
        <v>233</v>
      </c>
      <c r="C69" s="146" t="s">
        <v>234</v>
      </c>
      <c r="D69" s="145" t="s">
        <v>235</v>
      </c>
      <c r="E69" s="147" t="s">
        <v>233</v>
      </c>
      <c r="F69" s="146" t="s">
        <v>234</v>
      </c>
      <c r="G69" s="145" t="s">
        <v>235</v>
      </c>
      <c r="H69" s="147" t="s">
        <v>233</v>
      </c>
      <c r="I69" s="146" t="s">
        <v>234</v>
      </c>
      <c r="J69" s="148" t="s">
        <v>235</v>
      </c>
      <c r="K69" s="147" t="s">
        <v>233</v>
      </c>
      <c r="L69" s="146" t="s">
        <v>234</v>
      </c>
      <c r="M69" s="145" t="s">
        <v>235</v>
      </c>
    </row>
    <row r="70" spans="1:13">
      <c r="A70" s="155" t="s">
        <v>92</v>
      </c>
      <c r="B70" s="142">
        <v>0.15071536204962135</v>
      </c>
      <c r="C70" s="82">
        <v>0.41635331141435583</v>
      </c>
      <c r="D70" s="143">
        <v>0.43293132653602279</v>
      </c>
      <c r="E70" s="142">
        <v>0.15174108952847193</v>
      </c>
      <c r="F70" s="82">
        <v>0.41945700266711705</v>
      </c>
      <c r="G70" s="143">
        <v>0.42880190780441102</v>
      </c>
      <c r="H70" s="142">
        <v>0.15245562403909368</v>
      </c>
      <c r="I70" s="82">
        <v>0.42145985126944868</v>
      </c>
      <c r="J70" s="141">
        <v>0.42608452469145763</v>
      </c>
      <c r="K70" s="140">
        <f t="shared" ref="K70:M78" si="6">AVERAGE(B70,E70,H70)</f>
        <v>0.15163735853906232</v>
      </c>
      <c r="L70" s="139">
        <f t="shared" si="6"/>
        <v>0.41909005511697384</v>
      </c>
      <c r="M70" s="138">
        <f t="shared" si="6"/>
        <v>0.42927258634396387</v>
      </c>
    </row>
    <row r="71" spans="1:13">
      <c r="A71" s="155" t="s">
        <v>93</v>
      </c>
      <c r="B71" s="142">
        <v>0.14616097709415865</v>
      </c>
      <c r="C71" s="82">
        <v>0.41256661703050307</v>
      </c>
      <c r="D71" s="143">
        <v>0.44127240587533828</v>
      </c>
      <c r="E71" s="142">
        <v>0.14833799189825095</v>
      </c>
      <c r="F71" s="82">
        <v>0.41583113086518508</v>
      </c>
      <c r="G71" s="143">
        <v>0.43583087723656394</v>
      </c>
      <c r="H71" s="142">
        <v>0.14933474082585627</v>
      </c>
      <c r="I71" s="82">
        <v>0.41935767435646332</v>
      </c>
      <c r="J71" s="141">
        <v>0.43130758481768039</v>
      </c>
      <c r="K71" s="140">
        <f t="shared" ref="K71:K72" si="7">AVERAGE(B71,E71,H71)</f>
        <v>0.14794456993942195</v>
      </c>
      <c r="L71" s="139">
        <f t="shared" ref="L71:L72" si="8">AVERAGE(C71,F71,I71)</f>
        <v>0.41591847408405047</v>
      </c>
      <c r="M71" s="138">
        <f t="shared" ref="M71:M72" si="9">AVERAGE(D71,G71,J71)</f>
        <v>0.43613695597652757</v>
      </c>
    </row>
    <row r="72" spans="1:13">
      <c r="A72" s="155" t="s">
        <v>129</v>
      </c>
      <c r="B72" s="142">
        <v>2.7256129654180975E-3</v>
      </c>
      <c r="C72" s="82">
        <v>0.20381653338601829</v>
      </c>
      <c r="D72" s="143">
        <v>0.79345785364856358</v>
      </c>
      <c r="E72" s="142">
        <v>2.7204831283567923E-3</v>
      </c>
      <c r="F72" s="82">
        <v>0.21075189219950277</v>
      </c>
      <c r="G72" s="143">
        <v>0.78652762467214044</v>
      </c>
      <c r="H72" s="142">
        <v>3.0178859895897583E-3</v>
      </c>
      <c r="I72" s="82">
        <v>0.21263711725797294</v>
      </c>
      <c r="J72" s="141">
        <v>0.7843449967524373</v>
      </c>
      <c r="K72" s="140">
        <f t="shared" si="7"/>
        <v>2.8213273611215495E-3</v>
      </c>
      <c r="L72" s="139">
        <f t="shared" si="8"/>
        <v>0.20906851428116469</v>
      </c>
      <c r="M72" s="138">
        <f t="shared" si="9"/>
        <v>0.78811015835771381</v>
      </c>
    </row>
    <row r="73" spans="1:13">
      <c r="A73" s="155" t="s">
        <v>94</v>
      </c>
      <c r="B73" s="142">
        <v>0.13092153968979034</v>
      </c>
      <c r="C73" s="82">
        <v>0.58632234315348319</v>
      </c>
      <c r="D73" s="143">
        <v>0.28275611715672644</v>
      </c>
      <c r="E73" s="142">
        <v>0.13230531379838717</v>
      </c>
      <c r="F73" s="82">
        <v>0.58600910334607503</v>
      </c>
      <c r="G73" s="143">
        <v>0.2816855828555378</v>
      </c>
      <c r="H73" s="142">
        <v>0.13176788496858766</v>
      </c>
      <c r="I73" s="82">
        <v>0.58021307614174533</v>
      </c>
      <c r="J73" s="141">
        <v>0.28801903888966701</v>
      </c>
      <c r="K73" s="140">
        <f t="shared" si="6"/>
        <v>0.13166491281892173</v>
      </c>
      <c r="L73" s="139">
        <f t="shared" si="6"/>
        <v>0.58418150754710119</v>
      </c>
      <c r="M73" s="138">
        <f t="shared" si="6"/>
        <v>0.28415357963397708</v>
      </c>
    </row>
    <row r="74" spans="1:13">
      <c r="A74" s="155" t="s">
        <v>95</v>
      </c>
      <c r="B74" s="142">
        <v>0.13021392815492849</v>
      </c>
      <c r="C74" s="82">
        <v>0.53455393549477115</v>
      </c>
      <c r="D74" s="143">
        <v>0.33523213635030036</v>
      </c>
      <c r="E74" s="142">
        <v>0.1310731054007028</v>
      </c>
      <c r="F74" s="82">
        <v>0.53739157746240995</v>
      </c>
      <c r="G74" s="143">
        <v>0.33153531713688722</v>
      </c>
      <c r="H74" s="142">
        <v>0.13163099673724729</v>
      </c>
      <c r="I74" s="82">
        <v>0.53680411048803245</v>
      </c>
      <c r="J74" s="141">
        <v>0.33156489277472029</v>
      </c>
      <c r="K74" s="140">
        <f t="shared" si="6"/>
        <v>0.13097267676429289</v>
      </c>
      <c r="L74" s="139">
        <f t="shared" si="6"/>
        <v>0.53624987448173789</v>
      </c>
      <c r="M74" s="138">
        <f t="shared" si="6"/>
        <v>0.33277744875396925</v>
      </c>
    </row>
    <row r="75" spans="1:13">
      <c r="A75" s="155" t="s">
        <v>130</v>
      </c>
      <c r="B75" s="142">
        <v>2.0169188707051713E-2</v>
      </c>
      <c r="C75" s="82">
        <v>0.17533707844574564</v>
      </c>
      <c r="D75" s="143">
        <v>0.8044937328472026</v>
      </c>
      <c r="E75" s="142">
        <v>2.3145064916429613E-2</v>
      </c>
      <c r="F75" s="82">
        <v>0.17923161686983743</v>
      </c>
      <c r="G75" s="143">
        <v>0.797623318213733</v>
      </c>
      <c r="H75" s="142">
        <v>2.0228577502399338E-2</v>
      </c>
      <c r="I75" s="82">
        <v>0.16928397738404849</v>
      </c>
      <c r="J75" s="141">
        <v>0.8104874451135522</v>
      </c>
      <c r="K75" s="140">
        <f t="shared" si="6"/>
        <v>2.1180943708626887E-2</v>
      </c>
      <c r="L75" s="139">
        <f t="shared" si="6"/>
        <v>0.17461755756654385</v>
      </c>
      <c r="M75" s="138">
        <f t="shared" si="6"/>
        <v>0.80420149872482938</v>
      </c>
    </row>
    <row r="76" spans="1:13">
      <c r="A76" s="155" t="s">
        <v>96</v>
      </c>
      <c r="B76" s="142">
        <v>0.13675210146706174</v>
      </c>
      <c r="C76" s="82">
        <v>0.52607734745996348</v>
      </c>
      <c r="D76" s="143">
        <v>0.33717055107297472</v>
      </c>
      <c r="E76" s="142">
        <v>0.13682930699027268</v>
      </c>
      <c r="F76" s="82">
        <v>0.52682038470620962</v>
      </c>
      <c r="G76" s="143">
        <v>0.33635030830351775</v>
      </c>
      <c r="H76" s="142">
        <v>0.13669114099659463</v>
      </c>
      <c r="I76" s="82">
        <v>0.52640125859322628</v>
      </c>
      <c r="J76" s="141">
        <v>0.33690760041017909</v>
      </c>
      <c r="K76" s="140">
        <f t="shared" si="6"/>
        <v>0.13675751648464302</v>
      </c>
      <c r="L76" s="139">
        <f t="shared" si="6"/>
        <v>0.52643299691979983</v>
      </c>
      <c r="M76" s="138">
        <f t="shared" si="6"/>
        <v>0.33680948659555715</v>
      </c>
    </row>
    <row r="77" spans="1:13">
      <c r="A77" s="155" t="s">
        <v>97</v>
      </c>
      <c r="B77" s="142">
        <v>0.13675210146706174</v>
      </c>
      <c r="C77" s="82">
        <v>0.52607734745996348</v>
      </c>
      <c r="D77" s="143">
        <v>0.33717055107297472</v>
      </c>
      <c r="E77" s="142">
        <v>0.12966477175993787</v>
      </c>
      <c r="F77" s="82">
        <v>0.55245597352390363</v>
      </c>
      <c r="G77" s="143">
        <v>0.31787925471615847</v>
      </c>
      <c r="H77" s="142">
        <v>0.13098360340372051</v>
      </c>
      <c r="I77" s="82">
        <v>0.54717307803292148</v>
      </c>
      <c r="J77" s="143">
        <v>0.32184331856335807</v>
      </c>
      <c r="K77" s="140">
        <f t="shared" si="6"/>
        <v>0.13246682554357336</v>
      </c>
      <c r="L77" s="139">
        <f t="shared" si="6"/>
        <v>0.5419021330055962</v>
      </c>
      <c r="M77" s="138">
        <f t="shared" si="6"/>
        <v>0.32563104145083038</v>
      </c>
    </row>
    <row r="78" spans="1:13" ht="15.75" thickBot="1">
      <c r="A78" s="155" t="s">
        <v>110</v>
      </c>
      <c r="B78" s="135">
        <v>0.13004599372826822</v>
      </c>
      <c r="C78" s="134">
        <v>0.55170880609287953</v>
      </c>
      <c r="D78" s="136">
        <v>0.31824520017885227</v>
      </c>
      <c r="E78" s="135">
        <v>0.13140393185106719</v>
      </c>
      <c r="F78" s="134">
        <v>0.55915029958716578</v>
      </c>
      <c r="G78" s="136">
        <v>0.30944576856176703</v>
      </c>
      <c r="H78" s="135">
        <v>0.13057221185076434</v>
      </c>
      <c r="I78" s="134">
        <v>0.55040453028201364</v>
      </c>
      <c r="J78" s="133">
        <v>0.31902325786722197</v>
      </c>
      <c r="K78" s="132">
        <f t="shared" si="6"/>
        <v>0.13067404581003325</v>
      </c>
      <c r="L78" s="131">
        <f t="shared" si="6"/>
        <v>0.55375454532068635</v>
      </c>
      <c r="M78" s="130">
        <f t="shared" si="6"/>
        <v>0.31557140886928042</v>
      </c>
    </row>
    <row r="80" spans="1:13">
      <c r="A80" s="151"/>
      <c r="B80" s="151"/>
      <c r="C80" s="151"/>
      <c r="D80" s="151"/>
      <c r="E80" s="151"/>
      <c r="F80" s="151"/>
      <c r="G80" s="151"/>
      <c r="H80" s="151"/>
      <c r="I80" s="151"/>
      <c r="J80" s="151"/>
      <c r="K80" s="151"/>
      <c r="L80" s="151"/>
      <c r="M80" s="151"/>
    </row>
    <row r="82" spans="1:13" ht="15.75">
      <c r="A82" s="150" t="s">
        <v>1424</v>
      </c>
      <c r="B82" s="149"/>
      <c r="C82" s="149"/>
      <c r="D82" s="149"/>
      <c r="E82" s="149"/>
      <c r="F82" s="149"/>
      <c r="G82" s="149"/>
      <c r="H82" s="149"/>
      <c r="I82" s="149"/>
      <c r="J82" s="149"/>
      <c r="K82" s="149"/>
      <c r="L82" s="149"/>
      <c r="M82" s="149"/>
    </row>
    <row r="83" spans="1:13">
      <c r="A83" s="319" t="s">
        <v>1844</v>
      </c>
      <c r="B83" s="149"/>
      <c r="C83" s="149"/>
      <c r="D83" s="149"/>
      <c r="E83" s="149"/>
      <c r="F83" s="149"/>
      <c r="G83" s="149"/>
      <c r="H83" s="149"/>
      <c r="I83" s="149"/>
      <c r="J83" s="149"/>
      <c r="K83" s="149"/>
      <c r="L83" s="149"/>
      <c r="M83" s="149"/>
    </row>
    <row r="84" spans="1:13">
      <c r="A84" s="149"/>
      <c r="B84" s="149"/>
      <c r="C84" s="149"/>
      <c r="D84" s="154" t="s">
        <v>1201</v>
      </c>
      <c r="E84" s="149"/>
      <c r="F84" s="149"/>
      <c r="G84" s="149"/>
      <c r="H84" s="149"/>
      <c r="I84" s="149"/>
      <c r="J84" s="149"/>
      <c r="K84" s="149"/>
      <c r="L84" s="149"/>
      <c r="M84" s="149"/>
    </row>
    <row r="85" spans="1:13" ht="15.75" thickBot="1">
      <c r="A85" s="149"/>
      <c r="B85" s="149"/>
      <c r="C85" s="149"/>
      <c r="D85" s="149"/>
      <c r="E85" s="149"/>
      <c r="F85" s="149"/>
      <c r="G85" s="149"/>
      <c r="H85" s="149"/>
      <c r="I85" s="149"/>
      <c r="J85" s="149"/>
      <c r="K85" s="149"/>
      <c r="L85" s="149"/>
      <c r="M85" s="149"/>
    </row>
    <row r="86" spans="1:13" ht="30" customHeight="1">
      <c r="A86" s="356"/>
      <c r="B86" s="349" t="s">
        <v>1422</v>
      </c>
      <c r="C86" s="352"/>
      <c r="D86" s="353"/>
      <c r="E86" s="349" t="s">
        <v>1421</v>
      </c>
      <c r="F86" s="352"/>
      <c r="G86" s="353"/>
      <c r="H86" s="349" t="s">
        <v>1420</v>
      </c>
      <c r="I86" s="352"/>
      <c r="J86" s="352"/>
      <c r="K86" s="349" t="s">
        <v>1419</v>
      </c>
      <c r="L86" s="352"/>
      <c r="M86" s="353"/>
    </row>
    <row r="87" spans="1:13">
      <c r="A87" s="357"/>
      <c r="B87" s="147" t="s">
        <v>233</v>
      </c>
      <c r="C87" s="146" t="s">
        <v>234</v>
      </c>
      <c r="D87" s="145" t="s">
        <v>235</v>
      </c>
      <c r="E87" s="147" t="s">
        <v>233</v>
      </c>
      <c r="F87" s="146" t="s">
        <v>234</v>
      </c>
      <c r="G87" s="145" t="s">
        <v>235</v>
      </c>
      <c r="H87" s="147" t="s">
        <v>233</v>
      </c>
      <c r="I87" s="146" t="s">
        <v>234</v>
      </c>
      <c r="J87" s="148" t="s">
        <v>235</v>
      </c>
      <c r="K87" s="147" t="s">
        <v>233</v>
      </c>
      <c r="L87" s="146" t="s">
        <v>234</v>
      </c>
      <c r="M87" s="145" t="s">
        <v>235</v>
      </c>
    </row>
    <row r="88" spans="1:13">
      <c r="A88" s="153" t="s">
        <v>93</v>
      </c>
      <c r="B88" s="142">
        <v>0</v>
      </c>
      <c r="C88" s="82">
        <v>0</v>
      </c>
      <c r="D88" s="143">
        <v>1</v>
      </c>
      <c r="E88" s="142"/>
      <c r="F88" s="82"/>
      <c r="G88" s="143">
        <v>1</v>
      </c>
      <c r="H88" s="142"/>
      <c r="I88" s="82"/>
      <c r="J88" s="141">
        <v>1</v>
      </c>
      <c r="K88" s="140">
        <f t="shared" ref="K88:M92" si="10">AVERAGE(B88,E88,H88)</f>
        <v>0</v>
      </c>
      <c r="L88" s="139">
        <f t="shared" si="10"/>
        <v>0</v>
      </c>
      <c r="M88" s="138">
        <f t="shared" si="10"/>
        <v>1</v>
      </c>
    </row>
    <row r="89" spans="1:13">
      <c r="A89" s="153" t="s">
        <v>95</v>
      </c>
      <c r="B89" s="142">
        <v>0</v>
      </c>
      <c r="C89" s="82">
        <v>0</v>
      </c>
      <c r="D89" s="143">
        <v>1</v>
      </c>
      <c r="E89" s="142"/>
      <c r="F89" s="82"/>
      <c r="G89" s="143">
        <v>1</v>
      </c>
      <c r="H89" s="142"/>
      <c r="I89" s="82"/>
      <c r="J89" s="141">
        <v>1</v>
      </c>
      <c r="K89" s="140">
        <f t="shared" si="10"/>
        <v>0</v>
      </c>
      <c r="L89" s="139">
        <f t="shared" si="10"/>
        <v>0</v>
      </c>
      <c r="M89" s="138">
        <f t="shared" si="10"/>
        <v>1</v>
      </c>
    </row>
    <row r="90" spans="1:13">
      <c r="A90" s="153" t="s">
        <v>96</v>
      </c>
      <c r="B90" s="142">
        <v>0</v>
      </c>
      <c r="C90" s="82">
        <v>0</v>
      </c>
      <c r="D90" s="143">
        <v>1</v>
      </c>
      <c r="E90" s="142"/>
      <c r="F90" s="82"/>
      <c r="G90" s="143">
        <v>1</v>
      </c>
      <c r="H90" s="142"/>
      <c r="I90" s="82"/>
      <c r="J90" s="141">
        <v>1</v>
      </c>
      <c r="K90" s="140">
        <f t="shared" si="10"/>
        <v>0</v>
      </c>
      <c r="L90" s="139">
        <f t="shared" si="10"/>
        <v>0</v>
      </c>
      <c r="M90" s="138">
        <f t="shared" si="10"/>
        <v>1</v>
      </c>
    </row>
    <row r="91" spans="1:13">
      <c r="A91" s="153" t="s">
        <v>97</v>
      </c>
      <c r="B91" s="142">
        <v>0</v>
      </c>
      <c r="C91" s="82">
        <v>0</v>
      </c>
      <c r="D91" s="143">
        <v>1</v>
      </c>
      <c r="E91" s="142"/>
      <c r="F91" s="82"/>
      <c r="G91" s="143">
        <v>1</v>
      </c>
      <c r="H91" s="142"/>
      <c r="I91" s="82"/>
      <c r="J91" s="141">
        <v>1</v>
      </c>
      <c r="K91" s="140">
        <f t="shared" si="10"/>
        <v>0</v>
      </c>
      <c r="L91" s="139">
        <f t="shared" si="10"/>
        <v>0</v>
      </c>
      <c r="M91" s="138">
        <f t="shared" si="10"/>
        <v>1</v>
      </c>
    </row>
    <row r="92" spans="1:13" ht="15.75" thickBot="1">
      <c r="A92" s="152" t="s">
        <v>110</v>
      </c>
      <c r="B92" s="135">
        <v>0</v>
      </c>
      <c r="C92" s="134">
        <v>0</v>
      </c>
      <c r="D92" s="136">
        <v>1</v>
      </c>
      <c r="E92" s="135"/>
      <c r="F92" s="134"/>
      <c r="G92" s="136">
        <v>1</v>
      </c>
      <c r="H92" s="135"/>
      <c r="I92" s="134"/>
      <c r="J92" s="133">
        <v>1</v>
      </c>
      <c r="K92" s="132">
        <f t="shared" si="10"/>
        <v>0</v>
      </c>
      <c r="L92" s="131">
        <f t="shared" si="10"/>
        <v>0</v>
      </c>
      <c r="M92" s="130">
        <f t="shared" si="10"/>
        <v>1</v>
      </c>
    </row>
    <row r="94" spans="1:13">
      <c r="A94" s="151"/>
      <c r="B94" s="151"/>
      <c r="C94" s="151"/>
      <c r="D94" s="151"/>
      <c r="E94" s="151"/>
    </row>
    <row r="96" spans="1:13" ht="15.75">
      <c r="A96" s="150" t="s">
        <v>237</v>
      </c>
      <c r="B96" s="149"/>
      <c r="C96" s="149"/>
      <c r="D96" s="149"/>
      <c r="E96" s="149"/>
      <c r="F96" s="149"/>
      <c r="G96" s="149"/>
      <c r="H96" s="149"/>
      <c r="I96" s="149"/>
      <c r="J96" s="149"/>
      <c r="K96" s="149"/>
      <c r="L96" s="149"/>
      <c r="M96" s="149"/>
    </row>
    <row r="97" spans="1:13">
      <c r="A97" s="149"/>
      <c r="B97" s="149"/>
      <c r="C97" s="149"/>
      <c r="D97" s="149"/>
      <c r="E97" s="149"/>
      <c r="F97" s="149"/>
      <c r="G97" s="149"/>
      <c r="H97" s="149"/>
      <c r="I97" s="149"/>
      <c r="J97" s="149"/>
      <c r="K97" s="149"/>
      <c r="L97" s="149"/>
      <c r="M97" s="149"/>
    </row>
    <row r="98" spans="1:13">
      <c r="A98" s="149"/>
      <c r="B98" s="149"/>
      <c r="C98" s="149"/>
      <c r="D98" s="149"/>
      <c r="E98" s="149"/>
      <c r="F98" s="149"/>
      <c r="G98" s="149"/>
      <c r="H98" s="149"/>
      <c r="I98" s="149"/>
      <c r="J98" s="149"/>
      <c r="K98" s="149"/>
      <c r="L98" s="149"/>
      <c r="M98" s="149"/>
    </row>
    <row r="99" spans="1:13" ht="15.75" thickBot="1">
      <c r="A99" s="149"/>
      <c r="B99" s="149"/>
      <c r="C99" s="149"/>
      <c r="D99" s="149"/>
      <c r="E99" s="149"/>
      <c r="F99" s="149"/>
      <c r="G99" s="149"/>
      <c r="H99" s="149"/>
      <c r="I99" s="149"/>
      <c r="J99" s="149"/>
      <c r="K99" s="149"/>
      <c r="L99" s="149"/>
      <c r="M99" s="149"/>
    </row>
    <row r="100" spans="1:13" ht="30" customHeight="1">
      <c r="A100" s="347"/>
      <c r="B100" s="349" t="s">
        <v>1422</v>
      </c>
      <c r="C100" s="350"/>
      <c r="D100" s="351"/>
      <c r="E100" s="349" t="s">
        <v>1421</v>
      </c>
      <c r="F100" s="352"/>
      <c r="G100" s="353"/>
      <c r="H100" s="349" t="s">
        <v>1420</v>
      </c>
      <c r="I100" s="352"/>
      <c r="J100" s="352"/>
      <c r="K100" s="349" t="s">
        <v>1419</v>
      </c>
      <c r="L100" s="352"/>
      <c r="M100" s="353"/>
    </row>
    <row r="101" spans="1:13">
      <c r="A101" s="348"/>
      <c r="B101" s="147" t="s">
        <v>233</v>
      </c>
      <c r="C101" s="146" t="s">
        <v>234</v>
      </c>
      <c r="D101" s="145" t="s">
        <v>235</v>
      </c>
      <c r="E101" s="147" t="s">
        <v>233</v>
      </c>
      <c r="F101" s="146" t="s">
        <v>234</v>
      </c>
      <c r="G101" s="145" t="s">
        <v>235</v>
      </c>
      <c r="H101" s="147" t="s">
        <v>233</v>
      </c>
      <c r="I101" s="146" t="s">
        <v>234</v>
      </c>
      <c r="J101" s="148" t="s">
        <v>235</v>
      </c>
      <c r="K101" s="147" t="s">
        <v>233</v>
      </c>
      <c r="L101" s="146" t="s">
        <v>234</v>
      </c>
      <c r="M101" s="145" t="s">
        <v>235</v>
      </c>
    </row>
    <row r="102" spans="1:13">
      <c r="A102" s="155" t="s">
        <v>131</v>
      </c>
      <c r="B102" s="142">
        <v>2.9452054794520548E-2</v>
      </c>
      <c r="C102" s="82">
        <v>0.37123287671232874</v>
      </c>
      <c r="D102" s="143">
        <v>0.59931506849315064</v>
      </c>
      <c r="E102" s="142">
        <v>2.9452054794520548E-2</v>
      </c>
      <c r="F102" s="82">
        <v>0.3727739726027397</v>
      </c>
      <c r="G102" s="143">
        <v>0.59777397260273968</v>
      </c>
      <c r="H102" s="142">
        <v>2.9109589041095889E-2</v>
      </c>
      <c r="I102" s="82">
        <v>0.37311643835616437</v>
      </c>
      <c r="J102" s="141">
        <v>0.59777397260273968</v>
      </c>
      <c r="K102" s="140">
        <f t="shared" ref="K102:K105" si="11">AVERAGE(B102,E102,H102)</f>
        <v>2.9337899543378995E-2</v>
      </c>
      <c r="L102" s="139">
        <f t="shared" ref="L102:L105" si="12">AVERAGE(C102,F102,I102)</f>
        <v>0.37237442922374431</v>
      </c>
      <c r="M102" s="138">
        <f t="shared" ref="M102:M105" si="13">AVERAGE(D102,G102,J102)</f>
        <v>0.59828767123287674</v>
      </c>
    </row>
    <row r="103" spans="1:13">
      <c r="A103" s="155" t="s">
        <v>132</v>
      </c>
      <c r="B103" s="142">
        <v>4.9088731286692049E-2</v>
      </c>
      <c r="C103" s="82">
        <v>8.842825399375763E-2</v>
      </c>
      <c r="D103" s="143">
        <v>0.86248301471955036</v>
      </c>
      <c r="E103" s="142">
        <v>4.9020295843071576E-2</v>
      </c>
      <c r="F103" s="82">
        <v>8.8743179258409452E-2</v>
      </c>
      <c r="G103" s="143">
        <v>0.86223652489851887</v>
      </c>
      <c r="H103" s="142">
        <v>4.8631630492860581E-2</v>
      </c>
      <c r="I103" s="82">
        <v>8.8745618501258255E-2</v>
      </c>
      <c r="J103" s="141">
        <v>0.86262275100588104</v>
      </c>
      <c r="K103" s="140">
        <f t="shared" si="11"/>
        <v>4.891355254087474E-2</v>
      </c>
      <c r="L103" s="139">
        <f t="shared" si="12"/>
        <v>8.8639017251141775E-2</v>
      </c>
      <c r="M103" s="138">
        <f t="shared" si="13"/>
        <v>0.86244743020798342</v>
      </c>
    </row>
    <row r="104" spans="1:13">
      <c r="A104" s="155" t="s">
        <v>133</v>
      </c>
      <c r="B104" s="142">
        <v>8.9555112036981535E-2</v>
      </c>
      <c r="C104" s="82">
        <v>0.16278000303513837</v>
      </c>
      <c r="D104" s="143">
        <v>0.74766488492788008</v>
      </c>
      <c r="E104" s="142">
        <v>8.9428264702921645E-2</v>
      </c>
      <c r="F104" s="82">
        <v>0.16334909152782415</v>
      </c>
      <c r="G104" s="143">
        <v>0.74722264376925418</v>
      </c>
      <c r="H104" s="142">
        <v>8.9137879076349777E-2</v>
      </c>
      <c r="I104" s="82">
        <v>0.12739085873113062</v>
      </c>
      <c r="J104" s="143">
        <v>0.78347126219251961</v>
      </c>
      <c r="K104" s="140">
        <f t="shared" si="11"/>
        <v>8.9373751938750981E-2</v>
      </c>
      <c r="L104" s="139">
        <f t="shared" si="12"/>
        <v>0.1511733177646977</v>
      </c>
      <c r="M104" s="138">
        <f t="shared" si="13"/>
        <v>0.75945293029655137</v>
      </c>
    </row>
    <row r="105" spans="1:13" ht="15.75" thickBot="1">
      <c r="A105" s="155" t="s">
        <v>134</v>
      </c>
      <c r="B105" s="135">
        <v>9.9059592148925402E-3</v>
      </c>
      <c r="C105" s="134">
        <v>0.6333833143494082</v>
      </c>
      <c r="D105" s="136">
        <v>0.35671072643569918</v>
      </c>
      <c r="E105" s="135">
        <v>9.9669092515310212E-3</v>
      </c>
      <c r="F105" s="134">
        <v>0.6360797323076417</v>
      </c>
      <c r="G105" s="136">
        <v>0.35395335844082731</v>
      </c>
      <c r="H105" s="135">
        <v>9.7257843428026954E-3</v>
      </c>
      <c r="I105" s="134">
        <v>0.63634106698344073</v>
      </c>
      <c r="J105" s="133">
        <v>0.35393314867375658</v>
      </c>
      <c r="K105" s="132">
        <f t="shared" si="11"/>
        <v>9.8662176030754195E-3</v>
      </c>
      <c r="L105" s="131">
        <f t="shared" si="12"/>
        <v>0.63526803788016351</v>
      </c>
      <c r="M105" s="130">
        <f t="shared" si="13"/>
        <v>0.35486574451676106</v>
      </c>
    </row>
    <row r="107" spans="1:13">
      <c r="A107" s="151"/>
      <c r="B107" s="151"/>
      <c r="C107" s="151"/>
      <c r="D107" s="151"/>
      <c r="E107" s="151"/>
      <c r="F107" s="151"/>
      <c r="G107" s="151"/>
      <c r="H107" s="151"/>
      <c r="I107" s="151"/>
      <c r="J107" s="151"/>
      <c r="K107" s="151"/>
      <c r="L107" s="151"/>
      <c r="M107" s="151"/>
    </row>
    <row r="109" spans="1:13" ht="15.75">
      <c r="A109" s="150" t="s">
        <v>1423</v>
      </c>
      <c r="B109" s="149"/>
      <c r="C109" s="149"/>
      <c r="D109" s="149"/>
      <c r="E109" s="149"/>
      <c r="F109" s="149"/>
      <c r="G109" s="149"/>
      <c r="H109" s="149"/>
      <c r="I109" s="149"/>
      <c r="J109" s="149"/>
      <c r="K109" s="149"/>
      <c r="L109" s="149"/>
      <c r="M109" s="149"/>
    </row>
    <row r="110" spans="1:13">
      <c r="A110" s="319" t="s">
        <v>1844</v>
      </c>
      <c r="B110" s="149"/>
      <c r="C110" s="149"/>
      <c r="D110" s="149"/>
      <c r="E110" s="149"/>
      <c r="F110" s="149"/>
      <c r="G110" s="149"/>
      <c r="H110" s="149"/>
      <c r="I110" s="149"/>
      <c r="J110" s="149"/>
      <c r="K110" s="149"/>
      <c r="L110" s="149"/>
      <c r="M110" s="149"/>
    </row>
    <row r="111" spans="1:13">
      <c r="A111" s="149"/>
      <c r="B111" s="149"/>
      <c r="C111" s="149"/>
      <c r="D111" s="149"/>
      <c r="E111" s="149"/>
      <c r="F111" s="149"/>
      <c r="G111" s="149"/>
      <c r="H111" s="149"/>
      <c r="I111" s="149"/>
      <c r="J111" s="149"/>
      <c r="K111" s="149"/>
      <c r="L111" s="149"/>
      <c r="M111" s="149"/>
    </row>
    <row r="112" spans="1:13" ht="15.75" thickBot="1">
      <c r="A112" s="149"/>
      <c r="B112" s="149"/>
      <c r="C112" s="149"/>
      <c r="D112" s="149"/>
      <c r="E112" s="149"/>
      <c r="F112" s="149"/>
      <c r="G112" s="149"/>
      <c r="H112" s="149"/>
      <c r="I112" s="149"/>
      <c r="J112" s="149"/>
      <c r="K112" s="149"/>
      <c r="L112" s="149"/>
      <c r="M112" s="149"/>
    </row>
    <row r="113" spans="1:13" ht="30.75" customHeight="1">
      <c r="A113" s="354"/>
      <c r="B113" s="349" t="s">
        <v>1422</v>
      </c>
      <c r="C113" s="352"/>
      <c r="D113" s="353"/>
      <c r="E113" s="349" t="s">
        <v>1421</v>
      </c>
      <c r="F113" s="352"/>
      <c r="G113" s="353"/>
      <c r="H113" s="349" t="s">
        <v>1420</v>
      </c>
      <c r="I113" s="352"/>
      <c r="J113" s="352"/>
      <c r="K113" s="349" t="s">
        <v>1419</v>
      </c>
      <c r="L113" s="352"/>
      <c r="M113" s="353"/>
    </row>
    <row r="114" spans="1:13">
      <c r="A114" s="355"/>
      <c r="B114" s="147" t="s">
        <v>233</v>
      </c>
      <c r="C114" s="146" t="s">
        <v>234</v>
      </c>
      <c r="D114" s="145" t="s">
        <v>235</v>
      </c>
      <c r="E114" s="147" t="s">
        <v>233</v>
      </c>
      <c r="F114" s="146" t="s">
        <v>234</v>
      </c>
      <c r="G114" s="145" t="s">
        <v>235</v>
      </c>
      <c r="H114" s="147" t="s">
        <v>233</v>
      </c>
      <c r="I114" s="146" t="s">
        <v>234</v>
      </c>
      <c r="J114" s="148" t="s">
        <v>235</v>
      </c>
      <c r="K114" s="147" t="s">
        <v>233</v>
      </c>
      <c r="L114" s="146" t="s">
        <v>234</v>
      </c>
      <c r="M114" s="145" t="s">
        <v>235</v>
      </c>
    </row>
    <row r="115" spans="1:13">
      <c r="A115" s="144" t="s">
        <v>60</v>
      </c>
      <c r="B115" s="142">
        <v>0.85631921688995805</v>
      </c>
      <c r="C115" s="82">
        <v>0.1436807831100419</v>
      </c>
      <c r="D115" s="143">
        <v>0</v>
      </c>
      <c r="E115" s="142">
        <v>0.88324705364026879</v>
      </c>
      <c r="F115" s="82">
        <v>0.11675294635973124</v>
      </c>
      <c r="G115" s="143">
        <v>0</v>
      </c>
      <c r="H115" s="142">
        <v>0.8245575656815346</v>
      </c>
      <c r="I115" s="82">
        <v>0.17544243431846515</v>
      </c>
      <c r="J115" s="141">
        <v>0</v>
      </c>
      <c r="K115" s="140">
        <f t="shared" ref="K115:K123" si="14">AVERAGE(B115,E115,H115)</f>
        <v>0.85470794540392048</v>
      </c>
      <c r="L115" s="139">
        <f t="shared" ref="L115:L123" si="15">AVERAGE(C115,F115,I115)</f>
        <v>0.14529205459607944</v>
      </c>
      <c r="M115" s="138">
        <f t="shared" ref="M115:M123" si="16">AVERAGE(D115,G115,J115)</f>
        <v>0</v>
      </c>
    </row>
    <row r="116" spans="1:13">
      <c r="A116" s="144" t="s">
        <v>61</v>
      </c>
      <c r="B116" s="142">
        <v>0.75167331207988775</v>
      </c>
      <c r="C116" s="82">
        <v>0.23391792176723575</v>
      </c>
      <c r="D116" s="143">
        <v>1.440876615287646E-2</v>
      </c>
      <c r="E116" s="142">
        <v>0.76747693767783642</v>
      </c>
      <c r="F116" s="82">
        <v>0.20444781747336013</v>
      </c>
      <c r="G116" s="143">
        <v>2.8075244848803534E-2</v>
      </c>
      <c r="H116" s="142">
        <v>0.68128397753311554</v>
      </c>
      <c r="I116" s="82">
        <v>0.27518451496471524</v>
      </c>
      <c r="J116" s="141">
        <v>4.3531507502169289E-2</v>
      </c>
      <c r="K116" s="140">
        <f t="shared" si="14"/>
        <v>0.73347807576361312</v>
      </c>
      <c r="L116" s="139">
        <f t="shared" si="15"/>
        <v>0.23785008473510372</v>
      </c>
      <c r="M116" s="138">
        <f t="shared" si="16"/>
        <v>2.8671839501283092E-2</v>
      </c>
    </row>
    <row r="117" spans="1:13">
      <c r="A117" s="144" t="s">
        <v>62</v>
      </c>
      <c r="B117" s="142">
        <v>0.75167331207988775</v>
      </c>
      <c r="C117" s="82">
        <v>0.23391792176723575</v>
      </c>
      <c r="D117" s="143">
        <v>1.440876615287646E-2</v>
      </c>
      <c r="E117" s="142">
        <v>0.76747693767783642</v>
      </c>
      <c r="F117" s="82">
        <v>0.20444781747336013</v>
      </c>
      <c r="G117" s="143">
        <v>2.8075244848803534E-2</v>
      </c>
      <c r="H117" s="142">
        <v>0.68128397753311554</v>
      </c>
      <c r="I117" s="82">
        <v>0.27518451496471524</v>
      </c>
      <c r="J117" s="141">
        <v>4.3531507502169289E-2</v>
      </c>
      <c r="K117" s="140">
        <f t="shared" si="14"/>
        <v>0.73347807576361312</v>
      </c>
      <c r="L117" s="139">
        <f t="shared" si="15"/>
        <v>0.23785008473510372</v>
      </c>
      <c r="M117" s="138">
        <f t="shared" si="16"/>
        <v>2.8671839501283092E-2</v>
      </c>
    </row>
    <row r="118" spans="1:13">
      <c r="A118" s="144" t="s">
        <v>63</v>
      </c>
      <c r="B118" s="142">
        <v>0.80458406978350039</v>
      </c>
      <c r="C118" s="82">
        <v>0.14490939187259658</v>
      </c>
      <c r="D118" s="143">
        <v>5.0506538343903E-2</v>
      </c>
      <c r="E118" s="142">
        <v>0.74610101637462978</v>
      </c>
      <c r="F118" s="82">
        <v>0.18791689679164766</v>
      </c>
      <c r="G118" s="143">
        <v>6.5982086833722503E-2</v>
      </c>
      <c r="H118" s="142">
        <v>0.69479445604962375</v>
      </c>
      <c r="I118" s="82">
        <v>0.23161749977613624</v>
      </c>
      <c r="J118" s="141">
        <v>7.3588044174239947E-2</v>
      </c>
      <c r="K118" s="140">
        <f t="shared" si="14"/>
        <v>0.74849318073591797</v>
      </c>
      <c r="L118" s="139">
        <f t="shared" si="15"/>
        <v>0.18814792948012682</v>
      </c>
      <c r="M118" s="138">
        <f t="shared" si="16"/>
        <v>6.3358889783955152E-2</v>
      </c>
    </row>
    <row r="119" spans="1:13">
      <c r="A119" s="144" t="s">
        <v>64</v>
      </c>
      <c r="B119" s="142">
        <v>0.80458406978350039</v>
      </c>
      <c r="C119" s="82">
        <v>0.14490939187259658</v>
      </c>
      <c r="D119" s="143">
        <v>5.0506538343903E-2</v>
      </c>
      <c r="E119" s="142">
        <v>0.74610101637462978</v>
      </c>
      <c r="F119" s="82">
        <v>0.18791689679164766</v>
      </c>
      <c r="G119" s="143">
        <v>6.5982086833722503E-2</v>
      </c>
      <c r="H119" s="142">
        <v>0.69479445604962375</v>
      </c>
      <c r="I119" s="82">
        <v>0.23161749977613624</v>
      </c>
      <c r="J119" s="141">
        <v>7.3588044174239947E-2</v>
      </c>
      <c r="K119" s="140">
        <f t="shared" si="14"/>
        <v>0.74849318073591797</v>
      </c>
      <c r="L119" s="139">
        <f t="shared" si="15"/>
        <v>0.18814792948012682</v>
      </c>
      <c r="M119" s="138">
        <f t="shared" si="16"/>
        <v>6.3358889783955152E-2</v>
      </c>
    </row>
    <row r="120" spans="1:13">
      <c r="A120" s="144" t="s">
        <v>69</v>
      </c>
      <c r="B120" s="142">
        <v>0.75167331207988775</v>
      </c>
      <c r="C120" s="82">
        <v>0.23391792176723575</v>
      </c>
      <c r="D120" s="143">
        <v>1.440876615287646E-2</v>
      </c>
      <c r="E120" s="142">
        <v>0.76747693767783642</v>
      </c>
      <c r="F120" s="82">
        <v>0.20444781747336013</v>
      </c>
      <c r="G120" s="143">
        <v>2.8075244848803534E-2</v>
      </c>
      <c r="H120" s="142">
        <v>0.68128397753311554</v>
      </c>
      <c r="I120" s="82">
        <v>0.27518451496471524</v>
      </c>
      <c r="J120" s="141">
        <v>4.3531507502169289E-2</v>
      </c>
      <c r="K120" s="140">
        <f t="shared" si="14"/>
        <v>0.73347807576361312</v>
      </c>
      <c r="L120" s="139">
        <f t="shared" si="15"/>
        <v>0.23785008473510372</v>
      </c>
      <c r="M120" s="138">
        <f t="shared" si="16"/>
        <v>2.8671839501283092E-2</v>
      </c>
    </row>
    <row r="121" spans="1:13">
      <c r="A121" s="144" t="s">
        <v>65</v>
      </c>
      <c r="B121" s="142">
        <v>0.80458406978350039</v>
      </c>
      <c r="C121" s="82">
        <v>0.14490939187259658</v>
      </c>
      <c r="D121" s="143">
        <v>5.0506538343903E-2</v>
      </c>
      <c r="E121" s="142">
        <v>0.74610101637462978</v>
      </c>
      <c r="F121" s="82">
        <v>0.18791689679164766</v>
      </c>
      <c r="G121" s="143">
        <v>6.5982086833722503E-2</v>
      </c>
      <c r="H121" s="142">
        <v>0.69479445604962375</v>
      </c>
      <c r="I121" s="82">
        <v>0.23161749977613624</v>
      </c>
      <c r="J121" s="141">
        <v>7.3588044174239947E-2</v>
      </c>
      <c r="K121" s="140">
        <f t="shared" si="14"/>
        <v>0.74849318073591797</v>
      </c>
      <c r="L121" s="139">
        <f t="shared" si="15"/>
        <v>0.18814792948012682</v>
      </c>
      <c r="M121" s="138">
        <f t="shared" si="16"/>
        <v>6.3358889783955152E-2</v>
      </c>
    </row>
    <row r="122" spans="1:13">
      <c r="A122" s="144" t="s">
        <v>66</v>
      </c>
      <c r="B122" s="142">
        <v>0.80458406978350039</v>
      </c>
      <c r="C122" s="82">
        <v>0.14490939187259658</v>
      </c>
      <c r="D122" s="143">
        <v>5.0506538343903E-2</v>
      </c>
      <c r="E122" s="142">
        <v>0.74610101637462978</v>
      </c>
      <c r="F122" s="82">
        <v>0.18791689679164766</v>
      </c>
      <c r="G122" s="143">
        <v>6.5982086833722503E-2</v>
      </c>
      <c r="H122" s="142">
        <v>0.69479445604962375</v>
      </c>
      <c r="I122" s="82">
        <v>0.23161749977613624</v>
      </c>
      <c r="J122" s="141">
        <v>7.3588044174239947E-2</v>
      </c>
      <c r="K122" s="140">
        <f t="shared" si="14"/>
        <v>0.74849318073591797</v>
      </c>
      <c r="L122" s="139">
        <f t="shared" si="15"/>
        <v>0.18814792948012682</v>
      </c>
      <c r="M122" s="138">
        <f t="shared" si="16"/>
        <v>6.3358889783955152E-2</v>
      </c>
    </row>
    <row r="123" spans="1:13" ht="15.75" thickBot="1">
      <c r="A123" s="137" t="s">
        <v>67</v>
      </c>
      <c r="B123" s="135">
        <v>0.80458406978350039</v>
      </c>
      <c r="C123" s="134">
        <v>0.14490939187259658</v>
      </c>
      <c r="D123" s="136">
        <v>5.0506538343903E-2</v>
      </c>
      <c r="E123" s="135">
        <v>0.74610101637462978</v>
      </c>
      <c r="F123" s="134">
        <v>0.18791689679164766</v>
      </c>
      <c r="G123" s="136">
        <v>6.5982086833722503E-2</v>
      </c>
      <c r="H123" s="135">
        <v>0.69479445604962375</v>
      </c>
      <c r="I123" s="134">
        <v>0.23161749977613624</v>
      </c>
      <c r="J123" s="133">
        <v>7.3588044174239947E-2</v>
      </c>
      <c r="K123" s="132">
        <f t="shared" si="14"/>
        <v>0.74849318073591797</v>
      </c>
      <c r="L123" s="131">
        <f t="shared" si="15"/>
        <v>0.18814792948012682</v>
      </c>
      <c r="M123" s="130">
        <f t="shared" si="16"/>
        <v>6.3358889783955152E-2</v>
      </c>
    </row>
  </sheetData>
  <mergeCells count="23">
    <mergeCell ref="H113:J113"/>
    <mergeCell ref="K113:M113"/>
    <mergeCell ref="B1:E1"/>
    <mergeCell ref="H68:J68"/>
    <mergeCell ref="K68:M68"/>
    <mergeCell ref="B86:D86"/>
    <mergeCell ref="H86:J86"/>
    <mergeCell ref="K86:M86"/>
    <mergeCell ref="B2:C2"/>
    <mergeCell ref="B4:C4"/>
    <mergeCell ref="H100:J100"/>
    <mergeCell ref="K100:M100"/>
    <mergeCell ref="A68:A69"/>
    <mergeCell ref="B68:D68"/>
    <mergeCell ref="E68:G68"/>
    <mergeCell ref="A113:A114"/>
    <mergeCell ref="B113:D113"/>
    <mergeCell ref="E113:G113"/>
    <mergeCell ref="A86:A87"/>
    <mergeCell ref="E86:G86"/>
    <mergeCell ref="A100:A101"/>
    <mergeCell ref="B100:D100"/>
    <mergeCell ref="E100:G100"/>
  </mergeCells>
  <dataValidations count="1">
    <dataValidation type="decimal" allowBlank="1" showInputMessage="1" showErrorMessage="1" error="The coincidence factor must be between 0% and 100%." sqref="B17:E17 B20:E20">
      <formula1>0</formula1>
      <formula2>1</formula2>
    </dataValidation>
  </dataValidation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indexed="41"/>
  </sheetPr>
  <dimension ref="B3:AP37"/>
  <sheetViews>
    <sheetView showGridLines="0" workbookViewId="0">
      <selection activeCell="C34" sqref="C34:G37"/>
    </sheetView>
  </sheetViews>
  <sheetFormatPr defaultColWidth="8.85546875" defaultRowHeight="12.75"/>
  <cols>
    <col min="1" max="1" width="3.140625" style="26" customWidth="1"/>
    <col min="2" max="2" width="37.140625" style="26" customWidth="1"/>
    <col min="3" max="42" width="10" style="26" customWidth="1"/>
    <col min="43" max="16384" width="8.85546875" style="26"/>
  </cols>
  <sheetData>
    <row r="3" spans="2:42" ht="15.75">
      <c r="B3" s="150" t="s">
        <v>91</v>
      </c>
    </row>
    <row r="4" spans="2:42" ht="16.5" thickBot="1">
      <c r="B4" s="150"/>
    </row>
    <row r="5" spans="2:42" ht="15.75">
      <c r="B5" s="150"/>
      <c r="C5" s="363" t="str">
        <f>'CDCM Forecast Data'!$E$11</f>
        <v>2017/18</v>
      </c>
      <c r="D5" s="364"/>
      <c r="E5" s="364"/>
      <c r="F5" s="364"/>
      <c r="G5" s="364"/>
      <c r="H5" s="364"/>
      <c r="I5" s="364"/>
      <c r="J5" s="365"/>
      <c r="K5" s="363" t="str">
        <f>'CDCM Forecast Data'!$F$11</f>
        <v>2018/19</v>
      </c>
      <c r="L5" s="364"/>
      <c r="M5" s="364"/>
      <c r="N5" s="364"/>
      <c r="O5" s="364"/>
      <c r="P5" s="364"/>
      <c r="Q5" s="364"/>
      <c r="R5" s="365"/>
      <c r="S5" s="363" t="str">
        <f>'CDCM Forecast Data'!$G$11</f>
        <v>2019/20</v>
      </c>
      <c r="T5" s="364"/>
      <c r="U5" s="364"/>
      <c r="V5" s="364"/>
      <c r="W5" s="364"/>
      <c r="X5" s="364"/>
      <c r="Y5" s="364"/>
      <c r="Z5" s="365"/>
      <c r="AA5" s="363" t="str">
        <f>'CDCM Forecast Data'!$H$11</f>
        <v>2020/21</v>
      </c>
      <c r="AB5" s="364"/>
      <c r="AC5" s="364"/>
      <c r="AD5" s="364"/>
      <c r="AE5" s="364"/>
      <c r="AF5" s="364"/>
      <c r="AG5" s="364"/>
      <c r="AH5" s="365"/>
      <c r="AI5" s="363" t="str">
        <f>'CDCM Forecast Data'!$I$11</f>
        <v>2021/22</v>
      </c>
      <c r="AJ5" s="364"/>
      <c r="AK5" s="364"/>
      <c r="AL5" s="364"/>
      <c r="AM5" s="364"/>
      <c r="AN5" s="364"/>
      <c r="AO5" s="364"/>
      <c r="AP5" s="365"/>
    </row>
    <row r="6" spans="2:42" ht="38.25">
      <c r="C6" s="218" t="s">
        <v>75</v>
      </c>
      <c r="D6" s="218" t="s">
        <v>76</v>
      </c>
      <c r="E6" s="218" t="s">
        <v>77</v>
      </c>
      <c r="F6" s="218" t="s">
        <v>78</v>
      </c>
      <c r="G6" s="218" t="s">
        <v>79</v>
      </c>
      <c r="H6" s="218" t="s">
        <v>80</v>
      </c>
      <c r="I6" s="218" t="s">
        <v>81</v>
      </c>
      <c r="J6" s="218" t="s">
        <v>82</v>
      </c>
      <c r="K6" s="218" t="s">
        <v>75</v>
      </c>
      <c r="L6" s="218" t="s">
        <v>76</v>
      </c>
      <c r="M6" s="218" t="s">
        <v>77</v>
      </c>
      <c r="N6" s="218" t="s">
        <v>78</v>
      </c>
      <c r="O6" s="218" t="s">
        <v>79</v>
      </c>
      <c r="P6" s="218" t="s">
        <v>80</v>
      </c>
      <c r="Q6" s="218" t="s">
        <v>81</v>
      </c>
      <c r="R6" s="218" t="s">
        <v>82</v>
      </c>
      <c r="S6" s="218" t="s">
        <v>75</v>
      </c>
      <c r="T6" s="218" t="s">
        <v>76</v>
      </c>
      <c r="U6" s="218" t="s">
        <v>77</v>
      </c>
      <c r="V6" s="218" t="s">
        <v>78</v>
      </c>
      <c r="W6" s="218" t="s">
        <v>79</v>
      </c>
      <c r="X6" s="218" t="s">
        <v>80</v>
      </c>
      <c r="Y6" s="218" t="s">
        <v>81</v>
      </c>
      <c r="Z6" s="218" t="s">
        <v>82</v>
      </c>
      <c r="AA6" s="218" t="s">
        <v>75</v>
      </c>
      <c r="AB6" s="218" t="s">
        <v>76</v>
      </c>
      <c r="AC6" s="218" t="s">
        <v>77</v>
      </c>
      <c r="AD6" s="218" t="s">
        <v>78</v>
      </c>
      <c r="AE6" s="218" t="s">
        <v>79</v>
      </c>
      <c r="AF6" s="218" t="s">
        <v>80</v>
      </c>
      <c r="AG6" s="218" t="s">
        <v>81</v>
      </c>
      <c r="AH6" s="218" t="s">
        <v>82</v>
      </c>
      <c r="AI6" s="218" t="s">
        <v>75</v>
      </c>
      <c r="AJ6" s="218" t="s">
        <v>76</v>
      </c>
      <c r="AK6" s="218" t="s">
        <v>77</v>
      </c>
      <c r="AL6" s="218" t="s">
        <v>78</v>
      </c>
      <c r="AM6" s="218" t="s">
        <v>79</v>
      </c>
      <c r="AN6" s="218" t="s">
        <v>80</v>
      </c>
      <c r="AO6" s="218" t="s">
        <v>81</v>
      </c>
      <c r="AP6" s="218" t="s">
        <v>82</v>
      </c>
    </row>
    <row r="7" spans="2:42" ht="15">
      <c r="B7" s="8" t="s">
        <v>92</v>
      </c>
      <c r="C7" s="263">
        <v>0.05</v>
      </c>
      <c r="D7" s="263">
        <v>0</v>
      </c>
      <c r="E7" s="263">
        <v>0</v>
      </c>
      <c r="F7" s="263">
        <v>0</v>
      </c>
      <c r="G7" s="263">
        <v>0</v>
      </c>
      <c r="H7" s="263">
        <v>0</v>
      </c>
      <c r="I7" s="263">
        <v>0</v>
      </c>
      <c r="J7" s="263">
        <v>0</v>
      </c>
      <c r="K7" s="264">
        <f t="shared" ref="K7:K22" si="0">C7</f>
        <v>0.05</v>
      </c>
      <c r="L7" s="264">
        <f t="shared" ref="L7:L22" si="1">D7</f>
        <v>0</v>
      </c>
      <c r="M7" s="264">
        <f t="shared" ref="M7:M22" si="2">E7</f>
        <v>0</v>
      </c>
      <c r="N7" s="264">
        <f t="shared" ref="N7:N22" si="3">F7</f>
        <v>0</v>
      </c>
      <c r="O7" s="264">
        <f t="shared" ref="O7:O22" si="4">G7</f>
        <v>0</v>
      </c>
      <c r="P7" s="264">
        <f t="shared" ref="P7:P22" si="5">H7</f>
        <v>0</v>
      </c>
      <c r="Q7" s="264">
        <f t="shared" ref="Q7:Q22" si="6">I7</f>
        <v>0</v>
      </c>
      <c r="R7" s="264">
        <f t="shared" ref="R7:R22" si="7">J7</f>
        <v>0</v>
      </c>
      <c r="S7" s="264">
        <f t="shared" ref="S7:S22" si="8">K7</f>
        <v>0.05</v>
      </c>
      <c r="T7" s="264">
        <f t="shared" ref="T7:T22" si="9">L7</f>
        <v>0</v>
      </c>
      <c r="U7" s="264">
        <f t="shared" ref="U7:U22" si="10">M7</f>
        <v>0</v>
      </c>
      <c r="V7" s="264">
        <f t="shared" ref="V7:V22" si="11">N7</f>
        <v>0</v>
      </c>
      <c r="W7" s="264">
        <f t="shared" ref="W7:W22" si="12">O7</f>
        <v>0</v>
      </c>
      <c r="X7" s="264">
        <f t="shared" ref="X7:X22" si="13">P7</f>
        <v>0</v>
      </c>
      <c r="Y7" s="264">
        <f t="shared" ref="Y7:Y22" si="14">Q7</f>
        <v>0</v>
      </c>
      <c r="Z7" s="264">
        <f t="shared" ref="Z7:Z22" si="15">R7</f>
        <v>0</v>
      </c>
      <c r="AA7" s="264">
        <f t="shared" ref="AA7:AA22" si="16">S7</f>
        <v>0.05</v>
      </c>
      <c r="AB7" s="264">
        <f t="shared" ref="AB7:AB22" si="17">T7</f>
        <v>0</v>
      </c>
      <c r="AC7" s="264">
        <f t="shared" ref="AC7:AC22" si="18">U7</f>
        <v>0</v>
      </c>
      <c r="AD7" s="264">
        <f t="shared" ref="AD7:AD22" si="19">V7</f>
        <v>0</v>
      </c>
      <c r="AE7" s="264">
        <f t="shared" ref="AE7:AE22" si="20">W7</f>
        <v>0</v>
      </c>
      <c r="AF7" s="264">
        <f t="shared" ref="AF7:AF22" si="21">X7</f>
        <v>0</v>
      </c>
      <c r="AG7" s="264">
        <f t="shared" ref="AG7:AG22" si="22">Y7</f>
        <v>0</v>
      </c>
      <c r="AH7" s="264">
        <f t="shared" ref="AH7:AH22" si="23">Z7</f>
        <v>0</v>
      </c>
      <c r="AI7" s="264">
        <f t="shared" ref="AI7:AI22" si="24">AA7</f>
        <v>0.05</v>
      </c>
      <c r="AJ7" s="264">
        <f t="shared" ref="AJ7:AJ22" si="25">AB7</f>
        <v>0</v>
      </c>
      <c r="AK7" s="264">
        <f t="shared" ref="AK7:AK22" si="26">AC7</f>
        <v>0</v>
      </c>
      <c r="AL7" s="264">
        <f t="shared" ref="AL7:AL22" si="27">AD7</f>
        <v>0</v>
      </c>
      <c r="AM7" s="264">
        <f t="shared" ref="AM7:AM22" si="28">AE7</f>
        <v>0</v>
      </c>
      <c r="AN7" s="264">
        <f t="shared" ref="AN7:AN22" si="29">AF7</f>
        <v>0</v>
      </c>
      <c r="AO7" s="264">
        <f t="shared" ref="AO7:AO22" si="30">AG7</f>
        <v>0</v>
      </c>
      <c r="AP7" s="264">
        <f t="shared" ref="AP7:AP22" si="31">AH7</f>
        <v>0</v>
      </c>
    </row>
    <row r="8" spans="2:42" ht="15">
      <c r="B8" s="8" t="s">
        <v>93</v>
      </c>
      <c r="C8" s="263">
        <v>0.05</v>
      </c>
      <c r="D8" s="263">
        <v>0</v>
      </c>
      <c r="E8" s="263">
        <v>0</v>
      </c>
      <c r="F8" s="263">
        <v>0</v>
      </c>
      <c r="G8" s="263">
        <v>0</v>
      </c>
      <c r="H8" s="263">
        <v>0</v>
      </c>
      <c r="I8" s="263">
        <v>0</v>
      </c>
      <c r="J8" s="263">
        <v>0</v>
      </c>
      <c r="K8" s="264">
        <f t="shared" si="0"/>
        <v>0.05</v>
      </c>
      <c r="L8" s="264">
        <f t="shared" si="1"/>
        <v>0</v>
      </c>
      <c r="M8" s="264">
        <f t="shared" si="2"/>
        <v>0</v>
      </c>
      <c r="N8" s="264">
        <f t="shared" si="3"/>
        <v>0</v>
      </c>
      <c r="O8" s="264">
        <f t="shared" si="4"/>
        <v>0</v>
      </c>
      <c r="P8" s="264">
        <f t="shared" si="5"/>
        <v>0</v>
      </c>
      <c r="Q8" s="264">
        <f t="shared" si="6"/>
        <v>0</v>
      </c>
      <c r="R8" s="264">
        <f t="shared" si="7"/>
        <v>0</v>
      </c>
      <c r="S8" s="264">
        <f t="shared" si="8"/>
        <v>0.05</v>
      </c>
      <c r="T8" s="264">
        <f t="shared" si="9"/>
        <v>0</v>
      </c>
      <c r="U8" s="264">
        <f t="shared" si="10"/>
        <v>0</v>
      </c>
      <c r="V8" s="264">
        <f t="shared" si="11"/>
        <v>0</v>
      </c>
      <c r="W8" s="264">
        <f t="shared" si="12"/>
        <v>0</v>
      </c>
      <c r="X8" s="264">
        <f t="shared" si="13"/>
        <v>0</v>
      </c>
      <c r="Y8" s="264">
        <f t="shared" si="14"/>
        <v>0</v>
      </c>
      <c r="Z8" s="264">
        <f t="shared" si="15"/>
        <v>0</v>
      </c>
      <c r="AA8" s="264">
        <f t="shared" si="16"/>
        <v>0.05</v>
      </c>
      <c r="AB8" s="264">
        <f t="shared" si="17"/>
        <v>0</v>
      </c>
      <c r="AC8" s="264">
        <f t="shared" si="18"/>
        <v>0</v>
      </c>
      <c r="AD8" s="264">
        <f t="shared" si="19"/>
        <v>0</v>
      </c>
      <c r="AE8" s="264">
        <f t="shared" si="20"/>
        <v>0</v>
      </c>
      <c r="AF8" s="264">
        <f t="shared" si="21"/>
        <v>0</v>
      </c>
      <c r="AG8" s="264">
        <f t="shared" si="22"/>
        <v>0</v>
      </c>
      <c r="AH8" s="264">
        <f t="shared" si="23"/>
        <v>0</v>
      </c>
      <c r="AI8" s="264">
        <f t="shared" si="24"/>
        <v>0.05</v>
      </c>
      <c r="AJ8" s="264">
        <f t="shared" si="25"/>
        <v>0</v>
      </c>
      <c r="AK8" s="264">
        <f t="shared" si="26"/>
        <v>0</v>
      </c>
      <c r="AL8" s="264">
        <f t="shared" si="27"/>
        <v>0</v>
      </c>
      <c r="AM8" s="264">
        <f t="shared" si="28"/>
        <v>0</v>
      </c>
      <c r="AN8" s="264">
        <f t="shared" si="29"/>
        <v>0</v>
      </c>
      <c r="AO8" s="264">
        <f t="shared" si="30"/>
        <v>0</v>
      </c>
      <c r="AP8" s="264">
        <f t="shared" si="31"/>
        <v>0</v>
      </c>
    </row>
    <row r="9" spans="2:42" ht="15">
      <c r="B9" s="8" t="s">
        <v>94</v>
      </c>
      <c r="C9" s="263">
        <v>0</v>
      </c>
      <c r="D9" s="263">
        <v>1</v>
      </c>
      <c r="E9" s="263">
        <v>0</v>
      </c>
      <c r="F9" s="263">
        <v>0</v>
      </c>
      <c r="G9" s="263">
        <v>0</v>
      </c>
      <c r="H9" s="263">
        <v>0</v>
      </c>
      <c r="I9" s="263">
        <v>0</v>
      </c>
      <c r="J9" s="263">
        <v>0</v>
      </c>
      <c r="K9" s="264">
        <f t="shared" si="0"/>
        <v>0</v>
      </c>
      <c r="L9" s="264">
        <f t="shared" si="1"/>
        <v>1</v>
      </c>
      <c r="M9" s="264">
        <f t="shared" si="2"/>
        <v>0</v>
      </c>
      <c r="N9" s="264">
        <f t="shared" si="3"/>
        <v>0</v>
      </c>
      <c r="O9" s="264">
        <f t="shared" si="4"/>
        <v>0</v>
      </c>
      <c r="P9" s="264">
        <f t="shared" si="5"/>
        <v>0</v>
      </c>
      <c r="Q9" s="264">
        <f t="shared" si="6"/>
        <v>0</v>
      </c>
      <c r="R9" s="264">
        <f t="shared" si="7"/>
        <v>0</v>
      </c>
      <c r="S9" s="264">
        <f t="shared" si="8"/>
        <v>0</v>
      </c>
      <c r="T9" s="264">
        <f t="shared" si="9"/>
        <v>1</v>
      </c>
      <c r="U9" s="264">
        <f t="shared" si="10"/>
        <v>0</v>
      </c>
      <c r="V9" s="264">
        <f t="shared" si="11"/>
        <v>0</v>
      </c>
      <c r="W9" s="264">
        <f t="shared" si="12"/>
        <v>0</v>
      </c>
      <c r="X9" s="264">
        <f t="shared" si="13"/>
        <v>0</v>
      </c>
      <c r="Y9" s="264">
        <f t="shared" si="14"/>
        <v>0</v>
      </c>
      <c r="Z9" s="264">
        <f t="shared" si="15"/>
        <v>0</v>
      </c>
      <c r="AA9" s="264">
        <f t="shared" si="16"/>
        <v>0</v>
      </c>
      <c r="AB9" s="264">
        <f t="shared" si="17"/>
        <v>1</v>
      </c>
      <c r="AC9" s="264">
        <f t="shared" si="18"/>
        <v>0</v>
      </c>
      <c r="AD9" s="264">
        <f t="shared" si="19"/>
        <v>0</v>
      </c>
      <c r="AE9" s="264">
        <f t="shared" si="20"/>
        <v>0</v>
      </c>
      <c r="AF9" s="264">
        <f t="shared" si="21"/>
        <v>0</v>
      </c>
      <c r="AG9" s="264">
        <f t="shared" si="22"/>
        <v>0</v>
      </c>
      <c r="AH9" s="264">
        <f t="shared" si="23"/>
        <v>0</v>
      </c>
      <c r="AI9" s="264">
        <f t="shared" si="24"/>
        <v>0</v>
      </c>
      <c r="AJ9" s="264">
        <f t="shared" si="25"/>
        <v>1</v>
      </c>
      <c r="AK9" s="264">
        <f t="shared" si="26"/>
        <v>0</v>
      </c>
      <c r="AL9" s="264">
        <f t="shared" si="27"/>
        <v>0</v>
      </c>
      <c r="AM9" s="264">
        <f t="shared" si="28"/>
        <v>0</v>
      </c>
      <c r="AN9" s="264">
        <f t="shared" si="29"/>
        <v>0</v>
      </c>
      <c r="AO9" s="264">
        <f t="shared" si="30"/>
        <v>0</v>
      </c>
      <c r="AP9" s="264">
        <f t="shared" si="31"/>
        <v>0</v>
      </c>
    </row>
    <row r="10" spans="2:42" ht="15">
      <c r="B10" s="8" t="s">
        <v>95</v>
      </c>
      <c r="C10" s="263">
        <v>0</v>
      </c>
      <c r="D10" s="263">
        <v>1</v>
      </c>
      <c r="E10" s="263">
        <v>0</v>
      </c>
      <c r="F10" s="263">
        <v>0</v>
      </c>
      <c r="G10" s="263">
        <v>0</v>
      </c>
      <c r="H10" s="263">
        <v>0</v>
      </c>
      <c r="I10" s="263">
        <v>0</v>
      </c>
      <c r="J10" s="263">
        <v>0</v>
      </c>
      <c r="K10" s="264">
        <f t="shared" si="0"/>
        <v>0</v>
      </c>
      <c r="L10" s="264">
        <f t="shared" si="1"/>
        <v>1</v>
      </c>
      <c r="M10" s="264">
        <f t="shared" si="2"/>
        <v>0</v>
      </c>
      <c r="N10" s="264">
        <f t="shared" si="3"/>
        <v>0</v>
      </c>
      <c r="O10" s="264">
        <f t="shared" si="4"/>
        <v>0</v>
      </c>
      <c r="P10" s="264">
        <f t="shared" si="5"/>
        <v>0</v>
      </c>
      <c r="Q10" s="264">
        <f t="shared" si="6"/>
        <v>0</v>
      </c>
      <c r="R10" s="264">
        <f t="shared" si="7"/>
        <v>0</v>
      </c>
      <c r="S10" s="264">
        <f t="shared" si="8"/>
        <v>0</v>
      </c>
      <c r="T10" s="264">
        <f t="shared" si="9"/>
        <v>1</v>
      </c>
      <c r="U10" s="264">
        <f t="shared" si="10"/>
        <v>0</v>
      </c>
      <c r="V10" s="264">
        <f t="shared" si="11"/>
        <v>0</v>
      </c>
      <c r="W10" s="264">
        <f t="shared" si="12"/>
        <v>0</v>
      </c>
      <c r="X10" s="264">
        <f t="shared" si="13"/>
        <v>0</v>
      </c>
      <c r="Y10" s="264">
        <f t="shared" si="14"/>
        <v>0</v>
      </c>
      <c r="Z10" s="264">
        <f t="shared" si="15"/>
        <v>0</v>
      </c>
      <c r="AA10" s="264">
        <f t="shared" si="16"/>
        <v>0</v>
      </c>
      <c r="AB10" s="264">
        <f t="shared" si="17"/>
        <v>1</v>
      </c>
      <c r="AC10" s="264">
        <f t="shared" si="18"/>
        <v>0</v>
      </c>
      <c r="AD10" s="264">
        <f t="shared" si="19"/>
        <v>0</v>
      </c>
      <c r="AE10" s="264">
        <f t="shared" si="20"/>
        <v>0</v>
      </c>
      <c r="AF10" s="264">
        <f t="shared" si="21"/>
        <v>0</v>
      </c>
      <c r="AG10" s="264">
        <f t="shared" si="22"/>
        <v>0</v>
      </c>
      <c r="AH10" s="264">
        <f t="shared" si="23"/>
        <v>0</v>
      </c>
      <c r="AI10" s="264">
        <f t="shared" si="24"/>
        <v>0</v>
      </c>
      <c r="AJ10" s="264">
        <f t="shared" si="25"/>
        <v>1</v>
      </c>
      <c r="AK10" s="264">
        <f t="shared" si="26"/>
        <v>0</v>
      </c>
      <c r="AL10" s="264">
        <f t="shared" si="27"/>
        <v>0</v>
      </c>
      <c r="AM10" s="264">
        <f t="shared" si="28"/>
        <v>0</v>
      </c>
      <c r="AN10" s="264">
        <f t="shared" si="29"/>
        <v>0</v>
      </c>
      <c r="AO10" s="264">
        <f t="shared" si="30"/>
        <v>0</v>
      </c>
      <c r="AP10" s="264">
        <f t="shared" si="31"/>
        <v>0</v>
      </c>
    </row>
    <row r="11" spans="2:42" ht="15">
      <c r="B11" s="8" t="s">
        <v>96</v>
      </c>
      <c r="C11" s="263">
        <v>0</v>
      </c>
      <c r="D11" s="263">
        <v>0</v>
      </c>
      <c r="E11" s="263">
        <v>1</v>
      </c>
      <c r="F11" s="263">
        <v>0</v>
      </c>
      <c r="G11" s="263">
        <v>0</v>
      </c>
      <c r="H11" s="263">
        <v>0</v>
      </c>
      <c r="I11" s="263">
        <v>0</v>
      </c>
      <c r="J11" s="263">
        <v>0</v>
      </c>
      <c r="K11" s="264">
        <f t="shared" ref="K11:K17" si="32">C11</f>
        <v>0</v>
      </c>
      <c r="L11" s="264">
        <f t="shared" ref="L11:L17" si="33">D11</f>
        <v>0</v>
      </c>
      <c r="M11" s="264">
        <f t="shared" ref="M11:M17" si="34">E11</f>
        <v>1</v>
      </c>
      <c r="N11" s="264">
        <f t="shared" ref="N11:N17" si="35">F11</f>
        <v>0</v>
      </c>
      <c r="O11" s="264">
        <f t="shared" ref="O11:O17" si="36">G11</f>
        <v>0</v>
      </c>
      <c r="P11" s="264">
        <f t="shared" ref="P11:P17" si="37">H11</f>
        <v>0</v>
      </c>
      <c r="Q11" s="264">
        <f t="shared" ref="Q11:Q17" si="38">I11</f>
        <v>0</v>
      </c>
      <c r="R11" s="264">
        <f t="shared" ref="R11:R17" si="39">J11</f>
        <v>0</v>
      </c>
      <c r="S11" s="264">
        <f t="shared" ref="S11:S17" si="40">K11</f>
        <v>0</v>
      </c>
      <c r="T11" s="264">
        <f t="shared" ref="T11:T17" si="41">L11</f>
        <v>0</v>
      </c>
      <c r="U11" s="264">
        <f t="shared" ref="U11:U17" si="42">M11</f>
        <v>1</v>
      </c>
      <c r="V11" s="264">
        <f t="shared" ref="V11:V17" si="43">N11</f>
        <v>0</v>
      </c>
      <c r="W11" s="264">
        <f t="shared" ref="W11:W17" si="44">O11</f>
        <v>0</v>
      </c>
      <c r="X11" s="264">
        <f t="shared" ref="X11:X17" si="45">P11</f>
        <v>0</v>
      </c>
      <c r="Y11" s="264">
        <f t="shared" ref="Y11:Y17" si="46">Q11</f>
        <v>0</v>
      </c>
      <c r="Z11" s="264">
        <f t="shared" ref="Z11:Z17" si="47">R11</f>
        <v>0</v>
      </c>
      <c r="AA11" s="264">
        <f t="shared" ref="AA11:AA17" si="48">S11</f>
        <v>0</v>
      </c>
      <c r="AB11" s="264">
        <f t="shared" ref="AB11:AB17" si="49">T11</f>
        <v>0</v>
      </c>
      <c r="AC11" s="264">
        <f t="shared" ref="AC11:AC17" si="50">U11</f>
        <v>1</v>
      </c>
      <c r="AD11" s="264">
        <f t="shared" ref="AD11:AD17" si="51">V11</f>
        <v>0</v>
      </c>
      <c r="AE11" s="264">
        <f t="shared" ref="AE11:AE17" si="52">W11</f>
        <v>0</v>
      </c>
      <c r="AF11" s="264">
        <f t="shared" ref="AF11:AF17" si="53">X11</f>
        <v>0</v>
      </c>
      <c r="AG11" s="264">
        <f t="shared" ref="AG11:AG17" si="54">Y11</f>
        <v>0</v>
      </c>
      <c r="AH11" s="264">
        <f t="shared" ref="AH11:AH17" si="55">Z11</f>
        <v>0</v>
      </c>
      <c r="AI11" s="264">
        <f t="shared" ref="AI11:AI17" si="56">AA11</f>
        <v>0</v>
      </c>
      <c r="AJ11" s="264">
        <f t="shared" ref="AJ11:AJ17" si="57">AB11</f>
        <v>0</v>
      </c>
      <c r="AK11" s="264">
        <f t="shared" ref="AK11:AK17" si="58">AC11</f>
        <v>1</v>
      </c>
      <c r="AL11" s="264">
        <f t="shared" ref="AL11:AL17" si="59">AD11</f>
        <v>0</v>
      </c>
      <c r="AM11" s="264">
        <f t="shared" ref="AM11:AM17" si="60">AE11</f>
        <v>0</v>
      </c>
      <c r="AN11" s="264">
        <f t="shared" ref="AN11:AN17" si="61">AF11</f>
        <v>0</v>
      </c>
      <c r="AO11" s="264">
        <f t="shared" ref="AO11:AO17" si="62">AG11</f>
        <v>0</v>
      </c>
      <c r="AP11" s="264">
        <f t="shared" ref="AP11:AP17" si="63">AH11</f>
        <v>0</v>
      </c>
    </row>
    <row r="12" spans="2:42" ht="15">
      <c r="B12" s="8" t="s">
        <v>97</v>
      </c>
      <c r="C12" s="263">
        <v>0</v>
      </c>
      <c r="D12" s="263">
        <v>0</v>
      </c>
      <c r="E12" s="263">
        <v>0</v>
      </c>
      <c r="F12" s="263">
        <v>1</v>
      </c>
      <c r="G12" s="263">
        <v>0</v>
      </c>
      <c r="H12" s="263">
        <v>0</v>
      </c>
      <c r="I12" s="263">
        <v>0</v>
      </c>
      <c r="J12" s="263">
        <v>0</v>
      </c>
      <c r="K12" s="264">
        <f t="shared" si="32"/>
        <v>0</v>
      </c>
      <c r="L12" s="264">
        <f t="shared" si="33"/>
        <v>0</v>
      </c>
      <c r="M12" s="264">
        <f t="shared" si="34"/>
        <v>0</v>
      </c>
      <c r="N12" s="264">
        <f t="shared" si="35"/>
        <v>1</v>
      </c>
      <c r="O12" s="264">
        <f t="shared" si="36"/>
        <v>0</v>
      </c>
      <c r="P12" s="264">
        <f t="shared" si="37"/>
        <v>0</v>
      </c>
      <c r="Q12" s="264">
        <f t="shared" si="38"/>
        <v>0</v>
      </c>
      <c r="R12" s="264">
        <f t="shared" si="39"/>
        <v>0</v>
      </c>
      <c r="S12" s="264">
        <f t="shared" si="40"/>
        <v>0</v>
      </c>
      <c r="T12" s="264">
        <f t="shared" si="41"/>
        <v>0</v>
      </c>
      <c r="U12" s="264">
        <f t="shared" si="42"/>
        <v>0</v>
      </c>
      <c r="V12" s="264">
        <f t="shared" si="43"/>
        <v>1</v>
      </c>
      <c r="W12" s="264">
        <f t="shared" si="44"/>
        <v>0</v>
      </c>
      <c r="X12" s="264">
        <f t="shared" si="45"/>
        <v>0</v>
      </c>
      <c r="Y12" s="264">
        <f t="shared" si="46"/>
        <v>0</v>
      </c>
      <c r="Z12" s="264">
        <f t="shared" si="47"/>
        <v>0</v>
      </c>
      <c r="AA12" s="264">
        <f t="shared" si="48"/>
        <v>0</v>
      </c>
      <c r="AB12" s="264">
        <f t="shared" si="49"/>
        <v>0</v>
      </c>
      <c r="AC12" s="264">
        <f t="shared" si="50"/>
        <v>0</v>
      </c>
      <c r="AD12" s="264">
        <f t="shared" si="51"/>
        <v>1</v>
      </c>
      <c r="AE12" s="264">
        <f t="shared" si="52"/>
        <v>0</v>
      </c>
      <c r="AF12" s="264">
        <f t="shared" si="53"/>
        <v>0</v>
      </c>
      <c r="AG12" s="264">
        <f t="shared" si="54"/>
        <v>0</v>
      </c>
      <c r="AH12" s="264">
        <f t="shared" si="55"/>
        <v>0</v>
      </c>
      <c r="AI12" s="264">
        <f t="shared" si="56"/>
        <v>0</v>
      </c>
      <c r="AJ12" s="264">
        <f t="shared" si="57"/>
        <v>0</v>
      </c>
      <c r="AK12" s="264">
        <f t="shared" si="58"/>
        <v>0</v>
      </c>
      <c r="AL12" s="264">
        <f t="shared" si="59"/>
        <v>1</v>
      </c>
      <c r="AM12" s="264">
        <f t="shared" si="60"/>
        <v>0</v>
      </c>
      <c r="AN12" s="264">
        <f t="shared" si="61"/>
        <v>0</v>
      </c>
      <c r="AO12" s="264">
        <f t="shared" si="62"/>
        <v>0</v>
      </c>
      <c r="AP12" s="264">
        <f t="shared" si="63"/>
        <v>0</v>
      </c>
    </row>
    <row r="13" spans="2:42" ht="15">
      <c r="B13" s="8" t="s">
        <v>1536</v>
      </c>
      <c r="C13" s="263">
        <v>0.05</v>
      </c>
      <c r="D13" s="263"/>
      <c r="E13" s="263"/>
      <c r="F13" s="263"/>
      <c r="G13" s="263"/>
      <c r="H13" s="263"/>
      <c r="I13" s="263"/>
      <c r="J13" s="263"/>
      <c r="K13" s="264">
        <f t="shared" si="32"/>
        <v>0.05</v>
      </c>
      <c r="L13" s="264">
        <f t="shared" si="33"/>
        <v>0</v>
      </c>
      <c r="M13" s="264">
        <f t="shared" si="34"/>
        <v>0</v>
      </c>
      <c r="N13" s="264">
        <f t="shared" si="35"/>
        <v>0</v>
      </c>
      <c r="O13" s="264">
        <f t="shared" si="36"/>
        <v>0</v>
      </c>
      <c r="P13" s="264">
        <f t="shared" si="37"/>
        <v>0</v>
      </c>
      <c r="Q13" s="264">
        <f t="shared" si="38"/>
        <v>0</v>
      </c>
      <c r="R13" s="264">
        <f t="shared" si="39"/>
        <v>0</v>
      </c>
      <c r="S13" s="264">
        <f t="shared" si="40"/>
        <v>0.05</v>
      </c>
      <c r="T13" s="264">
        <f t="shared" si="41"/>
        <v>0</v>
      </c>
      <c r="U13" s="264">
        <f t="shared" si="42"/>
        <v>0</v>
      </c>
      <c r="V13" s="264">
        <f t="shared" si="43"/>
        <v>0</v>
      </c>
      <c r="W13" s="264">
        <f t="shared" si="44"/>
        <v>0</v>
      </c>
      <c r="X13" s="264">
        <f t="shared" si="45"/>
        <v>0</v>
      </c>
      <c r="Y13" s="264">
        <f t="shared" si="46"/>
        <v>0</v>
      </c>
      <c r="Z13" s="264">
        <f t="shared" si="47"/>
        <v>0</v>
      </c>
      <c r="AA13" s="264">
        <f t="shared" si="48"/>
        <v>0.05</v>
      </c>
      <c r="AB13" s="264">
        <f t="shared" si="49"/>
        <v>0</v>
      </c>
      <c r="AC13" s="264">
        <f t="shared" si="50"/>
        <v>0</v>
      </c>
      <c r="AD13" s="264">
        <f t="shared" si="51"/>
        <v>0</v>
      </c>
      <c r="AE13" s="264">
        <f t="shared" si="52"/>
        <v>0</v>
      </c>
      <c r="AF13" s="264">
        <f t="shared" si="53"/>
        <v>0</v>
      </c>
      <c r="AG13" s="264">
        <f t="shared" si="54"/>
        <v>0</v>
      </c>
      <c r="AH13" s="264">
        <f t="shared" si="55"/>
        <v>0</v>
      </c>
      <c r="AI13" s="264">
        <f t="shared" si="56"/>
        <v>0.05</v>
      </c>
      <c r="AJ13" s="264">
        <f t="shared" si="57"/>
        <v>0</v>
      </c>
      <c r="AK13" s="264">
        <f t="shared" si="58"/>
        <v>0</v>
      </c>
      <c r="AL13" s="264">
        <f t="shared" si="59"/>
        <v>0</v>
      </c>
      <c r="AM13" s="264">
        <f t="shared" si="60"/>
        <v>0</v>
      </c>
      <c r="AN13" s="264">
        <f t="shared" si="61"/>
        <v>0</v>
      </c>
      <c r="AO13" s="264">
        <f t="shared" si="62"/>
        <v>0</v>
      </c>
      <c r="AP13" s="264">
        <f t="shared" si="63"/>
        <v>0</v>
      </c>
    </row>
    <row r="14" spans="2:42" ht="15">
      <c r="B14" s="8" t="s">
        <v>1535</v>
      </c>
      <c r="C14" s="263"/>
      <c r="D14" s="263">
        <v>1</v>
      </c>
      <c r="E14" s="263"/>
      <c r="F14" s="263"/>
      <c r="G14" s="263"/>
      <c r="H14" s="263"/>
      <c r="I14" s="263"/>
      <c r="J14" s="263"/>
      <c r="K14" s="264">
        <f t="shared" si="32"/>
        <v>0</v>
      </c>
      <c r="L14" s="264">
        <f t="shared" si="33"/>
        <v>1</v>
      </c>
      <c r="M14" s="264">
        <f t="shared" si="34"/>
        <v>0</v>
      </c>
      <c r="N14" s="264">
        <f t="shared" si="35"/>
        <v>0</v>
      </c>
      <c r="O14" s="264">
        <f t="shared" si="36"/>
        <v>0</v>
      </c>
      <c r="P14" s="264">
        <f t="shared" si="37"/>
        <v>0</v>
      </c>
      <c r="Q14" s="264">
        <f t="shared" si="38"/>
        <v>0</v>
      </c>
      <c r="R14" s="264">
        <f t="shared" si="39"/>
        <v>0</v>
      </c>
      <c r="S14" s="264">
        <f t="shared" si="40"/>
        <v>0</v>
      </c>
      <c r="T14" s="264">
        <f t="shared" si="41"/>
        <v>1</v>
      </c>
      <c r="U14" s="264">
        <f t="shared" si="42"/>
        <v>0</v>
      </c>
      <c r="V14" s="264">
        <f t="shared" si="43"/>
        <v>0</v>
      </c>
      <c r="W14" s="264">
        <f t="shared" si="44"/>
        <v>0</v>
      </c>
      <c r="X14" s="264">
        <f t="shared" si="45"/>
        <v>0</v>
      </c>
      <c r="Y14" s="264">
        <f t="shared" si="46"/>
        <v>0</v>
      </c>
      <c r="Z14" s="264">
        <f t="shared" si="47"/>
        <v>0</v>
      </c>
      <c r="AA14" s="264">
        <f t="shared" si="48"/>
        <v>0</v>
      </c>
      <c r="AB14" s="264">
        <f t="shared" si="49"/>
        <v>1</v>
      </c>
      <c r="AC14" s="264">
        <f t="shared" si="50"/>
        <v>0</v>
      </c>
      <c r="AD14" s="264">
        <f t="shared" si="51"/>
        <v>0</v>
      </c>
      <c r="AE14" s="264">
        <f t="shared" si="52"/>
        <v>0</v>
      </c>
      <c r="AF14" s="264">
        <f t="shared" si="53"/>
        <v>0</v>
      </c>
      <c r="AG14" s="264">
        <f t="shared" si="54"/>
        <v>0</v>
      </c>
      <c r="AH14" s="264">
        <f t="shared" si="55"/>
        <v>0</v>
      </c>
      <c r="AI14" s="264">
        <f t="shared" si="56"/>
        <v>0</v>
      </c>
      <c r="AJ14" s="264">
        <f t="shared" si="57"/>
        <v>1</v>
      </c>
      <c r="AK14" s="264">
        <f t="shared" si="58"/>
        <v>0</v>
      </c>
      <c r="AL14" s="264">
        <f t="shared" si="59"/>
        <v>0</v>
      </c>
      <c r="AM14" s="264">
        <f t="shared" si="60"/>
        <v>0</v>
      </c>
      <c r="AN14" s="264">
        <f t="shared" si="61"/>
        <v>0</v>
      </c>
      <c r="AO14" s="264">
        <f t="shared" si="62"/>
        <v>0</v>
      </c>
      <c r="AP14" s="264">
        <f t="shared" si="63"/>
        <v>0</v>
      </c>
    </row>
    <row r="15" spans="2:42" ht="15">
      <c r="B15" s="8" t="s">
        <v>98</v>
      </c>
      <c r="C15" s="263">
        <v>0</v>
      </c>
      <c r="D15" s="263">
        <v>0</v>
      </c>
      <c r="E15" s="263">
        <v>0</v>
      </c>
      <c r="F15" s="263">
        <v>0</v>
      </c>
      <c r="G15" s="263">
        <v>1</v>
      </c>
      <c r="H15" s="263">
        <v>0</v>
      </c>
      <c r="I15" s="263">
        <v>0</v>
      </c>
      <c r="J15" s="263">
        <v>0</v>
      </c>
      <c r="K15" s="264">
        <f t="shared" si="32"/>
        <v>0</v>
      </c>
      <c r="L15" s="264">
        <f t="shared" si="33"/>
        <v>0</v>
      </c>
      <c r="M15" s="264">
        <f t="shared" si="34"/>
        <v>0</v>
      </c>
      <c r="N15" s="264">
        <f t="shared" si="35"/>
        <v>0</v>
      </c>
      <c r="O15" s="264">
        <f t="shared" si="36"/>
        <v>1</v>
      </c>
      <c r="P15" s="264">
        <f t="shared" si="37"/>
        <v>0</v>
      </c>
      <c r="Q15" s="264">
        <f t="shared" si="38"/>
        <v>0</v>
      </c>
      <c r="R15" s="264">
        <f t="shared" si="39"/>
        <v>0</v>
      </c>
      <c r="S15" s="264">
        <f t="shared" si="40"/>
        <v>0</v>
      </c>
      <c r="T15" s="264">
        <f t="shared" si="41"/>
        <v>0</v>
      </c>
      <c r="U15" s="264">
        <f t="shared" si="42"/>
        <v>0</v>
      </c>
      <c r="V15" s="264">
        <f t="shared" si="43"/>
        <v>0</v>
      </c>
      <c r="W15" s="264">
        <f t="shared" si="44"/>
        <v>1</v>
      </c>
      <c r="X15" s="264">
        <f t="shared" si="45"/>
        <v>0</v>
      </c>
      <c r="Y15" s="264">
        <f t="shared" si="46"/>
        <v>0</v>
      </c>
      <c r="Z15" s="264">
        <f t="shared" si="47"/>
        <v>0</v>
      </c>
      <c r="AA15" s="264">
        <f t="shared" si="48"/>
        <v>0</v>
      </c>
      <c r="AB15" s="264">
        <f t="shared" si="49"/>
        <v>0</v>
      </c>
      <c r="AC15" s="264">
        <f t="shared" si="50"/>
        <v>0</v>
      </c>
      <c r="AD15" s="264">
        <f t="shared" si="51"/>
        <v>0</v>
      </c>
      <c r="AE15" s="264">
        <f t="shared" si="52"/>
        <v>1</v>
      </c>
      <c r="AF15" s="264">
        <f t="shared" si="53"/>
        <v>0</v>
      </c>
      <c r="AG15" s="264">
        <f t="shared" si="54"/>
        <v>0</v>
      </c>
      <c r="AH15" s="264">
        <f t="shared" si="55"/>
        <v>0</v>
      </c>
      <c r="AI15" s="264">
        <f t="shared" si="56"/>
        <v>0</v>
      </c>
      <c r="AJ15" s="264">
        <f t="shared" si="57"/>
        <v>0</v>
      </c>
      <c r="AK15" s="264">
        <f t="shared" si="58"/>
        <v>0</v>
      </c>
      <c r="AL15" s="264">
        <f t="shared" si="59"/>
        <v>0</v>
      </c>
      <c r="AM15" s="264">
        <f t="shared" si="60"/>
        <v>1</v>
      </c>
      <c r="AN15" s="264">
        <f t="shared" si="61"/>
        <v>0</v>
      </c>
      <c r="AO15" s="264">
        <f t="shared" si="62"/>
        <v>0</v>
      </c>
      <c r="AP15" s="264">
        <f t="shared" si="63"/>
        <v>0</v>
      </c>
    </row>
    <row r="16" spans="2:42" ht="15">
      <c r="B16" s="8" t="s">
        <v>99</v>
      </c>
      <c r="C16" s="263">
        <v>0</v>
      </c>
      <c r="D16" s="263">
        <v>0</v>
      </c>
      <c r="E16" s="263">
        <v>0</v>
      </c>
      <c r="F16" s="263">
        <v>0</v>
      </c>
      <c r="G16" s="263">
        <v>0</v>
      </c>
      <c r="H16" s="263">
        <v>1</v>
      </c>
      <c r="I16" s="263">
        <v>0</v>
      </c>
      <c r="J16" s="263">
        <v>0</v>
      </c>
      <c r="K16" s="264">
        <f t="shared" si="32"/>
        <v>0</v>
      </c>
      <c r="L16" s="264">
        <f t="shared" si="33"/>
        <v>0</v>
      </c>
      <c r="M16" s="264">
        <f t="shared" si="34"/>
        <v>0</v>
      </c>
      <c r="N16" s="264">
        <f t="shared" si="35"/>
        <v>0</v>
      </c>
      <c r="O16" s="264">
        <f t="shared" si="36"/>
        <v>0</v>
      </c>
      <c r="P16" s="264">
        <f t="shared" si="37"/>
        <v>1</v>
      </c>
      <c r="Q16" s="264">
        <f t="shared" si="38"/>
        <v>0</v>
      </c>
      <c r="R16" s="264">
        <f t="shared" si="39"/>
        <v>0</v>
      </c>
      <c r="S16" s="264">
        <f t="shared" si="40"/>
        <v>0</v>
      </c>
      <c r="T16" s="264">
        <f t="shared" si="41"/>
        <v>0</v>
      </c>
      <c r="U16" s="264">
        <f t="shared" si="42"/>
        <v>0</v>
      </c>
      <c r="V16" s="264">
        <f t="shared" si="43"/>
        <v>0</v>
      </c>
      <c r="W16" s="264">
        <f t="shared" si="44"/>
        <v>0</v>
      </c>
      <c r="X16" s="264">
        <f t="shared" si="45"/>
        <v>1</v>
      </c>
      <c r="Y16" s="264">
        <f t="shared" si="46"/>
        <v>0</v>
      </c>
      <c r="Z16" s="264">
        <f t="shared" si="47"/>
        <v>0</v>
      </c>
      <c r="AA16" s="264">
        <f t="shared" si="48"/>
        <v>0</v>
      </c>
      <c r="AB16" s="264">
        <f t="shared" si="49"/>
        <v>0</v>
      </c>
      <c r="AC16" s="264">
        <f t="shared" si="50"/>
        <v>0</v>
      </c>
      <c r="AD16" s="264">
        <f t="shared" si="51"/>
        <v>0</v>
      </c>
      <c r="AE16" s="264">
        <f t="shared" si="52"/>
        <v>0</v>
      </c>
      <c r="AF16" s="264">
        <f t="shared" si="53"/>
        <v>1</v>
      </c>
      <c r="AG16" s="264">
        <f t="shared" si="54"/>
        <v>0</v>
      </c>
      <c r="AH16" s="264">
        <f t="shared" si="55"/>
        <v>0</v>
      </c>
      <c r="AI16" s="264">
        <f t="shared" si="56"/>
        <v>0</v>
      </c>
      <c r="AJ16" s="264">
        <f t="shared" si="57"/>
        <v>0</v>
      </c>
      <c r="AK16" s="264">
        <f t="shared" si="58"/>
        <v>0</v>
      </c>
      <c r="AL16" s="264">
        <f t="shared" si="59"/>
        <v>0</v>
      </c>
      <c r="AM16" s="264">
        <f t="shared" si="60"/>
        <v>0</v>
      </c>
      <c r="AN16" s="264">
        <f t="shared" si="61"/>
        <v>1</v>
      </c>
      <c r="AO16" s="264">
        <f t="shared" si="62"/>
        <v>0</v>
      </c>
      <c r="AP16" s="264">
        <f t="shared" si="63"/>
        <v>0</v>
      </c>
    </row>
    <row r="17" spans="2:42" ht="15">
      <c r="B17" s="8" t="s">
        <v>1534</v>
      </c>
      <c r="C17" s="263">
        <v>0</v>
      </c>
      <c r="D17" s="263">
        <v>0</v>
      </c>
      <c r="E17" s="263">
        <v>0</v>
      </c>
      <c r="F17" s="263">
        <v>0</v>
      </c>
      <c r="G17" s="263">
        <v>0</v>
      </c>
      <c r="H17" s="263">
        <v>0</v>
      </c>
      <c r="I17" s="263">
        <v>1</v>
      </c>
      <c r="J17" s="263">
        <v>0</v>
      </c>
      <c r="K17" s="264">
        <f t="shared" si="32"/>
        <v>0</v>
      </c>
      <c r="L17" s="264">
        <f t="shared" si="33"/>
        <v>0</v>
      </c>
      <c r="M17" s="264">
        <f t="shared" si="34"/>
        <v>0</v>
      </c>
      <c r="N17" s="264">
        <f t="shared" si="35"/>
        <v>0</v>
      </c>
      <c r="O17" s="264">
        <f t="shared" si="36"/>
        <v>0</v>
      </c>
      <c r="P17" s="264">
        <f t="shared" si="37"/>
        <v>0</v>
      </c>
      <c r="Q17" s="264">
        <f t="shared" si="38"/>
        <v>1</v>
      </c>
      <c r="R17" s="264">
        <f t="shared" si="39"/>
        <v>0</v>
      </c>
      <c r="S17" s="264">
        <f t="shared" si="40"/>
        <v>0</v>
      </c>
      <c r="T17" s="264">
        <f t="shared" si="41"/>
        <v>0</v>
      </c>
      <c r="U17" s="264">
        <f t="shared" si="42"/>
        <v>0</v>
      </c>
      <c r="V17" s="264">
        <f t="shared" si="43"/>
        <v>0</v>
      </c>
      <c r="W17" s="264">
        <f t="shared" si="44"/>
        <v>0</v>
      </c>
      <c r="X17" s="264">
        <f t="shared" si="45"/>
        <v>0</v>
      </c>
      <c r="Y17" s="264">
        <f t="shared" si="46"/>
        <v>1</v>
      </c>
      <c r="Z17" s="264">
        <f t="shared" si="47"/>
        <v>0</v>
      </c>
      <c r="AA17" s="264">
        <f t="shared" si="48"/>
        <v>0</v>
      </c>
      <c r="AB17" s="264">
        <f t="shared" si="49"/>
        <v>0</v>
      </c>
      <c r="AC17" s="264">
        <f t="shared" si="50"/>
        <v>0</v>
      </c>
      <c r="AD17" s="264">
        <f t="shared" si="51"/>
        <v>0</v>
      </c>
      <c r="AE17" s="264">
        <f t="shared" si="52"/>
        <v>0</v>
      </c>
      <c r="AF17" s="264">
        <f t="shared" si="53"/>
        <v>0</v>
      </c>
      <c r="AG17" s="264">
        <f t="shared" si="54"/>
        <v>1</v>
      </c>
      <c r="AH17" s="264">
        <f t="shared" si="55"/>
        <v>0</v>
      </c>
      <c r="AI17" s="264">
        <f t="shared" si="56"/>
        <v>0</v>
      </c>
      <c r="AJ17" s="264">
        <f t="shared" si="57"/>
        <v>0</v>
      </c>
      <c r="AK17" s="264">
        <f t="shared" si="58"/>
        <v>0</v>
      </c>
      <c r="AL17" s="264">
        <f t="shared" si="59"/>
        <v>0</v>
      </c>
      <c r="AM17" s="264">
        <f t="shared" si="60"/>
        <v>0</v>
      </c>
      <c r="AN17" s="264">
        <f t="shared" si="61"/>
        <v>0</v>
      </c>
      <c r="AO17" s="264">
        <f t="shared" si="62"/>
        <v>1</v>
      </c>
      <c r="AP17" s="264">
        <f t="shared" si="63"/>
        <v>0</v>
      </c>
    </row>
    <row r="18" spans="2:42" ht="15">
      <c r="B18" s="8" t="s">
        <v>100</v>
      </c>
      <c r="C18" s="263">
        <v>0</v>
      </c>
      <c r="D18" s="263">
        <v>0</v>
      </c>
      <c r="E18" s="263">
        <v>0</v>
      </c>
      <c r="F18" s="263">
        <v>0</v>
      </c>
      <c r="G18" s="263">
        <v>0</v>
      </c>
      <c r="H18" s="263">
        <v>0</v>
      </c>
      <c r="I18" s="263">
        <v>1</v>
      </c>
      <c r="J18" s="263">
        <v>0</v>
      </c>
      <c r="K18" s="264">
        <f t="shared" si="0"/>
        <v>0</v>
      </c>
      <c r="L18" s="264">
        <f t="shared" si="1"/>
        <v>0</v>
      </c>
      <c r="M18" s="264">
        <f t="shared" si="2"/>
        <v>0</v>
      </c>
      <c r="N18" s="264">
        <f t="shared" si="3"/>
        <v>0</v>
      </c>
      <c r="O18" s="264">
        <f t="shared" si="4"/>
        <v>0</v>
      </c>
      <c r="P18" s="264">
        <f t="shared" si="5"/>
        <v>0</v>
      </c>
      <c r="Q18" s="264">
        <f t="shared" si="6"/>
        <v>1</v>
      </c>
      <c r="R18" s="264">
        <f t="shared" si="7"/>
        <v>0</v>
      </c>
      <c r="S18" s="264">
        <f t="shared" si="8"/>
        <v>0</v>
      </c>
      <c r="T18" s="264">
        <f t="shared" si="9"/>
        <v>0</v>
      </c>
      <c r="U18" s="264">
        <f t="shared" si="10"/>
        <v>0</v>
      </c>
      <c r="V18" s="264">
        <f t="shared" si="11"/>
        <v>0</v>
      </c>
      <c r="W18" s="264">
        <f t="shared" si="12"/>
        <v>0</v>
      </c>
      <c r="X18" s="264">
        <f t="shared" si="13"/>
        <v>0</v>
      </c>
      <c r="Y18" s="264">
        <f t="shared" si="14"/>
        <v>1</v>
      </c>
      <c r="Z18" s="264">
        <f t="shared" si="15"/>
        <v>0</v>
      </c>
      <c r="AA18" s="264">
        <f t="shared" si="16"/>
        <v>0</v>
      </c>
      <c r="AB18" s="264">
        <f t="shared" si="17"/>
        <v>0</v>
      </c>
      <c r="AC18" s="264">
        <f t="shared" si="18"/>
        <v>0</v>
      </c>
      <c r="AD18" s="264">
        <f t="shared" si="19"/>
        <v>0</v>
      </c>
      <c r="AE18" s="264">
        <f t="shared" si="20"/>
        <v>0</v>
      </c>
      <c r="AF18" s="264">
        <f t="shared" si="21"/>
        <v>0</v>
      </c>
      <c r="AG18" s="264">
        <f t="shared" si="22"/>
        <v>1</v>
      </c>
      <c r="AH18" s="264">
        <f t="shared" si="23"/>
        <v>0</v>
      </c>
      <c r="AI18" s="264">
        <f t="shared" si="24"/>
        <v>0</v>
      </c>
      <c r="AJ18" s="264">
        <f t="shared" si="25"/>
        <v>0</v>
      </c>
      <c r="AK18" s="264">
        <f t="shared" si="26"/>
        <v>0</v>
      </c>
      <c r="AL18" s="264">
        <f t="shared" si="27"/>
        <v>0</v>
      </c>
      <c r="AM18" s="264">
        <f t="shared" si="28"/>
        <v>0</v>
      </c>
      <c r="AN18" s="264">
        <f t="shared" si="29"/>
        <v>0</v>
      </c>
      <c r="AO18" s="264">
        <f t="shared" si="30"/>
        <v>1</v>
      </c>
      <c r="AP18" s="264">
        <f t="shared" si="31"/>
        <v>0</v>
      </c>
    </row>
    <row r="19" spans="2:42" ht="15">
      <c r="B19" s="8" t="s">
        <v>101</v>
      </c>
      <c r="C19" s="263">
        <v>0</v>
      </c>
      <c r="D19" s="263">
        <v>0</v>
      </c>
      <c r="E19" s="263">
        <v>0</v>
      </c>
      <c r="F19" s="263">
        <v>0</v>
      </c>
      <c r="G19" s="263">
        <v>0</v>
      </c>
      <c r="H19" s="263">
        <v>0</v>
      </c>
      <c r="I19" s="263">
        <v>1</v>
      </c>
      <c r="J19" s="263">
        <v>0</v>
      </c>
      <c r="K19" s="264">
        <f t="shared" si="0"/>
        <v>0</v>
      </c>
      <c r="L19" s="264">
        <f t="shared" si="1"/>
        <v>0</v>
      </c>
      <c r="M19" s="264">
        <f t="shared" si="2"/>
        <v>0</v>
      </c>
      <c r="N19" s="264">
        <f t="shared" si="3"/>
        <v>0</v>
      </c>
      <c r="O19" s="264">
        <f t="shared" si="4"/>
        <v>0</v>
      </c>
      <c r="P19" s="264">
        <f t="shared" si="5"/>
        <v>0</v>
      </c>
      <c r="Q19" s="264">
        <f t="shared" si="6"/>
        <v>1</v>
      </c>
      <c r="R19" s="264">
        <f t="shared" si="7"/>
        <v>0</v>
      </c>
      <c r="S19" s="264">
        <f t="shared" si="8"/>
        <v>0</v>
      </c>
      <c r="T19" s="264">
        <f t="shared" si="9"/>
        <v>0</v>
      </c>
      <c r="U19" s="264">
        <f t="shared" si="10"/>
        <v>0</v>
      </c>
      <c r="V19" s="264">
        <f t="shared" si="11"/>
        <v>0</v>
      </c>
      <c r="W19" s="264">
        <f t="shared" si="12"/>
        <v>0</v>
      </c>
      <c r="X19" s="264">
        <f t="shared" si="13"/>
        <v>0</v>
      </c>
      <c r="Y19" s="264">
        <f t="shared" si="14"/>
        <v>1</v>
      </c>
      <c r="Z19" s="264">
        <f t="shared" si="15"/>
        <v>0</v>
      </c>
      <c r="AA19" s="264">
        <f t="shared" si="16"/>
        <v>0</v>
      </c>
      <c r="AB19" s="264">
        <f t="shared" si="17"/>
        <v>0</v>
      </c>
      <c r="AC19" s="264">
        <f t="shared" si="18"/>
        <v>0</v>
      </c>
      <c r="AD19" s="264">
        <f t="shared" si="19"/>
        <v>0</v>
      </c>
      <c r="AE19" s="264">
        <f t="shared" si="20"/>
        <v>0</v>
      </c>
      <c r="AF19" s="264">
        <f t="shared" si="21"/>
        <v>0</v>
      </c>
      <c r="AG19" s="264">
        <f t="shared" si="22"/>
        <v>1</v>
      </c>
      <c r="AH19" s="264">
        <f t="shared" si="23"/>
        <v>0</v>
      </c>
      <c r="AI19" s="264">
        <f t="shared" si="24"/>
        <v>0</v>
      </c>
      <c r="AJ19" s="264">
        <f t="shared" si="25"/>
        <v>0</v>
      </c>
      <c r="AK19" s="264">
        <f t="shared" si="26"/>
        <v>0</v>
      </c>
      <c r="AL19" s="264">
        <f t="shared" si="27"/>
        <v>0</v>
      </c>
      <c r="AM19" s="264">
        <f t="shared" si="28"/>
        <v>0</v>
      </c>
      <c r="AN19" s="264">
        <f t="shared" si="29"/>
        <v>0</v>
      </c>
      <c r="AO19" s="264">
        <f t="shared" si="30"/>
        <v>1</v>
      </c>
      <c r="AP19" s="264">
        <f t="shared" si="31"/>
        <v>0</v>
      </c>
    </row>
    <row r="20" spans="2:42" ht="15">
      <c r="B20" s="8" t="s">
        <v>102</v>
      </c>
      <c r="C20" s="263">
        <v>0</v>
      </c>
      <c r="D20" s="263">
        <v>0</v>
      </c>
      <c r="E20" s="263">
        <v>0</v>
      </c>
      <c r="F20" s="263">
        <v>0</v>
      </c>
      <c r="G20" s="263">
        <v>0</v>
      </c>
      <c r="H20" s="263">
        <v>0</v>
      </c>
      <c r="I20" s="263">
        <v>0</v>
      </c>
      <c r="J20" s="263">
        <v>0</v>
      </c>
      <c r="K20" s="264">
        <f t="shared" si="0"/>
        <v>0</v>
      </c>
      <c r="L20" s="264">
        <f t="shared" si="1"/>
        <v>0</v>
      </c>
      <c r="M20" s="264">
        <f t="shared" si="2"/>
        <v>0</v>
      </c>
      <c r="N20" s="264">
        <f t="shared" si="3"/>
        <v>0</v>
      </c>
      <c r="O20" s="264">
        <f t="shared" si="4"/>
        <v>0</v>
      </c>
      <c r="P20" s="264">
        <f t="shared" si="5"/>
        <v>0</v>
      </c>
      <c r="Q20" s="264">
        <f t="shared" si="6"/>
        <v>0</v>
      </c>
      <c r="R20" s="264">
        <f t="shared" si="7"/>
        <v>0</v>
      </c>
      <c r="S20" s="264">
        <f t="shared" si="8"/>
        <v>0</v>
      </c>
      <c r="T20" s="264">
        <f t="shared" si="9"/>
        <v>0</v>
      </c>
      <c r="U20" s="264">
        <f t="shared" si="10"/>
        <v>0</v>
      </c>
      <c r="V20" s="264">
        <f t="shared" si="11"/>
        <v>0</v>
      </c>
      <c r="W20" s="264">
        <f t="shared" si="12"/>
        <v>0</v>
      </c>
      <c r="X20" s="264">
        <f t="shared" si="13"/>
        <v>0</v>
      </c>
      <c r="Y20" s="264">
        <f t="shared" si="14"/>
        <v>0</v>
      </c>
      <c r="Z20" s="264">
        <f t="shared" si="15"/>
        <v>0</v>
      </c>
      <c r="AA20" s="264">
        <f t="shared" si="16"/>
        <v>0</v>
      </c>
      <c r="AB20" s="264">
        <f t="shared" si="17"/>
        <v>0</v>
      </c>
      <c r="AC20" s="264">
        <f t="shared" si="18"/>
        <v>0</v>
      </c>
      <c r="AD20" s="264">
        <f t="shared" si="19"/>
        <v>0</v>
      </c>
      <c r="AE20" s="264">
        <f t="shared" si="20"/>
        <v>0</v>
      </c>
      <c r="AF20" s="264">
        <f t="shared" si="21"/>
        <v>0</v>
      </c>
      <c r="AG20" s="264">
        <f t="shared" si="22"/>
        <v>0</v>
      </c>
      <c r="AH20" s="264">
        <f t="shared" si="23"/>
        <v>0</v>
      </c>
      <c r="AI20" s="264">
        <f t="shared" si="24"/>
        <v>0</v>
      </c>
      <c r="AJ20" s="264">
        <f t="shared" si="25"/>
        <v>0</v>
      </c>
      <c r="AK20" s="264">
        <f t="shared" si="26"/>
        <v>0</v>
      </c>
      <c r="AL20" s="264">
        <f t="shared" si="27"/>
        <v>0</v>
      </c>
      <c r="AM20" s="264">
        <f t="shared" si="28"/>
        <v>0</v>
      </c>
      <c r="AN20" s="264">
        <f t="shared" si="29"/>
        <v>0</v>
      </c>
      <c r="AO20" s="264">
        <f t="shared" si="30"/>
        <v>0</v>
      </c>
      <c r="AP20" s="264">
        <f t="shared" si="31"/>
        <v>0</v>
      </c>
    </row>
    <row r="21" spans="2:42" ht="15">
      <c r="B21" s="8" t="s">
        <v>103</v>
      </c>
      <c r="C21" s="263">
        <v>0</v>
      </c>
      <c r="D21" s="263">
        <v>0</v>
      </c>
      <c r="E21" s="263">
        <v>0</v>
      </c>
      <c r="F21" s="263">
        <v>0</v>
      </c>
      <c r="G21" s="263">
        <v>0</v>
      </c>
      <c r="H21" s="263">
        <v>0</v>
      </c>
      <c r="I21" s="263">
        <v>0</v>
      </c>
      <c r="J21" s="263">
        <v>0</v>
      </c>
      <c r="K21" s="264">
        <f t="shared" si="0"/>
        <v>0</v>
      </c>
      <c r="L21" s="264">
        <f t="shared" si="1"/>
        <v>0</v>
      </c>
      <c r="M21" s="264">
        <f t="shared" si="2"/>
        <v>0</v>
      </c>
      <c r="N21" s="264">
        <f t="shared" si="3"/>
        <v>0</v>
      </c>
      <c r="O21" s="264">
        <f t="shared" si="4"/>
        <v>0</v>
      </c>
      <c r="P21" s="264">
        <f t="shared" si="5"/>
        <v>0</v>
      </c>
      <c r="Q21" s="264">
        <f t="shared" si="6"/>
        <v>0</v>
      </c>
      <c r="R21" s="264">
        <f t="shared" si="7"/>
        <v>0</v>
      </c>
      <c r="S21" s="264">
        <f t="shared" si="8"/>
        <v>0</v>
      </c>
      <c r="T21" s="264">
        <f t="shared" si="9"/>
        <v>0</v>
      </c>
      <c r="U21" s="264">
        <f t="shared" si="10"/>
        <v>0</v>
      </c>
      <c r="V21" s="264">
        <f t="shared" si="11"/>
        <v>0</v>
      </c>
      <c r="W21" s="264">
        <f t="shared" si="12"/>
        <v>0</v>
      </c>
      <c r="X21" s="264">
        <f t="shared" si="13"/>
        <v>0</v>
      </c>
      <c r="Y21" s="264">
        <f t="shared" si="14"/>
        <v>0</v>
      </c>
      <c r="Z21" s="264">
        <f t="shared" si="15"/>
        <v>0</v>
      </c>
      <c r="AA21" s="264">
        <f t="shared" si="16"/>
        <v>0</v>
      </c>
      <c r="AB21" s="264">
        <f t="shared" si="17"/>
        <v>0</v>
      </c>
      <c r="AC21" s="264">
        <f t="shared" si="18"/>
        <v>0</v>
      </c>
      <c r="AD21" s="264">
        <f t="shared" si="19"/>
        <v>0</v>
      </c>
      <c r="AE21" s="264">
        <f t="shared" si="20"/>
        <v>0</v>
      </c>
      <c r="AF21" s="264">
        <f t="shared" si="21"/>
        <v>0</v>
      </c>
      <c r="AG21" s="264">
        <f t="shared" si="22"/>
        <v>0</v>
      </c>
      <c r="AH21" s="264">
        <f t="shared" si="23"/>
        <v>0</v>
      </c>
      <c r="AI21" s="264">
        <f t="shared" si="24"/>
        <v>0</v>
      </c>
      <c r="AJ21" s="264">
        <f t="shared" si="25"/>
        <v>0</v>
      </c>
      <c r="AK21" s="264">
        <f t="shared" si="26"/>
        <v>0</v>
      </c>
      <c r="AL21" s="264">
        <f t="shared" si="27"/>
        <v>0</v>
      </c>
      <c r="AM21" s="264">
        <f t="shared" si="28"/>
        <v>0</v>
      </c>
      <c r="AN21" s="264">
        <f t="shared" si="29"/>
        <v>0</v>
      </c>
      <c r="AO21" s="264">
        <f t="shared" si="30"/>
        <v>0</v>
      </c>
      <c r="AP21" s="264">
        <f t="shared" si="31"/>
        <v>0</v>
      </c>
    </row>
    <row r="22" spans="2:42" ht="15">
      <c r="B22" s="8" t="s">
        <v>104</v>
      </c>
      <c r="C22" s="263">
        <v>0</v>
      </c>
      <c r="D22" s="263">
        <v>0</v>
      </c>
      <c r="E22" s="263">
        <v>0</v>
      </c>
      <c r="F22" s="263">
        <v>0</v>
      </c>
      <c r="G22" s="263">
        <v>0</v>
      </c>
      <c r="H22" s="263">
        <v>0</v>
      </c>
      <c r="I22" s="263">
        <v>0</v>
      </c>
      <c r="J22" s="263">
        <v>0</v>
      </c>
      <c r="K22" s="264">
        <f t="shared" si="0"/>
        <v>0</v>
      </c>
      <c r="L22" s="264">
        <f t="shared" si="1"/>
        <v>0</v>
      </c>
      <c r="M22" s="264">
        <f t="shared" si="2"/>
        <v>0</v>
      </c>
      <c r="N22" s="264">
        <f t="shared" si="3"/>
        <v>0</v>
      </c>
      <c r="O22" s="264">
        <f t="shared" si="4"/>
        <v>0</v>
      </c>
      <c r="P22" s="264">
        <f t="shared" si="5"/>
        <v>0</v>
      </c>
      <c r="Q22" s="264">
        <f t="shared" si="6"/>
        <v>0</v>
      </c>
      <c r="R22" s="264">
        <f t="shared" si="7"/>
        <v>0</v>
      </c>
      <c r="S22" s="264">
        <f t="shared" si="8"/>
        <v>0</v>
      </c>
      <c r="T22" s="264">
        <f t="shared" si="9"/>
        <v>0</v>
      </c>
      <c r="U22" s="264">
        <f t="shared" si="10"/>
        <v>0</v>
      </c>
      <c r="V22" s="264">
        <f t="shared" si="11"/>
        <v>0</v>
      </c>
      <c r="W22" s="264">
        <f t="shared" si="12"/>
        <v>0</v>
      </c>
      <c r="X22" s="264">
        <f t="shared" si="13"/>
        <v>0</v>
      </c>
      <c r="Y22" s="264">
        <f t="shared" si="14"/>
        <v>0</v>
      </c>
      <c r="Z22" s="264">
        <f t="shared" si="15"/>
        <v>0</v>
      </c>
      <c r="AA22" s="264">
        <f t="shared" si="16"/>
        <v>0</v>
      </c>
      <c r="AB22" s="264">
        <f t="shared" si="17"/>
        <v>0</v>
      </c>
      <c r="AC22" s="264">
        <f t="shared" si="18"/>
        <v>0</v>
      </c>
      <c r="AD22" s="264">
        <f t="shared" si="19"/>
        <v>0</v>
      </c>
      <c r="AE22" s="264">
        <f t="shared" si="20"/>
        <v>0</v>
      </c>
      <c r="AF22" s="264">
        <f t="shared" si="21"/>
        <v>0</v>
      </c>
      <c r="AG22" s="264">
        <f t="shared" si="22"/>
        <v>0</v>
      </c>
      <c r="AH22" s="264">
        <f t="shared" si="23"/>
        <v>0</v>
      </c>
      <c r="AI22" s="264">
        <f t="shared" si="24"/>
        <v>0</v>
      </c>
      <c r="AJ22" s="264">
        <f t="shared" si="25"/>
        <v>0</v>
      </c>
      <c r="AK22" s="264">
        <f t="shared" si="26"/>
        <v>0</v>
      </c>
      <c r="AL22" s="264">
        <f t="shared" si="27"/>
        <v>0</v>
      </c>
      <c r="AM22" s="264">
        <f t="shared" si="28"/>
        <v>0</v>
      </c>
      <c r="AN22" s="264">
        <f t="shared" si="29"/>
        <v>0</v>
      </c>
      <c r="AO22" s="264">
        <f t="shared" si="30"/>
        <v>0</v>
      </c>
      <c r="AP22" s="264">
        <f t="shared" si="31"/>
        <v>0</v>
      </c>
    </row>
    <row r="24" spans="2:42" ht="15.75">
      <c r="B24" s="150" t="s">
        <v>105</v>
      </c>
    </row>
    <row r="25" spans="2:42" ht="14.25">
      <c r="B25" s="176"/>
    </row>
    <row r="26" spans="2:42" ht="13.5" thickBot="1">
      <c r="B26" s="26" t="s">
        <v>106</v>
      </c>
    </row>
    <row r="27" spans="2:42">
      <c r="B27" s="26" t="s">
        <v>107</v>
      </c>
      <c r="C27" s="363" t="str">
        <f>'CDCM Forecast Data'!$E$11</f>
        <v>2017/18</v>
      </c>
      <c r="D27" s="364"/>
      <c r="E27" s="364"/>
      <c r="F27" s="364"/>
      <c r="G27" s="364"/>
      <c r="H27" s="364"/>
      <c r="I27" s="364"/>
      <c r="J27" s="365"/>
      <c r="K27" s="363" t="str">
        <f>'CDCM Forecast Data'!$F$11</f>
        <v>2018/19</v>
      </c>
      <c r="L27" s="364"/>
      <c r="M27" s="364"/>
      <c r="N27" s="364"/>
      <c r="O27" s="364"/>
      <c r="P27" s="364"/>
      <c r="Q27" s="364"/>
      <c r="R27" s="365"/>
      <c r="S27" s="363" t="str">
        <f>'CDCM Forecast Data'!$G$11</f>
        <v>2019/20</v>
      </c>
      <c r="T27" s="364"/>
      <c r="U27" s="364"/>
      <c r="V27" s="364"/>
      <c r="W27" s="364"/>
      <c r="X27" s="364"/>
      <c r="Y27" s="364"/>
      <c r="Z27" s="365"/>
      <c r="AA27" s="363" t="str">
        <f>'CDCM Forecast Data'!$H$11</f>
        <v>2020/21</v>
      </c>
      <c r="AB27" s="364"/>
      <c r="AC27" s="364"/>
      <c r="AD27" s="364"/>
      <c r="AE27" s="364"/>
      <c r="AF27" s="364"/>
      <c r="AG27" s="364"/>
      <c r="AH27" s="365"/>
      <c r="AI27" s="363" t="str">
        <f>'CDCM Forecast Data'!$I$11</f>
        <v>2021/22</v>
      </c>
      <c r="AJ27" s="364"/>
      <c r="AK27" s="364"/>
      <c r="AL27" s="364"/>
      <c r="AM27" s="364"/>
      <c r="AN27" s="364"/>
      <c r="AO27" s="364"/>
      <c r="AP27" s="365"/>
    </row>
    <row r="28" spans="2:42" ht="38.25">
      <c r="C28" s="175" t="s">
        <v>75</v>
      </c>
      <c r="D28" s="174" t="s">
        <v>76</v>
      </c>
      <c r="E28" s="174" t="s">
        <v>77</v>
      </c>
      <c r="F28" s="174" t="s">
        <v>78</v>
      </c>
      <c r="G28" s="174" t="s">
        <v>79</v>
      </c>
      <c r="H28" s="174" t="s">
        <v>80</v>
      </c>
      <c r="I28" s="174" t="s">
        <v>81</v>
      </c>
      <c r="J28" s="173" t="s">
        <v>82</v>
      </c>
      <c r="K28" s="175" t="s">
        <v>75</v>
      </c>
      <c r="L28" s="174" t="s">
        <v>76</v>
      </c>
      <c r="M28" s="174" t="s">
        <v>77</v>
      </c>
      <c r="N28" s="174" t="s">
        <v>78</v>
      </c>
      <c r="O28" s="174" t="s">
        <v>79</v>
      </c>
      <c r="P28" s="174" t="s">
        <v>80</v>
      </c>
      <c r="Q28" s="174" t="s">
        <v>81</v>
      </c>
      <c r="R28" s="173" t="s">
        <v>82</v>
      </c>
      <c r="S28" s="175" t="s">
        <v>75</v>
      </c>
      <c r="T28" s="174" t="s">
        <v>76</v>
      </c>
      <c r="U28" s="174" t="s">
        <v>77</v>
      </c>
      <c r="V28" s="174" t="s">
        <v>78</v>
      </c>
      <c r="W28" s="174" t="s">
        <v>79</v>
      </c>
      <c r="X28" s="174" t="s">
        <v>80</v>
      </c>
      <c r="Y28" s="174" t="s">
        <v>81</v>
      </c>
      <c r="Z28" s="173" t="s">
        <v>82</v>
      </c>
      <c r="AA28" s="175" t="s">
        <v>75</v>
      </c>
      <c r="AB28" s="174" t="s">
        <v>76</v>
      </c>
      <c r="AC28" s="174" t="s">
        <v>77</v>
      </c>
      <c r="AD28" s="174" t="s">
        <v>78</v>
      </c>
      <c r="AE28" s="174" t="s">
        <v>79</v>
      </c>
      <c r="AF28" s="174" t="s">
        <v>80</v>
      </c>
      <c r="AG28" s="174" t="s">
        <v>81</v>
      </c>
      <c r="AH28" s="173" t="s">
        <v>82</v>
      </c>
      <c r="AI28" s="175" t="s">
        <v>75</v>
      </c>
      <c r="AJ28" s="174" t="s">
        <v>76</v>
      </c>
      <c r="AK28" s="174" t="s">
        <v>77</v>
      </c>
      <c r="AL28" s="174" t="s">
        <v>78</v>
      </c>
      <c r="AM28" s="174" t="s">
        <v>79</v>
      </c>
      <c r="AN28" s="174" t="s">
        <v>80</v>
      </c>
      <c r="AO28" s="174" t="s">
        <v>81</v>
      </c>
      <c r="AP28" s="173" t="s">
        <v>82</v>
      </c>
    </row>
    <row r="29" spans="2:42" ht="15">
      <c r="B29" s="172" t="s">
        <v>108</v>
      </c>
      <c r="C29" s="265">
        <v>0</v>
      </c>
      <c r="D29" s="265">
        <v>0</v>
      </c>
      <c r="E29" s="265">
        <v>0</v>
      </c>
      <c r="F29" s="265">
        <v>0</v>
      </c>
      <c r="G29" s="265">
        <v>0</v>
      </c>
      <c r="H29" s="265">
        <v>0</v>
      </c>
      <c r="I29" s="265">
        <v>0</v>
      </c>
      <c r="J29" s="265">
        <v>0.48799999999999999</v>
      </c>
      <c r="K29" s="266">
        <f t="shared" ref="K29:R29" si="64">C29</f>
        <v>0</v>
      </c>
      <c r="L29" s="266">
        <f t="shared" si="64"/>
        <v>0</v>
      </c>
      <c r="M29" s="266">
        <f t="shared" si="64"/>
        <v>0</v>
      </c>
      <c r="N29" s="266">
        <f t="shared" si="64"/>
        <v>0</v>
      </c>
      <c r="O29" s="266">
        <f t="shared" si="64"/>
        <v>0</v>
      </c>
      <c r="P29" s="266">
        <f t="shared" si="64"/>
        <v>0</v>
      </c>
      <c r="Q29" s="266">
        <f t="shared" si="64"/>
        <v>0</v>
      </c>
      <c r="R29" s="266">
        <f t="shared" si="64"/>
        <v>0.48799999999999999</v>
      </c>
      <c r="S29" s="266">
        <f t="shared" ref="S29" si="65">K29</f>
        <v>0</v>
      </c>
      <c r="T29" s="266">
        <f t="shared" ref="T29" si="66">L29</f>
        <v>0</v>
      </c>
      <c r="U29" s="266">
        <f t="shared" ref="U29" si="67">M29</f>
        <v>0</v>
      </c>
      <c r="V29" s="266">
        <f t="shared" ref="V29" si="68">N29</f>
        <v>0</v>
      </c>
      <c r="W29" s="266">
        <f t="shared" ref="W29" si="69">O29</f>
        <v>0</v>
      </c>
      <c r="X29" s="266">
        <f t="shared" ref="X29" si="70">P29</f>
        <v>0</v>
      </c>
      <c r="Y29" s="266">
        <f t="shared" ref="Y29" si="71">Q29</f>
        <v>0</v>
      </c>
      <c r="Z29" s="266">
        <f t="shared" ref="Z29" si="72">R29</f>
        <v>0.48799999999999999</v>
      </c>
      <c r="AA29" s="266">
        <f t="shared" ref="AA29" si="73">S29</f>
        <v>0</v>
      </c>
      <c r="AB29" s="266">
        <f t="shared" ref="AB29" si="74">T29</f>
        <v>0</v>
      </c>
      <c r="AC29" s="266">
        <f t="shared" ref="AC29" si="75">U29</f>
        <v>0</v>
      </c>
      <c r="AD29" s="266">
        <f t="shared" ref="AD29" si="76">V29</f>
        <v>0</v>
      </c>
      <c r="AE29" s="266">
        <f t="shared" ref="AE29" si="77">W29</f>
        <v>0</v>
      </c>
      <c r="AF29" s="266">
        <f t="shared" ref="AF29" si="78">X29</f>
        <v>0</v>
      </c>
      <c r="AG29" s="266">
        <f t="shared" ref="AG29" si="79">Y29</f>
        <v>0</v>
      </c>
      <c r="AH29" s="266">
        <f t="shared" ref="AH29" si="80">Z29</f>
        <v>0.48799999999999999</v>
      </c>
      <c r="AI29" s="266">
        <f t="shared" ref="AI29" si="81">AA29</f>
        <v>0</v>
      </c>
      <c r="AJ29" s="266">
        <f t="shared" ref="AJ29" si="82">AB29</f>
        <v>0</v>
      </c>
      <c r="AK29" s="266">
        <f t="shared" ref="AK29" si="83">AC29</f>
        <v>0</v>
      </c>
      <c r="AL29" s="266">
        <f t="shared" ref="AL29" si="84">AD29</f>
        <v>0</v>
      </c>
      <c r="AM29" s="266">
        <f t="shared" ref="AM29" si="85">AE29</f>
        <v>0</v>
      </c>
      <c r="AN29" s="266">
        <f t="shared" ref="AN29" si="86">AF29</f>
        <v>0</v>
      </c>
      <c r="AO29" s="266">
        <f t="shared" ref="AO29" si="87">AG29</f>
        <v>0</v>
      </c>
      <c r="AP29" s="266">
        <f t="shared" ref="AP29" si="88">AH29</f>
        <v>0.48799999999999999</v>
      </c>
    </row>
    <row r="31" spans="2:42" ht="16.5" thickBot="1">
      <c r="B31" s="150" t="s">
        <v>109</v>
      </c>
    </row>
    <row r="32" spans="2:42" ht="15.75">
      <c r="B32" s="150"/>
      <c r="C32" s="366" t="str">
        <f>'CDCM Forecast Data'!$E$11</f>
        <v>2017/18</v>
      </c>
      <c r="D32" s="367"/>
      <c r="E32" s="367"/>
      <c r="F32" s="367"/>
      <c r="G32" s="368"/>
      <c r="H32" s="366" t="str">
        <f>+'CDCM Forecast Data'!F11</f>
        <v>2018/19</v>
      </c>
      <c r="I32" s="367"/>
      <c r="J32" s="367"/>
      <c r="K32" s="367"/>
      <c r="L32" s="368"/>
      <c r="M32" s="366" t="str">
        <f>+'CDCM Forecast Data'!G11</f>
        <v>2019/20</v>
      </c>
      <c r="N32" s="367"/>
      <c r="O32" s="367"/>
      <c r="P32" s="367"/>
      <c r="Q32" s="368"/>
      <c r="R32" s="366" t="str">
        <f>+'CDCM Forecast Data'!H11</f>
        <v>2020/21</v>
      </c>
      <c r="S32" s="367"/>
      <c r="T32" s="367"/>
      <c r="U32" s="367"/>
      <c r="V32" s="368"/>
      <c r="W32" s="366" t="str">
        <f>+'CDCM Forecast Data'!I11</f>
        <v>2021/22</v>
      </c>
      <c r="X32" s="367"/>
      <c r="Y32" s="367"/>
      <c r="Z32" s="367"/>
      <c r="AA32" s="368"/>
    </row>
    <row r="33" spans="2:27" ht="42" customHeight="1">
      <c r="C33" s="175" t="s">
        <v>85</v>
      </c>
      <c r="D33" s="174" t="s">
        <v>86</v>
      </c>
      <c r="E33" s="174" t="s">
        <v>87</v>
      </c>
      <c r="F33" s="174" t="s">
        <v>88</v>
      </c>
      <c r="G33" s="173" t="s">
        <v>89</v>
      </c>
      <c r="H33" s="175" t="s">
        <v>85</v>
      </c>
      <c r="I33" s="174" t="s">
        <v>86</v>
      </c>
      <c r="J33" s="174" t="s">
        <v>87</v>
      </c>
      <c r="K33" s="174" t="s">
        <v>88</v>
      </c>
      <c r="L33" s="173" t="s">
        <v>89</v>
      </c>
      <c r="M33" s="175" t="s">
        <v>85</v>
      </c>
      <c r="N33" s="174" t="s">
        <v>86</v>
      </c>
      <c r="O33" s="174" t="s">
        <v>87</v>
      </c>
      <c r="P33" s="174" t="s">
        <v>88</v>
      </c>
      <c r="Q33" s="173" t="s">
        <v>89</v>
      </c>
      <c r="R33" s="175" t="s">
        <v>85</v>
      </c>
      <c r="S33" s="174" t="s">
        <v>86</v>
      </c>
      <c r="T33" s="174" t="s">
        <v>87</v>
      </c>
      <c r="U33" s="174" t="s">
        <v>88</v>
      </c>
      <c r="V33" s="173" t="s">
        <v>89</v>
      </c>
      <c r="W33" s="175" t="s">
        <v>85</v>
      </c>
      <c r="X33" s="174" t="s">
        <v>86</v>
      </c>
      <c r="Y33" s="174" t="s">
        <v>87</v>
      </c>
      <c r="Z33" s="174" t="s">
        <v>88</v>
      </c>
      <c r="AA33" s="173" t="s">
        <v>89</v>
      </c>
    </row>
    <row r="34" spans="2:27">
      <c r="B34" s="172" t="s">
        <v>110</v>
      </c>
      <c r="C34" s="263">
        <v>1</v>
      </c>
      <c r="D34" s="263"/>
      <c r="E34" s="263"/>
      <c r="F34" s="263"/>
      <c r="G34" s="263"/>
      <c r="H34" s="264">
        <f t="shared" ref="H34:H37" si="89">C34</f>
        <v>1</v>
      </c>
      <c r="I34" s="264">
        <f t="shared" ref="I34:I37" si="90">D34</f>
        <v>0</v>
      </c>
      <c r="J34" s="264">
        <f t="shared" ref="J34:J37" si="91">E34</f>
        <v>0</v>
      </c>
      <c r="K34" s="264">
        <f t="shared" ref="K34:K37" si="92">F34</f>
        <v>0</v>
      </c>
      <c r="L34" s="264">
        <f t="shared" ref="L34:L37" si="93">G34</f>
        <v>0</v>
      </c>
      <c r="M34" s="264">
        <f t="shared" ref="M34:M37" si="94">H34</f>
        <v>1</v>
      </c>
      <c r="N34" s="264">
        <f t="shared" ref="N34:N37" si="95">I34</f>
        <v>0</v>
      </c>
      <c r="O34" s="264">
        <f t="shared" ref="O34:O37" si="96">J34</f>
        <v>0</v>
      </c>
      <c r="P34" s="264">
        <f t="shared" ref="P34:P37" si="97">K34</f>
        <v>0</v>
      </c>
      <c r="Q34" s="264">
        <f t="shared" ref="Q34:Q37" si="98">L34</f>
        <v>0</v>
      </c>
      <c r="R34" s="264">
        <f t="shared" ref="R34:R37" si="99">M34</f>
        <v>1</v>
      </c>
      <c r="S34" s="264">
        <f t="shared" ref="S34:S37" si="100">N34</f>
        <v>0</v>
      </c>
      <c r="T34" s="264">
        <f t="shared" ref="T34:T37" si="101">O34</f>
        <v>0</v>
      </c>
      <c r="U34" s="264">
        <f t="shared" ref="U34:U37" si="102">P34</f>
        <v>0</v>
      </c>
      <c r="V34" s="264">
        <f t="shared" ref="V34:V37" si="103">Q34</f>
        <v>0</v>
      </c>
      <c r="W34" s="264">
        <f t="shared" ref="W34:W37" si="104">R34</f>
        <v>1</v>
      </c>
      <c r="X34" s="264">
        <f t="shared" ref="X34:X37" si="105">S34</f>
        <v>0</v>
      </c>
      <c r="Y34" s="264">
        <f t="shared" ref="Y34:Y37" si="106">T34</f>
        <v>0</v>
      </c>
      <c r="Z34" s="264">
        <f t="shared" ref="Z34:Z37" si="107">U34</f>
        <v>0</v>
      </c>
      <c r="AA34" s="264">
        <f t="shared" ref="AA34:AA37" si="108">V34</f>
        <v>0</v>
      </c>
    </row>
    <row r="35" spans="2:27">
      <c r="B35" s="172" t="s">
        <v>111</v>
      </c>
      <c r="C35" s="263">
        <v>1</v>
      </c>
      <c r="D35" s="263"/>
      <c r="E35" s="263"/>
      <c r="F35" s="263"/>
      <c r="G35" s="263"/>
      <c r="H35" s="264">
        <f t="shared" si="89"/>
        <v>1</v>
      </c>
      <c r="I35" s="264">
        <f t="shared" si="90"/>
        <v>0</v>
      </c>
      <c r="J35" s="264">
        <f t="shared" si="91"/>
        <v>0</v>
      </c>
      <c r="K35" s="264">
        <f t="shared" si="92"/>
        <v>0</v>
      </c>
      <c r="L35" s="264">
        <f t="shared" si="93"/>
        <v>0</v>
      </c>
      <c r="M35" s="264">
        <f t="shared" si="94"/>
        <v>1</v>
      </c>
      <c r="N35" s="264">
        <f t="shared" si="95"/>
        <v>0</v>
      </c>
      <c r="O35" s="264">
        <f t="shared" si="96"/>
        <v>0</v>
      </c>
      <c r="P35" s="264">
        <f t="shared" si="97"/>
        <v>0</v>
      </c>
      <c r="Q35" s="264">
        <f t="shared" si="98"/>
        <v>0</v>
      </c>
      <c r="R35" s="264">
        <f t="shared" si="99"/>
        <v>1</v>
      </c>
      <c r="S35" s="264">
        <f t="shared" si="100"/>
        <v>0</v>
      </c>
      <c r="T35" s="264">
        <f t="shared" si="101"/>
        <v>0</v>
      </c>
      <c r="U35" s="264">
        <f t="shared" si="102"/>
        <v>0</v>
      </c>
      <c r="V35" s="264">
        <f t="shared" si="103"/>
        <v>0</v>
      </c>
      <c r="W35" s="264">
        <f t="shared" si="104"/>
        <v>1</v>
      </c>
      <c r="X35" s="264">
        <f t="shared" si="105"/>
        <v>0</v>
      </c>
      <c r="Y35" s="264">
        <f t="shared" si="106"/>
        <v>0</v>
      </c>
      <c r="Z35" s="264">
        <f t="shared" si="107"/>
        <v>0</v>
      </c>
      <c r="AA35" s="264">
        <f t="shared" si="108"/>
        <v>0</v>
      </c>
    </row>
    <row r="36" spans="2:27" ht="15">
      <c r="B36" s="8" t="s">
        <v>112</v>
      </c>
      <c r="C36" s="263"/>
      <c r="D36" s="263">
        <v>1</v>
      </c>
      <c r="E36" s="263"/>
      <c r="F36" s="263"/>
      <c r="G36" s="263"/>
      <c r="H36" s="264">
        <f t="shared" si="89"/>
        <v>0</v>
      </c>
      <c r="I36" s="264">
        <f t="shared" si="90"/>
        <v>1</v>
      </c>
      <c r="J36" s="264">
        <f t="shared" si="91"/>
        <v>0</v>
      </c>
      <c r="K36" s="264">
        <f t="shared" si="92"/>
        <v>0</v>
      </c>
      <c r="L36" s="264">
        <f t="shared" si="93"/>
        <v>0</v>
      </c>
      <c r="M36" s="264">
        <f t="shared" si="94"/>
        <v>0</v>
      </c>
      <c r="N36" s="264">
        <f t="shared" si="95"/>
        <v>1</v>
      </c>
      <c r="O36" s="264">
        <f t="shared" si="96"/>
        <v>0</v>
      </c>
      <c r="P36" s="264">
        <f t="shared" si="97"/>
        <v>0</v>
      </c>
      <c r="Q36" s="264">
        <f t="shared" si="98"/>
        <v>0</v>
      </c>
      <c r="R36" s="264">
        <f t="shared" si="99"/>
        <v>0</v>
      </c>
      <c r="S36" s="264">
        <f t="shared" si="100"/>
        <v>1</v>
      </c>
      <c r="T36" s="264">
        <f t="shared" si="101"/>
        <v>0</v>
      </c>
      <c r="U36" s="264">
        <f t="shared" si="102"/>
        <v>0</v>
      </c>
      <c r="V36" s="264">
        <f t="shared" si="103"/>
        <v>0</v>
      </c>
      <c r="W36" s="264">
        <f t="shared" si="104"/>
        <v>0</v>
      </c>
      <c r="X36" s="264">
        <f t="shared" si="105"/>
        <v>1</v>
      </c>
      <c r="Y36" s="264">
        <f t="shared" si="106"/>
        <v>0</v>
      </c>
      <c r="Z36" s="264">
        <f t="shared" si="107"/>
        <v>0</v>
      </c>
      <c r="AA36" s="264">
        <f t="shared" si="108"/>
        <v>0</v>
      </c>
    </row>
    <row r="37" spans="2:27" ht="15">
      <c r="B37" s="8" t="s">
        <v>113</v>
      </c>
      <c r="C37" s="263"/>
      <c r="D37" s="263">
        <v>1</v>
      </c>
      <c r="E37" s="263"/>
      <c r="F37" s="263"/>
      <c r="G37" s="263"/>
      <c r="H37" s="264">
        <f t="shared" si="89"/>
        <v>0</v>
      </c>
      <c r="I37" s="264">
        <f t="shared" si="90"/>
        <v>1</v>
      </c>
      <c r="J37" s="264">
        <f t="shared" si="91"/>
        <v>0</v>
      </c>
      <c r="K37" s="264">
        <f t="shared" si="92"/>
        <v>0</v>
      </c>
      <c r="L37" s="264">
        <f t="shared" si="93"/>
        <v>0</v>
      </c>
      <c r="M37" s="264">
        <f t="shared" si="94"/>
        <v>0</v>
      </c>
      <c r="N37" s="264">
        <f t="shared" si="95"/>
        <v>1</v>
      </c>
      <c r="O37" s="264">
        <f t="shared" si="96"/>
        <v>0</v>
      </c>
      <c r="P37" s="264">
        <f t="shared" si="97"/>
        <v>0</v>
      </c>
      <c r="Q37" s="264">
        <f t="shared" si="98"/>
        <v>0</v>
      </c>
      <c r="R37" s="264">
        <f t="shared" si="99"/>
        <v>0</v>
      </c>
      <c r="S37" s="264">
        <f t="shared" si="100"/>
        <v>1</v>
      </c>
      <c r="T37" s="264">
        <f t="shared" si="101"/>
        <v>0</v>
      </c>
      <c r="U37" s="264">
        <f t="shared" si="102"/>
        <v>0</v>
      </c>
      <c r="V37" s="264">
        <f t="shared" si="103"/>
        <v>0</v>
      </c>
      <c r="W37" s="264">
        <f t="shared" si="104"/>
        <v>0</v>
      </c>
      <c r="X37" s="264">
        <f t="shared" si="105"/>
        <v>1</v>
      </c>
      <c r="Y37" s="264">
        <f t="shared" si="106"/>
        <v>0</v>
      </c>
      <c r="Z37" s="264">
        <f t="shared" si="107"/>
        <v>0</v>
      </c>
      <c r="AA37" s="264">
        <f t="shared" si="108"/>
        <v>0</v>
      </c>
    </row>
  </sheetData>
  <mergeCells count="15">
    <mergeCell ref="AI27:AP27"/>
    <mergeCell ref="C27:J27"/>
    <mergeCell ref="K27:R27"/>
    <mergeCell ref="S27:Z27"/>
    <mergeCell ref="AA27:AH27"/>
    <mergeCell ref="C32:G32"/>
    <mergeCell ref="H32:L32"/>
    <mergeCell ref="M32:Q32"/>
    <mergeCell ref="R32:V32"/>
    <mergeCell ref="W32:AA32"/>
    <mergeCell ref="C5:J5"/>
    <mergeCell ref="K5:R5"/>
    <mergeCell ref="S5:Z5"/>
    <mergeCell ref="AA5:AH5"/>
    <mergeCell ref="AI5:AP5"/>
  </mergeCells>
  <dataValidations count="2">
    <dataValidation type="decimal" operator="greaterThanOrEqual" allowBlank="1" showInputMessage="1" showErrorMessage="1" sqref="C29:AP29">
      <formula1>0</formula1>
    </dataValidation>
    <dataValidation type="decimal" allowBlank="1" showInputMessage="1" showErrorMessage="1" error="The number in this cell must be between 0% and 100%." sqref="C34:AA37 C7:AP22">
      <formula1>0</formula1>
      <formula2>1</formula2>
    </dataValidation>
  </dataValidation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indexed="41"/>
  </sheetPr>
  <dimension ref="A3:AG124"/>
  <sheetViews>
    <sheetView showGridLines="0" workbookViewId="0">
      <selection activeCell="G6" sqref="G6"/>
    </sheetView>
  </sheetViews>
  <sheetFormatPr defaultColWidth="8.85546875" defaultRowHeight="12.75"/>
  <cols>
    <col min="1" max="1" width="4" style="26" customWidth="1"/>
    <col min="2" max="2" width="10" style="177" customWidth="1"/>
    <col min="3" max="3" width="54.42578125" style="26" customWidth="1"/>
    <col min="4" max="247" width="20.7109375" style="26" customWidth="1"/>
    <col min="248" max="16384" width="8.85546875" style="26"/>
  </cols>
  <sheetData>
    <row r="3" spans="3:32" ht="13.5" thickBot="1">
      <c r="G3" s="372" t="s">
        <v>1453</v>
      </c>
      <c r="H3" s="373"/>
      <c r="I3" s="373"/>
      <c r="J3" s="373"/>
      <c r="K3" s="373"/>
      <c r="L3" s="373"/>
      <c r="M3" s="373"/>
      <c r="N3" s="373"/>
      <c r="O3" s="373"/>
      <c r="P3" s="373"/>
      <c r="Q3" s="373"/>
      <c r="R3" s="373"/>
      <c r="S3" s="373"/>
      <c r="T3" s="373"/>
      <c r="U3" s="373"/>
      <c r="V3" s="373"/>
      <c r="W3" s="373"/>
      <c r="X3" s="373"/>
      <c r="Y3" s="373"/>
      <c r="Z3" s="373"/>
      <c r="AA3" s="373"/>
      <c r="AB3" s="373"/>
      <c r="AC3" s="373"/>
      <c r="AD3" s="373"/>
      <c r="AE3" s="374"/>
    </row>
    <row r="4" spans="3:32">
      <c r="D4" s="27"/>
      <c r="G4" s="375" t="s">
        <v>1452</v>
      </c>
      <c r="H4" s="376"/>
      <c r="I4" s="376"/>
      <c r="J4" s="376"/>
      <c r="K4" s="377"/>
      <c r="L4" s="378" t="s">
        <v>1451</v>
      </c>
      <c r="M4" s="379"/>
      <c r="N4" s="379"/>
      <c r="O4" s="380"/>
      <c r="P4" s="378" t="s">
        <v>1450</v>
      </c>
      <c r="Q4" s="379"/>
      <c r="R4" s="379"/>
      <c r="S4" s="380"/>
      <c r="T4" s="378" t="s">
        <v>1449</v>
      </c>
      <c r="U4" s="379"/>
      <c r="V4" s="379"/>
      <c r="W4" s="380"/>
      <c r="X4" s="378" t="s">
        <v>1448</v>
      </c>
      <c r="Y4" s="379"/>
      <c r="Z4" s="379"/>
      <c r="AA4" s="380"/>
      <c r="AB4" s="378" t="s">
        <v>1447</v>
      </c>
      <c r="AC4" s="379"/>
      <c r="AD4" s="379"/>
      <c r="AE4" s="380"/>
    </row>
    <row r="5" spans="3:32" ht="18">
      <c r="C5" s="187"/>
      <c r="G5" s="206" t="s">
        <v>1412</v>
      </c>
      <c r="H5" s="180" t="s">
        <v>1446</v>
      </c>
      <c r="I5" s="180" t="s">
        <v>1445</v>
      </c>
      <c r="J5" s="180" t="s">
        <v>1444</v>
      </c>
      <c r="K5" s="205" t="s">
        <v>1443</v>
      </c>
      <c r="L5" s="206" t="s">
        <v>1446</v>
      </c>
      <c r="M5" s="180" t="s">
        <v>1445</v>
      </c>
      <c r="N5" s="180" t="s">
        <v>1444</v>
      </c>
      <c r="O5" s="205" t="s">
        <v>1443</v>
      </c>
      <c r="P5" s="206" t="s">
        <v>1446</v>
      </c>
      <c r="Q5" s="180" t="s">
        <v>1445</v>
      </c>
      <c r="R5" s="180" t="s">
        <v>1444</v>
      </c>
      <c r="S5" s="205" t="s">
        <v>1443</v>
      </c>
      <c r="T5" s="206" t="s">
        <v>1446</v>
      </c>
      <c r="U5" s="180" t="s">
        <v>1445</v>
      </c>
      <c r="V5" s="180" t="s">
        <v>1444</v>
      </c>
      <c r="W5" s="205" t="s">
        <v>1443</v>
      </c>
      <c r="X5" s="206" t="s">
        <v>1446</v>
      </c>
      <c r="Y5" s="180" t="s">
        <v>1445</v>
      </c>
      <c r="Z5" s="180" t="s">
        <v>1444</v>
      </c>
      <c r="AA5" s="205" t="s">
        <v>1443</v>
      </c>
      <c r="AB5" s="206" t="s">
        <v>1446</v>
      </c>
      <c r="AC5" s="180" t="s">
        <v>1445</v>
      </c>
      <c r="AD5" s="180" t="s">
        <v>1444</v>
      </c>
      <c r="AE5" s="205" t="s">
        <v>1443</v>
      </c>
    </row>
    <row r="6" spans="3:32" ht="18">
      <c r="C6" s="187"/>
      <c r="E6" s="204" t="s">
        <v>1436</v>
      </c>
      <c r="F6" s="203" t="s">
        <v>1369</v>
      </c>
      <c r="G6" s="202" t="str">
        <f>+'CDCM Forecast Data'!E11</f>
        <v>2017/18</v>
      </c>
      <c r="H6" s="201" t="str">
        <f>+'CDCM Forecast Data'!F11</f>
        <v>2018/19</v>
      </c>
      <c r="I6" s="201" t="str">
        <f>+'CDCM Forecast Data'!G11</f>
        <v>2019/20</v>
      </c>
      <c r="J6" s="201" t="str">
        <f>+'CDCM Forecast Data'!H11</f>
        <v>2020/21</v>
      </c>
      <c r="K6" s="200" t="str">
        <f>+'CDCM Forecast Data'!I11</f>
        <v>2021/22</v>
      </c>
      <c r="L6" s="202" t="str">
        <f t="shared" ref="L6:AE6" si="0">+H6</f>
        <v>2018/19</v>
      </c>
      <c r="M6" s="201" t="str">
        <f t="shared" si="0"/>
        <v>2019/20</v>
      </c>
      <c r="N6" s="201" t="str">
        <f t="shared" si="0"/>
        <v>2020/21</v>
      </c>
      <c r="O6" s="200" t="str">
        <f t="shared" si="0"/>
        <v>2021/22</v>
      </c>
      <c r="P6" s="202" t="str">
        <f t="shared" si="0"/>
        <v>2018/19</v>
      </c>
      <c r="Q6" s="201" t="str">
        <f t="shared" si="0"/>
        <v>2019/20</v>
      </c>
      <c r="R6" s="201" t="str">
        <f t="shared" si="0"/>
        <v>2020/21</v>
      </c>
      <c r="S6" s="200" t="str">
        <f t="shared" si="0"/>
        <v>2021/22</v>
      </c>
      <c r="T6" s="202" t="str">
        <f t="shared" si="0"/>
        <v>2018/19</v>
      </c>
      <c r="U6" s="201" t="str">
        <f t="shared" si="0"/>
        <v>2019/20</v>
      </c>
      <c r="V6" s="201" t="str">
        <f t="shared" si="0"/>
        <v>2020/21</v>
      </c>
      <c r="W6" s="200" t="str">
        <f t="shared" si="0"/>
        <v>2021/22</v>
      </c>
      <c r="X6" s="202" t="str">
        <f t="shared" si="0"/>
        <v>2018/19</v>
      </c>
      <c r="Y6" s="201" t="str">
        <f t="shared" si="0"/>
        <v>2019/20</v>
      </c>
      <c r="Z6" s="201" t="str">
        <f t="shared" si="0"/>
        <v>2020/21</v>
      </c>
      <c r="AA6" s="200" t="str">
        <f t="shared" si="0"/>
        <v>2021/22</v>
      </c>
      <c r="AB6" s="202" t="str">
        <f t="shared" si="0"/>
        <v>2018/19</v>
      </c>
      <c r="AC6" s="201" t="str">
        <f t="shared" si="0"/>
        <v>2019/20</v>
      </c>
      <c r="AD6" s="201" t="str">
        <f t="shared" si="0"/>
        <v>2020/21</v>
      </c>
      <c r="AE6" s="200" t="str">
        <f t="shared" si="0"/>
        <v>2021/22</v>
      </c>
      <c r="AF6" s="199" t="s">
        <v>1367</v>
      </c>
    </row>
    <row r="7" spans="3:32" ht="18">
      <c r="C7" s="187"/>
      <c r="E7" s="179">
        <v>1</v>
      </c>
      <c r="F7" s="197" t="s">
        <v>1611</v>
      </c>
      <c r="G7" s="198"/>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4"/>
    </row>
    <row r="8" spans="3:32" ht="18">
      <c r="C8" s="187"/>
      <c r="E8" s="179">
        <v>2</v>
      </c>
      <c r="F8" s="197" t="s">
        <v>1612</v>
      </c>
      <c r="G8" s="198"/>
      <c r="H8" s="195"/>
      <c r="I8" s="195"/>
      <c r="J8" s="195"/>
      <c r="K8" s="195"/>
      <c r="L8" s="195"/>
      <c r="M8" s="195"/>
      <c r="N8" s="195"/>
      <c r="O8" s="195"/>
      <c r="P8" s="195"/>
      <c r="Q8" s="195"/>
      <c r="R8" s="195"/>
      <c r="S8" s="195"/>
      <c r="T8" s="195"/>
      <c r="U8" s="195"/>
      <c r="V8" s="195"/>
      <c r="W8" s="195"/>
      <c r="X8" s="195"/>
      <c r="Y8" s="195"/>
      <c r="Z8" s="195"/>
      <c r="AA8" s="195"/>
      <c r="AB8" s="195"/>
      <c r="AC8" s="195"/>
      <c r="AD8" s="195"/>
      <c r="AE8" s="195"/>
      <c r="AF8" s="194"/>
    </row>
    <row r="9" spans="3:32" ht="18">
      <c r="C9" s="187"/>
      <c r="E9" s="179">
        <v>3</v>
      </c>
      <c r="F9" s="197" t="s">
        <v>1614</v>
      </c>
      <c r="G9" s="198"/>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4"/>
    </row>
    <row r="10" spans="3:32" ht="18">
      <c r="C10" s="187"/>
      <c r="E10" s="179">
        <v>4</v>
      </c>
      <c r="F10" s="197" t="s">
        <v>1613</v>
      </c>
      <c r="G10" s="198"/>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4"/>
    </row>
    <row r="11" spans="3:32" ht="18">
      <c r="C11" s="187"/>
      <c r="E11" s="179">
        <v>5</v>
      </c>
      <c r="F11" s="197" t="s">
        <v>1614</v>
      </c>
      <c r="G11" s="198"/>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4"/>
    </row>
    <row r="12" spans="3:32" ht="18">
      <c r="C12" s="187"/>
      <c r="E12" s="179">
        <v>6</v>
      </c>
      <c r="F12" s="197" t="s">
        <v>1614</v>
      </c>
      <c r="G12" s="198"/>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4"/>
    </row>
    <row r="13" spans="3:32" ht="18">
      <c r="C13" s="187"/>
      <c r="E13" s="179">
        <v>7</v>
      </c>
      <c r="F13" s="197" t="s">
        <v>1614</v>
      </c>
      <c r="G13" s="198"/>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4"/>
    </row>
    <row r="14" spans="3:32" ht="18">
      <c r="C14" s="187"/>
      <c r="E14" s="179">
        <v>8</v>
      </c>
      <c r="F14" s="197" t="s">
        <v>1614</v>
      </c>
      <c r="G14" s="198"/>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4"/>
    </row>
    <row r="15" spans="3:32" ht="18">
      <c r="C15" s="187"/>
      <c r="E15" s="179">
        <v>9</v>
      </c>
      <c r="F15" s="197" t="s">
        <v>1614</v>
      </c>
      <c r="G15" s="198"/>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c r="AF15" s="194"/>
    </row>
    <row r="16" spans="3:32" ht="18.75" thickBot="1">
      <c r="C16" s="187"/>
      <c r="E16" s="179">
        <v>10</v>
      </c>
      <c r="F16" s="197" t="s">
        <v>1614</v>
      </c>
      <c r="G16" s="196"/>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4"/>
    </row>
    <row r="17" spans="1:33" ht="18">
      <c r="C17" s="187"/>
      <c r="E17" s="193"/>
      <c r="F17" s="184"/>
      <c r="G17" s="192"/>
      <c r="H17" s="192"/>
      <c r="I17" s="192"/>
      <c r="J17" s="192"/>
      <c r="K17" s="192"/>
      <c r="L17" s="192"/>
    </row>
    <row r="18" spans="1:33" ht="18">
      <c r="C18" s="187"/>
      <c r="E18" s="191" t="s">
        <v>1442</v>
      </c>
      <c r="F18" s="190" t="s">
        <v>2</v>
      </c>
      <c r="G18" s="189" t="str">
        <f>G6</f>
        <v>2017/18</v>
      </c>
      <c r="H18" s="189" t="str">
        <f>H6</f>
        <v>2018/19</v>
      </c>
      <c r="I18" s="189" t="str">
        <f>I6</f>
        <v>2019/20</v>
      </c>
      <c r="J18" s="189" t="str">
        <f>J6</f>
        <v>2020/21</v>
      </c>
      <c r="K18" s="189" t="str">
        <f>K6</f>
        <v>2021/22</v>
      </c>
      <c r="L18" s="188"/>
    </row>
    <row r="19" spans="1:33" ht="18">
      <c r="C19" s="187"/>
      <c r="F19" s="186" t="s">
        <v>1441</v>
      </c>
      <c r="G19" s="185">
        <f>SUM(D28:F123)</f>
        <v>23570143.514813974</v>
      </c>
      <c r="H19" s="185">
        <f>SUM(J28:L123)</f>
        <v>23570143.514813974</v>
      </c>
      <c r="I19" s="185">
        <f>SUM(P28:R123)</f>
        <v>23570143.514813974</v>
      </c>
      <c r="J19" s="185">
        <f>SUM(V28:X123)</f>
        <v>23570143.514813974</v>
      </c>
      <c r="K19" s="185">
        <f>SUM(AB28:AD123)</f>
        <v>23570143.514813974</v>
      </c>
      <c r="L19" s="183"/>
    </row>
    <row r="20" spans="1:33" ht="18">
      <c r="C20" s="187"/>
      <c r="F20" s="186" t="s">
        <v>1440</v>
      </c>
      <c r="G20" s="185">
        <f>SUM(G28:G123)</f>
        <v>2519148.2768782978</v>
      </c>
      <c r="H20" s="185">
        <f>SUM(M28:M123)</f>
        <v>2519148.2768782978</v>
      </c>
      <c r="I20" s="185">
        <f>SUM(S28:S123)</f>
        <v>2519148.2768782978</v>
      </c>
      <c r="J20" s="185">
        <f>SUM(Y28:Y123)</f>
        <v>2519148.2768782978</v>
      </c>
      <c r="K20" s="185">
        <f>SUM(AE28:AE123)</f>
        <v>2519148.2768782978</v>
      </c>
      <c r="L20" s="183"/>
    </row>
    <row r="21" spans="1:33" ht="17.25" customHeight="1">
      <c r="F21" s="186" t="s">
        <v>1439</v>
      </c>
      <c r="G21" s="185">
        <f>SUM(H28:H123)</f>
        <v>4614542.733956743</v>
      </c>
      <c r="H21" s="185">
        <f>SUM(N28:N123)</f>
        <v>4614542.733956743</v>
      </c>
      <c r="I21" s="185">
        <f>SUM(T28:T123)</f>
        <v>4614542.733956743</v>
      </c>
      <c r="J21" s="185">
        <f>SUM(Z28:Z123)</f>
        <v>4614542.733956743</v>
      </c>
      <c r="K21" s="185">
        <f>SUM(AF28:AF123)</f>
        <v>4614542.733956743</v>
      </c>
      <c r="L21" s="183"/>
    </row>
    <row r="22" spans="1:33" ht="17.25" customHeight="1">
      <c r="F22" s="186" t="s">
        <v>1438</v>
      </c>
      <c r="G22" s="185">
        <f>SUM(I28:I123)</f>
        <v>1272575.5146071713</v>
      </c>
      <c r="H22" s="185">
        <f>SUM(O28:O123)</f>
        <v>1272575.5146071713</v>
      </c>
      <c r="I22" s="185">
        <f>SUM(U28:U123)</f>
        <v>1272575.5146071713</v>
      </c>
      <c r="J22" s="185">
        <f>SUM(AA28:AA123)</f>
        <v>1272575.5146071713</v>
      </c>
      <c r="K22" s="185">
        <f>SUM(AG28:AG123)</f>
        <v>1272575.5146071713</v>
      </c>
      <c r="L22" s="183"/>
    </row>
    <row r="23" spans="1:33" ht="17.25" customHeight="1">
      <c r="E23" s="184"/>
      <c r="F23" s="184"/>
      <c r="G23" s="183"/>
      <c r="H23" s="183"/>
      <c r="I23" s="183"/>
      <c r="J23" s="183"/>
      <c r="K23" s="183"/>
      <c r="L23" s="183"/>
    </row>
    <row r="24" spans="1:33" ht="13.5" thickBot="1"/>
    <row r="25" spans="1:33" ht="18">
      <c r="C25" s="182" t="s">
        <v>1437</v>
      </c>
      <c r="D25" s="369" t="str">
        <f>G6&amp; " - ("&amp;G5&amp;")"</f>
        <v>2017/18 - (Y)</v>
      </c>
      <c r="E25" s="370"/>
      <c r="F25" s="370"/>
      <c r="G25" s="370"/>
      <c r="H25" s="370"/>
      <c r="I25" s="371"/>
      <c r="J25" s="369" t="str">
        <f>H6&amp; " - ("&amp;H5&amp;")"</f>
        <v>2018/19 - (Y + 1)</v>
      </c>
      <c r="K25" s="370"/>
      <c r="L25" s="370"/>
      <c r="M25" s="370"/>
      <c r="N25" s="370"/>
      <c r="O25" s="371"/>
      <c r="P25" s="369" t="str">
        <f>I6&amp; " - ("&amp;I5&amp;")"</f>
        <v>2019/20 - (Y + 2)</v>
      </c>
      <c r="Q25" s="370"/>
      <c r="R25" s="370"/>
      <c r="S25" s="370"/>
      <c r="T25" s="370"/>
      <c r="U25" s="371"/>
      <c r="V25" s="369" t="str">
        <f>J6&amp; " - ("&amp;J5&amp;")"</f>
        <v>2020/21 - (Y + 3)</v>
      </c>
      <c r="W25" s="370"/>
      <c r="X25" s="370"/>
      <c r="Y25" s="370"/>
      <c r="Z25" s="370"/>
      <c r="AA25" s="371"/>
      <c r="AB25" s="369" t="str">
        <f>K6&amp; " - ("&amp;K5&amp;")"</f>
        <v>2021/22 - (Y + 4)</v>
      </c>
      <c r="AC25" s="370"/>
      <c r="AD25" s="370"/>
      <c r="AE25" s="370"/>
      <c r="AF25" s="370"/>
      <c r="AG25" s="371"/>
    </row>
    <row r="26" spans="1:33" ht="25.5">
      <c r="B26" s="181" t="s">
        <v>1436</v>
      </c>
      <c r="C26" s="271" t="s">
        <v>1435</v>
      </c>
      <c r="D26" s="274" t="s">
        <v>140</v>
      </c>
      <c r="E26" s="218" t="s">
        <v>141</v>
      </c>
      <c r="F26" s="218" t="s">
        <v>142</v>
      </c>
      <c r="G26" s="218" t="s">
        <v>143</v>
      </c>
      <c r="H26" s="218" t="s">
        <v>144</v>
      </c>
      <c r="I26" s="275" t="s">
        <v>145</v>
      </c>
      <c r="J26" s="274" t="s">
        <v>140</v>
      </c>
      <c r="K26" s="218" t="s">
        <v>141</v>
      </c>
      <c r="L26" s="218" t="s">
        <v>142</v>
      </c>
      <c r="M26" s="218" t="s">
        <v>143</v>
      </c>
      <c r="N26" s="218" t="s">
        <v>144</v>
      </c>
      <c r="O26" s="275" t="s">
        <v>145</v>
      </c>
      <c r="P26" s="274" t="s">
        <v>140</v>
      </c>
      <c r="Q26" s="218" t="s">
        <v>141</v>
      </c>
      <c r="R26" s="218" t="s">
        <v>142</v>
      </c>
      <c r="S26" s="218" t="s">
        <v>143</v>
      </c>
      <c r="T26" s="218" t="s">
        <v>144</v>
      </c>
      <c r="U26" s="275" t="s">
        <v>145</v>
      </c>
      <c r="V26" s="274" t="s">
        <v>140</v>
      </c>
      <c r="W26" s="218" t="s">
        <v>141</v>
      </c>
      <c r="X26" s="218" t="s">
        <v>142</v>
      </c>
      <c r="Y26" s="218" t="s">
        <v>143</v>
      </c>
      <c r="Z26" s="218" t="s">
        <v>144</v>
      </c>
      <c r="AA26" s="275" t="s">
        <v>145</v>
      </c>
      <c r="AB26" s="274" t="s">
        <v>140</v>
      </c>
      <c r="AC26" s="218" t="s">
        <v>141</v>
      </c>
      <c r="AD26" s="218" t="s">
        <v>142</v>
      </c>
      <c r="AE26" s="218" t="s">
        <v>143</v>
      </c>
      <c r="AF26" s="218" t="s">
        <v>144</v>
      </c>
      <c r="AG26" s="275" t="s">
        <v>145</v>
      </c>
    </row>
    <row r="27" spans="1:33" ht="15">
      <c r="A27" s="26">
        <v>1</v>
      </c>
      <c r="B27" s="179"/>
      <c r="C27" s="272" t="s">
        <v>146</v>
      </c>
      <c r="D27" s="276"/>
      <c r="E27" s="267"/>
      <c r="F27" s="267"/>
      <c r="G27" s="267"/>
      <c r="H27" s="267"/>
      <c r="I27" s="277"/>
      <c r="J27" s="276"/>
      <c r="K27" s="267"/>
      <c r="L27" s="267"/>
      <c r="M27" s="267"/>
      <c r="N27" s="267"/>
      <c r="O27" s="277"/>
      <c r="P27" s="276"/>
      <c r="Q27" s="267"/>
      <c r="R27" s="267"/>
      <c r="S27" s="267"/>
      <c r="T27" s="267"/>
      <c r="U27" s="277"/>
      <c r="V27" s="276"/>
      <c r="W27" s="267"/>
      <c r="X27" s="267"/>
      <c r="Y27" s="267"/>
      <c r="Z27" s="267"/>
      <c r="AA27" s="277"/>
      <c r="AB27" s="276"/>
      <c r="AC27" s="267"/>
      <c r="AD27" s="267"/>
      <c r="AE27" s="267"/>
      <c r="AF27" s="267"/>
      <c r="AG27" s="277"/>
    </row>
    <row r="28" spans="1:33" ht="15">
      <c r="A28" s="26">
        <f>A27+1</f>
        <v>2</v>
      </c>
      <c r="B28" s="179">
        <v>1</v>
      </c>
      <c r="C28" s="273" t="s">
        <v>92</v>
      </c>
      <c r="D28" s="278">
        <v>7006599.2032143781</v>
      </c>
      <c r="E28" s="269">
        <v>0</v>
      </c>
      <c r="F28" s="269">
        <v>0</v>
      </c>
      <c r="G28" s="270">
        <v>1967400.2028794924</v>
      </c>
      <c r="H28" s="269">
        <v>0</v>
      </c>
      <c r="I28" s="279">
        <v>0</v>
      </c>
      <c r="J28" s="278">
        <f>IF(D28,((VLOOKUP($B28,$E$7:$AE$16,4)+1)*D28),)</f>
        <v>7006599.2032143781</v>
      </c>
      <c r="K28" s="269">
        <f>IF(E28,((VLOOKUP($B28,$E$7:$AE$16,8)+1)*E28),)</f>
        <v>0</v>
      </c>
      <c r="L28" s="269">
        <f>IF(F28,((VLOOKUP($B28,$E$7:$AE$16,12)+1)*F28),)</f>
        <v>0</v>
      </c>
      <c r="M28" s="270">
        <f>IF(G28,((VLOOKUP($B28,$E$7:$AE$16,16)+1)*G28),)</f>
        <v>1967400.2028794924</v>
      </c>
      <c r="N28" s="269">
        <f>IF(H28,((VLOOKUP($B28,$E$7:$AE$16,20)+1)*H28),)</f>
        <v>0</v>
      </c>
      <c r="O28" s="279">
        <f>IF(I28,((VLOOKUP($B28,$E$7:$AE$16,24)+1)*I28),)</f>
        <v>0</v>
      </c>
      <c r="P28" s="278">
        <f>IF(D28,((VLOOKUP($B28,$E$7:$AE$16,5)+1)*J28),)</f>
        <v>7006599.2032143781</v>
      </c>
      <c r="Q28" s="269">
        <f>IF(E28,((VLOOKUP($B28,$E$7:$AE$16,5+4)+1)*K28),)</f>
        <v>0</v>
      </c>
      <c r="R28" s="269">
        <f>IF(F28,((VLOOKUP($B28,$E$7:$AE$16,5+8)+1)*L28),)</f>
        <v>0</v>
      </c>
      <c r="S28" s="270">
        <f>IF(G28,((VLOOKUP($B28,$E$7:$AE$16,5+12)+1)*M28),)</f>
        <v>1967400.2028794924</v>
      </c>
      <c r="T28" s="269">
        <f>IF(H28,((VLOOKUP($B28,$E$7:$AE$16,5+16)+1)*N28),)</f>
        <v>0</v>
      </c>
      <c r="U28" s="279">
        <f>IF(I28,((VLOOKUP($B28,$E$7:$AE$16,5+20)+1)*O28),)</f>
        <v>0</v>
      </c>
      <c r="V28" s="278">
        <f>IF(D28,((VLOOKUP($B28,$E$7:$AE$16,6)+1)*P28),)</f>
        <v>7006599.2032143781</v>
      </c>
      <c r="W28" s="269">
        <f>IF(E28,((VLOOKUP($B28,$E$7:$AE$16,6+4)+1)*Q28),)</f>
        <v>0</v>
      </c>
      <c r="X28" s="269">
        <f>IF(F28,((VLOOKUP($B28,$E$7:$AE$16,6+8)+1)*R28),)</f>
        <v>0</v>
      </c>
      <c r="Y28" s="270">
        <f>IF(G28,((VLOOKUP($B28,$E$7:$AE$16,6+12)+1)*S28),)</f>
        <v>1967400.2028794924</v>
      </c>
      <c r="Z28" s="269">
        <f>IF(H28,((VLOOKUP($B28,$E$7:$AE$16,6+16)+1)*T28),)</f>
        <v>0</v>
      </c>
      <c r="AA28" s="279">
        <f>IF(I28,((VLOOKUP($B28,$E$7:$AE$16,6+20)+1)*U28),)</f>
        <v>0</v>
      </c>
      <c r="AB28" s="278">
        <f>IF(D28,((VLOOKUP($B28,$E$7:$AE$16,7)+1)*V28),)</f>
        <v>7006599.2032143781</v>
      </c>
      <c r="AC28" s="269">
        <f>IF(E28,((VLOOKUP($B28,$E$7:$AE$16,7+4)+1)*W28),)</f>
        <v>0</v>
      </c>
      <c r="AD28" s="269">
        <f>IF(F28,((VLOOKUP($B28,$E$7:$AE$16,7+8)+1)*X28),)</f>
        <v>0</v>
      </c>
      <c r="AE28" s="270">
        <f>IF(G28,((VLOOKUP($B28,$E$7:$AE$16,7+12)+1)*Y28),)</f>
        <v>1967400.2028794924</v>
      </c>
      <c r="AF28" s="269">
        <f>IF(H28,((VLOOKUP($B28,$E$7:$AE$16,7+16)+1)*Z28),)</f>
        <v>0</v>
      </c>
      <c r="AG28" s="279">
        <f>IF(I28,((VLOOKUP($B28,$E$7:$AE$16,7+20)+1)*AA28),)</f>
        <v>0</v>
      </c>
    </row>
    <row r="29" spans="1:33" ht="15">
      <c r="A29" s="26">
        <f t="shared" ref="A29:A92" si="1">A28+1</f>
        <v>3</v>
      </c>
      <c r="B29" s="179">
        <v>1</v>
      </c>
      <c r="C29" s="273" t="s">
        <v>147</v>
      </c>
      <c r="D29" s="278">
        <v>41568.678990041961</v>
      </c>
      <c r="E29" s="269">
        <v>0</v>
      </c>
      <c r="F29" s="269">
        <v>0</v>
      </c>
      <c r="G29" s="270">
        <v>13963.737782751579</v>
      </c>
      <c r="H29" s="269">
        <v>0</v>
      </c>
      <c r="I29" s="279">
        <v>0</v>
      </c>
      <c r="J29" s="278">
        <f>IF(D29,((VLOOKUP($B29,$E$7:$AE$16,4)+1)*D29),)</f>
        <v>41568.678990041961</v>
      </c>
      <c r="K29" s="269">
        <f>IF(E29,((VLOOKUP($B29,$E$7:$AE$16,8)+1)*E29),)</f>
        <v>0</v>
      </c>
      <c r="L29" s="269">
        <f>IF(F29,((VLOOKUP($B29,$E$7:$AE$16,12)+1)*F29),)</f>
        <v>0</v>
      </c>
      <c r="M29" s="270">
        <f>IF(G29,((VLOOKUP($B29,$E$7:$AE$16,16)+1)*G29),)</f>
        <v>13963.737782751579</v>
      </c>
      <c r="N29" s="269">
        <f>IF(H29,((VLOOKUP($B29,$E$7:$AE$16,20)+1)*H29),)</f>
        <v>0</v>
      </c>
      <c r="O29" s="279">
        <f>IF(I29,((VLOOKUP($B29,$E$7:$AE$16,24)+1)*I29),)</f>
        <v>0</v>
      </c>
      <c r="P29" s="278">
        <f>IF(D29,((VLOOKUP($B29,$E$7:$AE$16,5)+1)*J29),)</f>
        <v>41568.678990041961</v>
      </c>
      <c r="Q29" s="269">
        <f>IF(E29,((VLOOKUP($B29,$E$7:$AE$16,5+4)+1)*K29),)</f>
        <v>0</v>
      </c>
      <c r="R29" s="269">
        <f>IF(F29,((VLOOKUP($B29,$E$7:$AE$16,5+8)+1)*L29),)</f>
        <v>0</v>
      </c>
      <c r="S29" s="270">
        <f>IF(G29,((VLOOKUP($B29,$E$7:$AE$16,5+12)+1)*M29),)</f>
        <v>13963.737782751579</v>
      </c>
      <c r="T29" s="269">
        <f>IF(H29,((VLOOKUP($B29,$E$7:$AE$16,5+16)+1)*N29),)</f>
        <v>0</v>
      </c>
      <c r="U29" s="279">
        <f>IF(I29,((VLOOKUP($B29,$E$7:$AE$16,5+20)+1)*O29),)</f>
        <v>0</v>
      </c>
      <c r="V29" s="278">
        <f>IF(D29,((VLOOKUP($B29,$E$7:$AE$16,6)+1)*P29),)</f>
        <v>41568.678990041961</v>
      </c>
      <c r="W29" s="269">
        <f>IF(E29,((VLOOKUP($B29,$E$7:$AE$16,6+4)+1)*Q29),)</f>
        <v>0</v>
      </c>
      <c r="X29" s="269">
        <f>IF(F29,((VLOOKUP($B29,$E$7:$AE$16,6+8)+1)*R29),)</f>
        <v>0</v>
      </c>
      <c r="Y29" s="270">
        <f>IF(G29,((VLOOKUP($B29,$E$7:$AE$16,6+12)+1)*S29),)</f>
        <v>13963.737782751579</v>
      </c>
      <c r="Z29" s="269">
        <f>IF(H29,((VLOOKUP($B29,$E$7:$AE$16,6+16)+1)*T29),)</f>
        <v>0</v>
      </c>
      <c r="AA29" s="279">
        <f>IF(I29,((VLOOKUP($B29,$E$7:$AE$16,6+20)+1)*U29),)</f>
        <v>0</v>
      </c>
      <c r="AB29" s="278">
        <f>IF(D29,((VLOOKUP($B29,$E$7:$AE$16,7)+1)*V29),)</f>
        <v>41568.678990041961</v>
      </c>
      <c r="AC29" s="269">
        <f>IF(E29,((VLOOKUP($B29,$E$7:$AE$16,7+4)+1)*W29),)</f>
        <v>0</v>
      </c>
      <c r="AD29" s="269">
        <f>IF(F29,((VLOOKUP($B29,$E$7:$AE$16,7+8)+1)*X29),)</f>
        <v>0</v>
      </c>
      <c r="AE29" s="270">
        <f>IF(G29,((VLOOKUP($B29,$E$7:$AE$16,7+12)+1)*Y29),)</f>
        <v>13963.737782751579</v>
      </c>
      <c r="AF29" s="269">
        <f>IF(H29,((VLOOKUP($B29,$E$7:$AE$16,7+16)+1)*Z29),)</f>
        <v>0</v>
      </c>
      <c r="AG29" s="279">
        <f>IF(I29,((VLOOKUP($B29,$E$7:$AE$16,7+20)+1)*AA29),)</f>
        <v>0</v>
      </c>
    </row>
    <row r="30" spans="1:33" ht="15">
      <c r="A30" s="26">
        <f t="shared" si="1"/>
        <v>4</v>
      </c>
      <c r="B30" s="179">
        <v>1</v>
      </c>
      <c r="C30" s="273" t="s">
        <v>148</v>
      </c>
      <c r="D30" s="278">
        <v>74118.188048410288</v>
      </c>
      <c r="E30" s="269">
        <v>0</v>
      </c>
      <c r="F30" s="269">
        <v>0</v>
      </c>
      <c r="G30" s="270">
        <v>24598.066280902651</v>
      </c>
      <c r="H30" s="269">
        <v>0</v>
      </c>
      <c r="I30" s="279">
        <v>0</v>
      </c>
      <c r="J30" s="278">
        <f>IF(D30,((VLOOKUP($B30,$E$7:$AE$16,4)+1)*D30),)</f>
        <v>74118.188048410288</v>
      </c>
      <c r="K30" s="269">
        <f>IF(E30,((VLOOKUP($B30,$E$7:$AE$16,8)+1)*E30),)</f>
        <v>0</v>
      </c>
      <c r="L30" s="269">
        <f>IF(F30,((VLOOKUP($B30,$E$7:$AE$16,12)+1)*F30),)</f>
        <v>0</v>
      </c>
      <c r="M30" s="270">
        <f>IF(G30,((VLOOKUP($B30,$E$7:$AE$16,16)+1)*G30),)</f>
        <v>24598.066280902651</v>
      </c>
      <c r="N30" s="269">
        <f>IF(H30,((VLOOKUP($B30,$E$7:$AE$16,20)+1)*H30),)</f>
        <v>0</v>
      </c>
      <c r="O30" s="279">
        <f>IF(I30,((VLOOKUP($B30,$E$7:$AE$16,24)+1)*I30),)</f>
        <v>0</v>
      </c>
      <c r="P30" s="278">
        <f>IF(D30,((VLOOKUP($B30,$E$7:$AE$16,5)+1)*J30),)</f>
        <v>74118.188048410288</v>
      </c>
      <c r="Q30" s="269">
        <f>IF(E30,((VLOOKUP($B30,$E$7:$AE$16,5+4)+1)*K30),)</f>
        <v>0</v>
      </c>
      <c r="R30" s="269">
        <f>IF(F30,((VLOOKUP($B30,$E$7:$AE$16,5+8)+1)*L30),)</f>
        <v>0</v>
      </c>
      <c r="S30" s="270">
        <f>IF(G30,((VLOOKUP($B30,$E$7:$AE$16,5+12)+1)*M30),)</f>
        <v>24598.066280902651</v>
      </c>
      <c r="T30" s="269">
        <f>IF(H30,((VLOOKUP($B30,$E$7:$AE$16,5+16)+1)*N30),)</f>
        <v>0</v>
      </c>
      <c r="U30" s="279">
        <f>IF(I30,((VLOOKUP($B30,$E$7:$AE$16,5+20)+1)*O30),)</f>
        <v>0</v>
      </c>
      <c r="V30" s="278">
        <f>IF(D30,((VLOOKUP($B30,$E$7:$AE$16,6)+1)*P30),)</f>
        <v>74118.188048410288</v>
      </c>
      <c r="W30" s="269">
        <f>IF(E30,((VLOOKUP($B30,$E$7:$AE$16,6+4)+1)*Q30),)</f>
        <v>0</v>
      </c>
      <c r="X30" s="269">
        <f>IF(F30,((VLOOKUP($B30,$E$7:$AE$16,6+8)+1)*R30),)</f>
        <v>0</v>
      </c>
      <c r="Y30" s="270">
        <f>IF(G30,((VLOOKUP($B30,$E$7:$AE$16,6+12)+1)*S30),)</f>
        <v>24598.066280902651</v>
      </c>
      <c r="Z30" s="269">
        <f>IF(H30,((VLOOKUP($B30,$E$7:$AE$16,6+16)+1)*T30),)</f>
        <v>0</v>
      </c>
      <c r="AA30" s="279">
        <f>IF(I30,((VLOOKUP($B30,$E$7:$AE$16,6+20)+1)*U30),)</f>
        <v>0</v>
      </c>
      <c r="AB30" s="278">
        <f>IF(D30,((VLOOKUP($B30,$E$7:$AE$16,7)+1)*V30),)</f>
        <v>74118.188048410288</v>
      </c>
      <c r="AC30" s="269">
        <f>IF(E30,((VLOOKUP($B30,$E$7:$AE$16,7+4)+1)*W30),)</f>
        <v>0</v>
      </c>
      <c r="AD30" s="269">
        <f>IF(F30,((VLOOKUP($B30,$E$7:$AE$16,7+8)+1)*X30),)</f>
        <v>0</v>
      </c>
      <c r="AE30" s="270">
        <f>IF(G30,((VLOOKUP($B30,$E$7:$AE$16,7+12)+1)*Y30),)</f>
        <v>24598.066280902651</v>
      </c>
      <c r="AF30" s="269">
        <f>IF(H30,((VLOOKUP($B30,$E$7:$AE$16,7+16)+1)*Z30),)</f>
        <v>0</v>
      </c>
      <c r="AG30" s="279">
        <f>IF(I30,((VLOOKUP($B30,$E$7:$AE$16,7+20)+1)*AA30),)</f>
        <v>0</v>
      </c>
    </row>
    <row r="31" spans="1:33" ht="15">
      <c r="A31" s="26">
        <f t="shared" si="1"/>
        <v>5</v>
      </c>
      <c r="B31" s="179"/>
      <c r="C31" s="272" t="s">
        <v>149</v>
      </c>
      <c r="D31" s="276"/>
      <c r="E31" s="267"/>
      <c r="F31" s="267"/>
      <c r="G31" s="267"/>
      <c r="H31" s="267"/>
      <c r="I31" s="277"/>
      <c r="J31" s="276"/>
      <c r="K31" s="267"/>
      <c r="L31" s="267"/>
      <c r="M31" s="267"/>
      <c r="N31" s="267"/>
      <c r="O31" s="277"/>
      <c r="P31" s="276"/>
      <c r="Q31" s="267"/>
      <c r="R31" s="267"/>
      <c r="S31" s="267"/>
      <c r="T31" s="267"/>
      <c r="U31" s="277"/>
      <c r="V31" s="276"/>
      <c r="W31" s="267"/>
      <c r="X31" s="267"/>
      <c r="Y31" s="267"/>
      <c r="Z31" s="267"/>
      <c r="AA31" s="277"/>
      <c r="AB31" s="276"/>
      <c r="AC31" s="267"/>
      <c r="AD31" s="267"/>
      <c r="AE31" s="267"/>
      <c r="AF31" s="267"/>
      <c r="AG31" s="277"/>
    </row>
    <row r="32" spans="1:33" ht="15">
      <c r="A32" s="26">
        <f t="shared" si="1"/>
        <v>6</v>
      </c>
      <c r="B32" s="179">
        <v>1</v>
      </c>
      <c r="C32" s="273" t="s">
        <v>93</v>
      </c>
      <c r="D32" s="278">
        <v>932948.80360757222</v>
      </c>
      <c r="E32" s="268">
        <v>720595.7844260158</v>
      </c>
      <c r="F32" s="269">
        <v>0</v>
      </c>
      <c r="G32" s="270">
        <v>300314.63390594267</v>
      </c>
      <c r="H32" s="269">
        <v>0</v>
      </c>
      <c r="I32" s="279">
        <v>0</v>
      </c>
      <c r="J32" s="278">
        <f>IF(D32,((VLOOKUP($B32,$E$7:$AE$16,4)+1)*D32),)</f>
        <v>932948.80360757222</v>
      </c>
      <c r="K32" s="268">
        <f>IF(E32,((VLOOKUP($B32,$E$7:$AE$16,8)+1)*E32),)</f>
        <v>720595.7844260158</v>
      </c>
      <c r="L32" s="269">
        <f>IF(F32,((VLOOKUP($B32,$E$7:$AE$16,12)+1)*F32),)</f>
        <v>0</v>
      </c>
      <c r="M32" s="270">
        <f>IF(G32,((VLOOKUP($B32,$E$7:$AE$16,16)+1)*G32),)</f>
        <v>300314.63390594267</v>
      </c>
      <c r="N32" s="269">
        <f>IF(H32,((VLOOKUP($B32,$E$7:$AE$16,20)+1)*H32),)</f>
        <v>0</v>
      </c>
      <c r="O32" s="279">
        <f>IF(I32,((VLOOKUP($B32,$E$7:$AE$16,24)+1)*I32),)</f>
        <v>0</v>
      </c>
      <c r="P32" s="278">
        <f>IF(D32,((VLOOKUP($B32,$E$7:$AE$16,5)+1)*J32),)</f>
        <v>932948.80360757222</v>
      </c>
      <c r="Q32" s="268">
        <f>IF(E32,((VLOOKUP($B32,$E$7:$AE$16,5+4)+1)*K32),)</f>
        <v>720595.7844260158</v>
      </c>
      <c r="R32" s="269">
        <f>IF(F32,((VLOOKUP($B32,$E$7:$AE$16,5+8)+1)*L32),)</f>
        <v>0</v>
      </c>
      <c r="S32" s="270">
        <f>IF(G32,((VLOOKUP($B32,$E$7:$AE$16,5+12)+1)*M32),)</f>
        <v>300314.63390594267</v>
      </c>
      <c r="T32" s="269">
        <f>IF(H32,((VLOOKUP($B32,$E$7:$AE$16,5+16)+1)*N32),)</f>
        <v>0</v>
      </c>
      <c r="U32" s="279">
        <f>IF(I32,((VLOOKUP($B32,$E$7:$AE$16,5+20)+1)*O32),)</f>
        <v>0</v>
      </c>
      <c r="V32" s="278">
        <f>IF(D32,((VLOOKUP($B32,$E$7:$AE$16,6)+1)*P32),)</f>
        <v>932948.80360757222</v>
      </c>
      <c r="W32" s="268">
        <f>IF(E32,((VLOOKUP($B32,$E$7:$AE$16,6+4)+1)*Q32),)</f>
        <v>720595.7844260158</v>
      </c>
      <c r="X32" s="269">
        <f>IF(F32,((VLOOKUP($B32,$E$7:$AE$16,6+8)+1)*R32),)</f>
        <v>0</v>
      </c>
      <c r="Y32" s="270">
        <f>IF(G32,((VLOOKUP($B32,$E$7:$AE$16,6+12)+1)*S32),)</f>
        <v>300314.63390594267</v>
      </c>
      <c r="Z32" s="269">
        <f>IF(H32,((VLOOKUP($B32,$E$7:$AE$16,6+16)+1)*T32),)</f>
        <v>0</v>
      </c>
      <c r="AA32" s="279">
        <f>IF(I32,((VLOOKUP($B32,$E$7:$AE$16,6+20)+1)*U32),)</f>
        <v>0</v>
      </c>
      <c r="AB32" s="278">
        <f>IF(D32,((VLOOKUP($B32,$E$7:$AE$16,7)+1)*V32),)</f>
        <v>932948.80360757222</v>
      </c>
      <c r="AC32" s="268">
        <f>IF(E32,((VLOOKUP($B32,$E$7:$AE$16,7+4)+1)*W32),)</f>
        <v>720595.7844260158</v>
      </c>
      <c r="AD32" s="269">
        <f>IF(F32,((VLOOKUP($B32,$E$7:$AE$16,7+8)+1)*X32),)</f>
        <v>0</v>
      </c>
      <c r="AE32" s="270">
        <f>IF(G32,((VLOOKUP($B32,$E$7:$AE$16,7+12)+1)*Y32),)</f>
        <v>300314.63390594267</v>
      </c>
      <c r="AF32" s="269">
        <f>IF(H32,((VLOOKUP($B32,$E$7:$AE$16,7+16)+1)*Z32),)</f>
        <v>0</v>
      </c>
      <c r="AG32" s="279">
        <f>IF(I32,((VLOOKUP($B32,$E$7:$AE$16,7+20)+1)*AA32),)</f>
        <v>0</v>
      </c>
    </row>
    <row r="33" spans="1:33" ht="15">
      <c r="A33" s="26">
        <f t="shared" si="1"/>
        <v>7</v>
      </c>
      <c r="B33" s="179">
        <v>1</v>
      </c>
      <c r="C33" s="273" t="s">
        <v>150</v>
      </c>
      <c r="D33" s="278">
        <v>2626.7913722264775</v>
      </c>
      <c r="E33" s="268">
        <v>918.3510283071206</v>
      </c>
      <c r="F33" s="269">
        <v>0</v>
      </c>
      <c r="G33" s="270">
        <v>1003.190066077544</v>
      </c>
      <c r="H33" s="269">
        <v>0</v>
      </c>
      <c r="I33" s="279">
        <v>0</v>
      </c>
      <c r="J33" s="278">
        <f>IF(D33,((VLOOKUP($B33,$E$7:$AE$16,4)+1)*D33),)</f>
        <v>2626.7913722264775</v>
      </c>
      <c r="K33" s="268">
        <f>IF(E33,((VLOOKUP($B33,$E$7:$AE$16,8)+1)*E33),)</f>
        <v>918.3510283071206</v>
      </c>
      <c r="L33" s="269">
        <f>IF(F33,((VLOOKUP($B33,$E$7:$AE$16,12)+1)*F33),)</f>
        <v>0</v>
      </c>
      <c r="M33" s="270">
        <f>IF(G33,((VLOOKUP($B33,$E$7:$AE$16,16)+1)*G33),)</f>
        <v>1003.190066077544</v>
      </c>
      <c r="N33" s="269">
        <f>IF(H33,((VLOOKUP($B33,$E$7:$AE$16,20)+1)*H33),)</f>
        <v>0</v>
      </c>
      <c r="O33" s="279">
        <f>IF(I33,((VLOOKUP($B33,$E$7:$AE$16,24)+1)*I33),)</f>
        <v>0</v>
      </c>
      <c r="P33" s="278">
        <f>IF(D33,((VLOOKUP($B33,$E$7:$AE$16,5)+1)*J33),)</f>
        <v>2626.7913722264775</v>
      </c>
      <c r="Q33" s="268">
        <f>IF(E33,((VLOOKUP($B33,$E$7:$AE$16,5+4)+1)*K33),)</f>
        <v>918.3510283071206</v>
      </c>
      <c r="R33" s="269">
        <f>IF(F33,((VLOOKUP($B33,$E$7:$AE$16,5+8)+1)*L33),)</f>
        <v>0</v>
      </c>
      <c r="S33" s="270">
        <f>IF(G33,((VLOOKUP($B33,$E$7:$AE$16,5+12)+1)*M33),)</f>
        <v>1003.190066077544</v>
      </c>
      <c r="T33" s="269">
        <f>IF(H33,((VLOOKUP($B33,$E$7:$AE$16,5+16)+1)*N33),)</f>
        <v>0</v>
      </c>
      <c r="U33" s="279">
        <f>IF(I33,((VLOOKUP($B33,$E$7:$AE$16,5+20)+1)*O33),)</f>
        <v>0</v>
      </c>
      <c r="V33" s="278">
        <f>IF(D33,((VLOOKUP($B33,$E$7:$AE$16,6)+1)*P33),)</f>
        <v>2626.7913722264775</v>
      </c>
      <c r="W33" s="268">
        <f>IF(E33,((VLOOKUP($B33,$E$7:$AE$16,6+4)+1)*Q33),)</f>
        <v>918.3510283071206</v>
      </c>
      <c r="X33" s="269">
        <f>IF(F33,((VLOOKUP($B33,$E$7:$AE$16,6+8)+1)*R33),)</f>
        <v>0</v>
      </c>
      <c r="Y33" s="270">
        <f>IF(G33,((VLOOKUP($B33,$E$7:$AE$16,6+12)+1)*S33),)</f>
        <v>1003.190066077544</v>
      </c>
      <c r="Z33" s="269">
        <f>IF(H33,((VLOOKUP($B33,$E$7:$AE$16,6+16)+1)*T33),)</f>
        <v>0</v>
      </c>
      <c r="AA33" s="279">
        <f>IF(I33,((VLOOKUP($B33,$E$7:$AE$16,6+20)+1)*U33),)</f>
        <v>0</v>
      </c>
      <c r="AB33" s="278">
        <f>IF(D33,((VLOOKUP($B33,$E$7:$AE$16,7)+1)*V33),)</f>
        <v>2626.7913722264775</v>
      </c>
      <c r="AC33" s="268">
        <f>IF(E33,((VLOOKUP($B33,$E$7:$AE$16,7+4)+1)*W33),)</f>
        <v>918.3510283071206</v>
      </c>
      <c r="AD33" s="269">
        <f>IF(F33,((VLOOKUP($B33,$E$7:$AE$16,7+8)+1)*X33),)</f>
        <v>0</v>
      </c>
      <c r="AE33" s="270">
        <f>IF(G33,((VLOOKUP($B33,$E$7:$AE$16,7+12)+1)*Y33),)</f>
        <v>1003.190066077544</v>
      </c>
      <c r="AF33" s="269">
        <f>IF(H33,((VLOOKUP($B33,$E$7:$AE$16,7+16)+1)*Z33),)</f>
        <v>0</v>
      </c>
      <c r="AG33" s="279">
        <f>IF(I33,((VLOOKUP($B33,$E$7:$AE$16,7+20)+1)*AA33),)</f>
        <v>0</v>
      </c>
    </row>
    <row r="34" spans="1:33" ht="15">
      <c r="A34" s="26">
        <f t="shared" si="1"/>
        <v>8</v>
      </c>
      <c r="B34" s="179">
        <v>1</v>
      </c>
      <c r="C34" s="273" t="s">
        <v>151</v>
      </c>
      <c r="D34" s="278">
        <v>4076.7631681946186</v>
      </c>
      <c r="E34" s="268">
        <v>1583.897915112062</v>
      </c>
      <c r="F34" s="269">
        <v>0</v>
      </c>
      <c r="G34" s="270">
        <v>1260.0889306300521</v>
      </c>
      <c r="H34" s="269">
        <v>0</v>
      </c>
      <c r="I34" s="279">
        <v>0</v>
      </c>
      <c r="J34" s="278">
        <f>IF(D34,((VLOOKUP($B34,$E$7:$AE$16,4)+1)*D34),)</f>
        <v>4076.7631681946186</v>
      </c>
      <c r="K34" s="268">
        <f>IF(E34,((VLOOKUP($B34,$E$7:$AE$16,8)+1)*E34),)</f>
        <v>1583.897915112062</v>
      </c>
      <c r="L34" s="269">
        <f>IF(F34,((VLOOKUP($B34,$E$7:$AE$16,12)+1)*F34),)</f>
        <v>0</v>
      </c>
      <c r="M34" s="270">
        <f>IF(G34,((VLOOKUP($B34,$E$7:$AE$16,16)+1)*G34),)</f>
        <v>1260.0889306300521</v>
      </c>
      <c r="N34" s="269">
        <f>IF(H34,((VLOOKUP($B34,$E$7:$AE$16,20)+1)*H34),)</f>
        <v>0</v>
      </c>
      <c r="O34" s="279">
        <f>IF(I34,((VLOOKUP($B34,$E$7:$AE$16,24)+1)*I34),)</f>
        <v>0</v>
      </c>
      <c r="P34" s="278">
        <f>IF(D34,((VLOOKUP($B34,$E$7:$AE$16,5)+1)*J34),)</f>
        <v>4076.7631681946186</v>
      </c>
      <c r="Q34" s="268">
        <f>IF(E34,((VLOOKUP($B34,$E$7:$AE$16,5+4)+1)*K34),)</f>
        <v>1583.897915112062</v>
      </c>
      <c r="R34" s="269">
        <f>IF(F34,((VLOOKUP($B34,$E$7:$AE$16,5+8)+1)*L34),)</f>
        <v>0</v>
      </c>
      <c r="S34" s="270">
        <f>IF(G34,((VLOOKUP($B34,$E$7:$AE$16,5+12)+1)*M34),)</f>
        <v>1260.0889306300521</v>
      </c>
      <c r="T34" s="269">
        <f>IF(H34,((VLOOKUP($B34,$E$7:$AE$16,5+16)+1)*N34),)</f>
        <v>0</v>
      </c>
      <c r="U34" s="279">
        <f>IF(I34,((VLOOKUP($B34,$E$7:$AE$16,5+20)+1)*O34),)</f>
        <v>0</v>
      </c>
      <c r="V34" s="278">
        <f>IF(D34,((VLOOKUP($B34,$E$7:$AE$16,6)+1)*P34),)</f>
        <v>4076.7631681946186</v>
      </c>
      <c r="W34" s="268">
        <f>IF(E34,((VLOOKUP($B34,$E$7:$AE$16,6+4)+1)*Q34),)</f>
        <v>1583.897915112062</v>
      </c>
      <c r="X34" s="269">
        <f>IF(F34,((VLOOKUP($B34,$E$7:$AE$16,6+8)+1)*R34),)</f>
        <v>0</v>
      </c>
      <c r="Y34" s="270">
        <f>IF(G34,((VLOOKUP($B34,$E$7:$AE$16,6+12)+1)*S34),)</f>
        <v>1260.0889306300521</v>
      </c>
      <c r="Z34" s="269">
        <f>IF(H34,((VLOOKUP($B34,$E$7:$AE$16,6+16)+1)*T34),)</f>
        <v>0</v>
      </c>
      <c r="AA34" s="279">
        <f>IF(I34,((VLOOKUP($B34,$E$7:$AE$16,6+20)+1)*U34),)</f>
        <v>0</v>
      </c>
      <c r="AB34" s="278">
        <f>IF(D34,((VLOOKUP($B34,$E$7:$AE$16,7)+1)*V34),)</f>
        <v>4076.7631681946186</v>
      </c>
      <c r="AC34" s="268">
        <f>IF(E34,((VLOOKUP($B34,$E$7:$AE$16,7+4)+1)*W34),)</f>
        <v>1583.897915112062</v>
      </c>
      <c r="AD34" s="269">
        <f>IF(F34,((VLOOKUP($B34,$E$7:$AE$16,7+8)+1)*X34),)</f>
        <v>0</v>
      </c>
      <c r="AE34" s="270">
        <f>IF(G34,((VLOOKUP($B34,$E$7:$AE$16,7+12)+1)*Y34),)</f>
        <v>1260.0889306300521</v>
      </c>
      <c r="AF34" s="269">
        <f>IF(H34,((VLOOKUP($B34,$E$7:$AE$16,7+16)+1)*Z34),)</f>
        <v>0</v>
      </c>
      <c r="AG34" s="279">
        <f>IF(I34,((VLOOKUP($B34,$E$7:$AE$16,7+20)+1)*AA34),)</f>
        <v>0</v>
      </c>
    </row>
    <row r="35" spans="1:33" ht="15">
      <c r="A35" s="26">
        <f t="shared" si="1"/>
        <v>9</v>
      </c>
      <c r="B35" s="179"/>
      <c r="C35" s="272" t="s">
        <v>152</v>
      </c>
      <c r="D35" s="276"/>
      <c r="E35" s="267"/>
      <c r="F35" s="267"/>
      <c r="G35" s="267"/>
      <c r="H35" s="267"/>
      <c r="I35" s="277"/>
      <c r="J35" s="276"/>
      <c r="K35" s="267"/>
      <c r="L35" s="267"/>
      <c r="M35" s="267"/>
      <c r="N35" s="267"/>
      <c r="O35" s="277"/>
      <c r="P35" s="276"/>
      <c r="Q35" s="267"/>
      <c r="R35" s="267"/>
      <c r="S35" s="267"/>
      <c r="T35" s="267"/>
      <c r="U35" s="277"/>
      <c r="V35" s="276"/>
      <c r="W35" s="267"/>
      <c r="X35" s="267"/>
      <c r="Y35" s="267"/>
      <c r="Z35" s="267"/>
      <c r="AA35" s="277"/>
      <c r="AB35" s="276"/>
      <c r="AC35" s="267"/>
      <c r="AD35" s="267"/>
      <c r="AE35" s="267"/>
      <c r="AF35" s="267"/>
      <c r="AG35" s="277"/>
    </row>
    <row r="36" spans="1:33" ht="15">
      <c r="A36" s="26">
        <f t="shared" si="1"/>
        <v>10</v>
      </c>
      <c r="B36" s="179">
        <v>1</v>
      </c>
      <c r="C36" s="273" t="s">
        <v>129</v>
      </c>
      <c r="D36" s="278">
        <v>36106.46318967735</v>
      </c>
      <c r="E36" s="269">
        <v>0</v>
      </c>
      <c r="F36" s="269">
        <v>0</v>
      </c>
      <c r="G36" s="270">
        <v>0</v>
      </c>
      <c r="H36" s="269">
        <v>0</v>
      </c>
      <c r="I36" s="279">
        <v>0</v>
      </c>
      <c r="J36" s="278">
        <f>IF(D36,((VLOOKUP($B36,$E$7:$AE$16,4)+1)*D36),)</f>
        <v>36106.46318967735</v>
      </c>
      <c r="K36" s="269">
        <f>IF(E36,((VLOOKUP($B36,$E$7:$AE$16,8)+1)*E36),)</f>
        <v>0</v>
      </c>
      <c r="L36" s="269">
        <f>IF(F36,((VLOOKUP($B36,$E$7:$AE$16,12)+1)*F36),)</f>
        <v>0</v>
      </c>
      <c r="M36" s="270">
        <f>IF(G36,((VLOOKUP($B36,$E$7:$AE$16,16)+1)*G36),)</f>
        <v>0</v>
      </c>
      <c r="N36" s="269">
        <f>IF(H36,((VLOOKUP($B36,$E$7:$AE$16,20)+1)*H36),)</f>
        <v>0</v>
      </c>
      <c r="O36" s="279">
        <f>IF(I36,((VLOOKUP($B36,$E$7:$AE$16,24)+1)*I36),)</f>
        <v>0</v>
      </c>
      <c r="P36" s="278">
        <f>IF(D36,((VLOOKUP($B36,$E$7:$AE$16,5)+1)*J36),)</f>
        <v>36106.46318967735</v>
      </c>
      <c r="Q36" s="269">
        <f>IF(E36,((VLOOKUP($B36,$E$7:$AE$16,5+4)+1)*K36),)</f>
        <v>0</v>
      </c>
      <c r="R36" s="269">
        <f>IF(F36,((VLOOKUP($B36,$E$7:$AE$16,5+8)+1)*L36),)</f>
        <v>0</v>
      </c>
      <c r="S36" s="270">
        <f>IF(G36,((VLOOKUP($B36,$E$7:$AE$16,5+12)+1)*M36),)</f>
        <v>0</v>
      </c>
      <c r="T36" s="269">
        <f>IF(H36,((VLOOKUP($B36,$E$7:$AE$16,5+16)+1)*N36),)</f>
        <v>0</v>
      </c>
      <c r="U36" s="279">
        <f>IF(I36,((VLOOKUP($B36,$E$7:$AE$16,5+20)+1)*O36),)</f>
        <v>0</v>
      </c>
      <c r="V36" s="278">
        <f>IF(D36,((VLOOKUP($B36,$E$7:$AE$16,6)+1)*P36),)</f>
        <v>36106.46318967735</v>
      </c>
      <c r="W36" s="269">
        <f>IF(E36,((VLOOKUP($B36,$E$7:$AE$16,6+4)+1)*Q36),)</f>
        <v>0</v>
      </c>
      <c r="X36" s="269">
        <f>IF(F36,((VLOOKUP($B36,$E$7:$AE$16,6+8)+1)*R36),)</f>
        <v>0</v>
      </c>
      <c r="Y36" s="270">
        <f>IF(G36,((VLOOKUP($B36,$E$7:$AE$16,6+12)+1)*S36),)</f>
        <v>0</v>
      </c>
      <c r="Z36" s="269">
        <f>IF(H36,((VLOOKUP($B36,$E$7:$AE$16,6+16)+1)*T36),)</f>
        <v>0</v>
      </c>
      <c r="AA36" s="279">
        <f>IF(I36,((VLOOKUP($B36,$E$7:$AE$16,6+20)+1)*U36),)</f>
        <v>0</v>
      </c>
      <c r="AB36" s="278">
        <f>IF(D36,((VLOOKUP($B36,$E$7:$AE$16,7)+1)*V36),)</f>
        <v>36106.46318967735</v>
      </c>
      <c r="AC36" s="269">
        <f>IF(E36,((VLOOKUP($B36,$E$7:$AE$16,7+4)+1)*W36),)</f>
        <v>0</v>
      </c>
      <c r="AD36" s="269">
        <f>IF(F36,((VLOOKUP($B36,$E$7:$AE$16,7+8)+1)*X36),)</f>
        <v>0</v>
      </c>
      <c r="AE36" s="270">
        <f>IF(G36,((VLOOKUP($B36,$E$7:$AE$16,7+12)+1)*Y36),)</f>
        <v>0</v>
      </c>
      <c r="AF36" s="269">
        <f>IF(H36,((VLOOKUP($B36,$E$7:$AE$16,7+16)+1)*Z36),)</f>
        <v>0</v>
      </c>
      <c r="AG36" s="279">
        <f>IF(I36,((VLOOKUP($B36,$E$7:$AE$16,7+20)+1)*AA36),)</f>
        <v>0</v>
      </c>
    </row>
    <row r="37" spans="1:33" ht="15">
      <c r="A37" s="26">
        <f t="shared" si="1"/>
        <v>11</v>
      </c>
      <c r="B37" s="179">
        <v>1</v>
      </c>
      <c r="C37" s="273" t="s">
        <v>153</v>
      </c>
      <c r="D37" s="278">
        <v>0</v>
      </c>
      <c r="E37" s="269">
        <v>0</v>
      </c>
      <c r="F37" s="269">
        <v>0</v>
      </c>
      <c r="G37" s="270">
        <v>0</v>
      </c>
      <c r="H37" s="269">
        <v>0</v>
      </c>
      <c r="I37" s="279">
        <v>0</v>
      </c>
      <c r="J37" s="278">
        <f>IF(D37,((VLOOKUP($B37,$E$7:$AE$16,4)+1)*D37),)</f>
        <v>0</v>
      </c>
      <c r="K37" s="269">
        <f>IF(E37,((VLOOKUP($B37,$E$7:$AE$16,8)+1)*E37),)</f>
        <v>0</v>
      </c>
      <c r="L37" s="269">
        <f>IF(F37,((VLOOKUP($B37,$E$7:$AE$16,12)+1)*F37),)</f>
        <v>0</v>
      </c>
      <c r="M37" s="270">
        <f>IF(G37,((VLOOKUP($B37,$E$7:$AE$16,16)+1)*G37),)</f>
        <v>0</v>
      </c>
      <c r="N37" s="269">
        <f>IF(H37,((VLOOKUP($B37,$E$7:$AE$16,20)+1)*H37),)</f>
        <v>0</v>
      </c>
      <c r="O37" s="279">
        <f>IF(I37,((VLOOKUP($B37,$E$7:$AE$16,24)+1)*I37),)</f>
        <v>0</v>
      </c>
      <c r="P37" s="278">
        <f>IF(D37,((VLOOKUP($B37,$E$7:$AE$16,5)+1)*J37),)</f>
        <v>0</v>
      </c>
      <c r="Q37" s="269">
        <f>IF(E37,((VLOOKUP($B37,$E$7:$AE$16,5+4)+1)*K37),)</f>
        <v>0</v>
      </c>
      <c r="R37" s="269">
        <f>IF(F37,((VLOOKUP($B37,$E$7:$AE$16,5+8)+1)*L37),)</f>
        <v>0</v>
      </c>
      <c r="S37" s="270">
        <f>IF(G37,((VLOOKUP($B37,$E$7:$AE$16,5+12)+1)*M37),)</f>
        <v>0</v>
      </c>
      <c r="T37" s="269">
        <f>IF(H37,((VLOOKUP($B37,$E$7:$AE$16,5+16)+1)*N37),)</f>
        <v>0</v>
      </c>
      <c r="U37" s="279">
        <f>IF(I37,((VLOOKUP($B37,$E$7:$AE$16,5+20)+1)*O37),)</f>
        <v>0</v>
      </c>
      <c r="V37" s="278">
        <f>IF(D37,((VLOOKUP($B37,$E$7:$AE$16,6)+1)*P37),)</f>
        <v>0</v>
      </c>
      <c r="W37" s="269">
        <f>IF(E37,((VLOOKUP($B37,$E$7:$AE$16,6+4)+1)*Q37),)</f>
        <v>0</v>
      </c>
      <c r="X37" s="269">
        <f>IF(F37,((VLOOKUP($B37,$E$7:$AE$16,6+8)+1)*R37),)</f>
        <v>0</v>
      </c>
      <c r="Y37" s="270">
        <f>IF(G37,((VLOOKUP($B37,$E$7:$AE$16,6+12)+1)*S37),)</f>
        <v>0</v>
      </c>
      <c r="Z37" s="269">
        <f>IF(H37,((VLOOKUP($B37,$E$7:$AE$16,6+16)+1)*T37),)</f>
        <v>0</v>
      </c>
      <c r="AA37" s="279">
        <f>IF(I37,((VLOOKUP($B37,$E$7:$AE$16,6+20)+1)*U37),)</f>
        <v>0</v>
      </c>
      <c r="AB37" s="278">
        <f>IF(D37,((VLOOKUP($B37,$E$7:$AE$16,7)+1)*V37),)</f>
        <v>0</v>
      </c>
      <c r="AC37" s="269">
        <f>IF(E37,((VLOOKUP($B37,$E$7:$AE$16,7+4)+1)*W37),)</f>
        <v>0</v>
      </c>
      <c r="AD37" s="269">
        <f>IF(F37,((VLOOKUP($B37,$E$7:$AE$16,7+8)+1)*X37),)</f>
        <v>0</v>
      </c>
      <c r="AE37" s="270">
        <f>IF(G37,((VLOOKUP($B37,$E$7:$AE$16,7+12)+1)*Y37),)</f>
        <v>0</v>
      </c>
      <c r="AF37" s="269">
        <f>IF(H37,((VLOOKUP($B37,$E$7:$AE$16,7+16)+1)*Z37),)</f>
        <v>0</v>
      </c>
      <c r="AG37" s="279">
        <f>IF(I37,((VLOOKUP($B37,$E$7:$AE$16,7+20)+1)*AA37),)</f>
        <v>0</v>
      </c>
    </row>
    <row r="38" spans="1:33" ht="15">
      <c r="A38" s="26">
        <f t="shared" si="1"/>
        <v>12</v>
      </c>
      <c r="B38" s="179">
        <v>1</v>
      </c>
      <c r="C38" s="273" t="s">
        <v>154</v>
      </c>
      <c r="D38" s="278">
        <v>0</v>
      </c>
      <c r="E38" s="269">
        <v>0</v>
      </c>
      <c r="F38" s="269">
        <v>0</v>
      </c>
      <c r="G38" s="270">
        <v>0</v>
      </c>
      <c r="H38" s="269">
        <v>0</v>
      </c>
      <c r="I38" s="279">
        <v>0</v>
      </c>
      <c r="J38" s="278">
        <f>IF(D38,((VLOOKUP($B38,$E$7:$AE$16,4)+1)*D38),)</f>
        <v>0</v>
      </c>
      <c r="K38" s="269">
        <f>IF(E38,((VLOOKUP($B38,$E$7:$AE$16,8)+1)*E38),)</f>
        <v>0</v>
      </c>
      <c r="L38" s="269">
        <f>IF(F38,((VLOOKUP($B38,$E$7:$AE$16,12)+1)*F38),)</f>
        <v>0</v>
      </c>
      <c r="M38" s="270">
        <f>IF(G38,((VLOOKUP($B38,$E$7:$AE$16,16)+1)*G38),)</f>
        <v>0</v>
      </c>
      <c r="N38" s="269">
        <f>IF(H38,((VLOOKUP($B38,$E$7:$AE$16,20)+1)*H38),)</f>
        <v>0</v>
      </c>
      <c r="O38" s="279">
        <f>IF(I38,((VLOOKUP($B38,$E$7:$AE$16,24)+1)*I38),)</f>
        <v>0</v>
      </c>
      <c r="P38" s="278">
        <f>IF(D38,((VLOOKUP($B38,$E$7:$AE$16,5)+1)*J38),)</f>
        <v>0</v>
      </c>
      <c r="Q38" s="269">
        <f>IF(E38,((VLOOKUP($B38,$E$7:$AE$16,5+4)+1)*K38),)</f>
        <v>0</v>
      </c>
      <c r="R38" s="269">
        <f>IF(F38,((VLOOKUP($B38,$E$7:$AE$16,5+8)+1)*L38),)</f>
        <v>0</v>
      </c>
      <c r="S38" s="270">
        <f>IF(G38,((VLOOKUP($B38,$E$7:$AE$16,5+12)+1)*M38),)</f>
        <v>0</v>
      </c>
      <c r="T38" s="269">
        <f>IF(H38,((VLOOKUP($B38,$E$7:$AE$16,5+16)+1)*N38),)</f>
        <v>0</v>
      </c>
      <c r="U38" s="279">
        <f>IF(I38,((VLOOKUP($B38,$E$7:$AE$16,5+20)+1)*O38),)</f>
        <v>0</v>
      </c>
      <c r="V38" s="278">
        <f>IF(D38,((VLOOKUP($B38,$E$7:$AE$16,6)+1)*P38),)</f>
        <v>0</v>
      </c>
      <c r="W38" s="269">
        <f>IF(E38,((VLOOKUP($B38,$E$7:$AE$16,6+4)+1)*Q38),)</f>
        <v>0</v>
      </c>
      <c r="X38" s="269">
        <f>IF(F38,((VLOOKUP($B38,$E$7:$AE$16,6+8)+1)*R38),)</f>
        <v>0</v>
      </c>
      <c r="Y38" s="270">
        <f>IF(G38,((VLOOKUP($B38,$E$7:$AE$16,6+12)+1)*S38),)</f>
        <v>0</v>
      </c>
      <c r="Z38" s="269">
        <f>IF(H38,((VLOOKUP($B38,$E$7:$AE$16,6+16)+1)*T38),)</f>
        <v>0</v>
      </c>
      <c r="AA38" s="279">
        <f>IF(I38,((VLOOKUP($B38,$E$7:$AE$16,6+20)+1)*U38),)</f>
        <v>0</v>
      </c>
      <c r="AB38" s="278">
        <f>IF(D38,((VLOOKUP($B38,$E$7:$AE$16,7)+1)*V38),)</f>
        <v>0</v>
      </c>
      <c r="AC38" s="269">
        <f>IF(E38,((VLOOKUP($B38,$E$7:$AE$16,7+4)+1)*W38),)</f>
        <v>0</v>
      </c>
      <c r="AD38" s="269">
        <f>IF(F38,((VLOOKUP($B38,$E$7:$AE$16,7+8)+1)*X38),)</f>
        <v>0</v>
      </c>
      <c r="AE38" s="270">
        <f>IF(G38,((VLOOKUP($B38,$E$7:$AE$16,7+12)+1)*Y38),)</f>
        <v>0</v>
      </c>
      <c r="AF38" s="269">
        <f>IF(H38,((VLOOKUP($B38,$E$7:$AE$16,7+16)+1)*Z38),)</f>
        <v>0</v>
      </c>
      <c r="AG38" s="279">
        <f>IF(I38,((VLOOKUP($B38,$E$7:$AE$16,7+20)+1)*AA38),)</f>
        <v>0</v>
      </c>
    </row>
    <row r="39" spans="1:33" ht="15">
      <c r="A39" s="26">
        <f t="shared" si="1"/>
        <v>13</v>
      </c>
      <c r="B39" s="179"/>
      <c r="C39" s="272" t="s">
        <v>155</v>
      </c>
      <c r="D39" s="276"/>
      <c r="E39" s="267"/>
      <c r="F39" s="267"/>
      <c r="G39" s="267"/>
      <c r="H39" s="267"/>
      <c r="I39" s="277"/>
      <c r="J39" s="276"/>
      <c r="K39" s="267"/>
      <c r="L39" s="267"/>
      <c r="M39" s="267"/>
      <c r="N39" s="267"/>
      <c r="O39" s="277"/>
      <c r="P39" s="276"/>
      <c r="Q39" s="267"/>
      <c r="R39" s="267"/>
      <c r="S39" s="267"/>
      <c r="T39" s="267"/>
      <c r="U39" s="277"/>
      <c r="V39" s="276"/>
      <c r="W39" s="267"/>
      <c r="X39" s="267"/>
      <c r="Y39" s="267"/>
      <c r="Z39" s="267"/>
      <c r="AA39" s="277"/>
      <c r="AB39" s="276"/>
      <c r="AC39" s="267"/>
      <c r="AD39" s="267"/>
      <c r="AE39" s="267"/>
      <c r="AF39" s="267"/>
      <c r="AG39" s="277"/>
    </row>
    <row r="40" spans="1:33" ht="15">
      <c r="A40" s="26">
        <f t="shared" si="1"/>
        <v>14</v>
      </c>
      <c r="B40" s="179">
        <v>1</v>
      </c>
      <c r="C40" s="273" t="s">
        <v>94</v>
      </c>
      <c r="D40" s="278">
        <v>1619655.6585213088</v>
      </c>
      <c r="E40" s="269">
        <v>0</v>
      </c>
      <c r="F40" s="269">
        <v>0</v>
      </c>
      <c r="G40" s="270">
        <v>135679.92656869252</v>
      </c>
      <c r="H40" s="269">
        <v>0</v>
      </c>
      <c r="I40" s="279">
        <v>0</v>
      </c>
      <c r="J40" s="278">
        <f>IF(D40,((VLOOKUP($B40,$E$7:$AE$16,4)+1)*D40),)</f>
        <v>1619655.6585213088</v>
      </c>
      <c r="K40" s="269">
        <f>IF(E40,((VLOOKUP($B40,$E$7:$AE$16,8)+1)*E40),)</f>
        <v>0</v>
      </c>
      <c r="L40" s="269">
        <f>IF(F40,((VLOOKUP($B40,$E$7:$AE$16,12)+1)*F40),)</f>
        <v>0</v>
      </c>
      <c r="M40" s="270">
        <f>IF(G40,((VLOOKUP($B40,$E$7:$AE$16,16)+1)*G40),)</f>
        <v>135679.92656869252</v>
      </c>
      <c r="N40" s="269">
        <f>IF(H40,((VLOOKUP($B40,$E$7:$AE$16,20)+1)*H40),)</f>
        <v>0</v>
      </c>
      <c r="O40" s="279">
        <f>IF(I40,((VLOOKUP($B40,$E$7:$AE$16,24)+1)*I40),)</f>
        <v>0</v>
      </c>
      <c r="P40" s="278">
        <f>IF(D40,((VLOOKUP($B40,$E$7:$AE$16,5)+1)*J40),)</f>
        <v>1619655.6585213088</v>
      </c>
      <c r="Q40" s="269">
        <f>IF(E40,((VLOOKUP($B40,$E$7:$AE$16,5+4)+1)*K40),)</f>
        <v>0</v>
      </c>
      <c r="R40" s="269">
        <f>IF(F40,((VLOOKUP($B40,$E$7:$AE$16,5+8)+1)*L40),)</f>
        <v>0</v>
      </c>
      <c r="S40" s="270">
        <f>IF(G40,((VLOOKUP($B40,$E$7:$AE$16,5+12)+1)*M40),)</f>
        <v>135679.92656869252</v>
      </c>
      <c r="T40" s="269">
        <f>IF(H40,((VLOOKUP($B40,$E$7:$AE$16,5+16)+1)*N40),)</f>
        <v>0</v>
      </c>
      <c r="U40" s="279">
        <f>IF(I40,((VLOOKUP($B40,$E$7:$AE$16,5+20)+1)*O40),)</f>
        <v>0</v>
      </c>
      <c r="V40" s="278">
        <f>IF(D40,((VLOOKUP($B40,$E$7:$AE$16,6)+1)*P40),)</f>
        <v>1619655.6585213088</v>
      </c>
      <c r="W40" s="269">
        <f>IF(E40,((VLOOKUP($B40,$E$7:$AE$16,6+4)+1)*Q40),)</f>
        <v>0</v>
      </c>
      <c r="X40" s="269">
        <f>IF(F40,((VLOOKUP($B40,$E$7:$AE$16,6+8)+1)*R40),)</f>
        <v>0</v>
      </c>
      <c r="Y40" s="270">
        <f>IF(G40,((VLOOKUP($B40,$E$7:$AE$16,6+12)+1)*S40),)</f>
        <v>135679.92656869252</v>
      </c>
      <c r="Z40" s="269">
        <f>IF(H40,((VLOOKUP($B40,$E$7:$AE$16,6+16)+1)*T40),)</f>
        <v>0</v>
      </c>
      <c r="AA40" s="279">
        <f>IF(I40,((VLOOKUP($B40,$E$7:$AE$16,6+20)+1)*U40),)</f>
        <v>0</v>
      </c>
      <c r="AB40" s="278">
        <f>IF(D40,((VLOOKUP($B40,$E$7:$AE$16,7)+1)*V40),)</f>
        <v>1619655.6585213088</v>
      </c>
      <c r="AC40" s="269">
        <f>IF(E40,((VLOOKUP($B40,$E$7:$AE$16,7+4)+1)*W40),)</f>
        <v>0</v>
      </c>
      <c r="AD40" s="269">
        <f>IF(F40,((VLOOKUP($B40,$E$7:$AE$16,7+8)+1)*X40),)</f>
        <v>0</v>
      </c>
      <c r="AE40" s="270">
        <f>IF(G40,((VLOOKUP($B40,$E$7:$AE$16,7+12)+1)*Y40),)</f>
        <v>135679.92656869252</v>
      </c>
      <c r="AF40" s="269">
        <f>IF(H40,((VLOOKUP($B40,$E$7:$AE$16,7+16)+1)*Z40),)</f>
        <v>0</v>
      </c>
      <c r="AG40" s="279">
        <f>IF(I40,((VLOOKUP($B40,$E$7:$AE$16,7+20)+1)*AA40),)</f>
        <v>0</v>
      </c>
    </row>
    <row r="41" spans="1:33" ht="15">
      <c r="A41" s="26">
        <f t="shared" si="1"/>
        <v>15</v>
      </c>
      <c r="B41" s="179">
        <v>1</v>
      </c>
      <c r="C41" s="273" t="s">
        <v>156</v>
      </c>
      <c r="D41" s="278">
        <v>2891.2734624687741</v>
      </c>
      <c r="E41" s="269">
        <v>0</v>
      </c>
      <c r="F41" s="269">
        <v>0</v>
      </c>
      <c r="G41" s="270">
        <v>8156.5389495421296</v>
      </c>
      <c r="H41" s="269">
        <v>0</v>
      </c>
      <c r="I41" s="279">
        <v>0</v>
      </c>
      <c r="J41" s="278">
        <f>IF(D41,((VLOOKUP($B41,$E$7:$AE$16,4)+1)*D41),)</f>
        <v>2891.2734624687741</v>
      </c>
      <c r="K41" s="269">
        <f>IF(E41,((VLOOKUP($B41,$E$7:$AE$16,8)+1)*E41),)</f>
        <v>0</v>
      </c>
      <c r="L41" s="269">
        <f>IF(F41,((VLOOKUP($B41,$E$7:$AE$16,12)+1)*F41),)</f>
        <v>0</v>
      </c>
      <c r="M41" s="270">
        <f>IF(G41,((VLOOKUP($B41,$E$7:$AE$16,16)+1)*G41),)</f>
        <v>8156.5389495421296</v>
      </c>
      <c r="N41" s="269">
        <f>IF(H41,((VLOOKUP($B41,$E$7:$AE$16,20)+1)*H41),)</f>
        <v>0</v>
      </c>
      <c r="O41" s="279">
        <f>IF(I41,((VLOOKUP($B41,$E$7:$AE$16,24)+1)*I41),)</f>
        <v>0</v>
      </c>
      <c r="P41" s="278">
        <f>IF(D41,((VLOOKUP($B41,$E$7:$AE$16,5)+1)*J41),)</f>
        <v>2891.2734624687741</v>
      </c>
      <c r="Q41" s="269">
        <f>IF(E41,((VLOOKUP($B41,$E$7:$AE$16,5+4)+1)*K41),)</f>
        <v>0</v>
      </c>
      <c r="R41" s="269">
        <f>IF(F41,((VLOOKUP($B41,$E$7:$AE$16,5+8)+1)*L41),)</f>
        <v>0</v>
      </c>
      <c r="S41" s="270">
        <f>IF(G41,((VLOOKUP($B41,$E$7:$AE$16,5+12)+1)*M41),)</f>
        <v>8156.5389495421296</v>
      </c>
      <c r="T41" s="269">
        <f>IF(H41,((VLOOKUP($B41,$E$7:$AE$16,5+16)+1)*N41),)</f>
        <v>0</v>
      </c>
      <c r="U41" s="279">
        <f>IF(I41,((VLOOKUP($B41,$E$7:$AE$16,5+20)+1)*O41),)</f>
        <v>0</v>
      </c>
      <c r="V41" s="278">
        <f>IF(D41,((VLOOKUP($B41,$E$7:$AE$16,6)+1)*P41),)</f>
        <v>2891.2734624687741</v>
      </c>
      <c r="W41" s="269">
        <f>IF(E41,((VLOOKUP($B41,$E$7:$AE$16,6+4)+1)*Q41),)</f>
        <v>0</v>
      </c>
      <c r="X41" s="269">
        <f>IF(F41,((VLOOKUP($B41,$E$7:$AE$16,6+8)+1)*R41),)</f>
        <v>0</v>
      </c>
      <c r="Y41" s="270">
        <f>IF(G41,((VLOOKUP($B41,$E$7:$AE$16,6+12)+1)*S41),)</f>
        <v>8156.5389495421296</v>
      </c>
      <c r="Z41" s="269">
        <f>IF(H41,((VLOOKUP($B41,$E$7:$AE$16,6+16)+1)*T41),)</f>
        <v>0</v>
      </c>
      <c r="AA41" s="279">
        <f>IF(I41,((VLOOKUP($B41,$E$7:$AE$16,6+20)+1)*U41),)</f>
        <v>0</v>
      </c>
      <c r="AB41" s="278">
        <f>IF(D41,((VLOOKUP($B41,$E$7:$AE$16,7)+1)*V41),)</f>
        <v>2891.2734624687741</v>
      </c>
      <c r="AC41" s="269">
        <f>IF(E41,((VLOOKUP($B41,$E$7:$AE$16,7+4)+1)*W41),)</f>
        <v>0</v>
      </c>
      <c r="AD41" s="269">
        <f>IF(F41,((VLOOKUP($B41,$E$7:$AE$16,7+8)+1)*X41),)</f>
        <v>0</v>
      </c>
      <c r="AE41" s="270">
        <f>IF(G41,((VLOOKUP($B41,$E$7:$AE$16,7+12)+1)*Y41),)</f>
        <v>8156.5389495421296</v>
      </c>
      <c r="AF41" s="269">
        <f>IF(H41,((VLOOKUP($B41,$E$7:$AE$16,7+16)+1)*Z41),)</f>
        <v>0</v>
      </c>
      <c r="AG41" s="279">
        <f>IF(I41,((VLOOKUP($B41,$E$7:$AE$16,7+20)+1)*AA41),)</f>
        <v>0</v>
      </c>
    </row>
    <row r="42" spans="1:33" ht="15">
      <c r="A42" s="26">
        <f t="shared" si="1"/>
        <v>16</v>
      </c>
      <c r="B42" s="179">
        <v>1</v>
      </c>
      <c r="C42" s="273" t="s">
        <v>157</v>
      </c>
      <c r="D42" s="278">
        <v>15215.334512820744</v>
      </c>
      <c r="E42" s="269">
        <v>0</v>
      </c>
      <c r="F42" s="269">
        <v>0</v>
      </c>
      <c r="G42" s="270">
        <v>894.00804864272811</v>
      </c>
      <c r="H42" s="269">
        <v>0</v>
      </c>
      <c r="I42" s="279">
        <v>0</v>
      </c>
      <c r="J42" s="278">
        <f>IF(D42,((VLOOKUP($B42,$E$7:$AE$16,4)+1)*D42),)</f>
        <v>15215.334512820744</v>
      </c>
      <c r="K42" s="269">
        <f>IF(E42,((VLOOKUP($B42,$E$7:$AE$16,8)+1)*E42),)</f>
        <v>0</v>
      </c>
      <c r="L42" s="269">
        <f>IF(F42,((VLOOKUP($B42,$E$7:$AE$16,12)+1)*F42),)</f>
        <v>0</v>
      </c>
      <c r="M42" s="270">
        <f>IF(G42,((VLOOKUP($B42,$E$7:$AE$16,16)+1)*G42),)</f>
        <v>894.00804864272811</v>
      </c>
      <c r="N42" s="269">
        <f>IF(H42,((VLOOKUP($B42,$E$7:$AE$16,20)+1)*H42),)</f>
        <v>0</v>
      </c>
      <c r="O42" s="279">
        <f>IF(I42,((VLOOKUP($B42,$E$7:$AE$16,24)+1)*I42),)</f>
        <v>0</v>
      </c>
      <c r="P42" s="278">
        <f>IF(D42,((VLOOKUP($B42,$E$7:$AE$16,5)+1)*J42),)</f>
        <v>15215.334512820744</v>
      </c>
      <c r="Q42" s="269">
        <f>IF(E42,((VLOOKUP($B42,$E$7:$AE$16,5+4)+1)*K42),)</f>
        <v>0</v>
      </c>
      <c r="R42" s="269">
        <f>IF(F42,((VLOOKUP($B42,$E$7:$AE$16,5+8)+1)*L42),)</f>
        <v>0</v>
      </c>
      <c r="S42" s="270">
        <f>IF(G42,((VLOOKUP($B42,$E$7:$AE$16,5+12)+1)*M42),)</f>
        <v>894.00804864272811</v>
      </c>
      <c r="T42" s="269">
        <f>IF(H42,((VLOOKUP($B42,$E$7:$AE$16,5+16)+1)*N42),)</f>
        <v>0</v>
      </c>
      <c r="U42" s="279">
        <f>IF(I42,((VLOOKUP($B42,$E$7:$AE$16,5+20)+1)*O42),)</f>
        <v>0</v>
      </c>
      <c r="V42" s="278">
        <f>IF(D42,((VLOOKUP($B42,$E$7:$AE$16,6)+1)*P42),)</f>
        <v>15215.334512820744</v>
      </c>
      <c r="W42" s="269">
        <f>IF(E42,((VLOOKUP($B42,$E$7:$AE$16,6+4)+1)*Q42),)</f>
        <v>0</v>
      </c>
      <c r="X42" s="269">
        <f>IF(F42,((VLOOKUP($B42,$E$7:$AE$16,6+8)+1)*R42),)</f>
        <v>0</v>
      </c>
      <c r="Y42" s="270">
        <f>IF(G42,((VLOOKUP($B42,$E$7:$AE$16,6+12)+1)*S42),)</f>
        <v>894.00804864272811</v>
      </c>
      <c r="Z42" s="269">
        <f>IF(H42,((VLOOKUP($B42,$E$7:$AE$16,6+16)+1)*T42),)</f>
        <v>0</v>
      </c>
      <c r="AA42" s="279">
        <f>IF(I42,((VLOOKUP($B42,$E$7:$AE$16,6+20)+1)*U42),)</f>
        <v>0</v>
      </c>
      <c r="AB42" s="278">
        <f>IF(D42,((VLOOKUP($B42,$E$7:$AE$16,7)+1)*V42),)</f>
        <v>15215.334512820744</v>
      </c>
      <c r="AC42" s="269">
        <f>IF(E42,((VLOOKUP($B42,$E$7:$AE$16,7+4)+1)*W42),)</f>
        <v>0</v>
      </c>
      <c r="AD42" s="269">
        <f>IF(F42,((VLOOKUP($B42,$E$7:$AE$16,7+8)+1)*X42),)</f>
        <v>0</v>
      </c>
      <c r="AE42" s="270">
        <f>IF(G42,((VLOOKUP($B42,$E$7:$AE$16,7+12)+1)*Y42),)</f>
        <v>894.00804864272811</v>
      </c>
      <c r="AF42" s="269">
        <f>IF(H42,((VLOOKUP($B42,$E$7:$AE$16,7+16)+1)*Z42),)</f>
        <v>0</v>
      </c>
      <c r="AG42" s="279">
        <f>IF(I42,((VLOOKUP($B42,$E$7:$AE$16,7+20)+1)*AA42),)</f>
        <v>0</v>
      </c>
    </row>
    <row r="43" spans="1:33" ht="15">
      <c r="A43" s="26">
        <f t="shared" si="1"/>
        <v>17</v>
      </c>
      <c r="B43" s="179"/>
      <c r="C43" s="272" t="s">
        <v>158</v>
      </c>
      <c r="D43" s="276"/>
      <c r="E43" s="267"/>
      <c r="F43" s="267"/>
      <c r="G43" s="267"/>
      <c r="H43" s="267"/>
      <c r="I43" s="277"/>
      <c r="J43" s="276"/>
      <c r="K43" s="267"/>
      <c r="L43" s="267"/>
      <c r="M43" s="267"/>
      <c r="N43" s="267"/>
      <c r="O43" s="277"/>
      <c r="P43" s="276"/>
      <c r="Q43" s="267"/>
      <c r="R43" s="267"/>
      <c r="S43" s="267"/>
      <c r="T43" s="267"/>
      <c r="U43" s="277"/>
      <c r="V43" s="276"/>
      <c r="W43" s="267"/>
      <c r="X43" s="267"/>
      <c r="Y43" s="267"/>
      <c r="Z43" s="267"/>
      <c r="AA43" s="277"/>
      <c r="AB43" s="276"/>
      <c r="AC43" s="267"/>
      <c r="AD43" s="267"/>
      <c r="AE43" s="267"/>
      <c r="AF43" s="267"/>
      <c r="AG43" s="277"/>
    </row>
    <row r="44" spans="1:33" ht="15">
      <c r="A44" s="26">
        <f t="shared" si="1"/>
        <v>18</v>
      </c>
      <c r="B44" s="179">
        <v>1</v>
      </c>
      <c r="C44" s="273" t="s">
        <v>95</v>
      </c>
      <c r="D44" s="278">
        <v>505281.77147158369</v>
      </c>
      <c r="E44" s="268">
        <v>208404.41119819321</v>
      </c>
      <c r="F44" s="269">
        <v>0</v>
      </c>
      <c r="G44" s="270">
        <v>34491.689344628736</v>
      </c>
      <c r="H44" s="269">
        <v>0</v>
      </c>
      <c r="I44" s="279">
        <v>0</v>
      </c>
      <c r="J44" s="278">
        <f t="shared" ref="J44:J73" si="2">IF(D44,((VLOOKUP($B44,$E$7:$AE$16,4)+1)*D44),)</f>
        <v>505281.77147158369</v>
      </c>
      <c r="K44" s="268">
        <f t="shared" ref="K44:K73" si="3">IF(E44,((VLOOKUP($B44,$E$7:$AE$16,8)+1)*E44),)</f>
        <v>208404.41119819321</v>
      </c>
      <c r="L44" s="269">
        <f t="shared" ref="L44:L73" si="4">IF(F44,((VLOOKUP($B44,$E$7:$AE$16,12)+1)*F44),)</f>
        <v>0</v>
      </c>
      <c r="M44" s="270">
        <f t="shared" ref="M44:M73" si="5">IF(G44,((VLOOKUP($B44,$E$7:$AE$16,16)+1)*G44),)</f>
        <v>34491.689344628736</v>
      </c>
      <c r="N44" s="269">
        <f t="shared" ref="N44:N73" si="6">IF(H44,((VLOOKUP($B44,$E$7:$AE$16,20)+1)*H44),)</f>
        <v>0</v>
      </c>
      <c r="O44" s="279">
        <f t="shared" ref="O44:O73" si="7">IF(I44,((VLOOKUP($B44,$E$7:$AE$16,24)+1)*I44),)</f>
        <v>0</v>
      </c>
      <c r="P44" s="278">
        <f t="shared" ref="P44:P73" si="8">IF(D44,((VLOOKUP($B44,$E$7:$AE$16,5)+1)*J44),)</f>
        <v>505281.77147158369</v>
      </c>
      <c r="Q44" s="268">
        <f t="shared" ref="Q44:Q73" si="9">IF(E44,((VLOOKUP($B44,$E$7:$AE$16,5+4)+1)*K44),)</f>
        <v>208404.41119819321</v>
      </c>
      <c r="R44" s="269">
        <f t="shared" ref="R44:R73" si="10">IF(F44,((VLOOKUP($B44,$E$7:$AE$16,5+8)+1)*L44),)</f>
        <v>0</v>
      </c>
      <c r="S44" s="270">
        <f t="shared" ref="S44:S73" si="11">IF(G44,((VLOOKUP($B44,$E$7:$AE$16,5+12)+1)*M44),)</f>
        <v>34491.689344628736</v>
      </c>
      <c r="T44" s="269">
        <f t="shared" ref="T44:T73" si="12">IF(H44,((VLOOKUP($B44,$E$7:$AE$16,5+16)+1)*N44),)</f>
        <v>0</v>
      </c>
      <c r="U44" s="279">
        <f t="shared" ref="U44:U73" si="13">IF(I44,((VLOOKUP($B44,$E$7:$AE$16,5+20)+1)*O44),)</f>
        <v>0</v>
      </c>
      <c r="V44" s="278">
        <f t="shared" ref="V44:V73" si="14">IF(D44,((VLOOKUP($B44,$E$7:$AE$16,6)+1)*P44),)</f>
        <v>505281.77147158369</v>
      </c>
      <c r="W44" s="268">
        <f t="shared" ref="W44:W73" si="15">IF(E44,((VLOOKUP($B44,$E$7:$AE$16,6+4)+1)*Q44),)</f>
        <v>208404.41119819321</v>
      </c>
      <c r="X44" s="269">
        <f t="shared" ref="X44:X73" si="16">IF(F44,((VLOOKUP($B44,$E$7:$AE$16,6+8)+1)*R44),)</f>
        <v>0</v>
      </c>
      <c r="Y44" s="270">
        <f t="shared" ref="Y44:Y73" si="17">IF(G44,((VLOOKUP($B44,$E$7:$AE$16,6+12)+1)*S44),)</f>
        <v>34491.689344628736</v>
      </c>
      <c r="Z44" s="269">
        <f t="shared" ref="Z44:Z73" si="18">IF(H44,((VLOOKUP($B44,$E$7:$AE$16,6+16)+1)*T44),)</f>
        <v>0</v>
      </c>
      <c r="AA44" s="279">
        <f t="shared" ref="AA44:AA73" si="19">IF(I44,((VLOOKUP($B44,$E$7:$AE$16,6+20)+1)*U44),)</f>
        <v>0</v>
      </c>
      <c r="AB44" s="278">
        <f t="shared" ref="AB44:AB73" si="20">IF(D44,((VLOOKUP($B44,$E$7:$AE$16,7)+1)*V44),)</f>
        <v>505281.77147158369</v>
      </c>
      <c r="AC44" s="268">
        <f t="shared" ref="AC44:AC73" si="21">IF(E44,((VLOOKUP($B44,$E$7:$AE$16,7+4)+1)*W44),)</f>
        <v>208404.41119819321</v>
      </c>
      <c r="AD44" s="269">
        <f t="shared" ref="AD44:AD73" si="22">IF(F44,((VLOOKUP($B44,$E$7:$AE$16,7+8)+1)*X44),)</f>
        <v>0</v>
      </c>
      <c r="AE44" s="270">
        <f t="shared" ref="AE44:AE73" si="23">IF(G44,((VLOOKUP($B44,$E$7:$AE$16,7+12)+1)*Y44),)</f>
        <v>34491.689344628736</v>
      </c>
      <c r="AF44" s="269">
        <f t="shared" ref="AF44:AF73" si="24">IF(H44,((VLOOKUP($B44,$E$7:$AE$16,7+16)+1)*Z44),)</f>
        <v>0</v>
      </c>
      <c r="AG44" s="279">
        <f t="shared" ref="AG44:AG73" si="25">IF(I44,((VLOOKUP($B44,$E$7:$AE$16,7+20)+1)*AA44),)</f>
        <v>0</v>
      </c>
    </row>
    <row r="45" spans="1:33" ht="15">
      <c r="A45" s="26">
        <f t="shared" si="1"/>
        <v>19</v>
      </c>
      <c r="B45" s="179">
        <v>1</v>
      </c>
      <c r="C45" s="273" t="s">
        <v>159</v>
      </c>
      <c r="D45" s="278">
        <v>879.40978502704854</v>
      </c>
      <c r="E45" s="268">
        <v>325.90755796918535</v>
      </c>
      <c r="F45" s="269">
        <v>0</v>
      </c>
      <c r="G45" s="270">
        <v>17.982920518675567</v>
      </c>
      <c r="H45" s="269">
        <v>0</v>
      </c>
      <c r="I45" s="279">
        <v>0</v>
      </c>
      <c r="J45" s="278">
        <f t="shared" si="2"/>
        <v>879.40978502704854</v>
      </c>
      <c r="K45" s="268">
        <f t="shared" si="3"/>
        <v>325.90755796918535</v>
      </c>
      <c r="L45" s="269">
        <f t="shared" si="4"/>
        <v>0</v>
      </c>
      <c r="M45" s="270">
        <f t="shared" si="5"/>
        <v>17.982920518675567</v>
      </c>
      <c r="N45" s="269">
        <f t="shared" si="6"/>
        <v>0</v>
      </c>
      <c r="O45" s="279">
        <f t="shared" si="7"/>
        <v>0</v>
      </c>
      <c r="P45" s="278">
        <f t="shared" si="8"/>
        <v>879.40978502704854</v>
      </c>
      <c r="Q45" s="268">
        <f t="shared" si="9"/>
        <v>325.90755796918535</v>
      </c>
      <c r="R45" s="269">
        <f t="shared" si="10"/>
        <v>0</v>
      </c>
      <c r="S45" s="270">
        <f t="shared" si="11"/>
        <v>17.982920518675567</v>
      </c>
      <c r="T45" s="269">
        <f t="shared" si="12"/>
        <v>0</v>
      </c>
      <c r="U45" s="279">
        <f t="shared" si="13"/>
        <v>0</v>
      </c>
      <c r="V45" s="278">
        <f t="shared" si="14"/>
        <v>879.40978502704854</v>
      </c>
      <c r="W45" s="268">
        <f t="shared" si="15"/>
        <v>325.90755796918535</v>
      </c>
      <c r="X45" s="269">
        <f t="shared" si="16"/>
        <v>0</v>
      </c>
      <c r="Y45" s="270">
        <f t="shared" si="17"/>
        <v>17.982920518675567</v>
      </c>
      <c r="Z45" s="269">
        <f t="shared" si="18"/>
        <v>0</v>
      </c>
      <c r="AA45" s="279">
        <f t="shared" si="19"/>
        <v>0</v>
      </c>
      <c r="AB45" s="278">
        <f t="shared" si="20"/>
        <v>879.40978502704854</v>
      </c>
      <c r="AC45" s="268">
        <f t="shared" si="21"/>
        <v>325.90755796918535</v>
      </c>
      <c r="AD45" s="269">
        <f t="shared" si="22"/>
        <v>0</v>
      </c>
      <c r="AE45" s="270">
        <f t="shared" si="23"/>
        <v>17.982920518675567</v>
      </c>
      <c r="AF45" s="269">
        <f t="shared" si="24"/>
        <v>0</v>
      </c>
      <c r="AG45" s="279">
        <f t="shared" si="25"/>
        <v>0</v>
      </c>
    </row>
    <row r="46" spans="1:33" ht="15">
      <c r="A46" s="26">
        <f t="shared" si="1"/>
        <v>20</v>
      </c>
      <c r="B46" s="179">
        <v>1</v>
      </c>
      <c r="C46" s="273" t="s">
        <v>160</v>
      </c>
      <c r="D46" s="278">
        <v>3693.9572983147759</v>
      </c>
      <c r="E46" s="268">
        <v>1053.731561149656</v>
      </c>
      <c r="F46" s="269">
        <v>0</v>
      </c>
      <c r="G46" s="270">
        <v>77.069659365752401</v>
      </c>
      <c r="H46" s="269">
        <v>0</v>
      </c>
      <c r="I46" s="279">
        <v>0</v>
      </c>
      <c r="J46" s="278">
        <f t="shared" si="2"/>
        <v>3693.9572983147759</v>
      </c>
      <c r="K46" s="268">
        <f t="shared" si="3"/>
        <v>1053.731561149656</v>
      </c>
      <c r="L46" s="269">
        <f t="shared" si="4"/>
        <v>0</v>
      </c>
      <c r="M46" s="270">
        <f t="shared" si="5"/>
        <v>77.069659365752401</v>
      </c>
      <c r="N46" s="269">
        <f t="shared" si="6"/>
        <v>0</v>
      </c>
      <c r="O46" s="279">
        <f t="shared" si="7"/>
        <v>0</v>
      </c>
      <c r="P46" s="278">
        <f t="shared" si="8"/>
        <v>3693.9572983147759</v>
      </c>
      <c r="Q46" s="268">
        <f t="shared" si="9"/>
        <v>1053.731561149656</v>
      </c>
      <c r="R46" s="269">
        <f t="shared" si="10"/>
        <v>0</v>
      </c>
      <c r="S46" s="270">
        <f t="shared" si="11"/>
        <v>77.069659365752401</v>
      </c>
      <c r="T46" s="269">
        <f t="shared" si="12"/>
        <v>0</v>
      </c>
      <c r="U46" s="279">
        <f t="shared" si="13"/>
        <v>0</v>
      </c>
      <c r="V46" s="278">
        <f t="shared" si="14"/>
        <v>3693.9572983147759</v>
      </c>
      <c r="W46" s="268">
        <f t="shared" si="15"/>
        <v>1053.731561149656</v>
      </c>
      <c r="X46" s="269">
        <f t="shared" si="16"/>
        <v>0</v>
      </c>
      <c r="Y46" s="270">
        <f t="shared" si="17"/>
        <v>77.069659365752401</v>
      </c>
      <c r="Z46" s="269">
        <f t="shared" si="18"/>
        <v>0</v>
      </c>
      <c r="AA46" s="279">
        <f t="shared" si="19"/>
        <v>0</v>
      </c>
      <c r="AB46" s="278">
        <f t="shared" si="20"/>
        <v>3693.9572983147759</v>
      </c>
      <c r="AC46" s="268">
        <f t="shared" si="21"/>
        <v>1053.731561149656</v>
      </c>
      <c r="AD46" s="269">
        <f t="shared" si="22"/>
        <v>0</v>
      </c>
      <c r="AE46" s="270">
        <f t="shared" si="23"/>
        <v>77.069659365752401</v>
      </c>
      <c r="AF46" s="269">
        <f t="shared" si="24"/>
        <v>0</v>
      </c>
      <c r="AG46" s="279">
        <f t="shared" si="25"/>
        <v>0</v>
      </c>
    </row>
    <row r="47" spans="1:33" ht="15">
      <c r="A47" s="26">
        <f t="shared" si="1"/>
        <v>21</v>
      </c>
      <c r="B47" s="179"/>
      <c r="C47" s="272" t="s">
        <v>161</v>
      </c>
      <c r="D47" s="276"/>
      <c r="E47" s="267"/>
      <c r="F47" s="267"/>
      <c r="G47" s="267"/>
      <c r="H47" s="267"/>
      <c r="I47" s="277"/>
      <c r="J47" s="276">
        <f t="shared" si="2"/>
        <v>0</v>
      </c>
      <c r="K47" s="267">
        <f t="shared" si="3"/>
        <v>0</v>
      </c>
      <c r="L47" s="267">
        <f t="shared" si="4"/>
        <v>0</v>
      </c>
      <c r="M47" s="267">
        <f t="shared" si="5"/>
        <v>0</v>
      </c>
      <c r="N47" s="267">
        <f t="shared" si="6"/>
        <v>0</v>
      </c>
      <c r="O47" s="277">
        <f t="shared" si="7"/>
        <v>0</v>
      </c>
      <c r="P47" s="276">
        <f t="shared" si="8"/>
        <v>0</v>
      </c>
      <c r="Q47" s="267">
        <f t="shared" si="9"/>
        <v>0</v>
      </c>
      <c r="R47" s="267">
        <f t="shared" si="10"/>
        <v>0</v>
      </c>
      <c r="S47" s="267">
        <f t="shared" si="11"/>
        <v>0</v>
      </c>
      <c r="T47" s="267">
        <f t="shared" si="12"/>
        <v>0</v>
      </c>
      <c r="U47" s="277">
        <f t="shared" si="13"/>
        <v>0</v>
      </c>
      <c r="V47" s="276">
        <f t="shared" si="14"/>
        <v>0</v>
      </c>
      <c r="W47" s="267">
        <f t="shared" si="15"/>
        <v>0</v>
      </c>
      <c r="X47" s="267">
        <f t="shared" si="16"/>
        <v>0</v>
      </c>
      <c r="Y47" s="267">
        <f t="shared" si="17"/>
        <v>0</v>
      </c>
      <c r="Z47" s="267">
        <f t="shared" si="18"/>
        <v>0</v>
      </c>
      <c r="AA47" s="277">
        <f t="shared" si="19"/>
        <v>0</v>
      </c>
      <c r="AB47" s="276">
        <f t="shared" si="20"/>
        <v>0</v>
      </c>
      <c r="AC47" s="267">
        <f t="shared" si="21"/>
        <v>0</v>
      </c>
      <c r="AD47" s="267">
        <f t="shared" si="22"/>
        <v>0</v>
      </c>
      <c r="AE47" s="267">
        <f t="shared" si="23"/>
        <v>0</v>
      </c>
      <c r="AF47" s="267">
        <f t="shared" si="24"/>
        <v>0</v>
      </c>
      <c r="AG47" s="277">
        <f t="shared" si="25"/>
        <v>0</v>
      </c>
    </row>
    <row r="48" spans="1:33" ht="15">
      <c r="A48" s="26">
        <f t="shared" si="1"/>
        <v>22</v>
      </c>
      <c r="B48" s="179">
        <v>1</v>
      </c>
      <c r="C48" s="273" t="s">
        <v>130</v>
      </c>
      <c r="D48" s="278">
        <v>6654.8554381718086</v>
      </c>
      <c r="E48" s="269">
        <v>0</v>
      </c>
      <c r="F48" s="269">
        <v>0</v>
      </c>
      <c r="G48" s="270">
        <v>0</v>
      </c>
      <c r="H48" s="269">
        <v>0</v>
      </c>
      <c r="I48" s="279">
        <v>0</v>
      </c>
      <c r="J48" s="278">
        <f t="shared" si="2"/>
        <v>6654.8554381718086</v>
      </c>
      <c r="K48" s="269">
        <f t="shared" si="3"/>
        <v>0</v>
      </c>
      <c r="L48" s="269">
        <f t="shared" si="4"/>
        <v>0</v>
      </c>
      <c r="M48" s="270">
        <f t="shared" si="5"/>
        <v>0</v>
      </c>
      <c r="N48" s="269">
        <f t="shared" si="6"/>
        <v>0</v>
      </c>
      <c r="O48" s="279">
        <f t="shared" si="7"/>
        <v>0</v>
      </c>
      <c r="P48" s="278">
        <f t="shared" si="8"/>
        <v>6654.8554381718086</v>
      </c>
      <c r="Q48" s="269">
        <f t="shared" si="9"/>
        <v>0</v>
      </c>
      <c r="R48" s="269">
        <f t="shared" si="10"/>
        <v>0</v>
      </c>
      <c r="S48" s="270">
        <f t="shared" si="11"/>
        <v>0</v>
      </c>
      <c r="T48" s="269">
        <f t="shared" si="12"/>
        <v>0</v>
      </c>
      <c r="U48" s="279">
        <f t="shared" si="13"/>
        <v>0</v>
      </c>
      <c r="V48" s="278">
        <f t="shared" si="14"/>
        <v>6654.8554381718086</v>
      </c>
      <c r="W48" s="269">
        <f t="shared" si="15"/>
        <v>0</v>
      </c>
      <c r="X48" s="269">
        <f t="shared" si="16"/>
        <v>0</v>
      </c>
      <c r="Y48" s="270">
        <f t="shared" si="17"/>
        <v>0</v>
      </c>
      <c r="Z48" s="269">
        <f t="shared" si="18"/>
        <v>0</v>
      </c>
      <c r="AA48" s="279">
        <f t="shared" si="19"/>
        <v>0</v>
      </c>
      <c r="AB48" s="278">
        <f t="shared" si="20"/>
        <v>6654.8554381718086</v>
      </c>
      <c r="AC48" s="269">
        <f t="shared" si="21"/>
        <v>0</v>
      </c>
      <c r="AD48" s="269">
        <f t="shared" si="22"/>
        <v>0</v>
      </c>
      <c r="AE48" s="270">
        <f t="shared" si="23"/>
        <v>0</v>
      </c>
      <c r="AF48" s="269">
        <f t="shared" si="24"/>
        <v>0</v>
      </c>
      <c r="AG48" s="279">
        <f t="shared" si="25"/>
        <v>0</v>
      </c>
    </row>
    <row r="49" spans="1:33" ht="15">
      <c r="A49" s="26">
        <f t="shared" si="1"/>
        <v>23</v>
      </c>
      <c r="B49" s="179">
        <v>1</v>
      </c>
      <c r="C49" s="273" t="s">
        <v>162</v>
      </c>
      <c r="D49" s="278">
        <v>0</v>
      </c>
      <c r="E49" s="269">
        <v>0</v>
      </c>
      <c r="F49" s="269">
        <v>0</v>
      </c>
      <c r="G49" s="270">
        <v>0</v>
      </c>
      <c r="H49" s="269">
        <v>0</v>
      </c>
      <c r="I49" s="279">
        <v>0</v>
      </c>
      <c r="J49" s="278">
        <f t="shared" si="2"/>
        <v>0</v>
      </c>
      <c r="K49" s="269">
        <f t="shared" si="3"/>
        <v>0</v>
      </c>
      <c r="L49" s="269">
        <f t="shared" si="4"/>
        <v>0</v>
      </c>
      <c r="M49" s="270">
        <f t="shared" si="5"/>
        <v>0</v>
      </c>
      <c r="N49" s="269">
        <f t="shared" si="6"/>
        <v>0</v>
      </c>
      <c r="O49" s="279">
        <f t="shared" si="7"/>
        <v>0</v>
      </c>
      <c r="P49" s="278">
        <f t="shared" si="8"/>
        <v>0</v>
      </c>
      <c r="Q49" s="269">
        <f t="shared" si="9"/>
        <v>0</v>
      </c>
      <c r="R49" s="269">
        <f t="shared" si="10"/>
        <v>0</v>
      </c>
      <c r="S49" s="270">
        <f t="shared" si="11"/>
        <v>0</v>
      </c>
      <c r="T49" s="269">
        <f t="shared" si="12"/>
        <v>0</v>
      </c>
      <c r="U49" s="279">
        <f t="shared" si="13"/>
        <v>0</v>
      </c>
      <c r="V49" s="278">
        <f t="shared" si="14"/>
        <v>0</v>
      </c>
      <c r="W49" s="269">
        <f t="shared" si="15"/>
        <v>0</v>
      </c>
      <c r="X49" s="269">
        <f t="shared" si="16"/>
        <v>0</v>
      </c>
      <c r="Y49" s="270">
        <f t="shared" si="17"/>
        <v>0</v>
      </c>
      <c r="Z49" s="269">
        <f t="shared" si="18"/>
        <v>0</v>
      </c>
      <c r="AA49" s="279">
        <f t="shared" si="19"/>
        <v>0</v>
      </c>
      <c r="AB49" s="278">
        <f t="shared" si="20"/>
        <v>0</v>
      </c>
      <c r="AC49" s="269">
        <f t="shared" si="21"/>
        <v>0</v>
      </c>
      <c r="AD49" s="269">
        <f t="shared" si="22"/>
        <v>0</v>
      </c>
      <c r="AE49" s="270">
        <f t="shared" si="23"/>
        <v>0</v>
      </c>
      <c r="AF49" s="269">
        <f t="shared" si="24"/>
        <v>0</v>
      </c>
      <c r="AG49" s="279">
        <f t="shared" si="25"/>
        <v>0</v>
      </c>
    </row>
    <row r="50" spans="1:33" ht="15">
      <c r="A50" s="26">
        <f t="shared" si="1"/>
        <v>24</v>
      </c>
      <c r="B50" s="179">
        <v>1</v>
      </c>
      <c r="C50" s="273" t="s">
        <v>163</v>
      </c>
      <c r="D50" s="278">
        <v>0</v>
      </c>
      <c r="E50" s="269">
        <v>0</v>
      </c>
      <c r="F50" s="269">
        <v>0</v>
      </c>
      <c r="G50" s="270">
        <v>0</v>
      </c>
      <c r="H50" s="269">
        <v>0</v>
      </c>
      <c r="I50" s="279">
        <v>0</v>
      </c>
      <c r="J50" s="278">
        <f t="shared" si="2"/>
        <v>0</v>
      </c>
      <c r="K50" s="269">
        <f t="shared" si="3"/>
        <v>0</v>
      </c>
      <c r="L50" s="269">
        <f t="shared" si="4"/>
        <v>0</v>
      </c>
      <c r="M50" s="270">
        <f t="shared" si="5"/>
        <v>0</v>
      </c>
      <c r="N50" s="269">
        <f t="shared" si="6"/>
        <v>0</v>
      </c>
      <c r="O50" s="279">
        <f t="shared" si="7"/>
        <v>0</v>
      </c>
      <c r="P50" s="278">
        <f t="shared" si="8"/>
        <v>0</v>
      </c>
      <c r="Q50" s="269">
        <f t="shared" si="9"/>
        <v>0</v>
      </c>
      <c r="R50" s="269">
        <f t="shared" si="10"/>
        <v>0</v>
      </c>
      <c r="S50" s="270">
        <f t="shared" si="11"/>
        <v>0</v>
      </c>
      <c r="T50" s="269">
        <f t="shared" si="12"/>
        <v>0</v>
      </c>
      <c r="U50" s="279">
        <f t="shared" si="13"/>
        <v>0</v>
      </c>
      <c r="V50" s="278">
        <f t="shared" si="14"/>
        <v>0</v>
      </c>
      <c r="W50" s="269">
        <f t="shared" si="15"/>
        <v>0</v>
      </c>
      <c r="X50" s="269">
        <f t="shared" si="16"/>
        <v>0</v>
      </c>
      <c r="Y50" s="270">
        <f t="shared" si="17"/>
        <v>0</v>
      </c>
      <c r="Z50" s="269">
        <f t="shared" si="18"/>
        <v>0</v>
      </c>
      <c r="AA50" s="279">
        <f t="shared" si="19"/>
        <v>0</v>
      </c>
      <c r="AB50" s="278">
        <f t="shared" si="20"/>
        <v>0</v>
      </c>
      <c r="AC50" s="269">
        <f t="shared" si="21"/>
        <v>0</v>
      </c>
      <c r="AD50" s="269">
        <f t="shared" si="22"/>
        <v>0</v>
      </c>
      <c r="AE50" s="270">
        <f t="shared" si="23"/>
        <v>0</v>
      </c>
      <c r="AF50" s="269">
        <f t="shared" si="24"/>
        <v>0</v>
      </c>
      <c r="AG50" s="279">
        <f t="shared" si="25"/>
        <v>0</v>
      </c>
    </row>
    <row r="51" spans="1:33" ht="15">
      <c r="A51" s="26">
        <f t="shared" si="1"/>
        <v>25</v>
      </c>
      <c r="B51" s="179"/>
      <c r="C51" s="272" t="s">
        <v>164</v>
      </c>
      <c r="D51" s="276"/>
      <c r="E51" s="267"/>
      <c r="F51" s="267"/>
      <c r="G51" s="267"/>
      <c r="H51" s="267"/>
      <c r="I51" s="277"/>
      <c r="J51" s="276">
        <f t="shared" si="2"/>
        <v>0</v>
      </c>
      <c r="K51" s="267">
        <f t="shared" si="3"/>
        <v>0</v>
      </c>
      <c r="L51" s="267">
        <f t="shared" si="4"/>
        <v>0</v>
      </c>
      <c r="M51" s="267">
        <f t="shared" si="5"/>
        <v>0</v>
      </c>
      <c r="N51" s="267">
        <f t="shared" si="6"/>
        <v>0</v>
      </c>
      <c r="O51" s="277">
        <f t="shared" si="7"/>
        <v>0</v>
      </c>
      <c r="P51" s="276">
        <f t="shared" si="8"/>
        <v>0</v>
      </c>
      <c r="Q51" s="267">
        <f t="shared" si="9"/>
        <v>0</v>
      </c>
      <c r="R51" s="267">
        <f t="shared" si="10"/>
        <v>0</v>
      </c>
      <c r="S51" s="267">
        <f t="shared" si="11"/>
        <v>0</v>
      </c>
      <c r="T51" s="267">
        <f t="shared" si="12"/>
        <v>0</v>
      </c>
      <c r="U51" s="277">
        <f t="shared" si="13"/>
        <v>0</v>
      </c>
      <c r="V51" s="276">
        <f t="shared" si="14"/>
        <v>0</v>
      </c>
      <c r="W51" s="267">
        <f t="shared" si="15"/>
        <v>0</v>
      </c>
      <c r="X51" s="267">
        <f t="shared" si="16"/>
        <v>0</v>
      </c>
      <c r="Y51" s="267">
        <f t="shared" si="17"/>
        <v>0</v>
      </c>
      <c r="Z51" s="267">
        <f t="shared" si="18"/>
        <v>0</v>
      </c>
      <c r="AA51" s="277">
        <f t="shared" si="19"/>
        <v>0</v>
      </c>
      <c r="AB51" s="276">
        <f t="shared" si="20"/>
        <v>0</v>
      </c>
      <c r="AC51" s="267">
        <f t="shared" si="21"/>
        <v>0</v>
      </c>
      <c r="AD51" s="267">
        <f t="shared" si="22"/>
        <v>0</v>
      </c>
      <c r="AE51" s="267">
        <f t="shared" si="23"/>
        <v>0</v>
      </c>
      <c r="AF51" s="267">
        <f t="shared" si="24"/>
        <v>0</v>
      </c>
      <c r="AG51" s="277">
        <f t="shared" si="25"/>
        <v>0</v>
      </c>
    </row>
    <row r="52" spans="1:33" ht="15">
      <c r="A52" s="26">
        <f t="shared" si="1"/>
        <v>26</v>
      </c>
      <c r="B52" s="179">
        <v>1</v>
      </c>
      <c r="C52" s="273" t="s">
        <v>96</v>
      </c>
      <c r="D52" s="278">
        <v>0</v>
      </c>
      <c r="E52" s="268">
        <v>0</v>
      </c>
      <c r="F52" s="269">
        <v>0</v>
      </c>
      <c r="G52" s="270">
        <v>0</v>
      </c>
      <c r="H52" s="269">
        <v>0</v>
      </c>
      <c r="I52" s="279">
        <v>0</v>
      </c>
      <c r="J52" s="278">
        <f t="shared" si="2"/>
        <v>0</v>
      </c>
      <c r="K52" s="268">
        <f t="shared" si="3"/>
        <v>0</v>
      </c>
      <c r="L52" s="269">
        <f t="shared" si="4"/>
        <v>0</v>
      </c>
      <c r="M52" s="270">
        <f t="shared" si="5"/>
        <v>0</v>
      </c>
      <c r="N52" s="269">
        <f t="shared" si="6"/>
        <v>0</v>
      </c>
      <c r="O52" s="279">
        <f t="shared" si="7"/>
        <v>0</v>
      </c>
      <c r="P52" s="278">
        <f t="shared" si="8"/>
        <v>0</v>
      </c>
      <c r="Q52" s="268">
        <f t="shared" si="9"/>
        <v>0</v>
      </c>
      <c r="R52" s="269">
        <f t="shared" si="10"/>
        <v>0</v>
      </c>
      <c r="S52" s="270">
        <f t="shared" si="11"/>
        <v>0</v>
      </c>
      <c r="T52" s="269">
        <f t="shared" si="12"/>
        <v>0</v>
      </c>
      <c r="U52" s="279">
        <f t="shared" si="13"/>
        <v>0</v>
      </c>
      <c r="V52" s="278">
        <f t="shared" si="14"/>
        <v>0</v>
      </c>
      <c r="W52" s="268">
        <f t="shared" si="15"/>
        <v>0</v>
      </c>
      <c r="X52" s="269">
        <f t="shared" si="16"/>
        <v>0</v>
      </c>
      <c r="Y52" s="270">
        <f t="shared" si="17"/>
        <v>0</v>
      </c>
      <c r="Z52" s="269">
        <f t="shared" si="18"/>
        <v>0</v>
      </c>
      <c r="AA52" s="279">
        <f t="shared" si="19"/>
        <v>0</v>
      </c>
      <c r="AB52" s="278">
        <f t="shared" si="20"/>
        <v>0</v>
      </c>
      <c r="AC52" s="268">
        <f t="shared" si="21"/>
        <v>0</v>
      </c>
      <c r="AD52" s="269">
        <f t="shared" si="22"/>
        <v>0</v>
      </c>
      <c r="AE52" s="270">
        <f t="shared" si="23"/>
        <v>0</v>
      </c>
      <c r="AF52" s="269">
        <f t="shared" si="24"/>
        <v>0</v>
      </c>
      <c r="AG52" s="279">
        <f t="shared" si="25"/>
        <v>0</v>
      </c>
    </row>
    <row r="53" spans="1:33" ht="15">
      <c r="A53" s="26">
        <f t="shared" si="1"/>
        <v>27</v>
      </c>
      <c r="B53" s="179">
        <v>1</v>
      </c>
      <c r="C53" s="273" t="s">
        <v>165</v>
      </c>
      <c r="D53" s="278">
        <v>0</v>
      </c>
      <c r="E53" s="268">
        <v>0</v>
      </c>
      <c r="F53" s="269">
        <v>0</v>
      </c>
      <c r="G53" s="270">
        <v>0</v>
      </c>
      <c r="H53" s="269">
        <v>0</v>
      </c>
      <c r="I53" s="279">
        <v>0</v>
      </c>
      <c r="J53" s="278">
        <f t="shared" si="2"/>
        <v>0</v>
      </c>
      <c r="K53" s="268">
        <f t="shared" si="3"/>
        <v>0</v>
      </c>
      <c r="L53" s="269">
        <f t="shared" si="4"/>
        <v>0</v>
      </c>
      <c r="M53" s="270">
        <f t="shared" si="5"/>
        <v>0</v>
      </c>
      <c r="N53" s="269">
        <f t="shared" si="6"/>
        <v>0</v>
      </c>
      <c r="O53" s="279">
        <f t="shared" si="7"/>
        <v>0</v>
      </c>
      <c r="P53" s="278">
        <f t="shared" si="8"/>
        <v>0</v>
      </c>
      <c r="Q53" s="268">
        <f t="shared" si="9"/>
        <v>0</v>
      </c>
      <c r="R53" s="269">
        <f t="shared" si="10"/>
        <v>0</v>
      </c>
      <c r="S53" s="270">
        <f t="shared" si="11"/>
        <v>0</v>
      </c>
      <c r="T53" s="269">
        <f t="shared" si="12"/>
        <v>0</v>
      </c>
      <c r="U53" s="279">
        <f t="shared" si="13"/>
        <v>0</v>
      </c>
      <c r="V53" s="278">
        <f t="shared" si="14"/>
        <v>0</v>
      </c>
      <c r="W53" s="268">
        <f t="shared" si="15"/>
        <v>0</v>
      </c>
      <c r="X53" s="269">
        <f t="shared" si="16"/>
        <v>0</v>
      </c>
      <c r="Y53" s="270">
        <f t="shared" si="17"/>
        <v>0</v>
      </c>
      <c r="Z53" s="269">
        <f t="shared" si="18"/>
        <v>0</v>
      </c>
      <c r="AA53" s="279">
        <f t="shared" si="19"/>
        <v>0</v>
      </c>
      <c r="AB53" s="278">
        <f t="shared" si="20"/>
        <v>0</v>
      </c>
      <c r="AC53" s="268">
        <f t="shared" si="21"/>
        <v>0</v>
      </c>
      <c r="AD53" s="269">
        <f t="shared" si="22"/>
        <v>0</v>
      </c>
      <c r="AE53" s="270">
        <f t="shared" si="23"/>
        <v>0</v>
      </c>
      <c r="AF53" s="269">
        <f t="shared" si="24"/>
        <v>0</v>
      </c>
      <c r="AG53" s="279">
        <f t="shared" si="25"/>
        <v>0</v>
      </c>
    </row>
    <row r="54" spans="1:33" ht="15">
      <c r="A54" s="26">
        <f t="shared" si="1"/>
        <v>28</v>
      </c>
      <c r="B54" s="179">
        <v>1</v>
      </c>
      <c r="C54" s="273" t="s">
        <v>166</v>
      </c>
      <c r="D54" s="278">
        <v>0</v>
      </c>
      <c r="E54" s="268">
        <v>0</v>
      </c>
      <c r="F54" s="269">
        <v>0</v>
      </c>
      <c r="G54" s="270">
        <v>0</v>
      </c>
      <c r="H54" s="269">
        <v>0</v>
      </c>
      <c r="I54" s="279">
        <v>0</v>
      </c>
      <c r="J54" s="278">
        <f t="shared" si="2"/>
        <v>0</v>
      </c>
      <c r="K54" s="268">
        <f t="shared" si="3"/>
        <v>0</v>
      </c>
      <c r="L54" s="269">
        <f t="shared" si="4"/>
        <v>0</v>
      </c>
      <c r="M54" s="270">
        <f t="shared" si="5"/>
        <v>0</v>
      </c>
      <c r="N54" s="269">
        <f t="shared" si="6"/>
        <v>0</v>
      </c>
      <c r="O54" s="279">
        <f t="shared" si="7"/>
        <v>0</v>
      </c>
      <c r="P54" s="278">
        <f t="shared" si="8"/>
        <v>0</v>
      </c>
      <c r="Q54" s="268">
        <f t="shared" si="9"/>
        <v>0</v>
      </c>
      <c r="R54" s="269">
        <f t="shared" si="10"/>
        <v>0</v>
      </c>
      <c r="S54" s="270">
        <f t="shared" si="11"/>
        <v>0</v>
      </c>
      <c r="T54" s="269">
        <f t="shared" si="12"/>
        <v>0</v>
      </c>
      <c r="U54" s="279">
        <f t="shared" si="13"/>
        <v>0</v>
      </c>
      <c r="V54" s="278">
        <f t="shared" si="14"/>
        <v>0</v>
      </c>
      <c r="W54" s="268">
        <f t="shared" si="15"/>
        <v>0</v>
      </c>
      <c r="X54" s="269">
        <f t="shared" si="16"/>
        <v>0</v>
      </c>
      <c r="Y54" s="270">
        <f t="shared" si="17"/>
        <v>0</v>
      </c>
      <c r="Z54" s="269">
        <f t="shared" si="18"/>
        <v>0</v>
      </c>
      <c r="AA54" s="279">
        <f t="shared" si="19"/>
        <v>0</v>
      </c>
      <c r="AB54" s="278">
        <f t="shared" si="20"/>
        <v>0</v>
      </c>
      <c r="AC54" s="268">
        <f t="shared" si="21"/>
        <v>0</v>
      </c>
      <c r="AD54" s="269">
        <f t="shared" si="22"/>
        <v>0</v>
      </c>
      <c r="AE54" s="270">
        <f t="shared" si="23"/>
        <v>0</v>
      </c>
      <c r="AF54" s="269">
        <f t="shared" si="24"/>
        <v>0</v>
      </c>
      <c r="AG54" s="279">
        <f t="shared" si="25"/>
        <v>0</v>
      </c>
    </row>
    <row r="55" spans="1:33" ht="15">
      <c r="A55" s="26">
        <f t="shared" si="1"/>
        <v>29</v>
      </c>
      <c r="B55" s="179"/>
      <c r="C55" s="272" t="s">
        <v>167</v>
      </c>
      <c r="D55" s="276"/>
      <c r="E55" s="267"/>
      <c r="F55" s="267"/>
      <c r="G55" s="267"/>
      <c r="H55" s="267"/>
      <c r="I55" s="277"/>
      <c r="J55" s="276">
        <f t="shared" si="2"/>
        <v>0</v>
      </c>
      <c r="K55" s="267">
        <f t="shared" si="3"/>
        <v>0</v>
      </c>
      <c r="L55" s="267">
        <f t="shared" si="4"/>
        <v>0</v>
      </c>
      <c r="M55" s="267">
        <f t="shared" si="5"/>
        <v>0</v>
      </c>
      <c r="N55" s="267">
        <f t="shared" si="6"/>
        <v>0</v>
      </c>
      <c r="O55" s="277">
        <f t="shared" si="7"/>
        <v>0</v>
      </c>
      <c r="P55" s="276">
        <f t="shared" si="8"/>
        <v>0</v>
      </c>
      <c r="Q55" s="267">
        <f t="shared" si="9"/>
        <v>0</v>
      </c>
      <c r="R55" s="267">
        <f t="shared" si="10"/>
        <v>0</v>
      </c>
      <c r="S55" s="267">
        <f t="shared" si="11"/>
        <v>0</v>
      </c>
      <c r="T55" s="267">
        <f t="shared" si="12"/>
        <v>0</v>
      </c>
      <c r="U55" s="277">
        <f t="shared" si="13"/>
        <v>0</v>
      </c>
      <c r="V55" s="276">
        <f t="shared" si="14"/>
        <v>0</v>
      </c>
      <c r="W55" s="267">
        <f t="shared" si="15"/>
        <v>0</v>
      </c>
      <c r="X55" s="267">
        <f t="shared" si="16"/>
        <v>0</v>
      </c>
      <c r="Y55" s="267">
        <f t="shared" si="17"/>
        <v>0</v>
      </c>
      <c r="Z55" s="267">
        <f t="shared" si="18"/>
        <v>0</v>
      </c>
      <c r="AA55" s="277">
        <f t="shared" si="19"/>
        <v>0</v>
      </c>
      <c r="AB55" s="276">
        <f t="shared" si="20"/>
        <v>0</v>
      </c>
      <c r="AC55" s="267">
        <f t="shared" si="21"/>
        <v>0</v>
      </c>
      <c r="AD55" s="267">
        <f t="shared" si="22"/>
        <v>0</v>
      </c>
      <c r="AE55" s="267">
        <f t="shared" si="23"/>
        <v>0</v>
      </c>
      <c r="AF55" s="267">
        <f t="shared" si="24"/>
        <v>0</v>
      </c>
      <c r="AG55" s="277">
        <f t="shared" si="25"/>
        <v>0</v>
      </c>
    </row>
    <row r="56" spans="1:33" ht="15">
      <c r="A56" s="26">
        <f t="shared" si="1"/>
        <v>30</v>
      </c>
      <c r="B56" s="179">
        <v>1</v>
      </c>
      <c r="C56" s="273" t="s">
        <v>97</v>
      </c>
      <c r="D56" s="278">
        <v>0</v>
      </c>
      <c r="E56" s="268">
        <v>0</v>
      </c>
      <c r="F56" s="269">
        <v>0</v>
      </c>
      <c r="G56" s="270">
        <v>0</v>
      </c>
      <c r="H56" s="269">
        <v>0</v>
      </c>
      <c r="I56" s="279">
        <v>0</v>
      </c>
      <c r="J56" s="278">
        <f t="shared" si="2"/>
        <v>0</v>
      </c>
      <c r="K56" s="268">
        <f t="shared" si="3"/>
        <v>0</v>
      </c>
      <c r="L56" s="269">
        <f t="shared" si="4"/>
        <v>0</v>
      </c>
      <c r="M56" s="270">
        <f t="shared" si="5"/>
        <v>0</v>
      </c>
      <c r="N56" s="269">
        <f t="shared" si="6"/>
        <v>0</v>
      </c>
      <c r="O56" s="279">
        <f t="shared" si="7"/>
        <v>0</v>
      </c>
      <c r="P56" s="278">
        <f t="shared" si="8"/>
        <v>0</v>
      </c>
      <c r="Q56" s="268">
        <f t="shared" si="9"/>
        <v>0</v>
      </c>
      <c r="R56" s="269">
        <f t="shared" si="10"/>
        <v>0</v>
      </c>
      <c r="S56" s="270">
        <f t="shared" si="11"/>
        <v>0</v>
      </c>
      <c r="T56" s="269">
        <f t="shared" si="12"/>
        <v>0</v>
      </c>
      <c r="U56" s="279">
        <f t="shared" si="13"/>
        <v>0</v>
      </c>
      <c r="V56" s="278">
        <f t="shared" si="14"/>
        <v>0</v>
      </c>
      <c r="W56" s="268">
        <f t="shared" si="15"/>
        <v>0</v>
      </c>
      <c r="X56" s="269">
        <f t="shared" si="16"/>
        <v>0</v>
      </c>
      <c r="Y56" s="270">
        <f t="shared" si="17"/>
        <v>0</v>
      </c>
      <c r="Z56" s="269">
        <f t="shared" si="18"/>
        <v>0</v>
      </c>
      <c r="AA56" s="279">
        <f t="shared" si="19"/>
        <v>0</v>
      </c>
      <c r="AB56" s="278">
        <f t="shared" si="20"/>
        <v>0</v>
      </c>
      <c r="AC56" s="268">
        <f t="shared" si="21"/>
        <v>0</v>
      </c>
      <c r="AD56" s="269">
        <f t="shared" si="22"/>
        <v>0</v>
      </c>
      <c r="AE56" s="270">
        <f t="shared" si="23"/>
        <v>0</v>
      </c>
      <c r="AF56" s="269">
        <f t="shared" si="24"/>
        <v>0</v>
      </c>
      <c r="AG56" s="279">
        <f t="shared" si="25"/>
        <v>0</v>
      </c>
    </row>
    <row r="57" spans="1:33" ht="15">
      <c r="A57" s="26">
        <f t="shared" si="1"/>
        <v>31</v>
      </c>
      <c r="B57" s="179"/>
      <c r="C57" s="272" t="s">
        <v>168</v>
      </c>
      <c r="D57" s="276"/>
      <c r="E57" s="267"/>
      <c r="F57" s="267"/>
      <c r="G57" s="267"/>
      <c r="H57" s="267"/>
      <c r="I57" s="277"/>
      <c r="J57" s="276">
        <f t="shared" si="2"/>
        <v>0</v>
      </c>
      <c r="K57" s="267">
        <f t="shared" si="3"/>
        <v>0</v>
      </c>
      <c r="L57" s="267">
        <f t="shared" si="4"/>
        <v>0</v>
      </c>
      <c r="M57" s="267">
        <f t="shared" si="5"/>
        <v>0</v>
      </c>
      <c r="N57" s="267">
        <f t="shared" si="6"/>
        <v>0</v>
      </c>
      <c r="O57" s="277">
        <f t="shared" si="7"/>
        <v>0</v>
      </c>
      <c r="P57" s="276">
        <f t="shared" si="8"/>
        <v>0</v>
      </c>
      <c r="Q57" s="267">
        <f t="shared" si="9"/>
        <v>0</v>
      </c>
      <c r="R57" s="267">
        <f t="shared" si="10"/>
        <v>0</v>
      </c>
      <c r="S57" s="267">
        <f t="shared" si="11"/>
        <v>0</v>
      </c>
      <c r="T57" s="267">
        <f t="shared" si="12"/>
        <v>0</v>
      </c>
      <c r="U57" s="277">
        <f t="shared" si="13"/>
        <v>0</v>
      </c>
      <c r="V57" s="276">
        <f t="shared" si="14"/>
        <v>0</v>
      </c>
      <c r="W57" s="267">
        <f t="shared" si="15"/>
        <v>0</v>
      </c>
      <c r="X57" s="267">
        <f t="shared" si="16"/>
        <v>0</v>
      </c>
      <c r="Y57" s="267">
        <f t="shared" si="17"/>
        <v>0</v>
      </c>
      <c r="Z57" s="267">
        <f t="shared" si="18"/>
        <v>0</v>
      </c>
      <c r="AA57" s="277">
        <f t="shared" si="19"/>
        <v>0</v>
      </c>
      <c r="AB57" s="276">
        <f t="shared" si="20"/>
        <v>0</v>
      </c>
      <c r="AC57" s="267">
        <f t="shared" si="21"/>
        <v>0</v>
      </c>
      <c r="AD57" s="267">
        <f t="shared" si="22"/>
        <v>0</v>
      </c>
      <c r="AE57" s="267">
        <f t="shared" si="23"/>
        <v>0</v>
      </c>
      <c r="AF57" s="267">
        <f t="shared" si="24"/>
        <v>0</v>
      </c>
      <c r="AG57" s="277">
        <f t="shared" si="25"/>
        <v>0</v>
      </c>
    </row>
    <row r="58" spans="1:33" ht="15">
      <c r="A58" s="26">
        <f t="shared" si="1"/>
        <v>32</v>
      </c>
      <c r="B58" s="179">
        <v>1</v>
      </c>
      <c r="C58" s="273" t="s">
        <v>110</v>
      </c>
      <c r="D58" s="278">
        <v>0</v>
      </c>
      <c r="E58" s="268">
        <v>0</v>
      </c>
      <c r="F58" s="269">
        <v>0</v>
      </c>
      <c r="G58" s="270">
        <v>0</v>
      </c>
      <c r="H58" s="269">
        <v>0</v>
      </c>
      <c r="I58" s="279">
        <v>0</v>
      </c>
      <c r="J58" s="278">
        <f t="shared" si="2"/>
        <v>0</v>
      </c>
      <c r="K58" s="268">
        <f t="shared" si="3"/>
        <v>0</v>
      </c>
      <c r="L58" s="269">
        <f t="shared" si="4"/>
        <v>0</v>
      </c>
      <c r="M58" s="270">
        <f t="shared" si="5"/>
        <v>0</v>
      </c>
      <c r="N58" s="269">
        <f t="shared" si="6"/>
        <v>0</v>
      </c>
      <c r="O58" s="279">
        <f t="shared" si="7"/>
        <v>0</v>
      </c>
      <c r="P58" s="278">
        <f t="shared" si="8"/>
        <v>0</v>
      </c>
      <c r="Q58" s="268">
        <f t="shared" si="9"/>
        <v>0</v>
      </c>
      <c r="R58" s="269">
        <f t="shared" si="10"/>
        <v>0</v>
      </c>
      <c r="S58" s="270">
        <f t="shared" si="11"/>
        <v>0</v>
      </c>
      <c r="T58" s="269">
        <f t="shared" si="12"/>
        <v>0</v>
      </c>
      <c r="U58" s="279">
        <f t="shared" si="13"/>
        <v>0</v>
      </c>
      <c r="V58" s="278">
        <f t="shared" si="14"/>
        <v>0</v>
      </c>
      <c r="W58" s="268">
        <f t="shared" si="15"/>
        <v>0</v>
      </c>
      <c r="X58" s="269">
        <f t="shared" si="16"/>
        <v>0</v>
      </c>
      <c r="Y58" s="270">
        <f t="shared" si="17"/>
        <v>0</v>
      </c>
      <c r="Z58" s="269">
        <f t="shared" si="18"/>
        <v>0</v>
      </c>
      <c r="AA58" s="279">
        <f t="shared" si="19"/>
        <v>0</v>
      </c>
      <c r="AB58" s="278">
        <f t="shared" si="20"/>
        <v>0</v>
      </c>
      <c r="AC58" s="268">
        <f t="shared" si="21"/>
        <v>0</v>
      </c>
      <c r="AD58" s="269">
        <f t="shared" si="22"/>
        <v>0</v>
      </c>
      <c r="AE58" s="270">
        <f t="shared" si="23"/>
        <v>0</v>
      </c>
      <c r="AF58" s="269">
        <f t="shared" si="24"/>
        <v>0</v>
      </c>
      <c r="AG58" s="279">
        <f t="shared" si="25"/>
        <v>0</v>
      </c>
    </row>
    <row r="59" spans="1:33" ht="15">
      <c r="A59" s="26">
        <f t="shared" si="1"/>
        <v>33</v>
      </c>
      <c r="B59" s="179"/>
      <c r="C59" s="272" t="s">
        <v>1539</v>
      </c>
      <c r="D59" s="276"/>
      <c r="E59" s="267"/>
      <c r="F59" s="267"/>
      <c r="G59" s="267"/>
      <c r="H59" s="267"/>
      <c r="I59" s="277"/>
      <c r="J59" s="276">
        <f t="shared" si="2"/>
        <v>0</v>
      </c>
      <c r="K59" s="267">
        <f t="shared" si="3"/>
        <v>0</v>
      </c>
      <c r="L59" s="267">
        <f t="shared" si="4"/>
        <v>0</v>
      </c>
      <c r="M59" s="267">
        <f t="shared" si="5"/>
        <v>0</v>
      </c>
      <c r="N59" s="267">
        <f t="shared" si="6"/>
        <v>0</v>
      </c>
      <c r="O59" s="277">
        <f t="shared" si="7"/>
        <v>0</v>
      </c>
      <c r="P59" s="276">
        <f t="shared" si="8"/>
        <v>0</v>
      </c>
      <c r="Q59" s="267">
        <f t="shared" si="9"/>
        <v>0</v>
      </c>
      <c r="R59" s="267">
        <f t="shared" si="10"/>
        <v>0</v>
      </c>
      <c r="S59" s="267">
        <f t="shared" si="11"/>
        <v>0</v>
      </c>
      <c r="T59" s="267">
        <f t="shared" si="12"/>
        <v>0</v>
      </c>
      <c r="U59" s="277">
        <f t="shared" si="13"/>
        <v>0</v>
      </c>
      <c r="V59" s="276">
        <f t="shared" si="14"/>
        <v>0</v>
      </c>
      <c r="W59" s="267">
        <f t="shared" si="15"/>
        <v>0</v>
      </c>
      <c r="X59" s="267">
        <f t="shared" si="16"/>
        <v>0</v>
      </c>
      <c r="Y59" s="267">
        <f t="shared" si="17"/>
        <v>0</v>
      </c>
      <c r="Z59" s="267">
        <f t="shared" si="18"/>
        <v>0</v>
      </c>
      <c r="AA59" s="277">
        <f t="shared" si="19"/>
        <v>0</v>
      </c>
      <c r="AB59" s="276">
        <f t="shared" si="20"/>
        <v>0</v>
      </c>
      <c r="AC59" s="267">
        <f t="shared" si="21"/>
        <v>0</v>
      </c>
      <c r="AD59" s="267">
        <f t="shared" si="22"/>
        <v>0</v>
      </c>
      <c r="AE59" s="267">
        <f t="shared" si="23"/>
        <v>0</v>
      </c>
      <c r="AF59" s="267">
        <f t="shared" si="24"/>
        <v>0</v>
      </c>
      <c r="AG59" s="277">
        <f t="shared" si="25"/>
        <v>0</v>
      </c>
    </row>
    <row r="60" spans="1:33" ht="15">
      <c r="A60" s="26">
        <f t="shared" si="1"/>
        <v>34</v>
      </c>
      <c r="B60" s="179">
        <v>1</v>
      </c>
      <c r="C60" s="273" t="s">
        <v>1536</v>
      </c>
      <c r="D60" s="278">
        <v>0</v>
      </c>
      <c r="E60" s="268">
        <v>0</v>
      </c>
      <c r="F60" s="268">
        <v>0</v>
      </c>
      <c r="G60" s="270">
        <v>0</v>
      </c>
      <c r="H60" s="269">
        <v>0</v>
      </c>
      <c r="I60" s="279">
        <v>0</v>
      </c>
      <c r="J60" s="278">
        <f t="shared" si="2"/>
        <v>0</v>
      </c>
      <c r="K60" s="268">
        <f t="shared" si="3"/>
        <v>0</v>
      </c>
      <c r="L60" s="268">
        <f t="shared" si="4"/>
        <v>0</v>
      </c>
      <c r="M60" s="270">
        <f t="shared" si="5"/>
        <v>0</v>
      </c>
      <c r="N60" s="269">
        <f t="shared" si="6"/>
        <v>0</v>
      </c>
      <c r="O60" s="279">
        <f t="shared" si="7"/>
        <v>0</v>
      </c>
      <c r="P60" s="278">
        <f t="shared" si="8"/>
        <v>0</v>
      </c>
      <c r="Q60" s="268">
        <f t="shared" si="9"/>
        <v>0</v>
      </c>
      <c r="R60" s="268">
        <f t="shared" si="10"/>
        <v>0</v>
      </c>
      <c r="S60" s="270">
        <f t="shared" si="11"/>
        <v>0</v>
      </c>
      <c r="T60" s="269">
        <f t="shared" si="12"/>
        <v>0</v>
      </c>
      <c r="U60" s="279">
        <f t="shared" si="13"/>
        <v>0</v>
      </c>
      <c r="V60" s="278">
        <f t="shared" si="14"/>
        <v>0</v>
      </c>
      <c r="W60" s="268">
        <f t="shared" si="15"/>
        <v>0</v>
      </c>
      <c r="X60" s="268">
        <f t="shared" si="16"/>
        <v>0</v>
      </c>
      <c r="Y60" s="270">
        <f t="shared" si="17"/>
        <v>0</v>
      </c>
      <c r="Z60" s="269">
        <f t="shared" si="18"/>
        <v>0</v>
      </c>
      <c r="AA60" s="279">
        <f t="shared" si="19"/>
        <v>0</v>
      </c>
      <c r="AB60" s="278">
        <f t="shared" si="20"/>
        <v>0</v>
      </c>
      <c r="AC60" s="268">
        <f t="shared" si="21"/>
        <v>0</v>
      </c>
      <c r="AD60" s="268">
        <f t="shared" si="22"/>
        <v>0</v>
      </c>
      <c r="AE60" s="270">
        <f t="shared" si="23"/>
        <v>0</v>
      </c>
      <c r="AF60" s="269">
        <f t="shared" si="24"/>
        <v>0</v>
      </c>
      <c r="AG60" s="279">
        <f t="shared" si="25"/>
        <v>0</v>
      </c>
    </row>
    <row r="61" spans="1:33" ht="15">
      <c r="A61" s="26">
        <f t="shared" si="1"/>
        <v>35</v>
      </c>
      <c r="B61" s="179">
        <v>1</v>
      </c>
      <c r="C61" s="273" t="s">
        <v>1533</v>
      </c>
      <c r="D61" s="278">
        <v>0</v>
      </c>
      <c r="E61" s="268">
        <v>0</v>
      </c>
      <c r="F61" s="268">
        <v>0</v>
      </c>
      <c r="G61" s="270">
        <v>0</v>
      </c>
      <c r="H61" s="269">
        <v>0</v>
      </c>
      <c r="I61" s="279">
        <v>0</v>
      </c>
      <c r="J61" s="278">
        <f t="shared" si="2"/>
        <v>0</v>
      </c>
      <c r="K61" s="268">
        <f t="shared" si="3"/>
        <v>0</v>
      </c>
      <c r="L61" s="268">
        <f t="shared" si="4"/>
        <v>0</v>
      </c>
      <c r="M61" s="270">
        <f t="shared" si="5"/>
        <v>0</v>
      </c>
      <c r="N61" s="269">
        <f t="shared" si="6"/>
        <v>0</v>
      </c>
      <c r="O61" s="279">
        <f t="shared" si="7"/>
        <v>0</v>
      </c>
      <c r="P61" s="278">
        <f t="shared" si="8"/>
        <v>0</v>
      </c>
      <c r="Q61" s="268">
        <f t="shared" si="9"/>
        <v>0</v>
      </c>
      <c r="R61" s="268">
        <f t="shared" si="10"/>
        <v>0</v>
      </c>
      <c r="S61" s="270">
        <f t="shared" si="11"/>
        <v>0</v>
      </c>
      <c r="T61" s="269">
        <f t="shared" si="12"/>
        <v>0</v>
      </c>
      <c r="U61" s="279">
        <f t="shared" si="13"/>
        <v>0</v>
      </c>
      <c r="V61" s="278">
        <f t="shared" si="14"/>
        <v>0</v>
      </c>
      <c r="W61" s="268">
        <f t="shared" si="15"/>
        <v>0</v>
      </c>
      <c r="X61" s="268">
        <f t="shared" si="16"/>
        <v>0</v>
      </c>
      <c r="Y61" s="270">
        <f t="shared" si="17"/>
        <v>0</v>
      </c>
      <c r="Z61" s="269">
        <f t="shared" si="18"/>
        <v>0</v>
      </c>
      <c r="AA61" s="279">
        <f t="shared" si="19"/>
        <v>0</v>
      </c>
      <c r="AB61" s="278">
        <f t="shared" si="20"/>
        <v>0</v>
      </c>
      <c r="AC61" s="268">
        <f t="shared" si="21"/>
        <v>0</v>
      </c>
      <c r="AD61" s="268">
        <f t="shared" si="22"/>
        <v>0</v>
      </c>
      <c r="AE61" s="270">
        <f t="shared" si="23"/>
        <v>0</v>
      </c>
      <c r="AF61" s="269">
        <f t="shared" si="24"/>
        <v>0</v>
      </c>
      <c r="AG61" s="279">
        <f t="shared" si="25"/>
        <v>0</v>
      </c>
    </row>
    <row r="62" spans="1:33" ht="15">
      <c r="A62" s="26">
        <f t="shared" si="1"/>
        <v>36</v>
      </c>
      <c r="B62" s="179">
        <v>1</v>
      </c>
      <c r="C62" s="273" t="s">
        <v>1530</v>
      </c>
      <c r="D62" s="278">
        <v>0</v>
      </c>
      <c r="E62" s="268">
        <v>0</v>
      </c>
      <c r="F62" s="268">
        <v>0</v>
      </c>
      <c r="G62" s="270">
        <v>0</v>
      </c>
      <c r="H62" s="269">
        <v>0</v>
      </c>
      <c r="I62" s="279">
        <v>0</v>
      </c>
      <c r="J62" s="278">
        <f t="shared" si="2"/>
        <v>0</v>
      </c>
      <c r="K62" s="268">
        <f t="shared" si="3"/>
        <v>0</v>
      </c>
      <c r="L62" s="268">
        <f t="shared" si="4"/>
        <v>0</v>
      </c>
      <c r="M62" s="270">
        <f t="shared" si="5"/>
        <v>0</v>
      </c>
      <c r="N62" s="269">
        <f t="shared" si="6"/>
        <v>0</v>
      </c>
      <c r="O62" s="279">
        <f t="shared" si="7"/>
        <v>0</v>
      </c>
      <c r="P62" s="278">
        <f t="shared" si="8"/>
        <v>0</v>
      </c>
      <c r="Q62" s="268">
        <f t="shared" si="9"/>
        <v>0</v>
      </c>
      <c r="R62" s="268">
        <f t="shared" si="10"/>
        <v>0</v>
      </c>
      <c r="S62" s="270">
        <f t="shared" si="11"/>
        <v>0</v>
      </c>
      <c r="T62" s="269">
        <f t="shared" si="12"/>
        <v>0</v>
      </c>
      <c r="U62" s="279">
        <f t="shared" si="13"/>
        <v>0</v>
      </c>
      <c r="V62" s="278">
        <f t="shared" si="14"/>
        <v>0</v>
      </c>
      <c r="W62" s="268">
        <f t="shared" si="15"/>
        <v>0</v>
      </c>
      <c r="X62" s="268">
        <f t="shared" si="16"/>
        <v>0</v>
      </c>
      <c r="Y62" s="270">
        <f t="shared" si="17"/>
        <v>0</v>
      </c>
      <c r="Z62" s="269">
        <f t="shared" si="18"/>
        <v>0</v>
      </c>
      <c r="AA62" s="279">
        <f t="shared" si="19"/>
        <v>0</v>
      </c>
      <c r="AB62" s="278">
        <f t="shared" si="20"/>
        <v>0</v>
      </c>
      <c r="AC62" s="268">
        <f t="shared" si="21"/>
        <v>0</v>
      </c>
      <c r="AD62" s="268">
        <f t="shared" si="22"/>
        <v>0</v>
      </c>
      <c r="AE62" s="270">
        <f t="shared" si="23"/>
        <v>0</v>
      </c>
      <c r="AF62" s="269">
        <f t="shared" si="24"/>
        <v>0</v>
      </c>
      <c r="AG62" s="279">
        <f t="shared" si="25"/>
        <v>0</v>
      </c>
    </row>
    <row r="63" spans="1:33" ht="15">
      <c r="A63" s="26">
        <f t="shared" si="1"/>
        <v>37</v>
      </c>
      <c r="B63" s="179"/>
      <c r="C63" s="272" t="s">
        <v>1538</v>
      </c>
      <c r="D63" s="276"/>
      <c r="E63" s="267"/>
      <c r="F63" s="267"/>
      <c r="G63" s="267"/>
      <c r="H63" s="267"/>
      <c r="I63" s="277"/>
      <c r="J63" s="276">
        <f t="shared" si="2"/>
        <v>0</v>
      </c>
      <c r="K63" s="267">
        <f t="shared" si="3"/>
        <v>0</v>
      </c>
      <c r="L63" s="267">
        <f t="shared" si="4"/>
        <v>0</v>
      </c>
      <c r="M63" s="267">
        <f t="shared" si="5"/>
        <v>0</v>
      </c>
      <c r="N63" s="267">
        <f t="shared" si="6"/>
        <v>0</v>
      </c>
      <c r="O63" s="277">
        <f t="shared" si="7"/>
        <v>0</v>
      </c>
      <c r="P63" s="276">
        <f t="shared" si="8"/>
        <v>0</v>
      </c>
      <c r="Q63" s="267">
        <f t="shared" si="9"/>
        <v>0</v>
      </c>
      <c r="R63" s="267">
        <f t="shared" si="10"/>
        <v>0</v>
      </c>
      <c r="S63" s="267">
        <f t="shared" si="11"/>
        <v>0</v>
      </c>
      <c r="T63" s="267">
        <f t="shared" si="12"/>
        <v>0</v>
      </c>
      <c r="U63" s="277">
        <f t="shared" si="13"/>
        <v>0</v>
      </c>
      <c r="V63" s="276">
        <f t="shared" si="14"/>
        <v>0</v>
      </c>
      <c r="W63" s="267">
        <f t="shared" si="15"/>
        <v>0</v>
      </c>
      <c r="X63" s="267">
        <f t="shared" si="16"/>
        <v>0</v>
      </c>
      <c r="Y63" s="267">
        <f t="shared" si="17"/>
        <v>0</v>
      </c>
      <c r="Z63" s="267">
        <f t="shared" si="18"/>
        <v>0</v>
      </c>
      <c r="AA63" s="277">
        <f t="shared" si="19"/>
        <v>0</v>
      </c>
      <c r="AB63" s="276">
        <f t="shared" si="20"/>
        <v>0</v>
      </c>
      <c r="AC63" s="267">
        <f t="shared" si="21"/>
        <v>0</v>
      </c>
      <c r="AD63" s="267">
        <f t="shared" si="22"/>
        <v>0</v>
      </c>
      <c r="AE63" s="267">
        <f t="shared" si="23"/>
        <v>0</v>
      </c>
      <c r="AF63" s="267">
        <f t="shared" si="24"/>
        <v>0</v>
      </c>
      <c r="AG63" s="277">
        <f t="shared" si="25"/>
        <v>0</v>
      </c>
    </row>
    <row r="64" spans="1:33" ht="15">
      <c r="A64" s="26">
        <f t="shared" si="1"/>
        <v>38</v>
      </c>
      <c r="B64" s="179">
        <v>1</v>
      </c>
      <c r="C64" s="273" t="s">
        <v>1535</v>
      </c>
      <c r="D64" s="278">
        <v>68262.213677721258</v>
      </c>
      <c r="E64" s="268">
        <v>260187.85793102454</v>
      </c>
      <c r="F64" s="268">
        <v>288797.3281930369</v>
      </c>
      <c r="G64" s="270">
        <v>10460.824638436699</v>
      </c>
      <c r="H64" s="269">
        <v>0</v>
      </c>
      <c r="I64" s="279">
        <v>0</v>
      </c>
      <c r="J64" s="278">
        <f t="shared" si="2"/>
        <v>68262.213677721258</v>
      </c>
      <c r="K64" s="268">
        <f t="shared" si="3"/>
        <v>260187.85793102454</v>
      </c>
      <c r="L64" s="268">
        <f t="shared" si="4"/>
        <v>288797.3281930369</v>
      </c>
      <c r="M64" s="270">
        <f t="shared" si="5"/>
        <v>10460.824638436699</v>
      </c>
      <c r="N64" s="269">
        <f t="shared" si="6"/>
        <v>0</v>
      </c>
      <c r="O64" s="279">
        <f t="shared" si="7"/>
        <v>0</v>
      </c>
      <c r="P64" s="278">
        <f t="shared" si="8"/>
        <v>68262.213677721258</v>
      </c>
      <c r="Q64" s="268">
        <f t="shared" si="9"/>
        <v>260187.85793102454</v>
      </c>
      <c r="R64" s="268">
        <f t="shared" si="10"/>
        <v>288797.3281930369</v>
      </c>
      <c r="S64" s="270">
        <f t="shared" si="11"/>
        <v>10460.824638436699</v>
      </c>
      <c r="T64" s="269">
        <f t="shared" si="12"/>
        <v>0</v>
      </c>
      <c r="U64" s="279">
        <f t="shared" si="13"/>
        <v>0</v>
      </c>
      <c r="V64" s="278">
        <f t="shared" si="14"/>
        <v>68262.213677721258</v>
      </c>
      <c r="W64" s="268">
        <f t="shared" si="15"/>
        <v>260187.85793102454</v>
      </c>
      <c r="X64" s="268">
        <f t="shared" si="16"/>
        <v>288797.3281930369</v>
      </c>
      <c r="Y64" s="270">
        <f t="shared" si="17"/>
        <v>10460.824638436699</v>
      </c>
      <c r="Z64" s="269">
        <f t="shared" si="18"/>
        <v>0</v>
      </c>
      <c r="AA64" s="279">
        <f t="shared" si="19"/>
        <v>0</v>
      </c>
      <c r="AB64" s="278">
        <f t="shared" si="20"/>
        <v>68262.213677721258</v>
      </c>
      <c r="AC64" s="268">
        <f t="shared" si="21"/>
        <v>260187.85793102454</v>
      </c>
      <c r="AD64" s="268">
        <f t="shared" si="22"/>
        <v>288797.3281930369</v>
      </c>
      <c r="AE64" s="270">
        <f t="shared" si="23"/>
        <v>10460.824638436699</v>
      </c>
      <c r="AF64" s="269">
        <f t="shared" si="24"/>
        <v>0</v>
      </c>
      <c r="AG64" s="279">
        <f t="shared" si="25"/>
        <v>0</v>
      </c>
    </row>
    <row r="65" spans="1:33" ht="15">
      <c r="A65" s="26">
        <f t="shared" si="1"/>
        <v>39</v>
      </c>
      <c r="B65" s="179">
        <v>1</v>
      </c>
      <c r="C65" s="273" t="s">
        <v>1532</v>
      </c>
      <c r="D65" s="278">
        <v>75.834457148452415</v>
      </c>
      <c r="E65" s="268">
        <v>289.05017724699985</v>
      </c>
      <c r="F65" s="268">
        <v>368.19822955247247</v>
      </c>
      <c r="G65" s="270">
        <v>15.9977333411589</v>
      </c>
      <c r="H65" s="269">
        <v>0</v>
      </c>
      <c r="I65" s="279">
        <v>0</v>
      </c>
      <c r="J65" s="278">
        <f t="shared" si="2"/>
        <v>75.834457148452415</v>
      </c>
      <c r="K65" s="268">
        <f t="shared" si="3"/>
        <v>289.05017724699985</v>
      </c>
      <c r="L65" s="268">
        <f t="shared" si="4"/>
        <v>368.19822955247247</v>
      </c>
      <c r="M65" s="270">
        <f t="shared" si="5"/>
        <v>15.9977333411589</v>
      </c>
      <c r="N65" s="269">
        <f t="shared" si="6"/>
        <v>0</v>
      </c>
      <c r="O65" s="279">
        <f t="shared" si="7"/>
        <v>0</v>
      </c>
      <c r="P65" s="278">
        <f t="shared" si="8"/>
        <v>75.834457148452415</v>
      </c>
      <c r="Q65" s="268">
        <f t="shared" si="9"/>
        <v>289.05017724699985</v>
      </c>
      <c r="R65" s="268">
        <f t="shared" si="10"/>
        <v>368.19822955247247</v>
      </c>
      <c r="S65" s="270">
        <f t="shared" si="11"/>
        <v>15.9977333411589</v>
      </c>
      <c r="T65" s="269">
        <f t="shared" si="12"/>
        <v>0</v>
      </c>
      <c r="U65" s="279">
        <f t="shared" si="13"/>
        <v>0</v>
      </c>
      <c r="V65" s="278">
        <f t="shared" si="14"/>
        <v>75.834457148452415</v>
      </c>
      <c r="W65" s="268">
        <f t="shared" si="15"/>
        <v>289.05017724699985</v>
      </c>
      <c r="X65" s="268">
        <f t="shared" si="16"/>
        <v>368.19822955247247</v>
      </c>
      <c r="Y65" s="270">
        <f t="shared" si="17"/>
        <v>15.9977333411589</v>
      </c>
      <c r="Z65" s="269">
        <f t="shared" si="18"/>
        <v>0</v>
      </c>
      <c r="AA65" s="279">
        <f t="shared" si="19"/>
        <v>0</v>
      </c>
      <c r="AB65" s="278">
        <f t="shared" si="20"/>
        <v>75.834457148452415</v>
      </c>
      <c r="AC65" s="268">
        <f t="shared" si="21"/>
        <v>289.05017724699985</v>
      </c>
      <c r="AD65" s="268">
        <f t="shared" si="22"/>
        <v>368.19822955247247</v>
      </c>
      <c r="AE65" s="270">
        <f t="shared" si="23"/>
        <v>15.9977333411589</v>
      </c>
      <c r="AF65" s="269">
        <f t="shared" si="24"/>
        <v>0</v>
      </c>
      <c r="AG65" s="279">
        <f t="shared" si="25"/>
        <v>0</v>
      </c>
    </row>
    <row r="66" spans="1:33" ht="15">
      <c r="A66" s="26">
        <f t="shared" si="1"/>
        <v>40</v>
      </c>
      <c r="B66" s="179">
        <v>1</v>
      </c>
      <c r="C66" s="273" t="s">
        <v>1529</v>
      </c>
      <c r="D66" s="278">
        <v>748.69722989889033</v>
      </c>
      <c r="E66" s="268">
        <v>2853.7300212088135</v>
      </c>
      <c r="F66" s="268">
        <v>3130.6874634209976</v>
      </c>
      <c r="G66" s="270">
        <v>96.748196872722914</v>
      </c>
      <c r="H66" s="269">
        <v>0</v>
      </c>
      <c r="I66" s="279">
        <v>0</v>
      </c>
      <c r="J66" s="278">
        <f t="shared" si="2"/>
        <v>748.69722989889033</v>
      </c>
      <c r="K66" s="268">
        <f t="shared" si="3"/>
        <v>2853.7300212088135</v>
      </c>
      <c r="L66" s="268">
        <f t="shared" si="4"/>
        <v>3130.6874634209976</v>
      </c>
      <c r="M66" s="270">
        <f t="shared" si="5"/>
        <v>96.748196872722914</v>
      </c>
      <c r="N66" s="269">
        <f t="shared" si="6"/>
        <v>0</v>
      </c>
      <c r="O66" s="279">
        <f t="shared" si="7"/>
        <v>0</v>
      </c>
      <c r="P66" s="278">
        <f t="shared" si="8"/>
        <v>748.69722989889033</v>
      </c>
      <c r="Q66" s="268">
        <f t="shared" si="9"/>
        <v>2853.7300212088135</v>
      </c>
      <c r="R66" s="268">
        <f t="shared" si="10"/>
        <v>3130.6874634209976</v>
      </c>
      <c r="S66" s="270">
        <f t="shared" si="11"/>
        <v>96.748196872722914</v>
      </c>
      <c r="T66" s="269">
        <f t="shared" si="12"/>
        <v>0</v>
      </c>
      <c r="U66" s="279">
        <f t="shared" si="13"/>
        <v>0</v>
      </c>
      <c r="V66" s="278">
        <f t="shared" si="14"/>
        <v>748.69722989889033</v>
      </c>
      <c r="W66" s="268">
        <f t="shared" si="15"/>
        <v>2853.7300212088135</v>
      </c>
      <c r="X66" s="268">
        <f t="shared" si="16"/>
        <v>3130.6874634209976</v>
      </c>
      <c r="Y66" s="270">
        <f t="shared" si="17"/>
        <v>96.748196872722914</v>
      </c>
      <c r="Z66" s="269">
        <f t="shared" si="18"/>
        <v>0</v>
      </c>
      <c r="AA66" s="279">
        <f t="shared" si="19"/>
        <v>0</v>
      </c>
      <c r="AB66" s="278">
        <f t="shared" si="20"/>
        <v>748.69722989889033</v>
      </c>
      <c r="AC66" s="268">
        <f t="shared" si="21"/>
        <v>2853.7300212088135</v>
      </c>
      <c r="AD66" s="268">
        <f t="shared" si="22"/>
        <v>3130.6874634209976</v>
      </c>
      <c r="AE66" s="270">
        <f t="shared" si="23"/>
        <v>96.748196872722914</v>
      </c>
      <c r="AF66" s="269">
        <f t="shared" si="24"/>
        <v>0</v>
      </c>
      <c r="AG66" s="279">
        <f t="shared" si="25"/>
        <v>0</v>
      </c>
    </row>
    <row r="67" spans="1:33" ht="15">
      <c r="A67" s="26">
        <f t="shared" si="1"/>
        <v>41</v>
      </c>
      <c r="B67" s="179"/>
      <c r="C67" s="272" t="s">
        <v>169</v>
      </c>
      <c r="D67" s="276"/>
      <c r="E67" s="267"/>
      <c r="F67" s="267"/>
      <c r="G67" s="267"/>
      <c r="H67" s="267"/>
      <c r="I67" s="277"/>
      <c r="J67" s="276">
        <f t="shared" si="2"/>
        <v>0</v>
      </c>
      <c r="K67" s="267">
        <f t="shared" si="3"/>
        <v>0</v>
      </c>
      <c r="L67" s="267">
        <f t="shared" si="4"/>
        <v>0</v>
      </c>
      <c r="M67" s="267">
        <f t="shared" si="5"/>
        <v>0</v>
      </c>
      <c r="N67" s="267">
        <f t="shared" si="6"/>
        <v>0</v>
      </c>
      <c r="O67" s="277">
        <f t="shared" si="7"/>
        <v>0</v>
      </c>
      <c r="P67" s="276">
        <f t="shared" si="8"/>
        <v>0</v>
      </c>
      <c r="Q67" s="267">
        <f t="shared" si="9"/>
        <v>0</v>
      </c>
      <c r="R67" s="267">
        <f t="shared" si="10"/>
        <v>0</v>
      </c>
      <c r="S67" s="267">
        <f t="shared" si="11"/>
        <v>0</v>
      </c>
      <c r="T67" s="267">
        <f t="shared" si="12"/>
        <v>0</v>
      </c>
      <c r="U67" s="277">
        <f t="shared" si="13"/>
        <v>0</v>
      </c>
      <c r="V67" s="276">
        <f t="shared" si="14"/>
        <v>0</v>
      </c>
      <c r="W67" s="267">
        <f t="shared" si="15"/>
        <v>0</v>
      </c>
      <c r="X67" s="267">
        <f t="shared" si="16"/>
        <v>0</v>
      </c>
      <c r="Y67" s="267">
        <f t="shared" si="17"/>
        <v>0</v>
      </c>
      <c r="Z67" s="267">
        <f t="shared" si="18"/>
        <v>0</v>
      </c>
      <c r="AA67" s="277">
        <f t="shared" si="19"/>
        <v>0</v>
      </c>
      <c r="AB67" s="276">
        <f t="shared" si="20"/>
        <v>0</v>
      </c>
      <c r="AC67" s="267">
        <f t="shared" si="21"/>
        <v>0</v>
      </c>
      <c r="AD67" s="267">
        <f t="shared" si="22"/>
        <v>0</v>
      </c>
      <c r="AE67" s="267">
        <f t="shared" si="23"/>
        <v>0</v>
      </c>
      <c r="AF67" s="267">
        <f t="shared" si="24"/>
        <v>0</v>
      </c>
      <c r="AG67" s="277">
        <f t="shared" si="25"/>
        <v>0</v>
      </c>
    </row>
    <row r="68" spans="1:33" ht="15">
      <c r="A68" s="26">
        <f t="shared" si="1"/>
        <v>42</v>
      </c>
      <c r="B68" s="179">
        <v>2</v>
      </c>
      <c r="C68" s="273" t="s">
        <v>98</v>
      </c>
      <c r="D68" s="278">
        <v>298957.28664096713</v>
      </c>
      <c r="E68" s="268">
        <v>1176221.7888048878</v>
      </c>
      <c r="F68" s="268">
        <v>1263172.6301498166</v>
      </c>
      <c r="G68" s="270">
        <v>13816.622163023712</v>
      </c>
      <c r="H68" s="270">
        <v>1508041.0074922552</v>
      </c>
      <c r="I68" s="280">
        <v>196222.56397259844</v>
      </c>
      <c r="J68" s="278">
        <f t="shared" si="2"/>
        <v>298957.28664096713</v>
      </c>
      <c r="K68" s="268">
        <f t="shared" si="3"/>
        <v>1176221.7888048878</v>
      </c>
      <c r="L68" s="268">
        <f t="shared" si="4"/>
        <v>1263172.6301498166</v>
      </c>
      <c r="M68" s="270">
        <f t="shared" si="5"/>
        <v>13816.622163023712</v>
      </c>
      <c r="N68" s="270">
        <f t="shared" si="6"/>
        <v>1508041.0074922552</v>
      </c>
      <c r="O68" s="280">
        <f t="shared" si="7"/>
        <v>196222.56397259844</v>
      </c>
      <c r="P68" s="278">
        <f t="shared" si="8"/>
        <v>298957.28664096713</v>
      </c>
      <c r="Q68" s="268">
        <f t="shared" si="9"/>
        <v>1176221.7888048878</v>
      </c>
      <c r="R68" s="268">
        <f t="shared" si="10"/>
        <v>1263172.6301498166</v>
      </c>
      <c r="S68" s="270">
        <f t="shared" si="11"/>
        <v>13816.622163023712</v>
      </c>
      <c r="T68" s="270">
        <f t="shared" si="12"/>
        <v>1508041.0074922552</v>
      </c>
      <c r="U68" s="280">
        <f t="shared" si="13"/>
        <v>196222.56397259844</v>
      </c>
      <c r="V68" s="278">
        <f t="shared" si="14"/>
        <v>298957.28664096713</v>
      </c>
      <c r="W68" s="268">
        <f t="shared" si="15"/>
        <v>1176221.7888048878</v>
      </c>
      <c r="X68" s="268">
        <f t="shared" si="16"/>
        <v>1263172.6301498166</v>
      </c>
      <c r="Y68" s="270">
        <f t="shared" si="17"/>
        <v>13816.622163023712</v>
      </c>
      <c r="Z68" s="270">
        <f t="shared" si="18"/>
        <v>1508041.0074922552</v>
      </c>
      <c r="AA68" s="280">
        <f t="shared" si="19"/>
        <v>196222.56397259844</v>
      </c>
      <c r="AB68" s="278">
        <f t="shared" si="20"/>
        <v>298957.28664096713</v>
      </c>
      <c r="AC68" s="268">
        <f t="shared" si="21"/>
        <v>1176221.7888048878</v>
      </c>
      <c r="AD68" s="268">
        <f t="shared" si="22"/>
        <v>1263172.6301498166</v>
      </c>
      <c r="AE68" s="270">
        <f t="shared" si="23"/>
        <v>13816.622163023712</v>
      </c>
      <c r="AF68" s="270">
        <f t="shared" si="24"/>
        <v>1508041.0074922552</v>
      </c>
      <c r="AG68" s="280">
        <f t="shared" si="25"/>
        <v>196222.56397259844</v>
      </c>
    </row>
    <row r="69" spans="1:33" ht="15">
      <c r="A69" s="26">
        <f t="shared" si="1"/>
        <v>43</v>
      </c>
      <c r="B69" s="179">
        <v>2</v>
      </c>
      <c r="C69" s="273" t="s">
        <v>170</v>
      </c>
      <c r="D69" s="278">
        <v>251.49533959309412</v>
      </c>
      <c r="E69" s="268">
        <v>979.27101968520583</v>
      </c>
      <c r="F69" s="268">
        <v>1323.8911488702286</v>
      </c>
      <c r="G69" s="270">
        <v>24.512815784070572</v>
      </c>
      <c r="H69" s="270">
        <v>1849.065290221057</v>
      </c>
      <c r="I69" s="280">
        <v>67.956077159140733</v>
      </c>
      <c r="J69" s="278">
        <f t="shared" si="2"/>
        <v>251.49533959309412</v>
      </c>
      <c r="K69" s="268">
        <f t="shared" si="3"/>
        <v>979.27101968520583</v>
      </c>
      <c r="L69" s="268">
        <f t="shared" si="4"/>
        <v>1323.8911488702286</v>
      </c>
      <c r="M69" s="270">
        <f t="shared" si="5"/>
        <v>24.512815784070572</v>
      </c>
      <c r="N69" s="270">
        <f t="shared" si="6"/>
        <v>1849.065290221057</v>
      </c>
      <c r="O69" s="280">
        <f t="shared" si="7"/>
        <v>67.956077159140733</v>
      </c>
      <c r="P69" s="278">
        <f t="shared" si="8"/>
        <v>251.49533959309412</v>
      </c>
      <c r="Q69" s="268">
        <f t="shared" si="9"/>
        <v>979.27101968520583</v>
      </c>
      <c r="R69" s="268">
        <f t="shared" si="10"/>
        <v>1323.8911488702286</v>
      </c>
      <c r="S69" s="270">
        <f t="shared" si="11"/>
        <v>24.512815784070572</v>
      </c>
      <c r="T69" s="270">
        <f t="shared" si="12"/>
        <v>1849.065290221057</v>
      </c>
      <c r="U69" s="280">
        <f t="shared" si="13"/>
        <v>67.956077159140733</v>
      </c>
      <c r="V69" s="278">
        <f t="shared" si="14"/>
        <v>251.49533959309412</v>
      </c>
      <c r="W69" s="268">
        <f t="shared" si="15"/>
        <v>979.27101968520583</v>
      </c>
      <c r="X69" s="268">
        <f t="shared" si="16"/>
        <v>1323.8911488702286</v>
      </c>
      <c r="Y69" s="270">
        <f t="shared" si="17"/>
        <v>24.512815784070572</v>
      </c>
      <c r="Z69" s="270">
        <f t="shared" si="18"/>
        <v>1849.065290221057</v>
      </c>
      <c r="AA69" s="280">
        <f t="shared" si="19"/>
        <v>67.956077159140733</v>
      </c>
      <c r="AB69" s="278">
        <f t="shared" si="20"/>
        <v>251.49533959309412</v>
      </c>
      <c r="AC69" s="268">
        <f t="shared" si="21"/>
        <v>979.27101968520583</v>
      </c>
      <c r="AD69" s="268">
        <f t="shared" si="22"/>
        <v>1323.8911488702286</v>
      </c>
      <c r="AE69" s="270">
        <f t="shared" si="23"/>
        <v>24.512815784070572</v>
      </c>
      <c r="AF69" s="270">
        <f t="shared" si="24"/>
        <v>1849.065290221057</v>
      </c>
      <c r="AG69" s="280">
        <f t="shared" si="25"/>
        <v>67.956077159140733</v>
      </c>
    </row>
    <row r="70" spans="1:33" ht="15">
      <c r="A70" s="26">
        <f t="shared" si="1"/>
        <v>44</v>
      </c>
      <c r="B70" s="179">
        <v>2</v>
      </c>
      <c r="C70" s="273" t="s">
        <v>171</v>
      </c>
      <c r="D70" s="278">
        <v>13537.565805386388</v>
      </c>
      <c r="E70" s="268">
        <v>48005.548971268166</v>
      </c>
      <c r="F70" s="268">
        <v>54720.056524480991</v>
      </c>
      <c r="G70" s="270">
        <v>314.54566848374873</v>
      </c>
      <c r="H70" s="270">
        <v>75425.527164949934</v>
      </c>
      <c r="I70" s="280">
        <v>4123.9245366067507</v>
      </c>
      <c r="J70" s="278">
        <f t="shared" si="2"/>
        <v>13537.565805386388</v>
      </c>
      <c r="K70" s="268">
        <f t="shared" si="3"/>
        <v>48005.548971268166</v>
      </c>
      <c r="L70" s="268">
        <f t="shared" si="4"/>
        <v>54720.056524480991</v>
      </c>
      <c r="M70" s="270">
        <f t="shared" si="5"/>
        <v>314.54566848374873</v>
      </c>
      <c r="N70" s="270">
        <f t="shared" si="6"/>
        <v>75425.527164949934</v>
      </c>
      <c r="O70" s="280">
        <f t="shared" si="7"/>
        <v>4123.9245366067507</v>
      </c>
      <c r="P70" s="278">
        <f t="shared" si="8"/>
        <v>13537.565805386388</v>
      </c>
      <c r="Q70" s="268">
        <f t="shared" si="9"/>
        <v>48005.548971268166</v>
      </c>
      <c r="R70" s="268">
        <f t="shared" si="10"/>
        <v>54720.056524480991</v>
      </c>
      <c r="S70" s="270">
        <f t="shared" si="11"/>
        <v>314.54566848374873</v>
      </c>
      <c r="T70" s="270">
        <f t="shared" si="12"/>
        <v>75425.527164949934</v>
      </c>
      <c r="U70" s="280">
        <f t="shared" si="13"/>
        <v>4123.9245366067507</v>
      </c>
      <c r="V70" s="278">
        <f t="shared" si="14"/>
        <v>13537.565805386388</v>
      </c>
      <c r="W70" s="268">
        <f t="shared" si="15"/>
        <v>48005.548971268166</v>
      </c>
      <c r="X70" s="268">
        <f t="shared" si="16"/>
        <v>54720.056524480991</v>
      </c>
      <c r="Y70" s="270">
        <f t="shared" si="17"/>
        <v>314.54566848374873</v>
      </c>
      <c r="Z70" s="270">
        <f t="shared" si="18"/>
        <v>75425.527164949934</v>
      </c>
      <c r="AA70" s="280">
        <f t="shared" si="19"/>
        <v>4123.9245366067507</v>
      </c>
      <c r="AB70" s="278">
        <f t="shared" si="20"/>
        <v>13537.565805386388</v>
      </c>
      <c r="AC70" s="268">
        <f t="shared" si="21"/>
        <v>48005.548971268166</v>
      </c>
      <c r="AD70" s="268">
        <f t="shared" si="22"/>
        <v>54720.056524480991</v>
      </c>
      <c r="AE70" s="270">
        <f t="shared" si="23"/>
        <v>314.54566848374873</v>
      </c>
      <c r="AF70" s="270">
        <f t="shared" si="24"/>
        <v>75425.527164949934</v>
      </c>
      <c r="AG70" s="280">
        <f t="shared" si="25"/>
        <v>4123.9245366067507</v>
      </c>
    </row>
    <row r="71" spans="1:33" ht="15">
      <c r="A71" s="26">
        <f t="shared" si="1"/>
        <v>45</v>
      </c>
      <c r="B71" s="179"/>
      <c r="C71" s="272" t="s">
        <v>172</v>
      </c>
      <c r="D71" s="276"/>
      <c r="E71" s="267"/>
      <c r="F71" s="267"/>
      <c r="G71" s="267"/>
      <c r="H71" s="267"/>
      <c r="I71" s="277"/>
      <c r="J71" s="276">
        <f t="shared" si="2"/>
        <v>0</v>
      </c>
      <c r="K71" s="267">
        <f t="shared" si="3"/>
        <v>0</v>
      </c>
      <c r="L71" s="267">
        <f t="shared" si="4"/>
        <v>0</v>
      </c>
      <c r="M71" s="267">
        <f t="shared" si="5"/>
        <v>0</v>
      </c>
      <c r="N71" s="267">
        <f t="shared" si="6"/>
        <v>0</v>
      </c>
      <c r="O71" s="277">
        <f t="shared" si="7"/>
        <v>0</v>
      </c>
      <c r="P71" s="276">
        <f t="shared" si="8"/>
        <v>0</v>
      </c>
      <c r="Q71" s="267">
        <f t="shared" si="9"/>
        <v>0</v>
      </c>
      <c r="R71" s="267">
        <f t="shared" si="10"/>
        <v>0</v>
      </c>
      <c r="S71" s="267">
        <f t="shared" si="11"/>
        <v>0</v>
      </c>
      <c r="T71" s="267">
        <f t="shared" si="12"/>
        <v>0</v>
      </c>
      <c r="U71" s="277">
        <f t="shared" si="13"/>
        <v>0</v>
      </c>
      <c r="V71" s="276">
        <f t="shared" si="14"/>
        <v>0</v>
      </c>
      <c r="W71" s="267">
        <f t="shared" si="15"/>
        <v>0</v>
      </c>
      <c r="X71" s="267">
        <f t="shared" si="16"/>
        <v>0</v>
      </c>
      <c r="Y71" s="267">
        <f t="shared" si="17"/>
        <v>0</v>
      </c>
      <c r="Z71" s="267">
        <f t="shared" si="18"/>
        <v>0</v>
      </c>
      <c r="AA71" s="277">
        <f t="shared" si="19"/>
        <v>0</v>
      </c>
      <c r="AB71" s="276">
        <f t="shared" si="20"/>
        <v>0</v>
      </c>
      <c r="AC71" s="267">
        <f t="shared" si="21"/>
        <v>0</v>
      </c>
      <c r="AD71" s="267">
        <f t="shared" si="22"/>
        <v>0</v>
      </c>
      <c r="AE71" s="267">
        <f t="shared" si="23"/>
        <v>0</v>
      </c>
      <c r="AF71" s="267">
        <f t="shared" si="24"/>
        <v>0</v>
      </c>
      <c r="AG71" s="277">
        <f t="shared" si="25"/>
        <v>0</v>
      </c>
    </row>
    <row r="72" spans="1:33" ht="15">
      <c r="A72" s="26">
        <f t="shared" si="1"/>
        <v>46</v>
      </c>
      <c r="B72" s="179">
        <v>2</v>
      </c>
      <c r="C72" s="273" t="s">
        <v>99</v>
      </c>
      <c r="D72" s="278">
        <v>7018.5351050259123</v>
      </c>
      <c r="E72" s="268">
        <v>27672.188641821547</v>
      </c>
      <c r="F72" s="268">
        <v>31150.176618615114</v>
      </c>
      <c r="G72" s="270">
        <v>122.79637271053774</v>
      </c>
      <c r="H72" s="270">
        <v>50603.075477139901</v>
      </c>
      <c r="I72" s="280">
        <v>4784.9905027288578</v>
      </c>
      <c r="J72" s="278">
        <f t="shared" si="2"/>
        <v>7018.5351050259123</v>
      </c>
      <c r="K72" s="268">
        <f t="shared" si="3"/>
        <v>27672.188641821547</v>
      </c>
      <c r="L72" s="268">
        <f t="shared" si="4"/>
        <v>31150.176618615114</v>
      </c>
      <c r="M72" s="270">
        <f t="shared" si="5"/>
        <v>122.79637271053774</v>
      </c>
      <c r="N72" s="270">
        <f t="shared" si="6"/>
        <v>50603.075477139901</v>
      </c>
      <c r="O72" s="280">
        <f t="shared" si="7"/>
        <v>4784.9905027288578</v>
      </c>
      <c r="P72" s="278">
        <f t="shared" si="8"/>
        <v>7018.5351050259123</v>
      </c>
      <c r="Q72" s="268">
        <f t="shared" si="9"/>
        <v>27672.188641821547</v>
      </c>
      <c r="R72" s="268">
        <f t="shared" si="10"/>
        <v>31150.176618615114</v>
      </c>
      <c r="S72" s="270">
        <f t="shared" si="11"/>
        <v>122.79637271053774</v>
      </c>
      <c r="T72" s="270">
        <f t="shared" si="12"/>
        <v>50603.075477139901</v>
      </c>
      <c r="U72" s="280">
        <f t="shared" si="13"/>
        <v>4784.9905027288578</v>
      </c>
      <c r="V72" s="278">
        <f t="shared" si="14"/>
        <v>7018.5351050259123</v>
      </c>
      <c r="W72" s="268">
        <f t="shared" si="15"/>
        <v>27672.188641821547</v>
      </c>
      <c r="X72" s="268">
        <f t="shared" si="16"/>
        <v>31150.176618615114</v>
      </c>
      <c r="Y72" s="270">
        <f t="shared" si="17"/>
        <v>122.79637271053774</v>
      </c>
      <c r="Z72" s="270">
        <f t="shared" si="18"/>
        <v>50603.075477139901</v>
      </c>
      <c r="AA72" s="280">
        <f t="shared" si="19"/>
        <v>4784.9905027288578</v>
      </c>
      <c r="AB72" s="278">
        <f t="shared" si="20"/>
        <v>7018.5351050259123</v>
      </c>
      <c r="AC72" s="268">
        <f t="shared" si="21"/>
        <v>27672.188641821547</v>
      </c>
      <c r="AD72" s="268">
        <f t="shared" si="22"/>
        <v>31150.176618615114</v>
      </c>
      <c r="AE72" s="270">
        <f t="shared" si="23"/>
        <v>122.79637271053774</v>
      </c>
      <c r="AF72" s="270">
        <f t="shared" si="24"/>
        <v>50603.075477139901</v>
      </c>
      <c r="AG72" s="280">
        <f t="shared" si="25"/>
        <v>4784.9905027288578</v>
      </c>
    </row>
    <row r="73" spans="1:33" ht="15">
      <c r="A73" s="26">
        <f t="shared" si="1"/>
        <v>47</v>
      </c>
      <c r="B73" s="179">
        <v>2</v>
      </c>
      <c r="C73" s="273" t="s">
        <v>173</v>
      </c>
      <c r="D73" s="278">
        <v>488.20666932707184</v>
      </c>
      <c r="E73" s="268">
        <v>2007.7503213172342</v>
      </c>
      <c r="F73" s="268">
        <v>2764.900888767711</v>
      </c>
      <c r="G73" s="270">
        <v>5.6400701446733876</v>
      </c>
      <c r="H73" s="270">
        <v>3384.0420868040314</v>
      </c>
      <c r="I73" s="280">
        <v>1576.3003402016659</v>
      </c>
      <c r="J73" s="278">
        <f t="shared" si="2"/>
        <v>488.20666932707184</v>
      </c>
      <c r="K73" s="268">
        <f t="shared" si="3"/>
        <v>2007.7503213172342</v>
      </c>
      <c r="L73" s="268">
        <f t="shared" si="4"/>
        <v>2764.900888767711</v>
      </c>
      <c r="M73" s="270">
        <f t="shared" si="5"/>
        <v>5.6400701446733876</v>
      </c>
      <c r="N73" s="270">
        <f t="shared" si="6"/>
        <v>3384.0420868040314</v>
      </c>
      <c r="O73" s="280">
        <f t="shared" si="7"/>
        <v>1576.3003402016659</v>
      </c>
      <c r="P73" s="278">
        <f t="shared" si="8"/>
        <v>488.20666932707184</v>
      </c>
      <c r="Q73" s="268">
        <f t="shared" si="9"/>
        <v>2007.7503213172342</v>
      </c>
      <c r="R73" s="268">
        <f t="shared" si="10"/>
        <v>2764.900888767711</v>
      </c>
      <c r="S73" s="270">
        <f t="shared" si="11"/>
        <v>5.6400701446733876</v>
      </c>
      <c r="T73" s="270">
        <f t="shared" si="12"/>
        <v>3384.0420868040314</v>
      </c>
      <c r="U73" s="280">
        <f t="shared" si="13"/>
        <v>1576.3003402016659</v>
      </c>
      <c r="V73" s="278">
        <f t="shared" si="14"/>
        <v>488.20666932707184</v>
      </c>
      <c r="W73" s="268">
        <f t="shared" si="15"/>
        <v>2007.7503213172342</v>
      </c>
      <c r="X73" s="268">
        <f t="shared" si="16"/>
        <v>2764.900888767711</v>
      </c>
      <c r="Y73" s="270">
        <f t="shared" si="17"/>
        <v>5.6400701446733876</v>
      </c>
      <c r="Z73" s="270">
        <f t="shared" si="18"/>
        <v>3384.0420868040314</v>
      </c>
      <c r="AA73" s="280">
        <f t="shared" si="19"/>
        <v>1576.3003402016659</v>
      </c>
      <c r="AB73" s="278">
        <f t="shared" si="20"/>
        <v>488.20666932707184</v>
      </c>
      <c r="AC73" s="268">
        <f t="shared" si="21"/>
        <v>2007.7503213172342</v>
      </c>
      <c r="AD73" s="268">
        <f t="shared" si="22"/>
        <v>2764.900888767711</v>
      </c>
      <c r="AE73" s="270">
        <f t="shared" si="23"/>
        <v>5.6400701446733876</v>
      </c>
      <c r="AF73" s="270">
        <f t="shared" si="24"/>
        <v>3384.0420868040314</v>
      </c>
      <c r="AG73" s="280">
        <f t="shared" si="25"/>
        <v>1576.3003402016659</v>
      </c>
    </row>
    <row r="74" spans="1:33" ht="15">
      <c r="A74" s="26">
        <f t="shared" si="1"/>
        <v>48</v>
      </c>
      <c r="B74" s="179"/>
      <c r="C74" s="272" t="s">
        <v>174</v>
      </c>
      <c r="D74" s="276"/>
      <c r="E74" s="267"/>
      <c r="F74" s="267"/>
      <c r="G74" s="267"/>
      <c r="H74" s="267"/>
      <c r="I74" s="277"/>
      <c r="J74" s="276">
        <f t="shared" ref="J74:J105" si="26">IF(D74,((VLOOKUP($B74,$E$7:$AE$16,4)+1)*D74),)</f>
        <v>0</v>
      </c>
      <c r="K74" s="267">
        <f t="shared" ref="K74:K105" si="27">IF(E74,((VLOOKUP($B74,$E$7:$AE$16,8)+1)*E74),)</f>
        <v>0</v>
      </c>
      <c r="L74" s="267">
        <f t="shared" ref="L74:L105" si="28">IF(F74,((VLOOKUP($B74,$E$7:$AE$16,12)+1)*F74),)</f>
        <v>0</v>
      </c>
      <c r="M74" s="267">
        <f t="shared" ref="M74:M105" si="29">IF(G74,((VLOOKUP($B74,$E$7:$AE$16,16)+1)*G74),)</f>
        <v>0</v>
      </c>
      <c r="N74" s="267">
        <f t="shared" ref="N74:N105" si="30">IF(H74,((VLOOKUP($B74,$E$7:$AE$16,20)+1)*H74),)</f>
        <v>0</v>
      </c>
      <c r="O74" s="277">
        <f t="shared" ref="O74:O105" si="31">IF(I74,((VLOOKUP($B74,$E$7:$AE$16,24)+1)*I74),)</f>
        <v>0</v>
      </c>
      <c r="P74" s="276">
        <f t="shared" ref="P74:P105" si="32">IF(D74,((VLOOKUP($B74,$E$7:$AE$16,5)+1)*J74),)</f>
        <v>0</v>
      </c>
      <c r="Q74" s="267">
        <f t="shared" ref="Q74:Q105" si="33">IF(E74,((VLOOKUP($B74,$E$7:$AE$16,5+4)+1)*K74),)</f>
        <v>0</v>
      </c>
      <c r="R74" s="267">
        <f t="shared" ref="R74:R105" si="34">IF(F74,((VLOOKUP($B74,$E$7:$AE$16,5+8)+1)*L74),)</f>
        <v>0</v>
      </c>
      <c r="S74" s="267">
        <f t="shared" ref="S74:S105" si="35">IF(G74,((VLOOKUP($B74,$E$7:$AE$16,5+12)+1)*M74),)</f>
        <v>0</v>
      </c>
      <c r="T74" s="267">
        <f t="shared" ref="T74:T105" si="36">IF(H74,((VLOOKUP($B74,$E$7:$AE$16,5+16)+1)*N74),)</f>
        <v>0</v>
      </c>
      <c r="U74" s="277">
        <f t="shared" ref="U74:U105" si="37">IF(I74,((VLOOKUP($B74,$E$7:$AE$16,5+20)+1)*O74),)</f>
        <v>0</v>
      </c>
      <c r="V74" s="276">
        <f t="shared" ref="V74:V105" si="38">IF(D74,((VLOOKUP($B74,$E$7:$AE$16,6)+1)*P74),)</f>
        <v>0</v>
      </c>
      <c r="W74" s="267">
        <f t="shared" ref="W74:W105" si="39">IF(E74,((VLOOKUP($B74,$E$7:$AE$16,6+4)+1)*Q74),)</f>
        <v>0</v>
      </c>
      <c r="X74" s="267">
        <f t="shared" ref="X74:X105" si="40">IF(F74,((VLOOKUP($B74,$E$7:$AE$16,6+8)+1)*R74),)</f>
        <v>0</v>
      </c>
      <c r="Y74" s="267">
        <f t="shared" ref="Y74:Y105" si="41">IF(G74,((VLOOKUP($B74,$E$7:$AE$16,6+12)+1)*S74),)</f>
        <v>0</v>
      </c>
      <c r="Z74" s="267">
        <f t="shared" ref="Z74:Z105" si="42">IF(H74,((VLOOKUP($B74,$E$7:$AE$16,6+16)+1)*T74),)</f>
        <v>0</v>
      </c>
      <c r="AA74" s="277">
        <f t="shared" ref="AA74:AA105" si="43">IF(I74,((VLOOKUP($B74,$E$7:$AE$16,6+20)+1)*U74),)</f>
        <v>0</v>
      </c>
      <c r="AB74" s="276">
        <f t="shared" ref="AB74:AB105" si="44">IF(D74,((VLOOKUP($B74,$E$7:$AE$16,7)+1)*V74),)</f>
        <v>0</v>
      </c>
      <c r="AC74" s="267">
        <f t="shared" ref="AC74:AC105" si="45">IF(E74,((VLOOKUP($B74,$E$7:$AE$16,7+4)+1)*W74),)</f>
        <v>0</v>
      </c>
      <c r="AD74" s="267">
        <f t="shared" ref="AD74:AD105" si="46">IF(F74,((VLOOKUP($B74,$E$7:$AE$16,7+8)+1)*X74),)</f>
        <v>0</v>
      </c>
      <c r="AE74" s="267">
        <f t="shared" ref="AE74:AE105" si="47">IF(G74,((VLOOKUP($B74,$E$7:$AE$16,7+12)+1)*Y74),)</f>
        <v>0</v>
      </c>
      <c r="AF74" s="267">
        <f t="shared" ref="AF74:AF105" si="48">IF(H74,((VLOOKUP($B74,$E$7:$AE$16,7+16)+1)*Z74),)</f>
        <v>0</v>
      </c>
      <c r="AG74" s="277">
        <f t="shared" ref="AG74:AG105" si="49">IF(I74,((VLOOKUP($B74,$E$7:$AE$16,7+20)+1)*AA74),)</f>
        <v>0</v>
      </c>
    </row>
    <row r="75" spans="1:33" ht="15">
      <c r="A75" s="26">
        <f t="shared" si="1"/>
        <v>49</v>
      </c>
      <c r="B75" s="179">
        <v>2</v>
      </c>
      <c r="C75" s="273" t="s">
        <v>111</v>
      </c>
      <c r="D75" s="278">
        <v>752034.67370639404</v>
      </c>
      <c r="E75" s="268">
        <v>3018230.4256879073</v>
      </c>
      <c r="F75" s="268">
        <v>3913761.9505902641</v>
      </c>
      <c r="G75" s="270">
        <v>4028.1236359637046</v>
      </c>
      <c r="H75" s="270">
        <v>2952679.7358666793</v>
      </c>
      <c r="I75" s="280">
        <v>1051532.8176113358</v>
      </c>
      <c r="J75" s="278">
        <f t="shared" si="26"/>
        <v>752034.67370639404</v>
      </c>
      <c r="K75" s="268">
        <f t="shared" si="27"/>
        <v>3018230.4256879073</v>
      </c>
      <c r="L75" s="268">
        <f t="shared" si="28"/>
        <v>3913761.9505902641</v>
      </c>
      <c r="M75" s="270">
        <f t="shared" si="29"/>
        <v>4028.1236359637046</v>
      </c>
      <c r="N75" s="270">
        <f t="shared" si="30"/>
        <v>2952679.7358666793</v>
      </c>
      <c r="O75" s="280">
        <f t="shared" si="31"/>
        <v>1051532.8176113358</v>
      </c>
      <c r="P75" s="278">
        <f t="shared" si="32"/>
        <v>752034.67370639404</v>
      </c>
      <c r="Q75" s="268">
        <f t="shared" si="33"/>
        <v>3018230.4256879073</v>
      </c>
      <c r="R75" s="268">
        <f t="shared" si="34"/>
        <v>3913761.9505902641</v>
      </c>
      <c r="S75" s="270">
        <f t="shared" si="35"/>
        <v>4028.1236359637046</v>
      </c>
      <c r="T75" s="270">
        <f t="shared" si="36"/>
        <v>2952679.7358666793</v>
      </c>
      <c r="U75" s="280">
        <f t="shared" si="37"/>
        <v>1051532.8176113358</v>
      </c>
      <c r="V75" s="278">
        <f t="shared" si="38"/>
        <v>752034.67370639404</v>
      </c>
      <c r="W75" s="268">
        <f t="shared" si="39"/>
        <v>3018230.4256879073</v>
      </c>
      <c r="X75" s="268">
        <f t="shared" si="40"/>
        <v>3913761.9505902641</v>
      </c>
      <c r="Y75" s="270">
        <f t="shared" si="41"/>
        <v>4028.1236359637046</v>
      </c>
      <c r="Z75" s="270">
        <f t="shared" si="42"/>
        <v>2952679.7358666793</v>
      </c>
      <c r="AA75" s="280">
        <f t="shared" si="43"/>
        <v>1051532.8176113358</v>
      </c>
      <c r="AB75" s="278">
        <f t="shared" si="44"/>
        <v>752034.67370639404</v>
      </c>
      <c r="AC75" s="268">
        <f t="shared" si="45"/>
        <v>3018230.4256879073</v>
      </c>
      <c r="AD75" s="268">
        <f t="shared" si="46"/>
        <v>3913761.9505902641</v>
      </c>
      <c r="AE75" s="270">
        <f t="shared" si="47"/>
        <v>4028.1236359637046</v>
      </c>
      <c r="AF75" s="270">
        <f t="shared" si="48"/>
        <v>2952679.7358666793</v>
      </c>
      <c r="AG75" s="280">
        <f t="shared" si="49"/>
        <v>1051532.8176113358</v>
      </c>
    </row>
    <row r="76" spans="1:33" ht="15">
      <c r="A76" s="26">
        <f t="shared" si="1"/>
        <v>50</v>
      </c>
      <c r="B76" s="179">
        <v>2</v>
      </c>
      <c r="C76" s="273" t="s">
        <v>175</v>
      </c>
      <c r="D76" s="278">
        <v>2780.0934522047364</v>
      </c>
      <c r="E76" s="268">
        <v>9141.0019170260457</v>
      </c>
      <c r="F76" s="268">
        <v>10193.081488223934</v>
      </c>
      <c r="G76" s="270">
        <v>21.432266549758875</v>
      </c>
      <c r="H76" s="270">
        <v>22560.280578693553</v>
      </c>
      <c r="I76" s="280">
        <v>833.00339193336254</v>
      </c>
      <c r="J76" s="278">
        <f t="shared" si="26"/>
        <v>2780.0934522047364</v>
      </c>
      <c r="K76" s="268">
        <f t="shared" si="27"/>
        <v>9141.0019170260457</v>
      </c>
      <c r="L76" s="268">
        <f t="shared" si="28"/>
        <v>10193.081488223934</v>
      </c>
      <c r="M76" s="270">
        <f t="shared" si="29"/>
        <v>21.432266549758875</v>
      </c>
      <c r="N76" s="270">
        <f t="shared" si="30"/>
        <v>22560.280578693553</v>
      </c>
      <c r="O76" s="280">
        <f t="shared" si="31"/>
        <v>833.00339193336254</v>
      </c>
      <c r="P76" s="278">
        <f t="shared" si="32"/>
        <v>2780.0934522047364</v>
      </c>
      <c r="Q76" s="268">
        <f t="shared" si="33"/>
        <v>9141.0019170260457</v>
      </c>
      <c r="R76" s="268">
        <f t="shared" si="34"/>
        <v>10193.081488223934</v>
      </c>
      <c r="S76" s="270">
        <f t="shared" si="35"/>
        <v>21.432266549758875</v>
      </c>
      <c r="T76" s="270">
        <f t="shared" si="36"/>
        <v>22560.280578693553</v>
      </c>
      <c r="U76" s="280">
        <f t="shared" si="37"/>
        <v>833.00339193336254</v>
      </c>
      <c r="V76" s="278">
        <f t="shared" si="38"/>
        <v>2780.0934522047364</v>
      </c>
      <c r="W76" s="268">
        <f t="shared" si="39"/>
        <v>9141.0019170260457</v>
      </c>
      <c r="X76" s="268">
        <f t="shared" si="40"/>
        <v>10193.081488223934</v>
      </c>
      <c r="Y76" s="270">
        <f t="shared" si="41"/>
        <v>21.432266549758875</v>
      </c>
      <c r="Z76" s="270">
        <f t="shared" si="42"/>
        <v>22560.280578693553</v>
      </c>
      <c r="AA76" s="280">
        <f t="shared" si="43"/>
        <v>833.00339193336254</v>
      </c>
      <c r="AB76" s="278">
        <f t="shared" si="44"/>
        <v>2780.0934522047364</v>
      </c>
      <c r="AC76" s="268">
        <f t="shared" si="45"/>
        <v>9141.0019170260457</v>
      </c>
      <c r="AD76" s="268">
        <f t="shared" si="46"/>
        <v>10193.081488223934</v>
      </c>
      <c r="AE76" s="270">
        <f t="shared" si="47"/>
        <v>21.432266549758875</v>
      </c>
      <c r="AF76" s="270">
        <f t="shared" si="48"/>
        <v>22560.280578693553</v>
      </c>
      <c r="AG76" s="280">
        <f t="shared" si="49"/>
        <v>833.00339193336254</v>
      </c>
    </row>
    <row r="77" spans="1:33" ht="15">
      <c r="A77" s="26">
        <f t="shared" si="1"/>
        <v>51</v>
      </c>
      <c r="B77" s="179"/>
      <c r="C77" s="272" t="s">
        <v>176</v>
      </c>
      <c r="D77" s="276"/>
      <c r="E77" s="267"/>
      <c r="F77" s="267"/>
      <c r="G77" s="267"/>
      <c r="H77" s="267"/>
      <c r="I77" s="277"/>
      <c r="J77" s="276">
        <f t="shared" si="26"/>
        <v>0</v>
      </c>
      <c r="K77" s="267">
        <f t="shared" si="27"/>
        <v>0</v>
      </c>
      <c r="L77" s="267">
        <f t="shared" si="28"/>
        <v>0</v>
      </c>
      <c r="M77" s="267">
        <f t="shared" si="29"/>
        <v>0</v>
      </c>
      <c r="N77" s="267">
        <f t="shared" si="30"/>
        <v>0</v>
      </c>
      <c r="O77" s="277">
        <f t="shared" si="31"/>
        <v>0</v>
      </c>
      <c r="P77" s="276">
        <f t="shared" si="32"/>
        <v>0</v>
      </c>
      <c r="Q77" s="267">
        <f t="shared" si="33"/>
        <v>0</v>
      </c>
      <c r="R77" s="267">
        <f t="shared" si="34"/>
        <v>0</v>
      </c>
      <c r="S77" s="267">
        <f t="shared" si="35"/>
        <v>0</v>
      </c>
      <c r="T77" s="267">
        <f t="shared" si="36"/>
        <v>0</v>
      </c>
      <c r="U77" s="277">
        <f t="shared" si="37"/>
        <v>0</v>
      </c>
      <c r="V77" s="276">
        <f t="shared" si="38"/>
        <v>0</v>
      </c>
      <c r="W77" s="267">
        <f t="shared" si="39"/>
        <v>0</v>
      </c>
      <c r="X77" s="267">
        <f t="shared" si="40"/>
        <v>0</v>
      </c>
      <c r="Y77" s="267">
        <f t="shared" si="41"/>
        <v>0</v>
      </c>
      <c r="Z77" s="267">
        <f t="shared" si="42"/>
        <v>0</v>
      </c>
      <c r="AA77" s="277">
        <f t="shared" si="43"/>
        <v>0</v>
      </c>
      <c r="AB77" s="276">
        <f t="shared" si="44"/>
        <v>0</v>
      </c>
      <c r="AC77" s="267">
        <f t="shared" si="45"/>
        <v>0</v>
      </c>
      <c r="AD77" s="267">
        <f t="shared" si="46"/>
        <v>0</v>
      </c>
      <c r="AE77" s="267">
        <f t="shared" si="47"/>
        <v>0</v>
      </c>
      <c r="AF77" s="267">
        <f t="shared" si="48"/>
        <v>0</v>
      </c>
      <c r="AG77" s="277">
        <f t="shared" si="49"/>
        <v>0</v>
      </c>
    </row>
    <row r="78" spans="1:33" ht="15">
      <c r="A78" s="26">
        <f t="shared" si="1"/>
        <v>52</v>
      </c>
      <c r="B78" s="179">
        <v>1</v>
      </c>
      <c r="C78" s="273" t="s">
        <v>131</v>
      </c>
      <c r="D78" s="278">
        <v>53670.276181774323</v>
      </c>
      <c r="E78" s="269">
        <v>0</v>
      </c>
      <c r="F78" s="269">
        <v>0</v>
      </c>
      <c r="G78" s="270">
        <v>945.29828999676329</v>
      </c>
      <c r="H78" s="269">
        <v>0</v>
      </c>
      <c r="I78" s="279">
        <v>0</v>
      </c>
      <c r="J78" s="278">
        <f t="shared" si="26"/>
        <v>53670.276181774323</v>
      </c>
      <c r="K78" s="269">
        <f t="shared" si="27"/>
        <v>0</v>
      </c>
      <c r="L78" s="269">
        <f t="shared" si="28"/>
        <v>0</v>
      </c>
      <c r="M78" s="270">
        <f t="shared" si="29"/>
        <v>945.29828999676329</v>
      </c>
      <c r="N78" s="269">
        <f t="shared" si="30"/>
        <v>0</v>
      </c>
      <c r="O78" s="279">
        <f t="shared" si="31"/>
        <v>0</v>
      </c>
      <c r="P78" s="278">
        <f t="shared" si="32"/>
        <v>53670.276181774323</v>
      </c>
      <c r="Q78" s="269">
        <f t="shared" si="33"/>
        <v>0</v>
      </c>
      <c r="R78" s="269">
        <f t="shared" si="34"/>
        <v>0</v>
      </c>
      <c r="S78" s="270">
        <f t="shared" si="35"/>
        <v>945.29828999676329</v>
      </c>
      <c r="T78" s="269">
        <f t="shared" si="36"/>
        <v>0</v>
      </c>
      <c r="U78" s="279">
        <f t="shared" si="37"/>
        <v>0</v>
      </c>
      <c r="V78" s="278">
        <f t="shared" si="38"/>
        <v>53670.276181774323</v>
      </c>
      <c r="W78" s="269">
        <f t="shared" si="39"/>
        <v>0</v>
      </c>
      <c r="X78" s="269">
        <f t="shared" si="40"/>
        <v>0</v>
      </c>
      <c r="Y78" s="270">
        <f t="shared" si="41"/>
        <v>945.29828999676329</v>
      </c>
      <c r="Z78" s="269">
        <f t="shared" si="42"/>
        <v>0</v>
      </c>
      <c r="AA78" s="279">
        <f t="shared" si="43"/>
        <v>0</v>
      </c>
      <c r="AB78" s="278">
        <f t="shared" si="44"/>
        <v>53670.276181774323</v>
      </c>
      <c r="AC78" s="269">
        <f t="shared" si="45"/>
        <v>0</v>
      </c>
      <c r="AD78" s="269">
        <f t="shared" si="46"/>
        <v>0</v>
      </c>
      <c r="AE78" s="270">
        <f t="shared" si="47"/>
        <v>945.29828999676329</v>
      </c>
      <c r="AF78" s="269">
        <f t="shared" si="48"/>
        <v>0</v>
      </c>
      <c r="AG78" s="279">
        <f t="shared" si="49"/>
        <v>0</v>
      </c>
    </row>
    <row r="79" spans="1:33" ht="15">
      <c r="A79" s="26">
        <f t="shared" si="1"/>
        <v>53</v>
      </c>
      <c r="B79" s="179">
        <v>1</v>
      </c>
      <c r="C79" s="273" t="s">
        <v>177</v>
      </c>
      <c r="D79" s="278">
        <v>172.28035588618667</v>
      </c>
      <c r="E79" s="269">
        <v>0</v>
      </c>
      <c r="F79" s="269">
        <v>0</v>
      </c>
      <c r="G79" s="270">
        <v>0</v>
      </c>
      <c r="H79" s="269">
        <v>0</v>
      </c>
      <c r="I79" s="279">
        <v>0</v>
      </c>
      <c r="J79" s="278">
        <f t="shared" si="26"/>
        <v>172.28035588618667</v>
      </c>
      <c r="K79" s="269">
        <f t="shared" si="27"/>
        <v>0</v>
      </c>
      <c r="L79" s="269">
        <f t="shared" si="28"/>
        <v>0</v>
      </c>
      <c r="M79" s="270">
        <f t="shared" si="29"/>
        <v>0</v>
      </c>
      <c r="N79" s="269">
        <f t="shared" si="30"/>
        <v>0</v>
      </c>
      <c r="O79" s="279">
        <f t="shared" si="31"/>
        <v>0</v>
      </c>
      <c r="P79" s="278">
        <f t="shared" si="32"/>
        <v>172.28035588618667</v>
      </c>
      <c r="Q79" s="269">
        <f t="shared" si="33"/>
        <v>0</v>
      </c>
      <c r="R79" s="269">
        <f t="shared" si="34"/>
        <v>0</v>
      </c>
      <c r="S79" s="270">
        <f t="shared" si="35"/>
        <v>0</v>
      </c>
      <c r="T79" s="269">
        <f t="shared" si="36"/>
        <v>0</v>
      </c>
      <c r="U79" s="279">
        <f t="shared" si="37"/>
        <v>0</v>
      </c>
      <c r="V79" s="278">
        <f t="shared" si="38"/>
        <v>172.28035588618667</v>
      </c>
      <c r="W79" s="269">
        <f t="shared" si="39"/>
        <v>0</v>
      </c>
      <c r="X79" s="269">
        <f t="shared" si="40"/>
        <v>0</v>
      </c>
      <c r="Y79" s="270">
        <f t="shared" si="41"/>
        <v>0</v>
      </c>
      <c r="Z79" s="269">
        <f t="shared" si="42"/>
        <v>0</v>
      </c>
      <c r="AA79" s="279">
        <f t="shared" si="43"/>
        <v>0</v>
      </c>
      <c r="AB79" s="278">
        <f t="shared" si="44"/>
        <v>172.28035588618667</v>
      </c>
      <c r="AC79" s="269">
        <f t="shared" si="45"/>
        <v>0</v>
      </c>
      <c r="AD79" s="269">
        <f t="shared" si="46"/>
        <v>0</v>
      </c>
      <c r="AE79" s="270">
        <f t="shared" si="47"/>
        <v>0</v>
      </c>
      <c r="AF79" s="269">
        <f t="shared" si="48"/>
        <v>0</v>
      </c>
      <c r="AG79" s="279">
        <f t="shared" si="49"/>
        <v>0</v>
      </c>
    </row>
    <row r="80" spans="1:33" ht="15">
      <c r="A80" s="26">
        <f t="shared" si="1"/>
        <v>54</v>
      </c>
      <c r="B80" s="179">
        <v>1</v>
      </c>
      <c r="C80" s="273" t="s">
        <v>178</v>
      </c>
      <c r="D80" s="278">
        <v>0</v>
      </c>
      <c r="E80" s="269">
        <v>0</v>
      </c>
      <c r="F80" s="269">
        <v>0</v>
      </c>
      <c r="G80" s="270">
        <v>0</v>
      </c>
      <c r="H80" s="269">
        <v>0</v>
      </c>
      <c r="I80" s="279">
        <v>0</v>
      </c>
      <c r="J80" s="278">
        <f t="shared" si="26"/>
        <v>0</v>
      </c>
      <c r="K80" s="269">
        <f t="shared" si="27"/>
        <v>0</v>
      </c>
      <c r="L80" s="269">
        <f t="shared" si="28"/>
        <v>0</v>
      </c>
      <c r="M80" s="270">
        <f t="shared" si="29"/>
        <v>0</v>
      </c>
      <c r="N80" s="269">
        <f t="shared" si="30"/>
        <v>0</v>
      </c>
      <c r="O80" s="279">
        <f t="shared" si="31"/>
        <v>0</v>
      </c>
      <c r="P80" s="278">
        <f t="shared" si="32"/>
        <v>0</v>
      </c>
      <c r="Q80" s="269">
        <f t="shared" si="33"/>
        <v>0</v>
      </c>
      <c r="R80" s="269">
        <f t="shared" si="34"/>
        <v>0</v>
      </c>
      <c r="S80" s="270">
        <f t="shared" si="35"/>
        <v>0</v>
      </c>
      <c r="T80" s="269">
        <f t="shared" si="36"/>
        <v>0</v>
      </c>
      <c r="U80" s="279">
        <f t="shared" si="37"/>
        <v>0</v>
      </c>
      <c r="V80" s="278">
        <f t="shared" si="38"/>
        <v>0</v>
      </c>
      <c r="W80" s="269">
        <f t="shared" si="39"/>
        <v>0</v>
      </c>
      <c r="X80" s="269">
        <f t="shared" si="40"/>
        <v>0</v>
      </c>
      <c r="Y80" s="270">
        <f t="shared" si="41"/>
        <v>0</v>
      </c>
      <c r="Z80" s="269">
        <f t="shared" si="42"/>
        <v>0</v>
      </c>
      <c r="AA80" s="279">
        <f t="shared" si="43"/>
        <v>0</v>
      </c>
      <c r="AB80" s="278">
        <f t="shared" si="44"/>
        <v>0</v>
      </c>
      <c r="AC80" s="269">
        <f t="shared" si="45"/>
        <v>0</v>
      </c>
      <c r="AD80" s="269">
        <f t="shared" si="46"/>
        <v>0</v>
      </c>
      <c r="AE80" s="270">
        <f t="shared" si="47"/>
        <v>0</v>
      </c>
      <c r="AF80" s="269">
        <f t="shared" si="48"/>
        <v>0</v>
      </c>
      <c r="AG80" s="279">
        <f t="shared" si="49"/>
        <v>0</v>
      </c>
    </row>
    <row r="81" spans="1:33" ht="15">
      <c r="A81" s="26">
        <f t="shared" si="1"/>
        <v>55</v>
      </c>
      <c r="B81" s="179"/>
      <c r="C81" s="272" t="s">
        <v>179</v>
      </c>
      <c r="D81" s="276"/>
      <c r="E81" s="267"/>
      <c r="F81" s="267"/>
      <c r="G81" s="267"/>
      <c r="H81" s="267"/>
      <c r="I81" s="277"/>
      <c r="J81" s="276">
        <f t="shared" si="26"/>
        <v>0</v>
      </c>
      <c r="K81" s="267">
        <f t="shared" si="27"/>
        <v>0</v>
      </c>
      <c r="L81" s="267">
        <f t="shared" si="28"/>
        <v>0</v>
      </c>
      <c r="M81" s="267">
        <f t="shared" si="29"/>
        <v>0</v>
      </c>
      <c r="N81" s="267">
        <f t="shared" si="30"/>
        <v>0</v>
      </c>
      <c r="O81" s="277">
        <f t="shared" si="31"/>
        <v>0</v>
      </c>
      <c r="P81" s="276">
        <f t="shared" si="32"/>
        <v>0</v>
      </c>
      <c r="Q81" s="267">
        <f t="shared" si="33"/>
        <v>0</v>
      </c>
      <c r="R81" s="267">
        <f t="shared" si="34"/>
        <v>0</v>
      </c>
      <c r="S81" s="267">
        <f t="shared" si="35"/>
        <v>0</v>
      </c>
      <c r="T81" s="267">
        <f t="shared" si="36"/>
        <v>0</v>
      </c>
      <c r="U81" s="277">
        <f t="shared" si="37"/>
        <v>0</v>
      </c>
      <c r="V81" s="276">
        <f t="shared" si="38"/>
        <v>0</v>
      </c>
      <c r="W81" s="267">
        <f t="shared" si="39"/>
        <v>0</v>
      </c>
      <c r="X81" s="267">
        <f t="shared" si="40"/>
        <v>0</v>
      </c>
      <c r="Y81" s="267">
        <f t="shared" si="41"/>
        <v>0</v>
      </c>
      <c r="Z81" s="267">
        <f t="shared" si="42"/>
        <v>0</v>
      </c>
      <c r="AA81" s="277">
        <f t="shared" si="43"/>
        <v>0</v>
      </c>
      <c r="AB81" s="276">
        <f t="shared" si="44"/>
        <v>0</v>
      </c>
      <c r="AC81" s="267">
        <f t="shared" si="45"/>
        <v>0</v>
      </c>
      <c r="AD81" s="267">
        <f t="shared" si="46"/>
        <v>0</v>
      </c>
      <c r="AE81" s="267">
        <f t="shared" si="47"/>
        <v>0</v>
      </c>
      <c r="AF81" s="267">
        <f t="shared" si="48"/>
        <v>0</v>
      </c>
      <c r="AG81" s="277">
        <f t="shared" si="49"/>
        <v>0</v>
      </c>
    </row>
    <row r="82" spans="1:33" ht="15">
      <c r="A82" s="26">
        <f t="shared" si="1"/>
        <v>56</v>
      </c>
      <c r="B82" s="179">
        <v>1</v>
      </c>
      <c r="C82" s="273" t="s">
        <v>132</v>
      </c>
      <c r="D82" s="278">
        <v>16146.815302762892</v>
      </c>
      <c r="E82" s="269">
        <v>0</v>
      </c>
      <c r="F82" s="269">
        <v>0</v>
      </c>
      <c r="G82" s="270">
        <v>683.89747668576126</v>
      </c>
      <c r="H82" s="269">
        <v>0</v>
      </c>
      <c r="I82" s="279">
        <v>0</v>
      </c>
      <c r="J82" s="278">
        <f t="shared" si="26"/>
        <v>16146.815302762892</v>
      </c>
      <c r="K82" s="269">
        <f t="shared" si="27"/>
        <v>0</v>
      </c>
      <c r="L82" s="269">
        <f t="shared" si="28"/>
        <v>0</v>
      </c>
      <c r="M82" s="270">
        <f t="shared" si="29"/>
        <v>683.89747668576126</v>
      </c>
      <c r="N82" s="269">
        <f t="shared" si="30"/>
        <v>0</v>
      </c>
      <c r="O82" s="279">
        <f t="shared" si="31"/>
        <v>0</v>
      </c>
      <c r="P82" s="278">
        <f t="shared" si="32"/>
        <v>16146.815302762892</v>
      </c>
      <c r="Q82" s="269">
        <f t="shared" si="33"/>
        <v>0</v>
      </c>
      <c r="R82" s="269">
        <f t="shared" si="34"/>
        <v>0</v>
      </c>
      <c r="S82" s="270">
        <f t="shared" si="35"/>
        <v>683.89747668576126</v>
      </c>
      <c r="T82" s="269">
        <f t="shared" si="36"/>
        <v>0</v>
      </c>
      <c r="U82" s="279">
        <f t="shared" si="37"/>
        <v>0</v>
      </c>
      <c r="V82" s="278">
        <f t="shared" si="38"/>
        <v>16146.815302762892</v>
      </c>
      <c r="W82" s="269">
        <f t="shared" si="39"/>
        <v>0</v>
      </c>
      <c r="X82" s="269">
        <f t="shared" si="40"/>
        <v>0</v>
      </c>
      <c r="Y82" s="270">
        <f t="shared" si="41"/>
        <v>683.89747668576126</v>
      </c>
      <c r="Z82" s="269">
        <f t="shared" si="42"/>
        <v>0</v>
      </c>
      <c r="AA82" s="279">
        <f t="shared" si="43"/>
        <v>0</v>
      </c>
      <c r="AB82" s="278">
        <f t="shared" si="44"/>
        <v>16146.815302762892</v>
      </c>
      <c r="AC82" s="269">
        <f t="shared" si="45"/>
        <v>0</v>
      </c>
      <c r="AD82" s="269">
        <f t="shared" si="46"/>
        <v>0</v>
      </c>
      <c r="AE82" s="270">
        <f t="shared" si="47"/>
        <v>683.89747668576126</v>
      </c>
      <c r="AF82" s="269">
        <f t="shared" si="48"/>
        <v>0</v>
      </c>
      <c r="AG82" s="279">
        <f t="shared" si="49"/>
        <v>0</v>
      </c>
    </row>
    <row r="83" spans="1:33" ht="15">
      <c r="A83" s="26">
        <f t="shared" si="1"/>
        <v>57</v>
      </c>
      <c r="B83" s="179">
        <v>1</v>
      </c>
      <c r="C83" s="273" t="s">
        <v>180</v>
      </c>
      <c r="D83" s="278">
        <v>177.96348496274157</v>
      </c>
      <c r="E83" s="269">
        <v>0</v>
      </c>
      <c r="F83" s="269">
        <v>0</v>
      </c>
      <c r="G83" s="270">
        <v>0</v>
      </c>
      <c r="H83" s="269">
        <v>0</v>
      </c>
      <c r="I83" s="279">
        <v>0</v>
      </c>
      <c r="J83" s="278">
        <f t="shared" si="26"/>
        <v>177.96348496274157</v>
      </c>
      <c r="K83" s="269">
        <f t="shared" si="27"/>
        <v>0</v>
      </c>
      <c r="L83" s="269">
        <f t="shared" si="28"/>
        <v>0</v>
      </c>
      <c r="M83" s="270">
        <f t="shared" si="29"/>
        <v>0</v>
      </c>
      <c r="N83" s="269">
        <f t="shared" si="30"/>
        <v>0</v>
      </c>
      <c r="O83" s="279">
        <f t="shared" si="31"/>
        <v>0</v>
      </c>
      <c r="P83" s="278">
        <f t="shared" si="32"/>
        <v>177.96348496274157</v>
      </c>
      <c r="Q83" s="269">
        <f t="shared" si="33"/>
        <v>0</v>
      </c>
      <c r="R83" s="269">
        <f t="shared" si="34"/>
        <v>0</v>
      </c>
      <c r="S83" s="270">
        <f t="shared" si="35"/>
        <v>0</v>
      </c>
      <c r="T83" s="269">
        <f t="shared" si="36"/>
        <v>0</v>
      </c>
      <c r="U83" s="279">
        <f t="shared" si="37"/>
        <v>0</v>
      </c>
      <c r="V83" s="278">
        <f t="shared" si="38"/>
        <v>177.96348496274157</v>
      </c>
      <c r="W83" s="269">
        <f t="shared" si="39"/>
        <v>0</v>
      </c>
      <c r="X83" s="269">
        <f t="shared" si="40"/>
        <v>0</v>
      </c>
      <c r="Y83" s="270">
        <f t="shared" si="41"/>
        <v>0</v>
      </c>
      <c r="Z83" s="269">
        <f t="shared" si="42"/>
        <v>0</v>
      </c>
      <c r="AA83" s="279">
        <f t="shared" si="43"/>
        <v>0</v>
      </c>
      <c r="AB83" s="278">
        <f t="shared" si="44"/>
        <v>177.96348496274157</v>
      </c>
      <c r="AC83" s="269">
        <f t="shared" si="45"/>
        <v>0</v>
      </c>
      <c r="AD83" s="269">
        <f t="shared" si="46"/>
        <v>0</v>
      </c>
      <c r="AE83" s="270">
        <f t="shared" si="47"/>
        <v>0</v>
      </c>
      <c r="AF83" s="269">
        <f t="shared" si="48"/>
        <v>0</v>
      </c>
      <c r="AG83" s="279">
        <f t="shared" si="49"/>
        <v>0</v>
      </c>
    </row>
    <row r="84" spans="1:33" ht="15">
      <c r="A84" s="26">
        <f t="shared" si="1"/>
        <v>58</v>
      </c>
      <c r="B84" s="179">
        <v>1</v>
      </c>
      <c r="C84" s="273" t="s">
        <v>181</v>
      </c>
      <c r="D84" s="278">
        <v>573.70856302427069</v>
      </c>
      <c r="E84" s="269">
        <v>0</v>
      </c>
      <c r="F84" s="269">
        <v>0</v>
      </c>
      <c r="G84" s="270">
        <v>0</v>
      </c>
      <c r="H84" s="269">
        <v>0</v>
      </c>
      <c r="I84" s="279">
        <v>0</v>
      </c>
      <c r="J84" s="278">
        <f t="shared" si="26"/>
        <v>573.70856302427069</v>
      </c>
      <c r="K84" s="269">
        <f t="shared" si="27"/>
        <v>0</v>
      </c>
      <c r="L84" s="269">
        <f t="shared" si="28"/>
        <v>0</v>
      </c>
      <c r="M84" s="270">
        <f t="shared" si="29"/>
        <v>0</v>
      </c>
      <c r="N84" s="269">
        <f t="shared" si="30"/>
        <v>0</v>
      </c>
      <c r="O84" s="279">
        <f t="shared" si="31"/>
        <v>0</v>
      </c>
      <c r="P84" s="278">
        <f t="shared" si="32"/>
        <v>573.70856302427069</v>
      </c>
      <c r="Q84" s="269">
        <f t="shared" si="33"/>
        <v>0</v>
      </c>
      <c r="R84" s="269">
        <f t="shared" si="34"/>
        <v>0</v>
      </c>
      <c r="S84" s="270">
        <f t="shared" si="35"/>
        <v>0</v>
      </c>
      <c r="T84" s="269">
        <f t="shared" si="36"/>
        <v>0</v>
      </c>
      <c r="U84" s="279">
        <f t="shared" si="37"/>
        <v>0</v>
      </c>
      <c r="V84" s="278">
        <f t="shared" si="38"/>
        <v>573.70856302427069</v>
      </c>
      <c r="W84" s="269">
        <f t="shared" si="39"/>
        <v>0</v>
      </c>
      <c r="X84" s="269">
        <f t="shared" si="40"/>
        <v>0</v>
      </c>
      <c r="Y84" s="270">
        <f t="shared" si="41"/>
        <v>0</v>
      </c>
      <c r="Z84" s="269">
        <f t="shared" si="42"/>
        <v>0</v>
      </c>
      <c r="AA84" s="279">
        <f t="shared" si="43"/>
        <v>0</v>
      </c>
      <c r="AB84" s="278">
        <f t="shared" si="44"/>
        <v>573.70856302427069</v>
      </c>
      <c r="AC84" s="269">
        <f t="shared" si="45"/>
        <v>0</v>
      </c>
      <c r="AD84" s="269">
        <f t="shared" si="46"/>
        <v>0</v>
      </c>
      <c r="AE84" s="270">
        <f t="shared" si="47"/>
        <v>0</v>
      </c>
      <c r="AF84" s="269">
        <f t="shared" si="48"/>
        <v>0</v>
      </c>
      <c r="AG84" s="279">
        <f t="shared" si="49"/>
        <v>0</v>
      </c>
    </row>
    <row r="85" spans="1:33" ht="15">
      <c r="A85" s="26">
        <f t="shared" si="1"/>
        <v>59</v>
      </c>
      <c r="B85" s="179"/>
      <c r="C85" s="272" t="s">
        <v>182</v>
      </c>
      <c r="D85" s="276"/>
      <c r="E85" s="267"/>
      <c r="F85" s="267"/>
      <c r="G85" s="267"/>
      <c r="H85" s="267"/>
      <c r="I85" s="277"/>
      <c r="J85" s="276">
        <f t="shared" si="26"/>
        <v>0</v>
      </c>
      <c r="K85" s="267">
        <f t="shared" si="27"/>
        <v>0</v>
      </c>
      <c r="L85" s="267">
        <f t="shared" si="28"/>
        <v>0</v>
      </c>
      <c r="M85" s="267">
        <f t="shared" si="29"/>
        <v>0</v>
      </c>
      <c r="N85" s="267">
        <f t="shared" si="30"/>
        <v>0</v>
      </c>
      <c r="O85" s="277">
        <f t="shared" si="31"/>
        <v>0</v>
      </c>
      <c r="P85" s="276">
        <f t="shared" si="32"/>
        <v>0</v>
      </c>
      <c r="Q85" s="267">
        <f t="shared" si="33"/>
        <v>0</v>
      </c>
      <c r="R85" s="267">
        <f t="shared" si="34"/>
        <v>0</v>
      </c>
      <c r="S85" s="267">
        <f t="shared" si="35"/>
        <v>0</v>
      </c>
      <c r="T85" s="267">
        <f t="shared" si="36"/>
        <v>0</v>
      </c>
      <c r="U85" s="277">
        <f t="shared" si="37"/>
        <v>0</v>
      </c>
      <c r="V85" s="276">
        <f t="shared" si="38"/>
        <v>0</v>
      </c>
      <c r="W85" s="267">
        <f t="shared" si="39"/>
        <v>0</v>
      </c>
      <c r="X85" s="267">
        <f t="shared" si="40"/>
        <v>0</v>
      </c>
      <c r="Y85" s="267">
        <f t="shared" si="41"/>
        <v>0</v>
      </c>
      <c r="Z85" s="267">
        <f t="shared" si="42"/>
        <v>0</v>
      </c>
      <c r="AA85" s="277">
        <f t="shared" si="43"/>
        <v>0</v>
      </c>
      <c r="AB85" s="276">
        <f t="shared" si="44"/>
        <v>0</v>
      </c>
      <c r="AC85" s="267">
        <f t="shared" si="45"/>
        <v>0</v>
      </c>
      <c r="AD85" s="267">
        <f t="shared" si="46"/>
        <v>0</v>
      </c>
      <c r="AE85" s="267">
        <f t="shared" si="47"/>
        <v>0</v>
      </c>
      <c r="AF85" s="267">
        <f t="shared" si="48"/>
        <v>0</v>
      </c>
      <c r="AG85" s="277">
        <f t="shared" si="49"/>
        <v>0</v>
      </c>
    </row>
    <row r="86" spans="1:33" ht="15">
      <c r="A86" s="26">
        <f t="shared" si="1"/>
        <v>60</v>
      </c>
      <c r="B86" s="179">
        <v>1</v>
      </c>
      <c r="C86" s="273" t="s">
        <v>133</v>
      </c>
      <c r="D86" s="278">
        <v>770.36280056434089</v>
      </c>
      <c r="E86" s="269">
        <v>0</v>
      </c>
      <c r="F86" s="269">
        <v>0</v>
      </c>
      <c r="G86" s="270">
        <v>140.83222112491973</v>
      </c>
      <c r="H86" s="269">
        <v>0</v>
      </c>
      <c r="I86" s="279">
        <v>0</v>
      </c>
      <c r="J86" s="278">
        <f t="shared" si="26"/>
        <v>770.36280056434089</v>
      </c>
      <c r="K86" s="269">
        <f t="shared" si="27"/>
        <v>0</v>
      </c>
      <c r="L86" s="269">
        <f t="shared" si="28"/>
        <v>0</v>
      </c>
      <c r="M86" s="270">
        <f t="shared" si="29"/>
        <v>140.83222112491973</v>
      </c>
      <c r="N86" s="269">
        <f t="shared" si="30"/>
        <v>0</v>
      </c>
      <c r="O86" s="279">
        <f t="shared" si="31"/>
        <v>0</v>
      </c>
      <c r="P86" s="278">
        <f t="shared" si="32"/>
        <v>770.36280056434089</v>
      </c>
      <c r="Q86" s="269">
        <f t="shared" si="33"/>
        <v>0</v>
      </c>
      <c r="R86" s="269">
        <f t="shared" si="34"/>
        <v>0</v>
      </c>
      <c r="S86" s="270">
        <f t="shared" si="35"/>
        <v>140.83222112491973</v>
      </c>
      <c r="T86" s="269">
        <f t="shared" si="36"/>
        <v>0</v>
      </c>
      <c r="U86" s="279">
        <f t="shared" si="37"/>
        <v>0</v>
      </c>
      <c r="V86" s="278">
        <f t="shared" si="38"/>
        <v>770.36280056434089</v>
      </c>
      <c r="W86" s="269">
        <f t="shared" si="39"/>
        <v>0</v>
      </c>
      <c r="X86" s="269">
        <f t="shared" si="40"/>
        <v>0</v>
      </c>
      <c r="Y86" s="270">
        <f t="shared" si="41"/>
        <v>140.83222112491973</v>
      </c>
      <c r="Z86" s="269">
        <f t="shared" si="42"/>
        <v>0</v>
      </c>
      <c r="AA86" s="279">
        <f t="shared" si="43"/>
        <v>0</v>
      </c>
      <c r="AB86" s="278">
        <f t="shared" si="44"/>
        <v>770.36280056434089</v>
      </c>
      <c r="AC86" s="269">
        <f t="shared" si="45"/>
        <v>0</v>
      </c>
      <c r="AD86" s="269">
        <f t="shared" si="46"/>
        <v>0</v>
      </c>
      <c r="AE86" s="270">
        <f t="shared" si="47"/>
        <v>140.83222112491973</v>
      </c>
      <c r="AF86" s="269">
        <f t="shared" si="48"/>
        <v>0</v>
      </c>
      <c r="AG86" s="279">
        <f t="shared" si="49"/>
        <v>0</v>
      </c>
    </row>
    <row r="87" spans="1:33" ht="15">
      <c r="A87" s="26">
        <f t="shared" si="1"/>
        <v>61</v>
      </c>
      <c r="B87" s="179">
        <v>1</v>
      </c>
      <c r="C87" s="273" t="s">
        <v>183</v>
      </c>
      <c r="D87" s="278">
        <v>0</v>
      </c>
      <c r="E87" s="269">
        <v>0</v>
      </c>
      <c r="F87" s="269">
        <v>0</v>
      </c>
      <c r="G87" s="270">
        <v>0</v>
      </c>
      <c r="H87" s="269">
        <v>0</v>
      </c>
      <c r="I87" s="279">
        <v>0</v>
      </c>
      <c r="J87" s="278">
        <f t="shared" si="26"/>
        <v>0</v>
      </c>
      <c r="K87" s="269">
        <f t="shared" si="27"/>
        <v>0</v>
      </c>
      <c r="L87" s="269">
        <f t="shared" si="28"/>
        <v>0</v>
      </c>
      <c r="M87" s="270">
        <f t="shared" si="29"/>
        <v>0</v>
      </c>
      <c r="N87" s="269">
        <f t="shared" si="30"/>
        <v>0</v>
      </c>
      <c r="O87" s="279">
        <f t="shared" si="31"/>
        <v>0</v>
      </c>
      <c r="P87" s="278">
        <f t="shared" si="32"/>
        <v>0</v>
      </c>
      <c r="Q87" s="269">
        <f t="shared" si="33"/>
        <v>0</v>
      </c>
      <c r="R87" s="269">
        <f t="shared" si="34"/>
        <v>0</v>
      </c>
      <c r="S87" s="270">
        <f t="shared" si="35"/>
        <v>0</v>
      </c>
      <c r="T87" s="269">
        <f t="shared" si="36"/>
        <v>0</v>
      </c>
      <c r="U87" s="279">
        <f t="shared" si="37"/>
        <v>0</v>
      </c>
      <c r="V87" s="278">
        <f t="shared" si="38"/>
        <v>0</v>
      </c>
      <c r="W87" s="269">
        <f t="shared" si="39"/>
        <v>0</v>
      </c>
      <c r="X87" s="269">
        <f t="shared" si="40"/>
        <v>0</v>
      </c>
      <c r="Y87" s="270">
        <f t="shared" si="41"/>
        <v>0</v>
      </c>
      <c r="Z87" s="269">
        <f t="shared" si="42"/>
        <v>0</v>
      </c>
      <c r="AA87" s="279">
        <f t="shared" si="43"/>
        <v>0</v>
      </c>
      <c r="AB87" s="278">
        <f t="shared" si="44"/>
        <v>0</v>
      </c>
      <c r="AC87" s="269">
        <f t="shared" si="45"/>
        <v>0</v>
      </c>
      <c r="AD87" s="269">
        <f t="shared" si="46"/>
        <v>0</v>
      </c>
      <c r="AE87" s="270">
        <f t="shared" si="47"/>
        <v>0</v>
      </c>
      <c r="AF87" s="269">
        <f t="shared" si="48"/>
        <v>0</v>
      </c>
      <c r="AG87" s="279">
        <f t="shared" si="49"/>
        <v>0</v>
      </c>
    </row>
    <row r="88" spans="1:33" ht="15">
      <c r="A88" s="26">
        <f t="shared" si="1"/>
        <v>62</v>
      </c>
      <c r="B88" s="179">
        <v>1</v>
      </c>
      <c r="C88" s="273" t="s">
        <v>184</v>
      </c>
      <c r="D88" s="278">
        <v>28.81289678085793</v>
      </c>
      <c r="E88" s="269">
        <v>0</v>
      </c>
      <c r="F88" s="269">
        <v>0</v>
      </c>
      <c r="G88" s="270">
        <v>0</v>
      </c>
      <c r="H88" s="269">
        <v>0</v>
      </c>
      <c r="I88" s="279">
        <v>0</v>
      </c>
      <c r="J88" s="278">
        <f t="shared" si="26"/>
        <v>28.81289678085793</v>
      </c>
      <c r="K88" s="269">
        <f t="shared" si="27"/>
        <v>0</v>
      </c>
      <c r="L88" s="269">
        <f t="shared" si="28"/>
        <v>0</v>
      </c>
      <c r="M88" s="270">
        <f t="shared" si="29"/>
        <v>0</v>
      </c>
      <c r="N88" s="269">
        <f t="shared" si="30"/>
        <v>0</v>
      </c>
      <c r="O88" s="279">
        <f t="shared" si="31"/>
        <v>0</v>
      </c>
      <c r="P88" s="278">
        <f t="shared" si="32"/>
        <v>28.81289678085793</v>
      </c>
      <c r="Q88" s="269">
        <f t="shared" si="33"/>
        <v>0</v>
      </c>
      <c r="R88" s="269">
        <f t="shared" si="34"/>
        <v>0</v>
      </c>
      <c r="S88" s="270">
        <f t="shared" si="35"/>
        <v>0</v>
      </c>
      <c r="T88" s="269">
        <f t="shared" si="36"/>
        <v>0</v>
      </c>
      <c r="U88" s="279">
        <f t="shared" si="37"/>
        <v>0</v>
      </c>
      <c r="V88" s="278">
        <f t="shared" si="38"/>
        <v>28.81289678085793</v>
      </c>
      <c r="W88" s="269">
        <f t="shared" si="39"/>
        <v>0</v>
      </c>
      <c r="X88" s="269">
        <f t="shared" si="40"/>
        <v>0</v>
      </c>
      <c r="Y88" s="270">
        <f t="shared" si="41"/>
        <v>0</v>
      </c>
      <c r="Z88" s="269">
        <f t="shared" si="42"/>
        <v>0</v>
      </c>
      <c r="AA88" s="279">
        <f t="shared" si="43"/>
        <v>0</v>
      </c>
      <c r="AB88" s="278">
        <f t="shared" si="44"/>
        <v>28.81289678085793</v>
      </c>
      <c r="AC88" s="269">
        <f t="shared" si="45"/>
        <v>0</v>
      </c>
      <c r="AD88" s="269">
        <f t="shared" si="46"/>
        <v>0</v>
      </c>
      <c r="AE88" s="270">
        <f t="shared" si="47"/>
        <v>0</v>
      </c>
      <c r="AF88" s="269">
        <f t="shared" si="48"/>
        <v>0</v>
      </c>
      <c r="AG88" s="279">
        <f t="shared" si="49"/>
        <v>0</v>
      </c>
    </row>
    <row r="89" spans="1:33" ht="15">
      <c r="A89" s="26">
        <f t="shared" si="1"/>
        <v>63</v>
      </c>
      <c r="B89" s="179"/>
      <c r="C89" s="272" t="s">
        <v>185</v>
      </c>
      <c r="D89" s="276"/>
      <c r="E89" s="267"/>
      <c r="F89" s="267"/>
      <c r="G89" s="267"/>
      <c r="H89" s="267"/>
      <c r="I89" s="277"/>
      <c r="J89" s="276">
        <f t="shared" si="26"/>
        <v>0</v>
      </c>
      <c r="K89" s="267">
        <f t="shared" si="27"/>
        <v>0</v>
      </c>
      <c r="L89" s="267">
        <f t="shared" si="28"/>
        <v>0</v>
      </c>
      <c r="M89" s="267">
        <f t="shared" si="29"/>
        <v>0</v>
      </c>
      <c r="N89" s="267">
        <f t="shared" si="30"/>
        <v>0</v>
      </c>
      <c r="O89" s="277">
        <f t="shared" si="31"/>
        <v>0</v>
      </c>
      <c r="P89" s="276">
        <f t="shared" si="32"/>
        <v>0</v>
      </c>
      <c r="Q89" s="267">
        <f t="shared" si="33"/>
        <v>0</v>
      </c>
      <c r="R89" s="267">
        <f t="shared" si="34"/>
        <v>0</v>
      </c>
      <c r="S89" s="267">
        <f t="shared" si="35"/>
        <v>0</v>
      </c>
      <c r="T89" s="267">
        <f t="shared" si="36"/>
        <v>0</v>
      </c>
      <c r="U89" s="277">
        <f t="shared" si="37"/>
        <v>0</v>
      </c>
      <c r="V89" s="276">
        <f t="shared" si="38"/>
        <v>0</v>
      </c>
      <c r="W89" s="267">
        <f t="shared" si="39"/>
        <v>0</v>
      </c>
      <c r="X89" s="267">
        <f t="shared" si="40"/>
        <v>0</v>
      </c>
      <c r="Y89" s="267">
        <f t="shared" si="41"/>
        <v>0</v>
      </c>
      <c r="Z89" s="267">
        <f t="shared" si="42"/>
        <v>0</v>
      </c>
      <c r="AA89" s="277">
        <f t="shared" si="43"/>
        <v>0</v>
      </c>
      <c r="AB89" s="276">
        <f t="shared" si="44"/>
        <v>0</v>
      </c>
      <c r="AC89" s="267">
        <f t="shared" si="45"/>
        <v>0</v>
      </c>
      <c r="AD89" s="267">
        <f t="shared" si="46"/>
        <v>0</v>
      </c>
      <c r="AE89" s="267">
        <f t="shared" si="47"/>
        <v>0</v>
      </c>
      <c r="AF89" s="267">
        <f t="shared" si="48"/>
        <v>0</v>
      </c>
      <c r="AG89" s="277">
        <f t="shared" si="49"/>
        <v>0</v>
      </c>
    </row>
    <row r="90" spans="1:33" ht="15">
      <c r="A90" s="26">
        <f t="shared" si="1"/>
        <v>64</v>
      </c>
      <c r="B90" s="179">
        <v>1</v>
      </c>
      <c r="C90" s="273" t="s">
        <v>134</v>
      </c>
      <c r="D90" s="278">
        <v>4817.2532716792102</v>
      </c>
      <c r="E90" s="269">
        <v>0</v>
      </c>
      <c r="F90" s="269">
        <v>0</v>
      </c>
      <c r="G90" s="270">
        <v>40.527257877674742</v>
      </c>
      <c r="H90" s="269">
        <v>0</v>
      </c>
      <c r="I90" s="279">
        <v>0</v>
      </c>
      <c r="J90" s="278">
        <f t="shared" si="26"/>
        <v>4817.2532716792102</v>
      </c>
      <c r="K90" s="269">
        <f t="shared" si="27"/>
        <v>0</v>
      </c>
      <c r="L90" s="269">
        <f t="shared" si="28"/>
        <v>0</v>
      </c>
      <c r="M90" s="270">
        <f t="shared" si="29"/>
        <v>40.527257877674742</v>
      </c>
      <c r="N90" s="269">
        <f t="shared" si="30"/>
        <v>0</v>
      </c>
      <c r="O90" s="279">
        <f t="shared" si="31"/>
        <v>0</v>
      </c>
      <c r="P90" s="278">
        <f t="shared" si="32"/>
        <v>4817.2532716792102</v>
      </c>
      <c r="Q90" s="269">
        <f t="shared" si="33"/>
        <v>0</v>
      </c>
      <c r="R90" s="269">
        <f t="shared" si="34"/>
        <v>0</v>
      </c>
      <c r="S90" s="270">
        <f t="shared" si="35"/>
        <v>40.527257877674742</v>
      </c>
      <c r="T90" s="269">
        <f t="shared" si="36"/>
        <v>0</v>
      </c>
      <c r="U90" s="279">
        <f t="shared" si="37"/>
        <v>0</v>
      </c>
      <c r="V90" s="278">
        <f t="shared" si="38"/>
        <v>4817.2532716792102</v>
      </c>
      <c r="W90" s="269">
        <f t="shared" si="39"/>
        <v>0</v>
      </c>
      <c r="X90" s="269">
        <f t="shared" si="40"/>
        <v>0</v>
      </c>
      <c r="Y90" s="270">
        <f t="shared" si="41"/>
        <v>40.527257877674742</v>
      </c>
      <c r="Z90" s="269">
        <f t="shared" si="42"/>
        <v>0</v>
      </c>
      <c r="AA90" s="279">
        <f t="shared" si="43"/>
        <v>0</v>
      </c>
      <c r="AB90" s="278">
        <f t="shared" si="44"/>
        <v>4817.2532716792102</v>
      </c>
      <c r="AC90" s="269">
        <f t="shared" si="45"/>
        <v>0</v>
      </c>
      <c r="AD90" s="269">
        <f t="shared" si="46"/>
        <v>0</v>
      </c>
      <c r="AE90" s="270">
        <f t="shared" si="47"/>
        <v>40.527257877674742</v>
      </c>
      <c r="AF90" s="269">
        <f t="shared" si="48"/>
        <v>0</v>
      </c>
      <c r="AG90" s="279">
        <f t="shared" si="49"/>
        <v>0</v>
      </c>
    </row>
    <row r="91" spans="1:33" ht="15">
      <c r="A91" s="26">
        <f t="shared" si="1"/>
        <v>65</v>
      </c>
      <c r="B91" s="179">
        <v>1</v>
      </c>
      <c r="C91" s="273" t="s">
        <v>186</v>
      </c>
      <c r="D91" s="278">
        <v>0</v>
      </c>
      <c r="E91" s="269">
        <v>0</v>
      </c>
      <c r="F91" s="269">
        <v>0</v>
      </c>
      <c r="G91" s="270">
        <v>0</v>
      </c>
      <c r="H91" s="269">
        <v>0</v>
      </c>
      <c r="I91" s="279">
        <v>0</v>
      </c>
      <c r="J91" s="278">
        <f t="shared" si="26"/>
        <v>0</v>
      </c>
      <c r="K91" s="269">
        <f t="shared" si="27"/>
        <v>0</v>
      </c>
      <c r="L91" s="269">
        <f t="shared" si="28"/>
        <v>0</v>
      </c>
      <c r="M91" s="270">
        <f t="shared" si="29"/>
        <v>0</v>
      </c>
      <c r="N91" s="269">
        <f t="shared" si="30"/>
        <v>0</v>
      </c>
      <c r="O91" s="279">
        <f t="shared" si="31"/>
        <v>0</v>
      </c>
      <c r="P91" s="278">
        <f t="shared" si="32"/>
        <v>0</v>
      </c>
      <c r="Q91" s="269">
        <f t="shared" si="33"/>
        <v>0</v>
      </c>
      <c r="R91" s="269">
        <f t="shared" si="34"/>
        <v>0</v>
      </c>
      <c r="S91" s="270">
        <f t="shared" si="35"/>
        <v>0</v>
      </c>
      <c r="T91" s="269">
        <f t="shared" si="36"/>
        <v>0</v>
      </c>
      <c r="U91" s="279">
        <f t="shared" si="37"/>
        <v>0</v>
      </c>
      <c r="V91" s="278">
        <f t="shared" si="38"/>
        <v>0</v>
      </c>
      <c r="W91" s="269">
        <f t="shared" si="39"/>
        <v>0</v>
      </c>
      <c r="X91" s="269">
        <f t="shared" si="40"/>
        <v>0</v>
      </c>
      <c r="Y91" s="270">
        <f t="shared" si="41"/>
        <v>0</v>
      </c>
      <c r="Z91" s="269">
        <f t="shared" si="42"/>
        <v>0</v>
      </c>
      <c r="AA91" s="279">
        <f t="shared" si="43"/>
        <v>0</v>
      </c>
      <c r="AB91" s="278">
        <f t="shared" si="44"/>
        <v>0</v>
      </c>
      <c r="AC91" s="269">
        <f t="shared" si="45"/>
        <v>0</v>
      </c>
      <c r="AD91" s="269">
        <f t="shared" si="46"/>
        <v>0</v>
      </c>
      <c r="AE91" s="270">
        <f t="shared" si="47"/>
        <v>0</v>
      </c>
      <c r="AF91" s="269">
        <f t="shared" si="48"/>
        <v>0</v>
      </c>
      <c r="AG91" s="279">
        <f t="shared" si="49"/>
        <v>0</v>
      </c>
    </row>
    <row r="92" spans="1:33" ht="15">
      <c r="A92" s="26">
        <f t="shared" si="1"/>
        <v>66</v>
      </c>
      <c r="B92" s="179">
        <v>1</v>
      </c>
      <c r="C92" s="273" t="s">
        <v>187</v>
      </c>
      <c r="D92" s="278">
        <v>0</v>
      </c>
      <c r="E92" s="269">
        <v>0</v>
      </c>
      <c r="F92" s="269">
        <v>0</v>
      </c>
      <c r="G92" s="270">
        <v>0</v>
      </c>
      <c r="H92" s="269">
        <v>0</v>
      </c>
      <c r="I92" s="279">
        <v>0</v>
      </c>
      <c r="J92" s="278">
        <f t="shared" si="26"/>
        <v>0</v>
      </c>
      <c r="K92" s="269">
        <f t="shared" si="27"/>
        <v>0</v>
      </c>
      <c r="L92" s="269">
        <f t="shared" si="28"/>
        <v>0</v>
      </c>
      <c r="M92" s="270">
        <f t="shared" si="29"/>
        <v>0</v>
      </c>
      <c r="N92" s="269">
        <f t="shared" si="30"/>
        <v>0</v>
      </c>
      <c r="O92" s="279">
        <f t="shared" si="31"/>
        <v>0</v>
      </c>
      <c r="P92" s="278">
        <f t="shared" si="32"/>
        <v>0</v>
      </c>
      <c r="Q92" s="269">
        <f t="shared" si="33"/>
        <v>0</v>
      </c>
      <c r="R92" s="269">
        <f t="shared" si="34"/>
        <v>0</v>
      </c>
      <c r="S92" s="270">
        <f t="shared" si="35"/>
        <v>0</v>
      </c>
      <c r="T92" s="269">
        <f t="shared" si="36"/>
        <v>0</v>
      </c>
      <c r="U92" s="279">
        <f t="shared" si="37"/>
        <v>0</v>
      </c>
      <c r="V92" s="278">
        <f t="shared" si="38"/>
        <v>0</v>
      </c>
      <c r="W92" s="269">
        <f t="shared" si="39"/>
        <v>0</v>
      </c>
      <c r="X92" s="269">
        <f t="shared" si="40"/>
        <v>0</v>
      </c>
      <c r="Y92" s="270">
        <f t="shared" si="41"/>
        <v>0</v>
      </c>
      <c r="Z92" s="269">
        <f t="shared" si="42"/>
        <v>0</v>
      </c>
      <c r="AA92" s="279">
        <f t="shared" si="43"/>
        <v>0</v>
      </c>
      <c r="AB92" s="278">
        <f t="shared" si="44"/>
        <v>0</v>
      </c>
      <c r="AC92" s="269">
        <f t="shared" si="45"/>
        <v>0</v>
      </c>
      <c r="AD92" s="269">
        <f t="shared" si="46"/>
        <v>0</v>
      </c>
      <c r="AE92" s="270">
        <f t="shared" si="47"/>
        <v>0</v>
      </c>
      <c r="AF92" s="269">
        <f t="shared" si="48"/>
        <v>0</v>
      </c>
      <c r="AG92" s="279">
        <f t="shared" si="49"/>
        <v>0</v>
      </c>
    </row>
    <row r="93" spans="1:33" ht="15">
      <c r="A93" s="26">
        <f t="shared" ref="A93:A123" si="50">A92+1</f>
        <v>67</v>
      </c>
      <c r="B93" s="179"/>
      <c r="C93" s="272" t="s">
        <v>188</v>
      </c>
      <c r="D93" s="276"/>
      <c r="E93" s="267"/>
      <c r="F93" s="267"/>
      <c r="G93" s="267"/>
      <c r="H93" s="267"/>
      <c r="I93" s="277"/>
      <c r="J93" s="276">
        <f t="shared" si="26"/>
        <v>0</v>
      </c>
      <c r="K93" s="267">
        <f t="shared" si="27"/>
        <v>0</v>
      </c>
      <c r="L93" s="267">
        <f t="shared" si="28"/>
        <v>0</v>
      </c>
      <c r="M93" s="267">
        <f t="shared" si="29"/>
        <v>0</v>
      </c>
      <c r="N93" s="267">
        <f t="shared" si="30"/>
        <v>0</v>
      </c>
      <c r="O93" s="277">
        <f t="shared" si="31"/>
        <v>0</v>
      </c>
      <c r="P93" s="276">
        <f t="shared" si="32"/>
        <v>0</v>
      </c>
      <c r="Q93" s="267">
        <f t="shared" si="33"/>
        <v>0</v>
      </c>
      <c r="R93" s="267">
        <f t="shared" si="34"/>
        <v>0</v>
      </c>
      <c r="S93" s="267">
        <f t="shared" si="35"/>
        <v>0</v>
      </c>
      <c r="T93" s="267">
        <f t="shared" si="36"/>
        <v>0</v>
      </c>
      <c r="U93" s="277">
        <f t="shared" si="37"/>
        <v>0</v>
      </c>
      <c r="V93" s="276">
        <f t="shared" si="38"/>
        <v>0</v>
      </c>
      <c r="W93" s="267">
        <f t="shared" si="39"/>
        <v>0</v>
      </c>
      <c r="X93" s="267">
        <f t="shared" si="40"/>
        <v>0</v>
      </c>
      <c r="Y93" s="267">
        <f t="shared" si="41"/>
        <v>0</v>
      </c>
      <c r="Z93" s="267">
        <f t="shared" si="42"/>
        <v>0</v>
      </c>
      <c r="AA93" s="277">
        <f t="shared" si="43"/>
        <v>0</v>
      </c>
      <c r="AB93" s="276">
        <f t="shared" si="44"/>
        <v>0</v>
      </c>
      <c r="AC93" s="267">
        <f t="shared" si="45"/>
        <v>0</v>
      </c>
      <c r="AD93" s="267">
        <f t="shared" si="46"/>
        <v>0</v>
      </c>
      <c r="AE93" s="267">
        <f t="shared" si="47"/>
        <v>0</v>
      </c>
      <c r="AF93" s="267">
        <f t="shared" si="48"/>
        <v>0</v>
      </c>
      <c r="AG93" s="277">
        <f t="shared" si="49"/>
        <v>0</v>
      </c>
    </row>
    <row r="94" spans="1:33" ht="15">
      <c r="A94" s="26">
        <f t="shared" si="50"/>
        <v>68</v>
      </c>
      <c r="B94" s="179">
        <v>2</v>
      </c>
      <c r="C94" s="273" t="s">
        <v>135</v>
      </c>
      <c r="D94" s="278">
        <v>12679.091510220966</v>
      </c>
      <c r="E94" s="268">
        <v>30029.713146509384</v>
      </c>
      <c r="F94" s="268">
        <v>206123.67095361077</v>
      </c>
      <c r="G94" s="270">
        <v>20.263628938837371</v>
      </c>
      <c r="H94" s="269">
        <v>0</v>
      </c>
      <c r="I94" s="279">
        <v>0</v>
      </c>
      <c r="J94" s="278">
        <f t="shared" si="26"/>
        <v>12679.091510220966</v>
      </c>
      <c r="K94" s="268">
        <f t="shared" si="27"/>
        <v>30029.713146509384</v>
      </c>
      <c r="L94" s="268">
        <f t="shared" si="28"/>
        <v>206123.67095361077</v>
      </c>
      <c r="M94" s="270">
        <f t="shared" si="29"/>
        <v>20.263628938837371</v>
      </c>
      <c r="N94" s="269">
        <f t="shared" si="30"/>
        <v>0</v>
      </c>
      <c r="O94" s="279">
        <f t="shared" si="31"/>
        <v>0</v>
      </c>
      <c r="P94" s="278">
        <f t="shared" si="32"/>
        <v>12679.091510220966</v>
      </c>
      <c r="Q94" s="268">
        <f t="shared" si="33"/>
        <v>30029.713146509384</v>
      </c>
      <c r="R94" s="268">
        <f t="shared" si="34"/>
        <v>206123.67095361077</v>
      </c>
      <c r="S94" s="270">
        <f t="shared" si="35"/>
        <v>20.263628938837371</v>
      </c>
      <c r="T94" s="269">
        <f t="shared" si="36"/>
        <v>0</v>
      </c>
      <c r="U94" s="279">
        <f t="shared" si="37"/>
        <v>0</v>
      </c>
      <c r="V94" s="278">
        <f t="shared" si="38"/>
        <v>12679.091510220966</v>
      </c>
      <c r="W94" s="268">
        <f t="shared" si="39"/>
        <v>30029.713146509384</v>
      </c>
      <c r="X94" s="268">
        <f t="shared" si="40"/>
        <v>206123.67095361077</v>
      </c>
      <c r="Y94" s="270">
        <f t="shared" si="41"/>
        <v>20.263628938837371</v>
      </c>
      <c r="Z94" s="269">
        <f t="shared" si="42"/>
        <v>0</v>
      </c>
      <c r="AA94" s="279">
        <f t="shared" si="43"/>
        <v>0</v>
      </c>
      <c r="AB94" s="278">
        <f t="shared" si="44"/>
        <v>12679.091510220966</v>
      </c>
      <c r="AC94" s="268">
        <f t="shared" si="45"/>
        <v>30029.713146509384</v>
      </c>
      <c r="AD94" s="268">
        <f t="shared" si="46"/>
        <v>206123.67095361077</v>
      </c>
      <c r="AE94" s="270">
        <f t="shared" si="47"/>
        <v>20.263628938837371</v>
      </c>
      <c r="AF94" s="269">
        <f t="shared" si="48"/>
        <v>0</v>
      </c>
      <c r="AG94" s="279">
        <f t="shared" si="49"/>
        <v>0</v>
      </c>
    </row>
    <row r="95" spans="1:33" ht="15">
      <c r="A95" s="26">
        <f t="shared" si="50"/>
        <v>69</v>
      </c>
      <c r="B95" s="179">
        <v>2</v>
      </c>
      <c r="C95" s="273" t="s">
        <v>189</v>
      </c>
      <c r="D95" s="278">
        <v>0</v>
      </c>
      <c r="E95" s="268">
        <v>0</v>
      </c>
      <c r="F95" s="268">
        <v>0</v>
      </c>
      <c r="G95" s="270">
        <v>0</v>
      </c>
      <c r="H95" s="269">
        <v>0</v>
      </c>
      <c r="I95" s="279">
        <v>0</v>
      </c>
      <c r="J95" s="278">
        <f t="shared" si="26"/>
        <v>0</v>
      </c>
      <c r="K95" s="268">
        <f t="shared" si="27"/>
        <v>0</v>
      </c>
      <c r="L95" s="268">
        <f t="shared" si="28"/>
        <v>0</v>
      </c>
      <c r="M95" s="270">
        <f t="shared" si="29"/>
        <v>0</v>
      </c>
      <c r="N95" s="269">
        <f t="shared" si="30"/>
        <v>0</v>
      </c>
      <c r="O95" s="279">
        <f t="shared" si="31"/>
        <v>0</v>
      </c>
      <c r="P95" s="278">
        <f t="shared" si="32"/>
        <v>0</v>
      </c>
      <c r="Q95" s="268">
        <f t="shared" si="33"/>
        <v>0</v>
      </c>
      <c r="R95" s="268">
        <f t="shared" si="34"/>
        <v>0</v>
      </c>
      <c r="S95" s="270">
        <f t="shared" si="35"/>
        <v>0</v>
      </c>
      <c r="T95" s="269">
        <f t="shared" si="36"/>
        <v>0</v>
      </c>
      <c r="U95" s="279">
        <f t="shared" si="37"/>
        <v>0</v>
      </c>
      <c r="V95" s="278">
        <f t="shared" si="38"/>
        <v>0</v>
      </c>
      <c r="W95" s="268">
        <f t="shared" si="39"/>
        <v>0</v>
      </c>
      <c r="X95" s="268">
        <f t="shared" si="40"/>
        <v>0</v>
      </c>
      <c r="Y95" s="270">
        <f t="shared" si="41"/>
        <v>0</v>
      </c>
      <c r="Z95" s="269">
        <f t="shared" si="42"/>
        <v>0</v>
      </c>
      <c r="AA95" s="279">
        <f t="shared" si="43"/>
        <v>0</v>
      </c>
      <c r="AB95" s="278">
        <f t="shared" si="44"/>
        <v>0</v>
      </c>
      <c r="AC95" s="268">
        <f t="shared" si="45"/>
        <v>0</v>
      </c>
      <c r="AD95" s="268">
        <f t="shared" si="46"/>
        <v>0</v>
      </c>
      <c r="AE95" s="270">
        <f t="shared" si="47"/>
        <v>0</v>
      </c>
      <c r="AF95" s="269">
        <f t="shared" si="48"/>
        <v>0</v>
      </c>
      <c r="AG95" s="279">
        <f t="shared" si="49"/>
        <v>0</v>
      </c>
    </row>
    <row r="96" spans="1:33" ht="15">
      <c r="A96" s="26">
        <f t="shared" si="50"/>
        <v>70</v>
      </c>
      <c r="B96" s="179">
        <v>2</v>
      </c>
      <c r="C96" s="273" t="s">
        <v>190</v>
      </c>
      <c r="D96" s="278">
        <v>0</v>
      </c>
      <c r="E96" s="268">
        <v>0</v>
      </c>
      <c r="F96" s="268">
        <v>0</v>
      </c>
      <c r="G96" s="270">
        <v>0</v>
      </c>
      <c r="H96" s="269">
        <v>0</v>
      </c>
      <c r="I96" s="279">
        <v>0</v>
      </c>
      <c r="J96" s="278">
        <f t="shared" si="26"/>
        <v>0</v>
      </c>
      <c r="K96" s="268">
        <f t="shared" si="27"/>
        <v>0</v>
      </c>
      <c r="L96" s="268">
        <f t="shared" si="28"/>
        <v>0</v>
      </c>
      <c r="M96" s="270">
        <f t="shared" si="29"/>
        <v>0</v>
      </c>
      <c r="N96" s="269">
        <f t="shared" si="30"/>
        <v>0</v>
      </c>
      <c r="O96" s="279">
        <f t="shared" si="31"/>
        <v>0</v>
      </c>
      <c r="P96" s="278">
        <f t="shared" si="32"/>
        <v>0</v>
      </c>
      <c r="Q96" s="268">
        <f t="shared" si="33"/>
        <v>0</v>
      </c>
      <c r="R96" s="268">
        <f t="shared" si="34"/>
        <v>0</v>
      </c>
      <c r="S96" s="270">
        <f t="shared" si="35"/>
        <v>0</v>
      </c>
      <c r="T96" s="269">
        <f t="shared" si="36"/>
        <v>0</v>
      </c>
      <c r="U96" s="279">
        <f t="shared" si="37"/>
        <v>0</v>
      </c>
      <c r="V96" s="278">
        <f t="shared" si="38"/>
        <v>0</v>
      </c>
      <c r="W96" s="268">
        <f t="shared" si="39"/>
        <v>0</v>
      </c>
      <c r="X96" s="268">
        <f t="shared" si="40"/>
        <v>0</v>
      </c>
      <c r="Y96" s="270">
        <f t="shared" si="41"/>
        <v>0</v>
      </c>
      <c r="Z96" s="269">
        <f t="shared" si="42"/>
        <v>0</v>
      </c>
      <c r="AA96" s="279">
        <f t="shared" si="43"/>
        <v>0</v>
      </c>
      <c r="AB96" s="278">
        <f t="shared" si="44"/>
        <v>0</v>
      </c>
      <c r="AC96" s="268">
        <f t="shared" si="45"/>
        <v>0</v>
      </c>
      <c r="AD96" s="268">
        <f t="shared" si="46"/>
        <v>0</v>
      </c>
      <c r="AE96" s="270">
        <f t="shared" si="47"/>
        <v>0</v>
      </c>
      <c r="AF96" s="269">
        <f t="shared" si="48"/>
        <v>0</v>
      </c>
      <c r="AG96" s="279">
        <f t="shared" si="49"/>
        <v>0</v>
      </c>
    </row>
    <row r="97" spans="1:33" ht="15">
      <c r="A97" s="26">
        <f t="shared" si="50"/>
        <v>71</v>
      </c>
      <c r="B97" s="179"/>
      <c r="C97" s="272" t="s">
        <v>1537</v>
      </c>
      <c r="D97" s="276"/>
      <c r="E97" s="267"/>
      <c r="F97" s="267"/>
      <c r="G97" s="267"/>
      <c r="H97" s="267"/>
      <c r="I97" s="277"/>
      <c r="J97" s="276">
        <f t="shared" si="26"/>
        <v>0</v>
      </c>
      <c r="K97" s="267">
        <f t="shared" si="27"/>
        <v>0</v>
      </c>
      <c r="L97" s="267">
        <f t="shared" si="28"/>
        <v>0</v>
      </c>
      <c r="M97" s="267">
        <f t="shared" si="29"/>
        <v>0</v>
      </c>
      <c r="N97" s="267">
        <f t="shared" si="30"/>
        <v>0</v>
      </c>
      <c r="O97" s="277">
        <f t="shared" si="31"/>
        <v>0</v>
      </c>
      <c r="P97" s="276">
        <f t="shared" si="32"/>
        <v>0</v>
      </c>
      <c r="Q97" s="267">
        <f t="shared" si="33"/>
        <v>0</v>
      </c>
      <c r="R97" s="267">
        <f t="shared" si="34"/>
        <v>0</v>
      </c>
      <c r="S97" s="267">
        <f t="shared" si="35"/>
        <v>0</v>
      </c>
      <c r="T97" s="267">
        <f t="shared" si="36"/>
        <v>0</v>
      </c>
      <c r="U97" s="277">
        <f t="shared" si="37"/>
        <v>0</v>
      </c>
      <c r="V97" s="276">
        <f t="shared" si="38"/>
        <v>0</v>
      </c>
      <c r="W97" s="267">
        <f t="shared" si="39"/>
        <v>0</v>
      </c>
      <c r="X97" s="267">
        <f t="shared" si="40"/>
        <v>0</v>
      </c>
      <c r="Y97" s="267">
        <f t="shared" si="41"/>
        <v>0</v>
      </c>
      <c r="Z97" s="267">
        <f t="shared" si="42"/>
        <v>0</v>
      </c>
      <c r="AA97" s="277">
        <f t="shared" si="43"/>
        <v>0</v>
      </c>
      <c r="AB97" s="276">
        <f t="shared" si="44"/>
        <v>0</v>
      </c>
      <c r="AC97" s="267">
        <f t="shared" si="45"/>
        <v>0</v>
      </c>
      <c r="AD97" s="267">
        <f t="shared" si="46"/>
        <v>0</v>
      </c>
      <c r="AE97" s="267">
        <f t="shared" si="47"/>
        <v>0</v>
      </c>
      <c r="AF97" s="267">
        <f t="shared" si="48"/>
        <v>0</v>
      </c>
      <c r="AG97" s="277">
        <f t="shared" si="49"/>
        <v>0</v>
      </c>
    </row>
    <row r="98" spans="1:33" ht="15">
      <c r="A98" s="26">
        <f t="shared" si="50"/>
        <v>72</v>
      </c>
      <c r="B98" s="179">
        <v>4</v>
      </c>
      <c r="C98" s="273" t="s">
        <v>1534</v>
      </c>
      <c r="D98" s="278">
        <v>1660.7170232592748</v>
      </c>
      <c r="E98" s="269">
        <v>0</v>
      </c>
      <c r="F98" s="269">
        <v>0</v>
      </c>
      <c r="G98" s="270">
        <v>119.55541073914044</v>
      </c>
      <c r="H98" s="269">
        <v>0</v>
      </c>
      <c r="I98" s="279">
        <v>0</v>
      </c>
      <c r="J98" s="278">
        <f t="shared" si="26"/>
        <v>1660.7170232592748</v>
      </c>
      <c r="K98" s="269">
        <f t="shared" si="27"/>
        <v>0</v>
      </c>
      <c r="L98" s="269">
        <f t="shared" si="28"/>
        <v>0</v>
      </c>
      <c r="M98" s="270">
        <f t="shared" si="29"/>
        <v>119.55541073914044</v>
      </c>
      <c r="N98" s="269">
        <f t="shared" si="30"/>
        <v>0</v>
      </c>
      <c r="O98" s="279">
        <f t="shared" si="31"/>
        <v>0</v>
      </c>
      <c r="P98" s="278">
        <f t="shared" si="32"/>
        <v>1660.7170232592748</v>
      </c>
      <c r="Q98" s="269">
        <f t="shared" si="33"/>
        <v>0</v>
      </c>
      <c r="R98" s="269">
        <f t="shared" si="34"/>
        <v>0</v>
      </c>
      <c r="S98" s="270">
        <f t="shared" si="35"/>
        <v>119.55541073914044</v>
      </c>
      <c r="T98" s="269">
        <f t="shared" si="36"/>
        <v>0</v>
      </c>
      <c r="U98" s="279">
        <f t="shared" si="37"/>
        <v>0</v>
      </c>
      <c r="V98" s="278">
        <f t="shared" si="38"/>
        <v>1660.7170232592748</v>
      </c>
      <c r="W98" s="269">
        <f t="shared" si="39"/>
        <v>0</v>
      </c>
      <c r="X98" s="269">
        <f t="shared" si="40"/>
        <v>0</v>
      </c>
      <c r="Y98" s="270">
        <f t="shared" si="41"/>
        <v>119.55541073914044</v>
      </c>
      <c r="Z98" s="269">
        <f t="shared" si="42"/>
        <v>0</v>
      </c>
      <c r="AA98" s="279">
        <f t="shared" si="43"/>
        <v>0</v>
      </c>
      <c r="AB98" s="278">
        <f t="shared" si="44"/>
        <v>1660.7170232592748</v>
      </c>
      <c r="AC98" s="269">
        <f t="shared" si="45"/>
        <v>0</v>
      </c>
      <c r="AD98" s="269">
        <f t="shared" si="46"/>
        <v>0</v>
      </c>
      <c r="AE98" s="270">
        <f t="shared" si="47"/>
        <v>119.55541073914044</v>
      </c>
      <c r="AF98" s="269">
        <f t="shared" si="48"/>
        <v>0</v>
      </c>
      <c r="AG98" s="279">
        <f t="shared" si="49"/>
        <v>0</v>
      </c>
    </row>
    <row r="99" spans="1:33" ht="15">
      <c r="A99" s="26">
        <f t="shared" si="50"/>
        <v>73</v>
      </c>
      <c r="B99" s="179">
        <v>4</v>
      </c>
      <c r="C99" s="273" t="s">
        <v>1531</v>
      </c>
      <c r="D99" s="278">
        <v>0</v>
      </c>
      <c r="E99" s="269">
        <v>0</v>
      </c>
      <c r="F99" s="269">
        <v>0</v>
      </c>
      <c r="G99" s="270">
        <v>0</v>
      </c>
      <c r="H99" s="269">
        <v>0</v>
      </c>
      <c r="I99" s="279">
        <v>0</v>
      </c>
      <c r="J99" s="278">
        <f t="shared" si="26"/>
        <v>0</v>
      </c>
      <c r="K99" s="269">
        <f t="shared" si="27"/>
        <v>0</v>
      </c>
      <c r="L99" s="269">
        <f t="shared" si="28"/>
        <v>0</v>
      </c>
      <c r="M99" s="270">
        <f t="shared" si="29"/>
        <v>0</v>
      </c>
      <c r="N99" s="269">
        <f t="shared" si="30"/>
        <v>0</v>
      </c>
      <c r="O99" s="279">
        <f t="shared" si="31"/>
        <v>0</v>
      </c>
      <c r="P99" s="278">
        <f t="shared" si="32"/>
        <v>0</v>
      </c>
      <c r="Q99" s="269">
        <f t="shared" si="33"/>
        <v>0</v>
      </c>
      <c r="R99" s="269">
        <f t="shared" si="34"/>
        <v>0</v>
      </c>
      <c r="S99" s="270">
        <f t="shared" si="35"/>
        <v>0</v>
      </c>
      <c r="T99" s="269">
        <f t="shared" si="36"/>
        <v>0</v>
      </c>
      <c r="U99" s="279">
        <f t="shared" si="37"/>
        <v>0</v>
      </c>
      <c r="V99" s="278">
        <f t="shared" si="38"/>
        <v>0</v>
      </c>
      <c r="W99" s="269">
        <f t="shared" si="39"/>
        <v>0</v>
      </c>
      <c r="X99" s="269">
        <f t="shared" si="40"/>
        <v>0</v>
      </c>
      <c r="Y99" s="270">
        <f t="shared" si="41"/>
        <v>0</v>
      </c>
      <c r="Z99" s="269">
        <f t="shared" si="42"/>
        <v>0</v>
      </c>
      <c r="AA99" s="279">
        <f t="shared" si="43"/>
        <v>0</v>
      </c>
      <c r="AB99" s="278">
        <f t="shared" si="44"/>
        <v>0</v>
      </c>
      <c r="AC99" s="269">
        <f t="shared" si="45"/>
        <v>0</v>
      </c>
      <c r="AD99" s="269">
        <f t="shared" si="46"/>
        <v>0</v>
      </c>
      <c r="AE99" s="270">
        <f t="shared" si="47"/>
        <v>0</v>
      </c>
      <c r="AF99" s="269">
        <f t="shared" si="48"/>
        <v>0</v>
      </c>
      <c r="AG99" s="279">
        <f t="shared" si="49"/>
        <v>0</v>
      </c>
    </row>
    <row r="100" spans="1:33" ht="15">
      <c r="A100" s="26">
        <f t="shared" si="50"/>
        <v>74</v>
      </c>
      <c r="B100" s="179">
        <v>4</v>
      </c>
      <c r="C100" s="273" t="s">
        <v>1528</v>
      </c>
      <c r="D100" s="278">
        <v>0</v>
      </c>
      <c r="E100" s="269">
        <v>0</v>
      </c>
      <c r="F100" s="269">
        <v>0</v>
      </c>
      <c r="G100" s="270">
        <v>0</v>
      </c>
      <c r="H100" s="269">
        <v>0</v>
      </c>
      <c r="I100" s="279">
        <v>0</v>
      </c>
      <c r="J100" s="278">
        <f t="shared" si="26"/>
        <v>0</v>
      </c>
      <c r="K100" s="269">
        <f t="shared" si="27"/>
        <v>0</v>
      </c>
      <c r="L100" s="269">
        <f t="shared" si="28"/>
        <v>0</v>
      </c>
      <c r="M100" s="270">
        <f t="shared" si="29"/>
        <v>0</v>
      </c>
      <c r="N100" s="269">
        <f t="shared" si="30"/>
        <v>0</v>
      </c>
      <c r="O100" s="279">
        <f t="shared" si="31"/>
        <v>0</v>
      </c>
      <c r="P100" s="278">
        <f t="shared" si="32"/>
        <v>0</v>
      </c>
      <c r="Q100" s="269">
        <f t="shared" si="33"/>
        <v>0</v>
      </c>
      <c r="R100" s="269">
        <f t="shared" si="34"/>
        <v>0</v>
      </c>
      <c r="S100" s="270">
        <f t="shared" si="35"/>
        <v>0</v>
      </c>
      <c r="T100" s="269">
        <f t="shared" si="36"/>
        <v>0</v>
      </c>
      <c r="U100" s="279">
        <f t="shared" si="37"/>
        <v>0</v>
      </c>
      <c r="V100" s="278">
        <f t="shared" si="38"/>
        <v>0</v>
      </c>
      <c r="W100" s="269">
        <f t="shared" si="39"/>
        <v>0</v>
      </c>
      <c r="X100" s="269">
        <f t="shared" si="40"/>
        <v>0</v>
      </c>
      <c r="Y100" s="270">
        <f t="shared" si="41"/>
        <v>0</v>
      </c>
      <c r="Z100" s="269">
        <f t="shared" si="42"/>
        <v>0</v>
      </c>
      <c r="AA100" s="279">
        <f t="shared" si="43"/>
        <v>0</v>
      </c>
      <c r="AB100" s="278">
        <f t="shared" si="44"/>
        <v>0</v>
      </c>
      <c r="AC100" s="269">
        <f t="shared" si="45"/>
        <v>0</v>
      </c>
      <c r="AD100" s="269">
        <f t="shared" si="46"/>
        <v>0</v>
      </c>
      <c r="AE100" s="270">
        <f t="shared" si="47"/>
        <v>0</v>
      </c>
      <c r="AF100" s="269">
        <f t="shared" si="48"/>
        <v>0</v>
      </c>
      <c r="AG100" s="279">
        <f t="shared" si="49"/>
        <v>0</v>
      </c>
    </row>
    <row r="101" spans="1:33" ht="15">
      <c r="A101" s="26">
        <f t="shared" si="50"/>
        <v>75</v>
      </c>
      <c r="B101" s="179"/>
      <c r="C101" s="272" t="s">
        <v>191</v>
      </c>
      <c r="D101" s="276"/>
      <c r="E101" s="267"/>
      <c r="F101" s="267"/>
      <c r="G101" s="267"/>
      <c r="H101" s="267"/>
      <c r="I101" s="277"/>
      <c r="J101" s="276">
        <f t="shared" si="26"/>
        <v>0</v>
      </c>
      <c r="K101" s="267">
        <f t="shared" si="27"/>
        <v>0</v>
      </c>
      <c r="L101" s="267">
        <f t="shared" si="28"/>
        <v>0</v>
      </c>
      <c r="M101" s="267">
        <f t="shared" si="29"/>
        <v>0</v>
      </c>
      <c r="N101" s="267">
        <f t="shared" si="30"/>
        <v>0</v>
      </c>
      <c r="O101" s="277">
        <f t="shared" si="31"/>
        <v>0</v>
      </c>
      <c r="P101" s="276">
        <f t="shared" si="32"/>
        <v>0</v>
      </c>
      <c r="Q101" s="267">
        <f t="shared" si="33"/>
        <v>0</v>
      </c>
      <c r="R101" s="267">
        <f t="shared" si="34"/>
        <v>0</v>
      </c>
      <c r="S101" s="267">
        <f t="shared" si="35"/>
        <v>0</v>
      </c>
      <c r="T101" s="267">
        <f t="shared" si="36"/>
        <v>0</v>
      </c>
      <c r="U101" s="277">
        <f t="shared" si="37"/>
        <v>0</v>
      </c>
      <c r="V101" s="276">
        <f t="shared" si="38"/>
        <v>0</v>
      </c>
      <c r="W101" s="267">
        <f t="shared" si="39"/>
        <v>0</v>
      </c>
      <c r="X101" s="267">
        <f t="shared" si="40"/>
        <v>0</v>
      </c>
      <c r="Y101" s="267">
        <f t="shared" si="41"/>
        <v>0</v>
      </c>
      <c r="Z101" s="267">
        <f t="shared" si="42"/>
        <v>0</v>
      </c>
      <c r="AA101" s="277">
        <f t="shared" si="43"/>
        <v>0</v>
      </c>
      <c r="AB101" s="276">
        <f t="shared" si="44"/>
        <v>0</v>
      </c>
      <c r="AC101" s="267">
        <f t="shared" si="45"/>
        <v>0</v>
      </c>
      <c r="AD101" s="267">
        <f t="shared" si="46"/>
        <v>0</v>
      </c>
      <c r="AE101" s="267">
        <f t="shared" si="47"/>
        <v>0</v>
      </c>
      <c r="AF101" s="267">
        <f t="shared" si="48"/>
        <v>0</v>
      </c>
      <c r="AG101" s="277">
        <f t="shared" si="49"/>
        <v>0</v>
      </c>
    </row>
    <row r="102" spans="1:33" ht="15">
      <c r="A102" s="26">
        <f t="shared" si="50"/>
        <v>76</v>
      </c>
      <c r="B102" s="179">
        <v>4</v>
      </c>
      <c r="C102" s="273" t="s">
        <v>100</v>
      </c>
      <c r="D102" s="278">
        <v>0</v>
      </c>
      <c r="E102" s="269">
        <v>0</v>
      </c>
      <c r="F102" s="269">
        <v>0</v>
      </c>
      <c r="G102" s="270">
        <v>0</v>
      </c>
      <c r="H102" s="269">
        <v>0</v>
      </c>
      <c r="I102" s="279">
        <v>0</v>
      </c>
      <c r="J102" s="278">
        <f t="shared" si="26"/>
        <v>0</v>
      </c>
      <c r="K102" s="269">
        <f t="shared" si="27"/>
        <v>0</v>
      </c>
      <c r="L102" s="269">
        <f t="shared" si="28"/>
        <v>0</v>
      </c>
      <c r="M102" s="270">
        <f t="shared" si="29"/>
        <v>0</v>
      </c>
      <c r="N102" s="269">
        <f t="shared" si="30"/>
        <v>0</v>
      </c>
      <c r="O102" s="279">
        <f t="shared" si="31"/>
        <v>0</v>
      </c>
      <c r="P102" s="278">
        <f t="shared" si="32"/>
        <v>0</v>
      </c>
      <c r="Q102" s="269">
        <f t="shared" si="33"/>
        <v>0</v>
      </c>
      <c r="R102" s="269">
        <f t="shared" si="34"/>
        <v>0</v>
      </c>
      <c r="S102" s="270">
        <f t="shared" si="35"/>
        <v>0</v>
      </c>
      <c r="T102" s="269">
        <f t="shared" si="36"/>
        <v>0</v>
      </c>
      <c r="U102" s="279">
        <f t="shared" si="37"/>
        <v>0</v>
      </c>
      <c r="V102" s="278">
        <f t="shared" si="38"/>
        <v>0</v>
      </c>
      <c r="W102" s="269">
        <f t="shared" si="39"/>
        <v>0</v>
      </c>
      <c r="X102" s="269">
        <f t="shared" si="40"/>
        <v>0</v>
      </c>
      <c r="Y102" s="270">
        <f t="shared" si="41"/>
        <v>0</v>
      </c>
      <c r="Z102" s="269">
        <f t="shared" si="42"/>
        <v>0</v>
      </c>
      <c r="AA102" s="279">
        <f t="shared" si="43"/>
        <v>0</v>
      </c>
      <c r="AB102" s="278">
        <f t="shared" si="44"/>
        <v>0</v>
      </c>
      <c r="AC102" s="269">
        <f t="shared" si="45"/>
        <v>0</v>
      </c>
      <c r="AD102" s="269">
        <f t="shared" si="46"/>
        <v>0</v>
      </c>
      <c r="AE102" s="270">
        <f t="shared" si="47"/>
        <v>0</v>
      </c>
      <c r="AF102" s="269">
        <f t="shared" si="48"/>
        <v>0</v>
      </c>
      <c r="AG102" s="279">
        <f t="shared" si="49"/>
        <v>0</v>
      </c>
    </row>
    <row r="103" spans="1:33" ht="15">
      <c r="A103" s="26">
        <f t="shared" si="50"/>
        <v>77</v>
      </c>
      <c r="B103" s="179">
        <v>4</v>
      </c>
      <c r="C103" s="273" t="s">
        <v>192</v>
      </c>
      <c r="D103" s="278">
        <v>0</v>
      </c>
      <c r="E103" s="269">
        <v>0</v>
      </c>
      <c r="F103" s="269">
        <v>0</v>
      </c>
      <c r="G103" s="270">
        <v>0</v>
      </c>
      <c r="H103" s="269">
        <v>0</v>
      </c>
      <c r="I103" s="279">
        <v>0</v>
      </c>
      <c r="J103" s="278">
        <f t="shared" si="26"/>
        <v>0</v>
      </c>
      <c r="K103" s="269">
        <f t="shared" si="27"/>
        <v>0</v>
      </c>
      <c r="L103" s="269">
        <f t="shared" si="28"/>
        <v>0</v>
      </c>
      <c r="M103" s="270">
        <f t="shared" si="29"/>
        <v>0</v>
      </c>
      <c r="N103" s="269">
        <f t="shared" si="30"/>
        <v>0</v>
      </c>
      <c r="O103" s="279">
        <f t="shared" si="31"/>
        <v>0</v>
      </c>
      <c r="P103" s="278">
        <f t="shared" si="32"/>
        <v>0</v>
      </c>
      <c r="Q103" s="269">
        <f t="shared" si="33"/>
        <v>0</v>
      </c>
      <c r="R103" s="269">
        <f t="shared" si="34"/>
        <v>0</v>
      </c>
      <c r="S103" s="270">
        <f t="shared" si="35"/>
        <v>0</v>
      </c>
      <c r="T103" s="269">
        <f t="shared" si="36"/>
        <v>0</v>
      </c>
      <c r="U103" s="279">
        <f t="shared" si="37"/>
        <v>0</v>
      </c>
      <c r="V103" s="278">
        <f t="shared" si="38"/>
        <v>0</v>
      </c>
      <c r="W103" s="269">
        <f t="shared" si="39"/>
        <v>0</v>
      </c>
      <c r="X103" s="269">
        <f t="shared" si="40"/>
        <v>0</v>
      </c>
      <c r="Y103" s="270">
        <f t="shared" si="41"/>
        <v>0</v>
      </c>
      <c r="Z103" s="269">
        <f t="shared" si="42"/>
        <v>0</v>
      </c>
      <c r="AA103" s="279">
        <f t="shared" si="43"/>
        <v>0</v>
      </c>
      <c r="AB103" s="278">
        <f t="shared" si="44"/>
        <v>0</v>
      </c>
      <c r="AC103" s="269">
        <f t="shared" si="45"/>
        <v>0</v>
      </c>
      <c r="AD103" s="269">
        <f t="shared" si="46"/>
        <v>0</v>
      </c>
      <c r="AE103" s="270">
        <f t="shared" si="47"/>
        <v>0</v>
      </c>
      <c r="AF103" s="269">
        <f t="shared" si="48"/>
        <v>0</v>
      </c>
      <c r="AG103" s="279">
        <f t="shared" si="49"/>
        <v>0</v>
      </c>
    </row>
    <row r="104" spans="1:33" ht="15">
      <c r="A104" s="26">
        <f t="shared" si="50"/>
        <v>78</v>
      </c>
      <c r="B104" s="179"/>
      <c r="C104" s="272" t="s">
        <v>193</v>
      </c>
      <c r="D104" s="276"/>
      <c r="E104" s="267"/>
      <c r="F104" s="267"/>
      <c r="G104" s="267"/>
      <c r="H104" s="267"/>
      <c r="I104" s="277"/>
      <c r="J104" s="276">
        <f t="shared" si="26"/>
        <v>0</v>
      </c>
      <c r="K104" s="267">
        <f t="shared" si="27"/>
        <v>0</v>
      </c>
      <c r="L104" s="267">
        <f t="shared" si="28"/>
        <v>0</v>
      </c>
      <c r="M104" s="267">
        <f t="shared" si="29"/>
        <v>0</v>
      </c>
      <c r="N104" s="267">
        <f t="shared" si="30"/>
        <v>0</v>
      </c>
      <c r="O104" s="277">
        <f t="shared" si="31"/>
        <v>0</v>
      </c>
      <c r="P104" s="276">
        <f t="shared" si="32"/>
        <v>0</v>
      </c>
      <c r="Q104" s="267">
        <f t="shared" si="33"/>
        <v>0</v>
      </c>
      <c r="R104" s="267">
        <f t="shared" si="34"/>
        <v>0</v>
      </c>
      <c r="S104" s="267">
        <f t="shared" si="35"/>
        <v>0</v>
      </c>
      <c r="T104" s="267">
        <f t="shared" si="36"/>
        <v>0</v>
      </c>
      <c r="U104" s="277">
        <f t="shared" si="37"/>
        <v>0</v>
      </c>
      <c r="V104" s="276">
        <f t="shared" si="38"/>
        <v>0</v>
      </c>
      <c r="W104" s="267">
        <f t="shared" si="39"/>
        <v>0</v>
      </c>
      <c r="X104" s="267">
        <f t="shared" si="40"/>
        <v>0</v>
      </c>
      <c r="Y104" s="267">
        <f t="shared" si="41"/>
        <v>0</v>
      </c>
      <c r="Z104" s="267">
        <f t="shared" si="42"/>
        <v>0</v>
      </c>
      <c r="AA104" s="277">
        <f t="shared" si="43"/>
        <v>0</v>
      </c>
      <c r="AB104" s="276">
        <f t="shared" si="44"/>
        <v>0</v>
      </c>
      <c r="AC104" s="267">
        <f t="shared" si="45"/>
        <v>0</v>
      </c>
      <c r="AD104" s="267">
        <f t="shared" si="46"/>
        <v>0</v>
      </c>
      <c r="AE104" s="267">
        <f t="shared" si="47"/>
        <v>0</v>
      </c>
      <c r="AF104" s="267">
        <f t="shared" si="48"/>
        <v>0</v>
      </c>
      <c r="AG104" s="277">
        <f t="shared" si="49"/>
        <v>0</v>
      </c>
    </row>
    <row r="105" spans="1:33" ht="15">
      <c r="A105" s="26">
        <f t="shared" si="50"/>
        <v>79</v>
      </c>
      <c r="B105" s="179">
        <v>4</v>
      </c>
      <c r="C105" s="273" t="s">
        <v>101</v>
      </c>
      <c r="D105" s="278">
        <v>24996.858841456458</v>
      </c>
      <c r="E105" s="269">
        <v>0</v>
      </c>
      <c r="F105" s="269">
        <v>0</v>
      </c>
      <c r="G105" s="270">
        <v>167.17493874540833</v>
      </c>
      <c r="H105" s="269">
        <v>0</v>
      </c>
      <c r="I105" s="280">
        <v>1833.7618341721654</v>
      </c>
      <c r="J105" s="278">
        <f t="shared" si="26"/>
        <v>24996.858841456458</v>
      </c>
      <c r="K105" s="269">
        <f t="shared" si="27"/>
        <v>0</v>
      </c>
      <c r="L105" s="269">
        <f t="shared" si="28"/>
        <v>0</v>
      </c>
      <c r="M105" s="270">
        <f t="shared" si="29"/>
        <v>167.17493874540833</v>
      </c>
      <c r="N105" s="269">
        <f t="shared" si="30"/>
        <v>0</v>
      </c>
      <c r="O105" s="280">
        <f t="shared" si="31"/>
        <v>1833.7618341721654</v>
      </c>
      <c r="P105" s="278">
        <f t="shared" si="32"/>
        <v>24996.858841456458</v>
      </c>
      <c r="Q105" s="269">
        <f t="shared" si="33"/>
        <v>0</v>
      </c>
      <c r="R105" s="269">
        <f t="shared" si="34"/>
        <v>0</v>
      </c>
      <c r="S105" s="270">
        <f t="shared" si="35"/>
        <v>167.17493874540833</v>
      </c>
      <c r="T105" s="269">
        <f t="shared" si="36"/>
        <v>0</v>
      </c>
      <c r="U105" s="280">
        <f t="shared" si="37"/>
        <v>1833.7618341721654</v>
      </c>
      <c r="V105" s="278">
        <f t="shared" si="38"/>
        <v>24996.858841456458</v>
      </c>
      <c r="W105" s="269">
        <f t="shared" si="39"/>
        <v>0</v>
      </c>
      <c r="X105" s="269">
        <f t="shared" si="40"/>
        <v>0</v>
      </c>
      <c r="Y105" s="270">
        <f t="shared" si="41"/>
        <v>167.17493874540833</v>
      </c>
      <c r="Z105" s="269">
        <f t="shared" si="42"/>
        <v>0</v>
      </c>
      <c r="AA105" s="280">
        <f t="shared" si="43"/>
        <v>1833.7618341721654</v>
      </c>
      <c r="AB105" s="278">
        <f t="shared" si="44"/>
        <v>24996.858841456458</v>
      </c>
      <c r="AC105" s="269">
        <f t="shared" si="45"/>
        <v>0</v>
      </c>
      <c r="AD105" s="269">
        <f t="shared" si="46"/>
        <v>0</v>
      </c>
      <c r="AE105" s="270">
        <f t="shared" si="47"/>
        <v>167.17493874540833</v>
      </c>
      <c r="AF105" s="269">
        <f t="shared" si="48"/>
        <v>0</v>
      </c>
      <c r="AG105" s="280">
        <f t="shared" si="49"/>
        <v>1833.7618341721654</v>
      </c>
    </row>
    <row r="106" spans="1:33" ht="15">
      <c r="A106" s="26">
        <f t="shared" si="50"/>
        <v>80</v>
      </c>
      <c r="B106" s="179">
        <v>4</v>
      </c>
      <c r="C106" s="273" t="s">
        <v>194</v>
      </c>
      <c r="D106" s="278">
        <v>0</v>
      </c>
      <c r="E106" s="269">
        <v>0</v>
      </c>
      <c r="F106" s="269">
        <v>0</v>
      </c>
      <c r="G106" s="270">
        <v>0</v>
      </c>
      <c r="H106" s="269">
        <v>0</v>
      </c>
      <c r="I106" s="280">
        <v>0</v>
      </c>
      <c r="J106" s="278">
        <f t="shared" ref="J106:J115" si="51">IF(D106,((VLOOKUP($B106,$E$7:$AE$16,4)+1)*D106),)</f>
        <v>0</v>
      </c>
      <c r="K106" s="269">
        <f t="shared" ref="K106:K115" si="52">IF(E106,((VLOOKUP($B106,$E$7:$AE$16,8)+1)*E106),)</f>
        <v>0</v>
      </c>
      <c r="L106" s="269">
        <f t="shared" ref="L106:L115" si="53">IF(F106,((VLOOKUP($B106,$E$7:$AE$16,12)+1)*F106),)</f>
        <v>0</v>
      </c>
      <c r="M106" s="270">
        <f t="shared" ref="M106:M115" si="54">IF(G106,((VLOOKUP($B106,$E$7:$AE$16,16)+1)*G106),)</f>
        <v>0</v>
      </c>
      <c r="N106" s="269">
        <f t="shared" ref="N106:N115" si="55">IF(H106,((VLOOKUP($B106,$E$7:$AE$16,20)+1)*H106),)</f>
        <v>0</v>
      </c>
      <c r="O106" s="280">
        <f t="shared" ref="O106:O115" si="56">IF(I106,((VLOOKUP($B106,$E$7:$AE$16,24)+1)*I106),)</f>
        <v>0</v>
      </c>
      <c r="P106" s="278">
        <f t="shared" ref="P106:P115" si="57">IF(D106,((VLOOKUP($B106,$E$7:$AE$16,5)+1)*J106),)</f>
        <v>0</v>
      </c>
      <c r="Q106" s="269">
        <f t="shared" ref="Q106:Q115" si="58">IF(E106,((VLOOKUP($B106,$E$7:$AE$16,5+4)+1)*K106),)</f>
        <v>0</v>
      </c>
      <c r="R106" s="269">
        <f t="shared" ref="R106:R115" si="59">IF(F106,((VLOOKUP($B106,$E$7:$AE$16,5+8)+1)*L106),)</f>
        <v>0</v>
      </c>
      <c r="S106" s="270">
        <f t="shared" ref="S106:S115" si="60">IF(G106,((VLOOKUP($B106,$E$7:$AE$16,5+12)+1)*M106),)</f>
        <v>0</v>
      </c>
      <c r="T106" s="269">
        <f t="shared" ref="T106:T115" si="61">IF(H106,((VLOOKUP($B106,$E$7:$AE$16,5+16)+1)*N106),)</f>
        <v>0</v>
      </c>
      <c r="U106" s="280">
        <f t="shared" ref="U106:U115" si="62">IF(I106,((VLOOKUP($B106,$E$7:$AE$16,5+20)+1)*O106),)</f>
        <v>0</v>
      </c>
      <c r="V106" s="278">
        <f t="shared" ref="V106:V115" si="63">IF(D106,((VLOOKUP($B106,$E$7:$AE$16,6)+1)*P106),)</f>
        <v>0</v>
      </c>
      <c r="W106" s="269">
        <f t="shared" ref="W106:W115" si="64">IF(E106,((VLOOKUP($B106,$E$7:$AE$16,6+4)+1)*Q106),)</f>
        <v>0</v>
      </c>
      <c r="X106" s="269">
        <f t="shared" ref="X106:X115" si="65">IF(F106,((VLOOKUP($B106,$E$7:$AE$16,6+8)+1)*R106),)</f>
        <v>0</v>
      </c>
      <c r="Y106" s="270">
        <f t="shared" ref="Y106:Y115" si="66">IF(G106,((VLOOKUP($B106,$E$7:$AE$16,6+12)+1)*S106),)</f>
        <v>0</v>
      </c>
      <c r="Z106" s="269">
        <f t="shared" ref="Z106:Z115" si="67">IF(H106,((VLOOKUP($B106,$E$7:$AE$16,6+16)+1)*T106),)</f>
        <v>0</v>
      </c>
      <c r="AA106" s="280">
        <f t="shared" ref="AA106:AA115" si="68">IF(I106,((VLOOKUP($B106,$E$7:$AE$16,6+20)+1)*U106),)</f>
        <v>0</v>
      </c>
      <c r="AB106" s="278">
        <f t="shared" ref="AB106:AB115" si="69">IF(D106,((VLOOKUP($B106,$E$7:$AE$16,7)+1)*V106),)</f>
        <v>0</v>
      </c>
      <c r="AC106" s="269">
        <f t="shared" ref="AC106:AC115" si="70">IF(E106,((VLOOKUP($B106,$E$7:$AE$16,7+4)+1)*W106),)</f>
        <v>0</v>
      </c>
      <c r="AD106" s="269">
        <f t="shared" ref="AD106:AD115" si="71">IF(F106,((VLOOKUP($B106,$E$7:$AE$16,7+8)+1)*X106),)</f>
        <v>0</v>
      </c>
      <c r="AE106" s="270">
        <f t="shared" ref="AE106:AE115" si="72">IF(G106,((VLOOKUP($B106,$E$7:$AE$16,7+12)+1)*Y106),)</f>
        <v>0</v>
      </c>
      <c r="AF106" s="269">
        <f t="shared" ref="AF106:AF115" si="73">IF(H106,((VLOOKUP($B106,$E$7:$AE$16,7+16)+1)*Z106),)</f>
        <v>0</v>
      </c>
      <c r="AG106" s="280">
        <f t="shared" ref="AG106:AG115" si="74">IF(I106,((VLOOKUP($B106,$E$7:$AE$16,7+20)+1)*AA106),)</f>
        <v>0</v>
      </c>
    </row>
    <row r="107" spans="1:33" ht="15">
      <c r="A107" s="26">
        <f t="shared" si="50"/>
        <v>81</v>
      </c>
      <c r="B107" s="179">
        <v>4</v>
      </c>
      <c r="C107" s="273" t="s">
        <v>195</v>
      </c>
      <c r="D107" s="278">
        <v>67.449079939668152</v>
      </c>
      <c r="E107" s="269">
        <v>0</v>
      </c>
      <c r="F107" s="269">
        <v>0</v>
      </c>
      <c r="G107" s="270">
        <v>0</v>
      </c>
      <c r="H107" s="269">
        <v>0</v>
      </c>
      <c r="I107" s="280">
        <v>40.276868917141599</v>
      </c>
      <c r="J107" s="278">
        <f t="shared" si="51"/>
        <v>67.449079939668152</v>
      </c>
      <c r="K107" s="269">
        <f t="shared" si="52"/>
        <v>0</v>
      </c>
      <c r="L107" s="269">
        <f t="shared" si="53"/>
        <v>0</v>
      </c>
      <c r="M107" s="270">
        <f t="shared" si="54"/>
        <v>0</v>
      </c>
      <c r="N107" s="269">
        <f t="shared" si="55"/>
        <v>0</v>
      </c>
      <c r="O107" s="280">
        <f t="shared" si="56"/>
        <v>40.276868917141599</v>
      </c>
      <c r="P107" s="278">
        <f t="shared" si="57"/>
        <v>67.449079939668152</v>
      </c>
      <c r="Q107" s="269">
        <f t="shared" si="58"/>
        <v>0</v>
      </c>
      <c r="R107" s="269">
        <f t="shared" si="59"/>
        <v>0</v>
      </c>
      <c r="S107" s="270">
        <f t="shared" si="60"/>
        <v>0</v>
      </c>
      <c r="T107" s="269">
        <f t="shared" si="61"/>
        <v>0</v>
      </c>
      <c r="U107" s="280">
        <f t="shared" si="62"/>
        <v>40.276868917141599</v>
      </c>
      <c r="V107" s="278">
        <f t="shared" si="63"/>
        <v>67.449079939668152</v>
      </c>
      <c r="W107" s="269">
        <f t="shared" si="64"/>
        <v>0</v>
      </c>
      <c r="X107" s="269">
        <f t="shared" si="65"/>
        <v>0</v>
      </c>
      <c r="Y107" s="270">
        <f t="shared" si="66"/>
        <v>0</v>
      </c>
      <c r="Z107" s="269">
        <f t="shared" si="67"/>
        <v>0</v>
      </c>
      <c r="AA107" s="280">
        <f t="shared" si="68"/>
        <v>40.276868917141599</v>
      </c>
      <c r="AB107" s="278">
        <f t="shared" si="69"/>
        <v>67.449079939668152</v>
      </c>
      <c r="AC107" s="269">
        <f t="shared" si="70"/>
        <v>0</v>
      </c>
      <c r="AD107" s="269">
        <f t="shared" si="71"/>
        <v>0</v>
      </c>
      <c r="AE107" s="270">
        <f t="shared" si="72"/>
        <v>0</v>
      </c>
      <c r="AF107" s="269">
        <f t="shared" si="73"/>
        <v>0</v>
      </c>
      <c r="AG107" s="280">
        <f t="shared" si="74"/>
        <v>40.276868917141599</v>
      </c>
    </row>
    <row r="108" spans="1:33" ht="15">
      <c r="A108" s="26">
        <f t="shared" si="50"/>
        <v>82</v>
      </c>
      <c r="B108" s="179"/>
      <c r="C108" s="272" t="s">
        <v>196</v>
      </c>
      <c r="D108" s="276"/>
      <c r="E108" s="267"/>
      <c r="F108" s="267"/>
      <c r="G108" s="267"/>
      <c r="H108" s="267"/>
      <c r="I108" s="277"/>
      <c r="J108" s="276">
        <f t="shared" si="51"/>
        <v>0</v>
      </c>
      <c r="K108" s="267">
        <f t="shared" si="52"/>
        <v>0</v>
      </c>
      <c r="L108" s="267">
        <f t="shared" si="53"/>
        <v>0</v>
      </c>
      <c r="M108" s="267">
        <f t="shared" si="54"/>
        <v>0</v>
      </c>
      <c r="N108" s="267">
        <f t="shared" si="55"/>
        <v>0</v>
      </c>
      <c r="O108" s="277">
        <f t="shared" si="56"/>
        <v>0</v>
      </c>
      <c r="P108" s="276">
        <f t="shared" si="57"/>
        <v>0</v>
      </c>
      <c r="Q108" s="267">
        <f t="shared" si="58"/>
        <v>0</v>
      </c>
      <c r="R108" s="267">
        <f t="shared" si="59"/>
        <v>0</v>
      </c>
      <c r="S108" s="267">
        <f t="shared" si="60"/>
        <v>0</v>
      </c>
      <c r="T108" s="267">
        <f t="shared" si="61"/>
        <v>0</v>
      </c>
      <c r="U108" s="277">
        <f t="shared" si="62"/>
        <v>0</v>
      </c>
      <c r="V108" s="276">
        <f t="shared" si="63"/>
        <v>0</v>
      </c>
      <c r="W108" s="267">
        <f t="shared" si="64"/>
        <v>0</v>
      </c>
      <c r="X108" s="267">
        <f t="shared" si="65"/>
        <v>0</v>
      </c>
      <c r="Y108" s="267">
        <f t="shared" si="66"/>
        <v>0</v>
      </c>
      <c r="Z108" s="267">
        <f t="shared" si="67"/>
        <v>0</v>
      </c>
      <c r="AA108" s="277">
        <f t="shared" si="68"/>
        <v>0</v>
      </c>
      <c r="AB108" s="276">
        <f t="shared" si="69"/>
        <v>0</v>
      </c>
      <c r="AC108" s="267">
        <f t="shared" si="70"/>
        <v>0</v>
      </c>
      <c r="AD108" s="267">
        <f t="shared" si="71"/>
        <v>0</v>
      </c>
      <c r="AE108" s="267">
        <f t="shared" si="72"/>
        <v>0</v>
      </c>
      <c r="AF108" s="267">
        <f t="shared" si="73"/>
        <v>0</v>
      </c>
      <c r="AG108" s="277">
        <f t="shared" si="74"/>
        <v>0</v>
      </c>
    </row>
    <row r="109" spans="1:33" ht="15">
      <c r="A109" s="26">
        <f t="shared" si="50"/>
        <v>83</v>
      </c>
      <c r="B109" s="179">
        <v>4</v>
      </c>
      <c r="C109" s="273" t="s">
        <v>102</v>
      </c>
      <c r="D109" s="278">
        <v>826.92226302739937</v>
      </c>
      <c r="E109" s="268">
        <v>3731.6613783210264</v>
      </c>
      <c r="F109" s="268">
        <v>5008.4114190363289</v>
      </c>
      <c r="G109" s="270">
        <v>86.120422990058827</v>
      </c>
      <c r="H109" s="269">
        <v>0</v>
      </c>
      <c r="I109" s="280">
        <v>497.09178617320293</v>
      </c>
      <c r="J109" s="278">
        <f t="shared" si="51"/>
        <v>826.92226302739937</v>
      </c>
      <c r="K109" s="268">
        <f t="shared" si="52"/>
        <v>3731.6613783210264</v>
      </c>
      <c r="L109" s="268">
        <f t="shared" si="53"/>
        <v>5008.4114190363289</v>
      </c>
      <c r="M109" s="270">
        <f t="shared" si="54"/>
        <v>86.120422990058827</v>
      </c>
      <c r="N109" s="269">
        <f t="shared" si="55"/>
        <v>0</v>
      </c>
      <c r="O109" s="280">
        <f t="shared" si="56"/>
        <v>497.09178617320293</v>
      </c>
      <c r="P109" s="278">
        <f t="shared" si="57"/>
        <v>826.92226302739937</v>
      </c>
      <c r="Q109" s="268">
        <f t="shared" si="58"/>
        <v>3731.6613783210264</v>
      </c>
      <c r="R109" s="268">
        <f t="shared" si="59"/>
        <v>5008.4114190363289</v>
      </c>
      <c r="S109" s="270">
        <f t="shared" si="60"/>
        <v>86.120422990058827</v>
      </c>
      <c r="T109" s="269">
        <f t="shared" si="61"/>
        <v>0</v>
      </c>
      <c r="U109" s="280">
        <f t="shared" si="62"/>
        <v>497.09178617320293</v>
      </c>
      <c r="V109" s="278">
        <f t="shared" si="63"/>
        <v>826.92226302739937</v>
      </c>
      <c r="W109" s="268">
        <f t="shared" si="64"/>
        <v>3731.6613783210264</v>
      </c>
      <c r="X109" s="268">
        <f t="shared" si="65"/>
        <v>5008.4114190363289</v>
      </c>
      <c r="Y109" s="270">
        <f t="shared" si="66"/>
        <v>86.120422990058827</v>
      </c>
      <c r="Z109" s="269">
        <f t="shared" si="67"/>
        <v>0</v>
      </c>
      <c r="AA109" s="280">
        <f t="shared" si="68"/>
        <v>497.09178617320293</v>
      </c>
      <c r="AB109" s="278">
        <f t="shared" si="69"/>
        <v>826.92226302739937</v>
      </c>
      <c r="AC109" s="268">
        <f t="shared" si="70"/>
        <v>3731.6613783210264</v>
      </c>
      <c r="AD109" s="268">
        <f t="shared" si="71"/>
        <v>5008.4114190363289</v>
      </c>
      <c r="AE109" s="270">
        <f t="shared" si="72"/>
        <v>86.120422990058827</v>
      </c>
      <c r="AF109" s="269">
        <f t="shared" si="73"/>
        <v>0</v>
      </c>
      <c r="AG109" s="280">
        <f t="shared" si="74"/>
        <v>497.09178617320293</v>
      </c>
    </row>
    <row r="110" spans="1:33" ht="15">
      <c r="A110" s="26">
        <f t="shared" si="50"/>
        <v>84</v>
      </c>
      <c r="B110" s="179">
        <v>4</v>
      </c>
      <c r="C110" s="273" t="s">
        <v>197</v>
      </c>
      <c r="D110" s="278">
        <v>0</v>
      </c>
      <c r="E110" s="268">
        <v>0</v>
      </c>
      <c r="F110" s="268">
        <v>0</v>
      </c>
      <c r="G110" s="270">
        <v>0</v>
      </c>
      <c r="H110" s="269">
        <v>0</v>
      </c>
      <c r="I110" s="280">
        <v>0</v>
      </c>
      <c r="J110" s="278">
        <f t="shared" si="51"/>
        <v>0</v>
      </c>
      <c r="K110" s="268">
        <f t="shared" si="52"/>
        <v>0</v>
      </c>
      <c r="L110" s="268">
        <f t="shared" si="53"/>
        <v>0</v>
      </c>
      <c r="M110" s="270">
        <f t="shared" si="54"/>
        <v>0</v>
      </c>
      <c r="N110" s="269">
        <f t="shared" si="55"/>
        <v>0</v>
      </c>
      <c r="O110" s="280">
        <f t="shared" si="56"/>
        <v>0</v>
      </c>
      <c r="P110" s="278">
        <f t="shared" si="57"/>
        <v>0</v>
      </c>
      <c r="Q110" s="268">
        <f t="shared" si="58"/>
        <v>0</v>
      </c>
      <c r="R110" s="268">
        <f t="shared" si="59"/>
        <v>0</v>
      </c>
      <c r="S110" s="270">
        <f t="shared" si="60"/>
        <v>0</v>
      </c>
      <c r="T110" s="269">
        <f t="shared" si="61"/>
        <v>0</v>
      </c>
      <c r="U110" s="280">
        <f t="shared" si="62"/>
        <v>0</v>
      </c>
      <c r="V110" s="278">
        <f t="shared" si="63"/>
        <v>0</v>
      </c>
      <c r="W110" s="268">
        <f t="shared" si="64"/>
        <v>0</v>
      </c>
      <c r="X110" s="268">
        <f t="shared" si="65"/>
        <v>0</v>
      </c>
      <c r="Y110" s="270">
        <f t="shared" si="66"/>
        <v>0</v>
      </c>
      <c r="Z110" s="269">
        <f t="shared" si="67"/>
        <v>0</v>
      </c>
      <c r="AA110" s="280">
        <f t="shared" si="68"/>
        <v>0</v>
      </c>
      <c r="AB110" s="278">
        <f t="shared" si="69"/>
        <v>0</v>
      </c>
      <c r="AC110" s="268">
        <f t="shared" si="70"/>
        <v>0</v>
      </c>
      <c r="AD110" s="268">
        <f t="shared" si="71"/>
        <v>0</v>
      </c>
      <c r="AE110" s="270">
        <f t="shared" si="72"/>
        <v>0</v>
      </c>
      <c r="AF110" s="269">
        <f t="shared" si="73"/>
        <v>0</v>
      </c>
      <c r="AG110" s="280">
        <f t="shared" si="74"/>
        <v>0</v>
      </c>
    </row>
    <row r="111" spans="1:33" ht="15">
      <c r="A111" s="26">
        <f t="shared" si="50"/>
        <v>85</v>
      </c>
      <c r="B111" s="179">
        <v>4</v>
      </c>
      <c r="C111" s="273" t="s">
        <v>198</v>
      </c>
      <c r="D111" s="278">
        <v>0.3293543489190548</v>
      </c>
      <c r="E111" s="268">
        <v>0</v>
      </c>
      <c r="F111" s="268">
        <v>0</v>
      </c>
      <c r="G111" s="270">
        <v>0</v>
      </c>
      <c r="H111" s="269">
        <v>0</v>
      </c>
      <c r="I111" s="280">
        <v>0.38239675580885579</v>
      </c>
      <c r="J111" s="278">
        <f t="shared" si="51"/>
        <v>0.3293543489190548</v>
      </c>
      <c r="K111" s="268">
        <f t="shared" si="52"/>
        <v>0</v>
      </c>
      <c r="L111" s="268">
        <f t="shared" si="53"/>
        <v>0</v>
      </c>
      <c r="M111" s="270">
        <f t="shared" si="54"/>
        <v>0</v>
      </c>
      <c r="N111" s="269">
        <f t="shared" si="55"/>
        <v>0</v>
      </c>
      <c r="O111" s="280">
        <f t="shared" si="56"/>
        <v>0.38239675580885579</v>
      </c>
      <c r="P111" s="278">
        <f t="shared" si="57"/>
        <v>0.3293543489190548</v>
      </c>
      <c r="Q111" s="268">
        <f t="shared" si="58"/>
        <v>0</v>
      </c>
      <c r="R111" s="268">
        <f t="shared" si="59"/>
        <v>0</v>
      </c>
      <c r="S111" s="270">
        <f t="shared" si="60"/>
        <v>0</v>
      </c>
      <c r="T111" s="269">
        <f t="shared" si="61"/>
        <v>0</v>
      </c>
      <c r="U111" s="280">
        <f t="shared" si="62"/>
        <v>0.38239675580885579</v>
      </c>
      <c r="V111" s="278">
        <f t="shared" si="63"/>
        <v>0.3293543489190548</v>
      </c>
      <c r="W111" s="268">
        <f t="shared" si="64"/>
        <v>0</v>
      </c>
      <c r="X111" s="268">
        <f t="shared" si="65"/>
        <v>0</v>
      </c>
      <c r="Y111" s="270">
        <f t="shared" si="66"/>
        <v>0</v>
      </c>
      <c r="Z111" s="269">
        <f t="shared" si="67"/>
        <v>0</v>
      </c>
      <c r="AA111" s="280">
        <f t="shared" si="68"/>
        <v>0.38239675580885579</v>
      </c>
      <c r="AB111" s="278">
        <f t="shared" si="69"/>
        <v>0.3293543489190548</v>
      </c>
      <c r="AC111" s="268">
        <f t="shared" si="70"/>
        <v>0</v>
      </c>
      <c r="AD111" s="268">
        <f t="shared" si="71"/>
        <v>0</v>
      </c>
      <c r="AE111" s="270">
        <f t="shared" si="72"/>
        <v>0</v>
      </c>
      <c r="AF111" s="269">
        <f t="shared" si="73"/>
        <v>0</v>
      </c>
      <c r="AG111" s="280">
        <f t="shared" si="74"/>
        <v>0.38239675580885579</v>
      </c>
    </row>
    <row r="112" spans="1:33" ht="15">
      <c r="A112" s="26">
        <f t="shared" si="50"/>
        <v>86</v>
      </c>
      <c r="B112" s="179"/>
      <c r="C112" s="272" t="s">
        <v>199</v>
      </c>
      <c r="D112" s="276"/>
      <c r="E112" s="267"/>
      <c r="F112" s="267"/>
      <c r="G112" s="267"/>
      <c r="H112" s="267"/>
      <c r="I112" s="277"/>
      <c r="J112" s="276">
        <f t="shared" si="51"/>
        <v>0</v>
      </c>
      <c r="K112" s="267">
        <f t="shared" si="52"/>
        <v>0</v>
      </c>
      <c r="L112" s="267">
        <f t="shared" si="53"/>
        <v>0</v>
      </c>
      <c r="M112" s="267">
        <f t="shared" si="54"/>
        <v>0</v>
      </c>
      <c r="N112" s="267">
        <f t="shared" si="55"/>
        <v>0</v>
      </c>
      <c r="O112" s="277">
        <f t="shared" si="56"/>
        <v>0</v>
      </c>
      <c r="P112" s="276">
        <f t="shared" si="57"/>
        <v>0</v>
      </c>
      <c r="Q112" s="267">
        <f t="shared" si="58"/>
        <v>0</v>
      </c>
      <c r="R112" s="267">
        <f t="shared" si="59"/>
        <v>0</v>
      </c>
      <c r="S112" s="267">
        <f t="shared" si="60"/>
        <v>0</v>
      </c>
      <c r="T112" s="267">
        <f t="shared" si="61"/>
        <v>0</v>
      </c>
      <c r="U112" s="277">
        <f t="shared" si="62"/>
        <v>0</v>
      </c>
      <c r="V112" s="276">
        <f t="shared" si="63"/>
        <v>0</v>
      </c>
      <c r="W112" s="267">
        <f t="shared" si="64"/>
        <v>0</v>
      </c>
      <c r="X112" s="267">
        <f t="shared" si="65"/>
        <v>0</v>
      </c>
      <c r="Y112" s="267">
        <f t="shared" si="66"/>
        <v>0</v>
      </c>
      <c r="Z112" s="267">
        <f t="shared" si="67"/>
        <v>0</v>
      </c>
      <c r="AA112" s="277">
        <f t="shared" si="68"/>
        <v>0</v>
      </c>
      <c r="AB112" s="276">
        <f t="shared" si="69"/>
        <v>0</v>
      </c>
      <c r="AC112" s="267">
        <f t="shared" si="70"/>
        <v>0</v>
      </c>
      <c r="AD112" s="267">
        <f t="shared" si="71"/>
        <v>0</v>
      </c>
      <c r="AE112" s="267">
        <f t="shared" si="72"/>
        <v>0</v>
      </c>
      <c r="AF112" s="267">
        <f t="shared" si="73"/>
        <v>0</v>
      </c>
      <c r="AG112" s="277">
        <f t="shared" si="74"/>
        <v>0</v>
      </c>
    </row>
    <row r="113" spans="1:33" ht="15">
      <c r="A113" s="26">
        <f t="shared" si="50"/>
        <v>87</v>
      </c>
      <c r="B113" s="179">
        <v>4</v>
      </c>
      <c r="C113" s="273" t="s">
        <v>103</v>
      </c>
      <c r="D113" s="278">
        <v>1213.6794216291853</v>
      </c>
      <c r="E113" s="269">
        <v>0</v>
      </c>
      <c r="F113" s="269">
        <v>0</v>
      </c>
      <c r="G113" s="270">
        <v>5.0659072347093428</v>
      </c>
      <c r="H113" s="269">
        <v>0</v>
      </c>
      <c r="I113" s="280">
        <v>124.64962312250731</v>
      </c>
      <c r="J113" s="278">
        <f t="shared" si="51"/>
        <v>1213.6794216291853</v>
      </c>
      <c r="K113" s="269">
        <f t="shared" si="52"/>
        <v>0</v>
      </c>
      <c r="L113" s="269">
        <f t="shared" si="53"/>
        <v>0</v>
      </c>
      <c r="M113" s="270">
        <f t="shared" si="54"/>
        <v>5.0659072347093428</v>
      </c>
      <c r="N113" s="269">
        <f t="shared" si="55"/>
        <v>0</v>
      </c>
      <c r="O113" s="280">
        <f t="shared" si="56"/>
        <v>124.64962312250731</v>
      </c>
      <c r="P113" s="278">
        <f t="shared" si="57"/>
        <v>1213.6794216291853</v>
      </c>
      <c r="Q113" s="269">
        <f t="shared" si="58"/>
        <v>0</v>
      </c>
      <c r="R113" s="269">
        <f t="shared" si="59"/>
        <v>0</v>
      </c>
      <c r="S113" s="270">
        <f t="shared" si="60"/>
        <v>5.0659072347093428</v>
      </c>
      <c r="T113" s="269">
        <f t="shared" si="61"/>
        <v>0</v>
      </c>
      <c r="U113" s="280">
        <f t="shared" si="62"/>
        <v>124.64962312250731</v>
      </c>
      <c r="V113" s="278">
        <f t="shared" si="63"/>
        <v>1213.6794216291853</v>
      </c>
      <c r="W113" s="269">
        <f t="shared" si="64"/>
        <v>0</v>
      </c>
      <c r="X113" s="269">
        <f t="shared" si="65"/>
        <v>0</v>
      </c>
      <c r="Y113" s="270">
        <f t="shared" si="66"/>
        <v>5.0659072347093428</v>
      </c>
      <c r="Z113" s="269">
        <f t="shared" si="67"/>
        <v>0</v>
      </c>
      <c r="AA113" s="280">
        <f t="shared" si="68"/>
        <v>124.64962312250731</v>
      </c>
      <c r="AB113" s="278">
        <f t="shared" si="69"/>
        <v>1213.6794216291853</v>
      </c>
      <c r="AC113" s="269">
        <f t="shared" si="70"/>
        <v>0</v>
      </c>
      <c r="AD113" s="269">
        <f t="shared" si="71"/>
        <v>0</v>
      </c>
      <c r="AE113" s="270">
        <f t="shared" si="72"/>
        <v>5.0659072347093428</v>
      </c>
      <c r="AF113" s="269">
        <f t="shared" si="73"/>
        <v>0</v>
      </c>
      <c r="AG113" s="280">
        <f t="shared" si="74"/>
        <v>124.64962312250731</v>
      </c>
    </row>
    <row r="114" spans="1:33" ht="15">
      <c r="A114" s="26">
        <f t="shared" si="50"/>
        <v>88</v>
      </c>
      <c r="B114" s="179">
        <v>4</v>
      </c>
      <c r="C114" s="273" t="s">
        <v>200</v>
      </c>
      <c r="D114" s="278">
        <v>0</v>
      </c>
      <c r="E114" s="269">
        <v>0</v>
      </c>
      <c r="F114" s="269">
        <v>0</v>
      </c>
      <c r="G114" s="270">
        <v>0</v>
      </c>
      <c r="H114" s="269">
        <v>0</v>
      </c>
      <c r="I114" s="280">
        <v>0</v>
      </c>
      <c r="J114" s="278">
        <f t="shared" si="51"/>
        <v>0</v>
      </c>
      <c r="K114" s="269">
        <f t="shared" si="52"/>
        <v>0</v>
      </c>
      <c r="L114" s="269">
        <f t="shared" si="53"/>
        <v>0</v>
      </c>
      <c r="M114" s="270">
        <f t="shared" si="54"/>
        <v>0</v>
      </c>
      <c r="N114" s="269">
        <f t="shared" si="55"/>
        <v>0</v>
      </c>
      <c r="O114" s="280">
        <f t="shared" si="56"/>
        <v>0</v>
      </c>
      <c r="P114" s="278">
        <f t="shared" si="57"/>
        <v>0</v>
      </c>
      <c r="Q114" s="269">
        <f t="shared" si="58"/>
        <v>0</v>
      </c>
      <c r="R114" s="269">
        <f t="shared" si="59"/>
        <v>0</v>
      </c>
      <c r="S114" s="270">
        <f t="shared" si="60"/>
        <v>0</v>
      </c>
      <c r="T114" s="269">
        <f t="shared" si="61"/>
        <v>0</v>
      </c>
      <c r="U114" s="280">
        <f t="shared" si="62"/>
        <v>0</v>
      </c>
      <c r="V114" s="278">
        <f t="shared" si="63"/>
        <v>0</v>
      </c>
      <c r="W114" s="269">
        <f t="shared" si="64"/>
        <v>0</v>
      </c>
      <c r="X114" s="269">
        <f t="shared" si="65"/>
        <v>0</v>
      </c>
      <c r="Y114" s="270">
        <f t="shared" si="66"/>
        <v>0</v>
      </c>
      <c r="Z114" s="269">
        <f t="shared" si="67"/>
        <v>0</v>
      </c>
      <c r="AA114" s="280">
        <f t="shared" si="68"/>
        <v>0</v>
      </c>
      <c r="AB114" s="278">
        <f t="shared" si="69"/>
        <v>0</v>
      </c>
      <c r="AC114" s="269">
        <f t="shared" si="70"/>
        <v>0</v>
      </c>
      <c r="AD114" s="269">
        <f t="shared" si="71"/>
        <v>0</v>
      </c>
      <c r="AE114" s="270">
        <f t="shared" si="72"/>
        <v>0</v>
      </c>
      <c r="AF114" s="269">
        <f t="shared" si="73"/>
        <v>0</v>
      </c>
      <c r="AG114" s="280">
        <f t="shared" si="74"/>
        <v>0</v>
      </c>
    </row>
    <row r="115" spans="1:33" ht="15">
      <c r="A115" s="26">
        <f t="shared" si="50"/>
        <v>89</v>
      </c>
      <c r="B115" s="179"/>
      <c r="C115" s="272" t="s">
        <v>201</v>
      </c>
      <c r="D115" s="276"/>
      <c r="E115" s="267"/>
      <c r="F115" s="267"/>
      <c r="G115" s="267"/>
      <c r="H115" s="267"/>
      <c r="I115" s="277"/>
      <c r="J115" s="276">
        <f t="shared" si="51"/>
        <v>0</v>
      </c>
      <c r="K115" s="267">
        <f t="shared" si="52"/>
        <v>0</v>
      </c>
      <c r="L115" s="267">
        <f t="shared" si="53"/>
        <v>0</v>
      </c>
      <c r="M115" s="267">
        <f t="shared" si="54"/>
        <v>0</v>
      </c>
      <c r="N115" s="267">
        <f t="shared" si="55"/>
        <v>0</v>
      </c>
      <c r="O115" s="277">
        <f t="shared" si="56"/>
        <v>0</v>
      </c>
      <c r="P115" s="276">
        <f t="shared" si="57"/>
        <v>0</v>
      </c>
      <c r="Q115" s="267">
        <f t="shared" si="58"/>
        <v>0</v>
      </c>
      <c r="R115" s="267">
        <f t="shared" si="59"/>
        <v>0</v>
      </c>
      <c r="S115" s="267">
        <f t="shared" si="60"/>
        <v>0</v>
      </c>
      <c r="T115" s="267">
        <f t="shared" si="61"/>
        <v>0</v>
      </c>
      <c r="U115" s="277">
        <f t="shared" si="62"/>
        <v>0</v>
      </c>
      <c r="V115" s="276">
        <f t="shared" si="63"/>
        <v>0</v>
      </c>
      <c r="W115" s="267">
        <f t="shared" si="64"/>
        <v>0</v>
      </c>
      <c r="X115" s="267">
        <f t="shared" si="65"/>
        <v>0</v>
      </c>
      <c r="Y115" s="267">
        <f t="shared" si="66"/>
        <v>0</v>
      </c>
      <c r="Z115" s="267">
        <f t="shared" si="67"/>
        <v>0</v>
      </c>
      <c r="AA115" s="277">
        <f t="shared" si="68"/>
        <v>0</v>
      </c>
      <c r="AB115" s="276">
        <f t="shared" si="69"/>
        <v>0</v>
      </c>
      <c r="AC115" s="267">
        <f t="shared" si="70"/>
        <v>0</v>
      </c>
      <c r="AD115" s="267">
        <f t="shared" si="71"/>
        <v>0</v>
      </c>
      <c r="AE115" s="267">
        <f t="shared" si="72"/>
        <v>0</v>
      </c>
      <c r="AF115" s="267">
        <f t="shared" si="73"/>
        <v>0</v>
      </c>
      <c r="AG115" s="277">
        <f t="shared" si="74"/>
        <v>0</v>
      </c>
    </row>
    <row r="116" spans="1:33" ht="15">
      <c r="A116" s="26">
        <f t="shared" si="50"/>
        <v>90</v>
      </c>
      <c r="B116" s="179">
        <v>4</v>
      </c>
      <c r="C116" s="273" t="s">
        <v>104</v>
      </c>
      <c r="D116" s="278">
        <v>1398.4642496253416</v>
      </c>
      <c r="E116" s="268">
        <v>3179.9868408000002</v>
      </c>
      <c r="F116" s="268">
        <v>6128.1571032000011</v>
      </c>
      <c r="G116" s="270">
        <v>4.0527257877674732</v>
      </c>
      <c r="H116" s="269">
        <v>0</v>
      </c>
      <c r="I116" s="280">
        <v>8.8798433495988469</v>
      </c>
      <c r="J116" s="278">
        <f t="shared" ref="J116:J121" si="75">IF(D116,((VLOOKUP($B116,$E$7:$AE$16,4)+1)*D116),)</f>
        <v>1398.4642496253416</v>
      </c>
      <c r="K116" s="268">
        <f t="shared" ref="K116:K121" si="76">IF(E116,((VLOOKUP($B116,$E$7:$AE$16,8)+1)*E116),)</f>
        <v>3179.9868408000002</v>
      </c>
      <c r="L116" s="268">
        <f t="shared" ref="L116:L121" si="77">IF(F116,((VLOOKUP($B116,$E$7:$AE$16,12)+1)*F116),)</f>
        <v>6128.1571032000011</v>
      </c>
      <c r="M116" s="270">
        <f t="shared" ref="M116:M121" si="78">IF(G116,((VLOOKUP($B116,$E$7:$AE$16,16)+1)*G116),)</f>
        <v>4.0527257877674732</v>
      </c>
      <c r="N116" s="269">
        <f t="shared" ref="N116:N121" si="79">IF(H116,((VLOOKUP($B116,$E$7:$AE$16,20)+1)*H116),)</f>
        <v>0</v>
      </c>
      <c r="O116" s="280">
        <f t="shared" ref="O116:O121" si="80">IF(I116,((VLOOKUP($B116,$E$7:$AE$16,24)+1)*I116),)</f>
        <v>8.8798433495988469</v>
      </c>
      <c r="P116" s="278">
        <f t="shared" ref="P116:P121" si="81">IF(D116,((VLOOKUP($B116,$E$7:$AE$16,5)+1)*J116),)</f>
        <v>1398.4642496253416</v>
      </c>
      <c r="Q116" s="268">
        <f t="shared" ref="Q116:Q121" si="82">IF(E116,((VLOOKUP($B116,$E$7:$AE$16,5+4)+1)*K116),)</f>
        <v>3179.9868408000002</v>
      </c>
      <c r="R116" s="268">
        <f t="shared" ref="R116:R121" si="83">IF(F116,((VLOOKUP($B116,$E$7:$AE$16,5+8)+1)*L116),)</f>
        <v>6128.1571032000011</v>
      </c>
      <c r="S116" s="270">
        <f t="shared" ref="S116:S121" si="84">IF(G116,((VLOOKUP($B116,$E$7:$AE$16,5+12)+1)*M116),)</f>
        <v>4.0527257877674732</v>
      </c>
      <c r="T116" s="269">
        <f t="shared" ref="T116:T121" si="85">IF(H116,((VLOOKUP($B116,$E$7:$AE$16,5+16)+1)*N116),)</f>
        <v>0</v>
      </c>
      <c r="U116" s="280">
        <f t="shared" ref="U116:U121" si="86">IF(I116,((VLOOKUP($B116,$E$7:$AE$16,5+20)+1)*O116),)</f>
        <v>8.8798433495988469</v>
      </c>
      <c r="V116" s="278">
        <f t="shared" ref="V116:V121" si="87">IF(D116,((VLOOKUP($B116,$E$7:$AE$16,6)+1)*P116),)</f>
        <v>1398.4642496253416</v>
      </c>
      <c r="W116" s="268">
        <f t="shared" ref="W116:W121" si="88">IF(E116,((VLOOKUP($B116,$E$7:$AE$16,6+4)+1)*Q116),)</f>
        <v>3179.9868408000002</v>
      </c>
      <c r="X116" s="268">
        <f t="shared" ref="X116:X121" si="89">IF(F116,((VLOOKUP($B116,$E$7:$AE$16,6+8)+1)*R116),)</f>
        <v>6128.1571032000011</v>
      </c>
      <c r="Y116" s="270">
        <f t="shared" ref="Y116:Y121" si="90">IF(G116,((VLOOKUP($B116,$E$7:$AE$16,6+12)+1)*S116),)</f>
        <v>4.0527257877674732</v>
      </c>
      <c r="Z116" s="269">
        <f t="shared" ref="Z116:Z121" si="91">IF(H116,((VLOOKUP($B116,$E$7:$AE$16,6+16)+1)*T116),)</f>
        <v>0</v>
      </c>
      <c r="AA116" s="280">
        <f t="shared" ref="AA116:AA121" si="92">IF(I116,((VLOOKUP($B116,$E$7:$AE$16,6+20)+1)*U116),)</f>
        <v>8.8798433495988469</v>
      </c>
      <c r="AB116" s="278">
        <f t="shared" ref="AB116:AB121" si="93">IF(D116,((VLOOKUP($B116,$E$7:$AE$16,7)+1)*V116),)</f>
        <v>1398.4642496253416</v>
      </c>
      <c r="AC116" s="268">
        <f t="shared" ref="AC116:AC121" si="94">IF(E116,((VLOOKUP($B116,$E$7:$AE$16,7+4)+1)*W116),)</f>
        <v>3179.9868408000002</v>
      </c>
      <c r="AD116" s="268">
        <f t="shared" ref="AD116:AD121" si="95">IF(F116,((VLOOKUP($B116,$E$7:$AE$16,7+8)+1)*X116),)</f>
        <v>6128.1571032000011</v>
      </c>
      <c r="AE116" s="270">
        <f t="shared" ref="AE116:AE121" si="96">IF(G116,((VLOOKUP($B116,$E$7:$AE$16,7+12)+1)*Y116),)</f>
        <v>4.0527257877674732</v>
      </c>
      <c r="AF116" s="269">
        <f t="shared" ref="AF116:AF121" si="97">IF(H116,((VLOOKUP($B116,$E$7:$AE$16,7+16)+1)*Z116),)</f>
        <v>0</v>
      </c>
      <c r="AG116" s="280">
        <f t="shared" ref="AG116:AG121" si="98">IF(I116,((VLOOKUP($B116,$E$7:$AE$16,7+20)+1)*AA116),)</f>
        <v>8.8798433495988469</v>
      </c>
    </row>
    <row r="117" spans="1:33" ht="15">
      <c r="A117" s="26">
        <f t="shared" si="50"/>
        <v>91</v>
      </c>
      <c r="B117" s="179">
        <v>4</v>
      </c>
      <c r="C117" s="273" t="s">
        <v>202</v>
      </c>
      <c r="D117" s="278">
        <v>0</v>
      </c>
      <c r="E117" s="268">
        <v>0</v>
      </c>
      <c r="F117" s="268">
        <v>0</v>
      </c>
      <c r="G117" s="270">
        <v>0</v>
      </c>
      <c r="H117" s="269">
        <v>0</v>
      </c>
      <c r="I117" s="280">
        <v>0</v>
      </c>
      <c r="J117" s="278">
        <f t="shared" si="75"/>
        <v>0</v>
      </c>
      <c r="K117" s="268">
        <f t="shared" si="76"/>
        <v>0</v>
      </c>
      <c r="L117" s="268">
        <f t="shared" si="77"/>
        <v>0</v>
      </c>
      <c r="M117" s="270">
        <f t="shared" si="78"/>
        <v>0</v>
      </c>
      <c r="N117" s="269">
        <f t="shared" si="79"/>
        <v>0</v>
      </c>
      <c r="O117" s="280">
        <f t="shared" si="80"/>
        <v>0</v>
      </c>
      <c r="P117" s="278">
        <f t="shared" si="81"/>
        <v>0</v>
      </c>
      <c r="Q117" s="268">
        <f t="shared" si="82"/>
        <v>0</v>
      </c>
      <c r="R117" s="268">
        <f t="shared" si="83"/>
        <v>0</v>
      </c>
      <c r="S117" s="270">
        <f t="shared" si="84"/>
        <v>0</v>
      </c>
      <c r="T117" s="269">
        <f t="shared" si="85"/>
        <v>0</v>
      </c>
      <c r="U117" s="280">
        <f t="shared" si="86"/>
        <v>0</v>
      </c>
      <c r="V117" s="278">
        <f t="shared" si="87"/>
        <v>0</v>
      </c>
      <c r="W117" s="268">
        <f t="shared" si="88"/>
        <v>0</v>
      </c>
      <c r="X117" s="268">
        <f t="shared" si="89"/>
        <v>0</v>
      </c>
      <c r="Y117" s="270">
        <f t="shared" si="90"/>
        <v>0</v>
      </c>
      <c r="Z117" s="269">
        <f t="shared" si="91"/>
        <v>0</v>
      </c>
      <c r="AA117" s="280">
        <f t="shared" si="92"/>
        <v>0</v>
      </c>
      <c r="AB117" s="278">
        <f t="shared" si="93"/>
        <v>0</v>
      </c>
      <c r="AC117" s="268">
        <f t="shared" si="94"/>
        <v>0</v>
      </c>
      <c r="AD117" s="268">
        <f t="shared" si="95"/>
        <v>0</v>
      </c>
      <c r="AE117" s="270">
        <f t="shared" si="96"/>
        <v>0</v>
      </c>
      <c r="AF117" s="269">
        <f t="shared" si="97"/>
        <v>0</v>
      </c>
      <c r="AG117" s="280">
        <f t="shared" si="98"/>
        <v>0</v>
      </c>
    </row>
    <row r="118" spans="1:33" ht="15">
      <c r="A118" s="26">
        <f t="shared" si="50"/>
        <v>92</v>
      </c>
      <c r="B118" s="179"/>
      <c r="C118" s="272" t="s">
        <v>203</v>
      </c>
      <c r="D118" s="276"/>
      <c r="E118" s="267"/>
      <c r="F118" s="267"/>
      <c r="G118" s="267"/>
      <c r="H118" s="267"/>
      <c r="I118" s="277"/>
      <c r="J118" s="276">
        <f t="shared" si="75"/>
        <v>0</v>
      </c>
      <c r="K118" s="267">
        <f t="shared" si="76"/>
        <v>0</v>
      </c>
      <c r="L118" s="267">
        <f t="shared" si="77"/>
        <v>0</v>
      </c>
      <c r="M118" s="267">
        <f t="shared" si="78"/>
        <v>0</v>
      </c>
      <c r="N118" s="267">
        <f t="shared" si="79"/>
        <v>0</v>
      </c>
      <c r="O118" s="277">
        <f t="shared" si="80"/>
        <v>0</v>
      </c>
      <c r="P118" s="276">
        <f t="shared" si="81"/>
        <v>0</v>
      </c>
      <c r="Q118" s="267">
        <f t="shared" si="82"/>
        <v>0</v>
      </c>
      <c r="R118" s="267">
        <f t="shared" si="83"/>
        <v>0</v>
      </c>
      <c r="S118" s="267">
        <f t="shared" si="84"/>
        <v>0</v>
      </c>
      <c r="T118" s="267">
        <f t="shared" si="85"/>
        <v>0</v>
      </c>
      <c r="U118" s="277">
        <f t="shared" si="86"/>
        <v>0</v>
      </c>
      <c r="V118" s="276">
        <f t="shared" si="87"/>
        <v>0</v>
      </c>
      <c r="W118" s="267">
        <f t="shared" si="88"/>
        <v>0</v>
      </c>
      <c r="X118" s="267">
        <f t="shared" si="89"/>
        <v>0</v>
      </c>
      <c r="Y118" s="267">
        <f t="shared" si="90"/>
        <v>0</v>
      </c>
      <c r="Z118" s="267">
        <f t="shared" si="91"/>
        <v>0</v>
      </c>
      <c r="AA118" s="277">
        <f t="shared" si="92"/>
        <v>0</v>
      </c>
      <c r="AB118" s="276">
        <f t="shared" si="93"/>
        <v>0</v>
      </c>
      <c r="AC118" s="267">
        <f t="shared" si="94"/>
        <v>0</v>
      </c>
      <c r="AD118" s="267">
        <f t="shared" si="95"/>
        <v>0</v>
      </c>
      <c r="AE118" s="267">
        <f t="shared" si="96"/>
        <v>0</v>
      </c>
      <c r="AF118" s="267">
        <f t="shared" si="97"/>
        <v>0</v>
      </c>
      <c r="AG118" s="277">
        <f t="shared" si="98"/>
        <v>0</v>
      </c>
    </row>
    <row r="119" spans="1:33" ht="15">
      <c r="A119" s="26">
        <f t="shared" si="50"/>
        <v>93</v>
      </c>
      <c r="B119" s="179">
        <v>4</v>
      </c>
      <c r="C119" s="273" t="s">
        <v>112</v>
      </c>
      <c r="D119" s="278">
        <v>95543.871083999999</v>
      </c>
      <c r="E119" s="269">
        <v>0</v>
      </c>
      <c r="F119" s="269">
        <v>0</v>
      </c>
      <c r="G119" s="270">
        <v>55.359020484258814</v>
      </c>
      <c r="H119" s="269">
        <v>0</v>
      </c>
      <c r="I119" s="280">
        <v>3144.8579734229206</v>
      </c>
      <c r="J119" s="278">
        <f t="shared" si="75"/>
        <v>95543.871083999999</v>
      </c>
      <c r="K119" s="269">
        <f t="shared" si="76"/>
        <v>0</v>
      </c>
      <c r="L119" s="269">
        <f t="shared" si="77"/>
        <v>0</v>
      </c>
      <c r="M119" s="270">
        <f t="shared" si="78"/>
        <v>55.359020484258814</v>
      </c>
      <c r="N119" s="269">
        <f t="shared" si="79"/>
        <v>0</v>
      </c>
      <c r="O119" s="280">
        <f t="shared" si="80"/>
        <v>3144.8579734229206</v>
      </c>
      <c r="P119" s="278">
        <f t="shared" si="81"/>
        <v>95543.871083999999</v>
      </c>
      <c r="Q119" s="269">
        <f t="shared" si="82"/>
        <v>0</v>
      </c>
      <c r="R119" s="269">
        <f t="shared" si="83"/>
        <v>0</v>
      </c>
      <c r="S119" s="270">
        <f t="shared" si="84"/>
        <v>55.359020484258814</v>
      </c>
      <c r="T119" s="269">
        <f t="shared" si="85"/>
        <v>0</v>
      </c>
      <c r="U119" s="280">
        <f t="shared" si="86"/>
        <v>3144.8579734229206</v>
      </c>
      <c r="V119" s="278">
        <f t="shared" si="87"/>
        <v>95543.871083999999</v>
      </c>
      <c r="W119" s="269">
        <f t="shared" si="88"/>
        <v>0</v>
      </c>
      <c r="X119" s="269">
        <f t="shared" si="89"/>
        <v>0</v>
      </c>
      <c r="Y119" s="270">
        <f t="shared" si="90"/>
        <v>55.359020484258814</v>
      </c>
      <c r="Z119" s="269">
        <f t="shared" si="91"/>
        <v>0</v>
      </c>
      <c r="AA119" s="280">
        <f t="shared" si="92"/>
        <v>3144.8579734229206</v>
      </c>
      <c r="AB119" s="278">
        <f t="shared" si="93"/>
        <v>95543.871083999999</v>
      </c>
      <c r="AC119" s="269">
        <f t="shared" si="94"/>
        <v>0</v>
      </c>
      <c r="AD119" s="269">
        <f t="shared" si="95"/>
        <v>0</v>
      </c>
      <c r="AE119" s="270">
        <f t="shared" si="96"/>
        <v>55.359020484258814</v>
      </c>
      <c r="AF119" s="269">
        <f t="shared" si="97"/>
        <v>0</v>
      </c>
      <c r="AG119" s="280">
        <f t="shared" si="98"/>
        <v>3144.8579734229206</v>
      </c>
    </row>
    <row r="120" spans="1:33" ht="15">
      <c r="A120" s="26">
        <f t="shared" si="50"/>
        <v>94</v>
      </c>
      <c r="B120" s="179">
        <v>4</v>
      </c>
      <c r="C120" s="273" t="s">
        <v>204</v>
      </c>
      <c r="D120" s="278">
        <v>0</v>
      </c>
      <c r="E120" s="269">
        <v>0</v>
      </c>
      <c r="F120" s="269">
        <v>0</v>
      </c>
      <c r="G120" s="270">
        <v>0</v>
      </c>
      <c r="H120" s="269">
        <v>0</v>
      </c>
      <c r="I120" s="280">
        <v>0</v>
      </c>
      <c r="J120" s="278">
        <f t="shared" si="75"/>
        <v>0</v>
      </c>
      <c r="K120" s="269">
        <f t="shared" si="76"/>
        <v>0</v>
      </c>
      <c r="L120" s="269">
        <f t="shared" si="77"/>
        <v>0</v>
      </c>
      <c r="M120" s="270">
        <f t="shared" si="78"/>
        <v>0</v>
      </c>
      <c r="N120" s="269">
        <f t="shared" si="79"/>
        <v>0</v>
      </c>
      <c r="O120" s="280">
        <f t="shared" si="80"/>
        <v>0</v>
      </c>
      <c r="P120" s="278">
        <f t="shared" si="81"/>
        <v>0</v>
      </c>
      <c r="Q120" s="269">
        <f t="shared" si="82"/>
        <v>0</v>
      </c>
      <c r="R120" s="269">
        <f t="shared" si="83"/>
        <v>0</v>
      </c>
      <c r="S120" s="270">
        <f t="shared" si="84"/>
        <v>0</v>
      </c>
      <c r="T120" s="269">
        <f t="shared" si="85"/>
        <v>0</v>
      </c>
      <c r="U120" s="280">
        <f t="shared" si="86"/>
        <v>0</v>
      </c>
      <c r="V120" s="278">
        <f t="shared" si="87"/>
        <v>0</v>
      </c>
      <c r="W120" s="269">
        <f t="shared" si="88"/>
        <v>0</v>
      </c>
      <c r="X120" s="269">
        <f t="shared" si="89"/>
        <v>0</v>
      </c>
      <c r="Y120" s="270">
        <f t="shared" si="90"/>
        <v>0</v>
      </c>
      <c r="Z120" s="269">
        <f t="shared" si="91"/>
        <v>0</v>
      </c>
      <c r="AA120" s="280">
        <f t="shared" si="92"/>
        <v>0</v>
      </c>
      <c r="AB120" s="278">
        <f t="shared" si="93"/>
        <v>0</v>
      </c>
      <c r="AC120" s="269">
        <f t="shared" si="94"/>
        <v>0</v>
      </c>
      <c r="AD120" s="269">
        <f t="shared" si="95"/>
        <v>0</v>
      </c>
      <c r="AE120" s="270">
        <f t="shared" si="96"/>
        <v>0</v>
      </c>
      <c r="AF120" s="269">
        <f t="shared" si="97"/>
        <v>0</v>
      </c>
      <c r="AG120" s="280">
        <f t="shared" si="98"/>
        <v>0</v>
      </c>
    </row>
    <row r="121" spans="1:33" ht="15">
      <c r="A121" s="26">
        <f t="shared" si="50"/>
        <v>95</v>
      </c>
      <c r="B121" s="179"/>
      <c r="C121" s="272" t="s">
        <v>205</v>
      </c>
      <c r="D121" s="276"/>
      <c r="E121" s="267"/>
      <c r="F121" s="267"/>
      <c r="G121" s="267"/>
      <c r="H121" s="267"/>
      <c r="I121" s="277"/>
      <c r="J121" s="276">
        <f t="shared" si="75"/>
        <v>0</v>
      </c>
      <c r="K121" s="267">
        <f t="shared" si="76"/>
        <v>0</v>
      </c>
      <c r="L121" s="267">
        <f t="shared" si="77"/>
        <v>0</v>
      </c>
      <c r="M121" s="267">
        <f t="shared" si="78"/>
        <v>0</v>
      </c>
      <c r="N121" s="267">
        <f t="shared" si="79"/>
        <v>0</v>
      </c>
      <c r="O121" s="277">
        <f t="shared" si="80"/>
        <v>0</v>
      </c>
      <c r="P121" s="276">
        <f t="shared" si="81"/>
        <v>0</v>
      </c>
      <c r="Q121" s="267">
        <f t="shared" si="82"/>
        <v>0</v>
      </c>
      <c r="R121" s="267">
        <f t="shared" si="83"/>
        <v>0</v>
      </c>
      <c r="S121" s="267">
        <f t="shared" si="84"/>
        <v>0</v>
      </c>
      <c r="T121" s="267">
        <f t="shared" si="85"/>
        <v>0</v>
      </c>
      <c r="U121" s="277">
        <f t="shared" si="86"/>
        <v>0</v>
      </c>
      <c r="V121" s="276">
        <f t="shared" si="87"/>
        <v>0</v>
      </c>
      <c r="W121" s="267">
        <f t="shared" si="88"/>
        <v>0</v>
      </c>
      <c r="X121" s="267">
        <f t="shared" si="89"/>
        <v>0</v>
      </c>
      <c r="Y121" s="267">
        <f t="shared" si="90"/>
        <v>0</v>
      </c>
      <c r="Z121" s="267">
        <f t="shared" si="91"/>
        <v>0</v>
      </c>
      <c r="AA121" s="277">
        <f t="shared" si="92"/>
        <v>0</v>
      </c>
      <c r="AB121" s="276">
        <f t="shared" si="93"/>
        <v>0</v>
      </c>
      <c r="AC121" s="267">
        <f t="shared" si="94"/>
        <v>0</v>
      </c>
      <c r="AD121" s="267">
        <f t="shared" si="95"/>
        <v>0</v>
      </c>
      <c r="AE121" s="267">
        <f t="shared" si="96"/>
        <v>0</v>
      </c>
      <c r="AF121" s="267">
        <f t="shared" si="97"/>
        <v>0</v>
      </c>
      <c r="AG121" s="277">
        <f t="shared" si="98"/>
        <v>0</v>
      </c>
    </row>
    <row r="122" spans="1:33" ht="15">
      <c r="A122" s="26">
        <f t="shared" si="50"/>
        <v>96</v>
      </c>
      <c r="B122" s="179">
        <v>4</v>
      </c>
      <c r="C122" s="273" t="s">
        <v>113</v>
      </c>
      <c r="D122" s="278">
        <v>65104.786809687452</v>
      </c>
      <c r="E122" s="268">
        <v>202236.73285292476</v>
      </c>
      <c r="F122" s="268">
        <v>389530.18598588731</v>
      </c>
      <c r="G122" s="270">
        <v>115.75067919435931</v>
      </c>
      <c r="H122" s="269">
        <v>0</v>
      </c>
      <c r="I122" s="280">
        <v>7784.0578486942413</v>
      </c>
      <c r="J122" s="278">
        <f t="shared" ref="J122:J123" si="99">IF(D122,((VLOOKUP($B122,$E$7:$AE$16,4)+1)*D122),)</f>
        <v>65104.786809687452</v>
      </c>
      <c r="K122" s="268">
        <f t="shared" ref="K122:K123" si="100">IF(E122,((VLOOKUP($B122,$E$7:$AE$16,8)+1)*E122),)</f>
        <v>202236.73285292476</v>
      </c>
      <c r="L122" s="268">
        <f t="shared" ref="L122:L123" si="101">IF(F122,((VLOOKUP($B122,$E$7:$AE$16,12)+1)*F122),)</f>
        <v>389530.18598588731</v>
      </c>
      <c r="M122" s="270">
        <f t="shared" ref="M122:M123" si="102">IF(G122,((VLOOKUP($B122,$E$7:$AE$16,16)+1)*G122),)</f>
        <v>115.75067919435931</v>
      </c>
      <c r="N122" s="269">
        <f t="shared" ref="N122:N123" si="103">IF(H122,((VLOOKUP($B122,$E$7:$AE$16,20)+1)*H122),)</f>
        <v>0</v>
      </c>
      <c r="O122" s="280">
        <f t="shared" ref="O122:O123" si="104">IF(I122,((VLOOKUP($B122,$E$7:$AE$16,24)+1)*I122),)</f>
        <v>7784.0578486942413</v>
      </c>
      <c r="P122" s="278">
        <f t="shared" ref="P122:P123" si="105">IF(D122,((VLOOKUP($B122,$E$7:$AE$16,5)+1)*J122),)</f>
        <v>65104.786809687452</v>
      </c>
      <c r="Q122" s="268">
        <f t="shared" ref="Q122:Q123" si="106">IF(E122,((VLOOKUP($B122,$E$7:$AE$16,5+4)+1)*K122),)</f>
        <v>202236.73285292476</v>
      </c>
      <c r="R122" s="268">
        <f t="shared" ref="R122:R123" si="107">IF(F122,((VLOOKUP($B122,$E$7:$AE$16,5+8)+1)*L122),)</f>
        <v>389530.18598588731</v>
      </c>
      <c r="S122" s="270">
        <f t="shared" ref="S122:S123" si="108">IF(G122,((VLOOKUP($B122,$E$7:$AE$16,5+12)+1)*M122),)</f>
        <v>115.75067919435931</v>
      </c>
      <c r="T122" s="269">
        <f t="shared" ref="T122:T123" si="109">IF(H122,((VLOOKUP($B122,$E$7:$AE$16,5+16)+1)*N122),)</f>
        <v>0</v>
      </c>
      <c r="U122" s="280">
        <f t="shared" ref="U122:U123" si="110">IF(I122,((VLOOKUP($B122,$E$7:$AE$16,5+20)+1)*O122),)</f>
        <v>7784.0578486942413</v>
      </c>
      <c r="V122" s="278">
        <f t="shared" ref="V122:V123" si="111">IF(D122,((VLOOKUP($B122,$E$7:$AE$16,6)+1)*P122),)</f>
        <v>65104.786809687452</v>
      </c>
      <c r="W122" s="268">
        <f t="shared" ref="W122:W123" si="112">IF(E122,((VLOOKUP($B122,$E$7:$AE$16,6+4)+1)*Q122),)</f>
        <v>202236.73285292476</v>
      </c>
      <c r="X122" s="268">
        <f t="shared" ref="X122:X123" si="113">IF(F122,((VLOOKUP($B122,$E$7:$AE$16,6+8)+1)*R122),)</f>
        <v>389530.18598588731</v>
      </c>
      <c r="Y122" s="270">
        <f t="shared" ref="Y122:Y123" si="114">IF(G122,((VLOOKUP($B122,$E$7:$AE$16,6+12)+1)*S122),)</f>
        <v>115.75067919435931</v>
      </c>
      <c r="Z122" s="269">
        <f t="shared" ref="Z122:Z123" si="115">IF(H122,((VLOOKUP($B122,$E$7:$AE$16,6+16)+1)*T122),)</f>
        <v>0</v>
      </c>
      <c r="AA122" s="280">
        <f t="shared" ref="AA122:AA123" si="116">IF(I122,((VLOOKUP($B122,$E$7:$AE$16,6+20)+1)*U122),)</f>
        <v>7784.0578486942413</v>
      </c>
      <c r="AB122" s="278">
        <f t="shared" ref="AB122:AB123" si="117">IF(D122,((VLOOKUP($B122,$E$7:$AE$16,7)+1)*V122),)</f>
        <v>65104.786809687452</v>
      </c>
      <c r="AC122" s="268">
        <f t="shared" ref="AC122:AC123" si="118">IF(E122,((VLOOKUP($B122,$E$7:$AE$16,7+4)+1)*W122),)</f>
        <v>202236.73285292476</v>
      </c>
      <c r="AD122" s="268">
        <f t="shared" ref="AD122:AD123" si="119">IF(F122,((VLOOKUP($B122,$E$7:$AE$16,7+8)+1)*X122),)</f>
        <v>389530.18598588731</v>
      </c>
      <c r="AE122" s="270">
        <f t="shared" ref="AE122:AE123" si="120">IF(G122,((VLOOKUP($B122,$E$7:$AE$16,7+12)+1)*Y122),)</f>
        <v>115.75067919435931</v>
      </c>
      <c r="AF122" s="269">
        <f t="shared" ref="AF122:AF123" si="121">IF(H122,((VLOOKUP($B122,$E$7:$AE$16,7+16)+1)*Z122),)</f>
        <v>0</v>
      </c>
      <c r="AG122" s="280">
        <f t="shared" ref="AG122:AG123" si="122">IF(I122,((VLOOKUP($B122,$E$7:$AE$16,7+20)+1)*AA122),)</f>
        <v>7784.0578486942413</v>
      </c>
    </row>
    <row r="123" spans="1:33" ht="15.75" thickBot="1">
      <c r="A123" s="26">
        <f t="shared" si="50"/>
        <v>97</v>
      </c>
      <c r="B123" s="179">
        <v>4</v>
      </c>
      <c r="C123" s="273" t="s">
        <v>206</v>
      </c>
      <c r="D123" s="281">
        <v>0</v>
      </c>
      <c r="E123" s="282">
        <v>0</v>
      </c>
      <c r="F123" s="282">
        <v>0</v>
      </c>
      <c r="G123" s="283">
        <v>0</v>
      </c>
      <c r="H123" s="284">
        <v>0</v>
      </c>
      <c r="I123" s="285">
        <v>0</v>
      </c>
      <c r="J123" s="281">
        <f t="shared" si="99"/>
        <v>0</v>
      </c>
      <c r="K123" s="282">
        <f t="shared" si="100"/>
        <v>0</v>
      </c>
      <c r="L123" s="282">
        <f t="shared" si="101"/>
        <v>0</v>
      </c>
      <c r="M123" s="283">
        <f t="shared" si="102"/>
        <v>0</v>
      </c>
      <c r="N123" s="284">
        <f t="shared" si="103"/>
        <v>0</v>
      </c>
      <c r="O123" s="285">
        <f t="shared" si="104"/>
        <v>0</v>
      </c>
      <c r="P123" s="281">
        <f t="shared" si="105"/>
        <v>0</v>
      </c>
      <c r="Q123" s="282">
        <f t="shared" si="106"/>
        <v>0</v>
      </c>
      <c r="R123" s="282">
        <f t="shared" si="107"/>
        <v>0</v>
      </c>
      <c r="S123" s="283">
        <f t="shared" si="108"/>
        <v>0</v>
      </c>
      <c r="T123" s="284">
        <f t="shared" si="109"/>
        <v>0</v>
      </c>
      <c r="U123" s="285">
        <f t="shared" si="110"/>
        <v>0</v>
      </c>
      <c r="V123" s="281">
        <f t="shared" si="111"/>
        <v>0</v>
      </c>
      <c r="W123" s="282">
        <f t="shared" si="112"/>
        <v>0</v>
      </c>
      <c r="X123" s="282">
        <f t="shared" si="113"/>
        <v>0</v>
      </c>
      <c r="Y123" s="283">
        <f t="shared" si="114"/>
        <v>0</v>
      </c>
      <c r="Z123" s="284">
        <f t="shared" si="115"/>
        <v>0</v>
      </c>
      <c r="AA123" s="285">
        <f t="shared" si="116"/>
        <v>0</v>
      </c>
      <c r="AB123" s="281">
        <f t="shared" si="117"/>
        <v>0</v>
      </c>
      <c r="AC123" s="282">
        <f t="shared" si="118"/>
        <v>0</v>
      </c>
      <c r="AD123" s="282">
        <f t="shared" si="119"/>
        <v>0</v>
      </c>
      <c r="AE123" s="283">
        <f t="shared" si="120"/>
        <v>0</v>
      </c>
      <c r="AF123" s="284">
        <f t="shared" si="121"/>
        <v>0</v>
      </c>
      <c r="AG123" s="285">
        <f t="shared" si="122"/>
        <v>0</v>
      </c>
    </row>
    <row r="124" spans="1:33">
      <c r="B124" s="26"/>
      <c r="D124" s="178"/>
      <c r="E124" s="178"/>
      <c r="F124" s="178"/>
    </row>
  </sheetData>
  <mergeCells count="12">
    <mergeCell ref="G3:AE3"/>
    <mergeCell ref="G4:K4"/>
    <mergeCell ref="L4:O4"/>
    <mergeCell ref="P4:S4"/>
    <mergeCell ref="T4:W4"/>
    <mergeCell ref="X4:AA4"/>
    <mergeCell ref="AB4:AE4"/>
    <mergeCell ref="D25:I25"/>
    <mergeCell ref="J25:O25"/>
    <mergeCell ref="P25:U25"/>
    <mergeCell ref="V25:AA25"/>
    <mergeCell ref="AB25:AG25"/>
  </mergeCells>
  <dataValidations count="2">
    <dataValidation type="textLength" operator="equal" allowBlank="1" showInputMessage="1" showErrorMessage="1" error="This cell should remain blank." sqref="D121:I121 D118:I118 D115:I115 D112:I112 D108:I108 D104:I104 D101:I101 D97:I97 D93:I93 D89:I89 D85:I85 D81:I81 D77:I77 D74:I74 D71:I71 D67:I67 D63:I63 D59:I59 D57:I57 D55:I55 D51:I51 D47:I47 D43:I43 D39:I39 D35:I35 D31:I31 D27:I27">
      <formula1>0</formula1>
    </dataValidation>
    <dataValidation type="decimal" operator="greaterThanOrEqual" allowBlank="1" showInputMessage="1" showErrorMessage="1" errorTitle="Volume data error" error="The volume must be a non-negative number." sqref="D122:I123 D119:I120 D116:I117 D113:I114 D109:I111 D105:I107 D102:I103 D98:I100 D94:I96 D90:I92 D86:I88 D82:I84 D78:I80 D75:I76 D72:I73 D68:I70 D64:I66 D60:I62 D58:I58 D56:I56 D52:I54 D48:I50 D44:I46 D40:I42 D36:I38 D32:I34 D28:I30">
      <formula1>0</formula1>
    </dataValidation>
  </dataValidations>
  <pageMargins left="0.75" right="0.75" top="1" bottom="1" header="0.5" footer="0.5"/>
  <pageSetup paperSize="9" orientation="portrait"/>
  <headerFooter alignWithMargins="0"/>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indexed="41"/>
  </sheetPr>
  <dimension ref="B2:I22"/>
  <sheetViews>
    <sheetView showGridLines="0" workbookViewId="0">
      <selection activeCell="B16" sqref="B16:I22"/>
    </sheetView>
  </sheetViews>
  <sheetFormatPr defaultColWidth="8.85546875" defaultRowHeight="12.75"/>
  <cols>
    <col min="1" max="1" width="8.85546875" style="26"/>
    <col min="2" max="2" width="11.42578125" style="26" customWidth="1"/>
    <col min="3" max="3" width="19.42578125" style="26" customWidth="1"/>
    <col min="4" max="5" width="17.140625" style="26" customWidth="1"/>
    <col min="6" max="9" width="20.85546875" style="26" customWidth="1"/>
    <col min="10" max="16384" width="8.85546875" style="26"/>
  </cols>
  <sheetData>
    <row r="2" spans="2:9">
      <c r="B2" s="210" t="s">
        <v>1296</v>
      </c>
    </row>
    <row r="4" spans="2:9" ht="40.5" customHeight="1">
      <c r="C4" s="384" t="s">
        <v>1404</v>
      </c>
      <c r="D4" s="385"/>
    </row>
    <row r="5" spans="2:9" ht="40.5" customHeight="1">
      <c r="C5" s="209" t="s">
        <v>1458</v>
      </c>
      <c r="D5" s="209" t="s">
        <v>1454</v>
      </c>
      <c r="E5" s="208" t="s">
        <v>1840</v>
      </c>
      <c r="F5" s="208" t="s">
        <v>1841</v>
      </c>
      <c r="G5" s="208" t="s">
        <v>1842</v>
      </c>
      <c r="H5" s="208" t="s">
        <v>1843</v>
      </c>
    </row>
    <row r="6" spans="2:9">
      <c r="B6" s="204" t="s">
        <v>233</v>
      </c>
      <c r="C6" s="179" t="s">
        <v>1851</v>
      </c>
      <c r="D6" s="207"/>
      <c r="E6" s="381" t="s">
        <v>1852</v>
      </c>
      <c r="F6" s="381" t="s">
        <v>1852</v>
      </c>
      <c r="G6" s="381" t="s">
        <v>1852</v>
      </c>
      <c r="H6" s="381" t="s">
        <v>1852</v>
      </c>
    </row>
    <row r="7" spans="2:9">
      <c r="B7" s="204"/>
      <c r="C7" s="179"/>
      <c r="D7" s="179"/>
      <c r="E7" s="382"/>
      <c r="F7" s="382"/>
      <c r="G7" s="382"/>
      <c r="H7" s="382"/>
    </row>
    <row r="8" spans="2:9">
      <c r="B8" s="204" t="s">
        <v>1457</v>
      </c>
      <c r="C8" s="179" t="s">
        <v>1853</v>
      </c>
      <c r="D8" s="179"/>
      <c r="E8" s="382"/>
      <c r="F8" s="382"/>
      <c r="G8" s="382"/>
      <c r="H8" s="382"/>
    </row>
    <row r="9" spans="2:9">
      <c r="B9" s="204"/>
      <c r="C9" s="179" t="s">
        <v>1854</v>
      </c>
      <c r="D9" s="179"/>
      <c r="E9" s="382"/>
      <c r="F9" s="382"/>
      <c r="G9" s="382"/>
      <c r="H9" s="382"/>
    </row>
    <row r="10" spans="2:9">
      <c r="B10" s="204"/>
      <c r="C10" s="179"/>
      <c r="D10" s="179"/>
      <c r="E10" s="382"/>
      <c r="F10" s="382"/>
      <c r="G10" s="382"/>
      <c r="H10" s="382"/>
    </row>
    <row r="11" spans="2:9">
      <c r="B11" s="204" t="s">
        <v>235</v>
      </c>
      <c r="C11" s="179" t="s">
        <v>1855</v>
      </c>
      <c r="D11" s="179" t="s">
        <v>1856</v>
      </c>
      <c r="E11" s="382"/>
      <c r="F11" s="382"/>
      <c r="G11" s="382"/>
      <c r="H11" s="382"/>
    </row>
    <row r="12" spans="2:9">
      <c r="B12" s="204"/>
      <c r="C12" s="179" t="s">
        <v>1857</v>
      </c>
      <c r="D12" s="179"/>
      <c r="E12" s="383"/>
      <c r="F12" s="383"/>
      <c r="G12" s="383"/>
      <c r="H12" s="383"/>
    </row>
    <row r="14" spans="2:9">
      <c r="C14" s="384" t="s">
        <v>1404</v>
      </c>
      <c r="D14" s="386"/>
      <c r="E14" s="385"/>
    </row>
    <row r="15" spans="2:9" ht="38.25">
      <c r="C15" s="209" t="s">
        <v>1456</v>
      </c>
      <c r="D15" s="209" t="s">
        <v>1455</v>
      </c>
      <c r="E15" s="209" t="s">
        <v>1454</v>
      </c>
      <c r="F15" s="208" t="s">
        <v>1840</v>
      </c>
      <c r="G15" s="208" t="s">
        <v>1841</v>
      </c>
      <c r="H15" s="208" t="s">
        <v>1842</v>
      </c>
      <c r="I15" s="208" t="s">
        <v>1843</v>
      </c>
    </row>
    <row r="16" spans="2:9">
      <c r="B16" s="204" t="s">
        <v>238</v>
      </c>
      <c r="C16" s="179" t="s">
        <v>1851</v>
      </c>
      <c r="D16" s="207"/>
      <c r="E16" s="207"/>
      <c r="F16" s="381" t="s">
        <v>1852</v>
      </c>
      <c r="G16" s="381" t="s">
        <v>1852</v>
      </c>
      <c r="H16" s="381" t="s">
        <v>1852</v>
      </c>
      <c r="I16" s="381" t="s">
        <v>1852</v>
      </c>
    </row>
    <row r="17" spans="2:9">
      <c r="B17" s="204"/>
      <c r="C17" s="179"/>
      <c r="D17" s="179"/>
      <c r="E17" s="179"/>
      <c r="F17" s="382"/>
      <c r="G17" s="382"/>
      <c r="H17" s="382"/>
      <c r="I17" s="382"/>
    </row>
    <row r="18" spans="2:9">
      <c r="B18" s="204" t="s">
        <v>239</v>
      </c>
      <c r="C18" s="179" t="s">
        <v>1853</v>
      </c>
      <c r="D18" s="179" t="s">
        <v>1858</v>
      </c>
      <c r="E18" s="179"/>
      <c r="F18" s="382"/>
      <c r="G18" s="382"/>
      <c r="H18" s="382"/>
      <c r="I18" s="382"/>
    </row>
    <row r="19" spans="2:9">
      <c r="B19" s="204"/>
      <c r="C19" s="179" t="s">
        <v>1854</v>
      </c>
      <c r="D19" s="179"/>
      <c r="E19" s="179"/>
      <c r="F19" s="382"/>
      <c r="G19" s="382"/>
      <c r="H19" s="382"/>
      <c r="I19" s="382"/>
    </row>
    <row r="20" spans="2:9">
      <c r="B20" s="204"/>
      <c r="C20" s="179"/>
      <c r="D20" s="179"/>
      <c r="E20" s="179"/>
      <c r="F20" s="382"/>
      <c r="G20" s="382"/>
      <c r="H20" s="382"/>
      <c r="I20" s="382"/>
    </row>
    <row r="21" spans="2:9">
      <c r="B21" s="204" t="s">
        <v>235</v>
      </c>
      <c r="C21" s="179" t="s">
        <v>1855</v>
      </c>
      <c r="D21" s="179" t="s">
        <v>1855</v>
      </c>
      <c r="E21" s="179" t="s">
        <v>1856</v>
      </c>
      <c r="F21" s="382"/>
      <c r="G21" s="382"/>
      <c r="H21" s="382"/>
      <c r="I21" s="382"/>
    </row>
    <row r="22" spans="2:9">
      <c r="B22" s="204"/>
      <c r="C22" s="179" t="s">
        <v>1857</v>
      </c>
      <c r="D22" s="179" t="s">
        <v>1857</v>
      </c>
      <c r="E22" s="179"/>
      <c r="F22" s="383"/>
      <c r="G22" s="383"/>
      <c r="H22" s="383"/>
      <c r="I22" s="383"/>
    </row>
  </sheetData>
  <mergeCells count="10">
    <mergeCell ref="F16:F22"/>
    <mergeCell ref="G16:G22"/>
    <mergeCell ref="H16:H22"/>
    <mergeCell ref="I16:I22"/>
    <mergeCell ref="C4:D4"/>
    <mergeCell ref="E6:E12"/>
    <mergeCell ref="F6:F12"/>
    <mergeCell ref="G6:G12"/>
    <mergeCell ref="H6:H12"/>
    <mergeCell ref="C14:E14"/>
  </mergeCells>
  <pageMargins left="0.75" right="0.75" top="1" bottom="1" header="0.5" footer="0.5"/>
  <pageSetup paperSize="9" orientation="portrait"/>
  <headerFooter alignWithMargins="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K332"/>
  <sheetViews>
    <sheetView showGridLines="0" workbookViewId="0">
      <selection activeCell="A4" sqref="A4:K332"/>
    </sheetView>
  </sheetViews>
  <sheetFormatPr defaultColWidth="8.85546875" defaultRowHeight="12.75"/>
  <cols>
    <col min="1" max="1" width="50.7109375" style="26" customWidth="1"/>
    <col min="2" max="251" width="20.7109375" style="26" customWidth="1"/>
    <col min="252" max="16384" width="8.85546875" style="26"/>
  </cols>
  <sheetData>
    <row r="1" spans="1:11" ht="19.5">
      <c r="A1" s="1" t="s">
        <v>1476</v>
      </c>
      <c r="B1"/>
      <c r="C1"/>
      <c r="D1"/>
      <c r="E1"/>
      <c r="F1"/>
      <c r="G1"/>
      <c r="H1"/>
      <c r="I1"/>
      <c r="J1"/>
      <c r="K1"/>
    </row>
    <row r="2" spans="1:11" ht="15">
      <c r="A2" s="2"/>
      <c r="B2"/>
      <c r="C2"/>
      <c r="D2"/>
      <c r="E2"/>
      <c r="F2"/>
      <c r="G2"/>
      <c r="H2"/>
      <c r="I2"/>
      <c r="J2"/>
      <c r="K2"/>
    </row>
    <row r="3" spans="1:11" ht="15">
      <c r="A3"/>
      <c r="B3"/>
      <c r="C3"/>
      <c r="D3"/>
      <c r="E3"/>
      <c r="F3"/>
      <c r="G3"/>
      <c r="H3"/>
      <c r="I3"/>
      <c r="J3"/>
      <c r="K3"/>
    </row>
    <row r="4" spans="1:11" ht="19.5">
      <c r="A4" s="1" t="s">
        <v>0</v>
      </c>
      <c r="B4"/>
      <c r="C4"/>
      <c r="D4"/>
      <c r="E4"/>
      <c r="F4"/>
      <c r="G4"/>
      <c r="H4"/>
      <c r="I4"/>
      <c r="J4"/>
      <c r="K4"/>
    </row>
    <row r="5" spans="1:11" ht="15">
      <c r="A5" t="s">
        <v>262</v>
      </c>
      <c r="B5"/>
      <c r="C5"/>
      <c r="D5"/>
      <c r="E5"/>
      <c r="F5"/>
      <c r="G5"/>
      <c r="H5"/>
      <c r="I5"/>
      <c r="J5"/>
      <c r="K5"/>
    </row>
    <row r="6" spans="1:11" ht="15">
      <c r="A6"/>
      <c r="B6" s="3" t="s">
        <v>1</v>
      </c>
      <c r="C6" s="3" t="s">
        <v>2</v>
      </c>
      <c r="D6" s="3" t="s">
        <v>3</v>
      </c>
      <c r="E6"/>
      <c r="F6"/>
      <c r="G6"/>
      <c r="H6"/>
      <c r="I6"/>
      <c r="J6"/>
      <c r="K6"/>
    </row>
    <row r="7" spans="1:11" ht="15">
      <c r="A7" s="8" t="s">
        <v>4</v>
      </c>
      <c r="B7" s="9" t="str">
        <f>VLOOKUP(Vlookup!B7,'CDCM Forecast Data'!$A$14:$I$271,5,FALSE)</f>
        <v>West Mids</v>
      </c>
      <c r="C7" s="9">
        <f>VLOOKUP(Vlookup!C7,'CDCM Forecast Data'!$A$14:$I$271,5,FALSE)</f>
        <v>0</v>
      </c>
      <c r="D7" s="9" t="str">
        <f>VLOOKUP(Vlookup!D7,'CDCM Forecast Data'!$A$14:$I$271,5,FALSE)</f>
        <v>Finals</v>
      </c>
      <c r="E7" s="7" t="s">
        <v>262</v>
      </c>
      <c r="F7"/>
      <c r="G7"/>
      <c r="H7"/>
      <c r="I7"/>
      <c r="J7"/>
      <c r="K7"/>
    </row>
    <row r="8" spans="1:11" ht="15">
      <c r="A8"/>
      <c r="B8"/>
      <c r="C8"/>
      <c r="D8"/>
      <c r="E8"/>
      <c r="F8"/>
      <c r="G8"/>
      <c r="H8"/>
      <c r="I8"/>
      <c r="J8"/>
      <c r="K8"/>
    </row>
    <row r="9" spans="1:11" ht="19.5">
      <c r="A9" s="1" t="s">
        <v>45</v>
      </c>
      <c r="B9"/>
      <c r="C9"/>
      <c r="D9"/>
      <c r="E9"/>
      <c r="F9"/>
      <c r="G9"/>
      <c r="H9"/>
      <c r="I9"/>
      <c r="J9"/>
      <c r="K9"/>
    </row>
    <row r="10" spans="1:11" ht="15">
      <c r="A10" s="2"/>
      <c r="B10"/>
      <c r="C10"/>
      <c r="D10"/>
      <c r="E10"/>
      <c r="F10"/>
      <c r="G10"/>
      <c r="H10"/>
      <c r="I10"/>
      <c r="J10"/>
      <c r="K10"/>
    </row>
    <row r="11" spans="1:11" ht="15">
      <c r="A11" s="2" t="s">
        <v>46</v>
      </c>
      <c r="B11"/>
      <c r="C11"/>
      <c r="D11"/>
      <c r="E11"/>
      <c r="F11"/>
      <c r="G11"/>
      <c r="H11"/>
      <c r="I11"/>
      <c r="J11"/>
      <c r="K11"/>
    </row>
    <row r="12" spans="1:11" ht="15">
      <c r="A12" t="s">
        <v>47</v>
      </c>
      <c r="B12"/>
      <c r="C12"/>
      <c r="D12"/>
      <c r="E12"/>
      <c r="F12"/>
      <c r="G12"/>
      <c r="H12"/>
      <c r="I12"/>
      <c r="J12"/>
      <c r="K12"/>
    </row>
    <row r="13" spans="1:11" ht="45">
      <c r="A13"/>
      <c r="B13" s="3" t="s">
        <v>48</v>
      </c>
      <c r="C13" s="3" t="s">
        <v>49</v>
      </c>
      <c r="D13" s="3" t="s">
        <v>50</v>
      </c>
      <c r="E13" s="3" t="s">
        <v>51</v>
      </c>
      <c r="F13" s="3" t="s">
        <v>1398</v>
      </c>
      <c r="G13"/>
      <c r="H13"/>
      <c r="I13"/>
      <c r="J13"/>
      <c r="K13"/>
    </row>
    <row r="14" spans="1:11" ht="15">
      <c r="A14" s="8" t="s">
        <v>52</v>
      </c>
      <c r="B14" s="11">
        <f>VLOOKUP(Vlookup!B14,'CDCM Forecast Data'!$A$14:$I$271,5,FALSE)</f>
        <v>4.3099999999999999E-2</v>
      </c>
      <c r="C14" s="10">
        <f>VLOOKUP(Vlookup!C14,'CDCM Forecast Data'!$A$14:$I$271,5,FALSE)</f>
        <v>40</v>
      </c>
      <c r="D14" s="5"/>
      <c r="E14" s="4">
        <f>VLOOKUP(Vlookup!E14,'CDCM Forecast Data'!$A$14:$I$271,5,FALSE)</f>
        <v>0.95</v>
      </c>
      <c r="F14" s="10">
        <f>VLOOKUP(Vlookup!F14,'CDCM Forecast Data'!$A$14:$I$271,5,FALSE)</f>
        <v>365</v>
      </c>
      <c r="G14" s="7" t="s">
        <v>262</v>
      </c>
      <c r="H14"/>
      <c r="I14"/>
      <c r="J14"/>
      <c r="K14"/>
    </row>
    <row r="15" spans="1:11" ht="15">
      <c r="A15"/>
      <c r="B15"/>
      <c r="C15"/>
      <c r="D15"/>
      <c r="E15"/>
      <c r="F15"/>
      <c r="G15"/>
      <c r="H15"/>
      <c r="I15"/>
      <c r="J15"/>
      <c r="K15"/>
    </row>
    <row r="16" spans="1:11" ht="19.5">
      <c r="A16" s="1" t="s">
        <v>53</v>
      </c>
      <c r="B16"/>
      <c r="C16"/>
      <c r="D16"/>
      <c r="E16"/>
      <c r="F16"/>
      <c r="G16"/>
      <c r="H16"/>
      <c r="I16"/>
      <c r="J16"/>
      <c r="K16"/>
    </row>
    <row r="17" spans="1:11" ht="15">
      <c r="A17" s="2"/>
      <c r="B17"/>
      <c r="C17"/>
      <c r="D17"/>
      <c r="E17"/>
      <c r="F17"/>
      <c r="G17"/>
      <c r="H17"/>
      <c r="I17"/>
      <c r="J17"/>
      <c r="K17"/>
    </row>
    <row r="18" spans="1:11" ht="15">
      <c r="A18" s="2" t="s">
        <v>54</v>
      </c>
      <c r="B18"/>
      <c r="C18"/>
      <c r="D18"/>
      <c r="E18"/>
      <c r="F18"/>
      <c r="G18"/>
      <c r="H18"/>
      <c r="I18"/>
      <c r="J18"/>
      <c r="K18"/>
    </row>
    <row r="19" spans="1:11" ht="15">
      <c r="A19" s="2" t="s">
        <v>55</v>
      </c>
      <c r="B19"/>
      <c r="C19"/>
      <c r="D19"/>
      <c r="E19"/>
      <c r="F19"/>
      <c r="G19"/>
      <c r="H19"/>
      <c r="I19"/>
      <c r="J19"/>
      <c r="K19"/>
    </row>
    <row r="20" spans="1:11" ht="15">
      <c r="A20" s="2" t="s">
        <v>56</v>
      </c>
      <c r="B20"/>
      <c r="C20"/>
      <c r="D20"/>
      <c r="E20"/>
      <c r="F20"/>
      <c r="G20"/>
      <c r="H20"/>
      <c r="I20"/>
      <c r="J20"/>
      <c r="K20"/>
    </row>
    <row r="21" spans="1:11" ht="15">
      <c r="A21" s="2" t="s">
        <v>57</v>
      </c>
      <c r="B21"/>
      <c r="C21"/>
      <c r="D21"/>
      <c r="E21"/>
      <c r="F21"/>
      <c r="G21"/>
      <c r="H21"/>
      <c r="I21"/>
      <c r="J21"/>
      <c r="K21"/>
    </row>
    <row r="22" spans="1:11" ht="15">
      <c r="A22" t="s">
        <v>58</v>
      </c>
      <c r="B22"/>
      <c r="C22"/>
      <c r="D22"/>
      <c r="E22"/>
      <c r="F22"/>
      <c r="G22"/>
      <c r="H22"/>
      <c r="I22"/>
      <c r="J22"/>
      <c r="K22"/>
    </row>
    <row r="23" spans="1:11" ht="60">
      <c r="A23"/>
      <c r="B23" s="3" t="s">
        <v>59</v>
      </c>
      <c r="C23"/>
      <c r="D23"/>
      <c r="E23"/>
      <c r="F23"/>
      <c r="G23"/>
      <c r="H23"/>
      <c r="I23"/>
      <c r="J23"/>
      <c r="K23"/>
    </row>
    <row r="24" spans="1:11" ht="15">
      <c r="A24" s="8" t="s">
        <v>60</v>
      </c>
      <c r="B24" s="11">
        <f>VLOOKUP(Vlookup!B24,'CDCM Forecast Data'!$A$14:$I$271,5,FALSE)</f>
        <v>5.649040831841079E-2</v>
      </c>
      <c r="C24" s="7" t="s">
        <v>262</v>
      </c>
      <c r="D24"/>
      <c r="E24"/>
      <c r="F24"/>
      <c r="G24"/>
      <c r="H24"/>
      <c r="I24"/>
      <c r="J24"/>
      <c r="K24"/>
    </row>
    <row r="25" spans="1:11" ht="15">
      <c r="A25" s="8" t="s">
        <v>61</v>
      </c>
      <c r="B25" s="11">
        <f>VLOOKUP(Vlookup!B25,'CDCM Forecast Data'!$A$14:$I$271,5,FALSE)</f>
        <v>2.5568682496299511E-2</v>
      </c>
      <c r="C25" s="7" t="s">
        <v>262</v>
      </c>
      <c r="D25"/>
      <c r="E25"/>
      <c r="F25"/>
      <c r="G25"/>
      <c r="H25"/>
      <c r="I25"/>
      <c r="J25"/>
      <c r="K25"/>
    </row>
    <row r="26" spans="1:11" ht="15">
      <c r="A26" s="8" t="s">
        <v>62</v>
      </c>
      <c r="B26" s="6"/>
      <c r="C26" s="7" t="s">
        <v>262</v>
      </c>
      <c r="D26"/>
      <c r="E26"/>
      <c r="F26"/>
      <c r="G26"/>
      <c r="H26"/>
      <c r="I26"/>
      <c r="J26"/>
      <c r="K26"/>
    </row>
    <row r="27" spans="1:11" ht="15">
      <c r="A27" s="8" t="s">
        <v>63</v>
      </c>
      <c r="B27" s="11">
        <f>VLOOKUP(Vlookup!B27,'CDCM Forecast Data'!$A$14:$I$271,5,FALSE)</f>
        <v>2.6631596666738533E-2</v>
      </c>
      <c r="C27" s="7" t="s">
        <v>262</v>
      </c>
      <c r="D27"/>
      <c r="E27"/>
      <c r="F27"/>
      <c r="G27"/>
      <c r="H27"/>
      <c r="I27"/>
      <c r="J27"/>
      <c r="K27"/>
    </row>
    <row r="28" spans="1:11" ht="15">
      <c r="A28" s="8" t="s">
        <v>64</v>
      </c>
      <c r="B28" s="6"/>
      <c r="C28" s="7" t="s">
        <v>262</v>
      </c>
      <c r="D28"/>
      <c r="E28"/>
      <c r="F28"/>
      <c r="G28"/>
      <c r="H28"/>
      <c r="I28"/>
      <c r="J28"/>
      <c r="K28"/>
    </row>
    <row r="29" spans="1:11" ht="15">
      <c r="A29" s="8" t="s">
        <v>65</v>
      </c>
      <c r="B29" s="11">
        <f>VLOOKUP(Vlookup!B29,'CDCM Forecast Data'!$A$14:$I$271,5,FALSE)</f>
        <v>0.34000000000000008</v>
      </c>
      <c r="C29" s="7" t="s">
        <v>262</v>
      </c>
      <c r="D29"/>
      <c r="E29"/>
      <c r="F29"/>
      <c r="G29"/>
      <c r="H29"/>
      <c r="I29"/>
      <c r="J29"/>
      <c r="K29"/>
    </row>
    <row r="30" spans="1:11" ht="15">
      <c r="A30" s="8" t="s">
        <v>66</v>
      </c>
      <c r="B30" s="6"/>
      <c r="C30" s="7" t="s">
        <v>262</v>
      </c>
      <c r="D30"/>
      <c r="E30"/>
      <c r="F30"/>
      <c r="G30"/>
      <c r="H30"/>
      <c r="I30"/>
      <c r="J30"/>
      <c r="K30"/>
    </row>
    <row r="31" spans="1:11" ht="15">
      <c r="A31" s="8" t="s">
        <v>67</v>
      </c>
      <c r="B31" s="6"/>
      <c r="C31" s="7" t="s">
        <v>262</v>
      </c>
      <c r="D31"/>
      <c r="E31"/>
      <c r="F31"/>
      <c r="G31"/>
      <c r="H31"/>
      <c r="I31"/>
      <c r="J31"/>
      <c r="K31"/>
    </row>
    <row r="32" spans="1:11" ht="15">
      <c r="A32"/>
      <c r="B32"/>
      <c r="C32"/>
      <c r="D32"/>
      <c r="E32"/>
      <c r="F32"/>
      <c r="G32"/>
      <c r="H32"/>
      <c r="I32"/>
      <c r="J32"/>
      <c r="K32"/>
    </row>
    <row r="33" spans="1:11" ht="19.5">
      <c r="A33" s="1" t="s">
        <v>68</v>
      </c>
      <c r="B33"/>
      <c r="C33"/>
      <c r="D33"/>
      <c r="E33"/>
      <c r="F33"/>
      <c r="G33"/>
      <c r="H33"/>
      <c r="I33"/>
      <c r="J33"/>
      <c r="K33"/>
    </row>
    <row r="34" spans="1:11" ht="15">
      <c r="A34" t="s">
        <v>262</v>
      </c>
      <c r="B34"/>
      <c r="C34"/>
      <c r="D34"/>
      <c r="E34"/>
      <c r="F34"/>
      <c r="G34"/>
      <c r="H34"/>
      <c r="I34"/>
      <c r="J34"/>
      <c r="K34"/>
    </row>
    <row r="35" spans="1:11" ht="15">
      <c r="A35"/>
      <c r="B35" s="3" t="s">
        <v>69</v>
      </c>
      <c r="C35"/>
      <c r="D35"/>
      <c r="E35"/>
      <c r="F35"/>
      <c r="G35"/>
      <c r="H35"/>
      <c r="I35"/>
      <c r="J35"/>
      <c r="K35"/>
    </row>
    <row r="36" spans="1:11" ht="15">
      <c r="A36" s="8" t="s">
        <v>64</v>
      </c>
      <c r="B36" s="11">
        <f>VLOOKUP(Vlookup!B36,'CDCM Forecast Data'!$A$14:$I$271,5,FALSE)</f>
        <v>0.69256562916818787</v>
      </c>
      <c r="C36" s="7" t="s">
        <v>262</v>
      </c>
      <c r="D36"/>
      <c r="E36"/>
      <c r="F36"/>
      <c r="G36"/>
      <c r="H36"/>
      <c r="I36"/>
      <c r="J36"/>
      <c r="K36"/>
    </row>
    <row r="37" spans="1:11" ht="15">
      <c r="A37"/>
      <c r="B37"/>
      <c r="C37"/>
      <c r="D37"/>
      <c r="E37"/>
      <c r="F37"/>
      <c r="G37"/>
      <c r="H37"/>
      <c r="I37"/>
      <c r="J37"/>
      <c r="K37"/>
    </row>
    <row r="38" spans="1:11" ht="19.5">
      <c r="A38" s="1" t="s">
        <v>70</v>
      </c>
      <c r="B38"/>
      <c r="C38"/>
      <c r="D38"/>
      <c r="E38"/>
      <c r="F38"/>
      <c r="G38"/>
      <c r="H38"/>
      <c r="I38"/>
      <c r="J38"/>
      <c r="K38"/>
    </row>
    <row r="39" spans="1:11" ht="15">
      <c r="A39"/>
      <c r="B39"/>
      <c r="C39"/>
      <c r="D39"/>
      <c r="E39"/>
      <c r="F39"/>
      <c r="G39"/>
      <c r="H39"/>
      <c r="I39"/>
      <c r="J39"/>
      <c r="K39"/>
    </row>
    <row r="40" spans="1:11" ht="30">
      <c r="A40"/>
      <c r="B40" s="3" t="s">
        <v>71</v>
      </c>
      <c r="C40"/>
      <c r="D40"/>
      <c r="E40"/>
      <c r="F40"/>
      <c r="G40"/>
      <c r="H40"/>
      <c r="I40"/>
      <c r="J40"/>
      <c r="K40"/>
    </row>
    <row r="41" spans="1:11" ht="15">
      <c r="A41" s="8" t="s">
        <v>71</v>
      </c>
      <c r="B41" s="10">
        <f>VLOOKUP(Vlookup!B41,'CDCM Forecast Data'!$A$14:$I$271,5,FALSE)</f>
        <v>500</v>
      </c>
      <c r="C41" s="7" t="s">
        <v>262</v>
      </c>
      <c r="D41"/>
      <c r="E41"/>
      <c r="F41"/>
      <c r="G41"/>
      <c r="H41"/>
      <c r="I41"/>
      <c r="J41"/>
      <c r="K41"/>
    </row>
    <row r="42" spans="1:11" ht="15">
      <c r="A42"/>
      <c r="B42"/>
      <c r="C42"/>
      <c r="D42"/>
      <c r="E42"/>
      <c r="F42"/>
      <c r="G42"/>
      <c r="H42"/>
      <c r="I42"/>
      <c r="J42"/>
      <c r="K42"/>
    </row>
    <row r="43" spans="1:11" ht="19.5">
      <c r="A43" s="1" t="s">
        <v>72</v>
      </c>
      <c r="B43"/>
      <c r="C43"/>
      <c r="D43"/>
      <c r="E43"/>
      <c r="F43"/>
      <c r="G43"/>
      <c r="H43"/>
      <c r="I43"/>
      <c r="J43"/>
      <c r="K43"/>
    </row>
    <row r="44" spans="1:11" ht="15">
      <c r="A44"/>
      <c r="B44"/>
      <c r="C44"/>
      <c r="D44"/>
      <c r="E44"/>
      <c r="F44"/>
      <c r="G44"/>
      <c r="H44"/>
      <c r="I44"/>
      <c r="J44"/>
      <c r="K44"/>
    </row>
    <row r="45" spans="1:11" ht="15">
      <c r="A45"/>
      <c r="B45" s="3" t="s">
        <v>73</v>
      </c>
      <c r="C45"/>
      <c r="D45"/>
      <c r="E45"/>
      <c r="F45"/>
      <c r="G45"/>
      <c r="H45"/>
      <c r="I45"/>
      <c r="J45"/>
      <c r="K45"/>
    </row>
    <row r="46" spans="1:11" ht="15">
      <c r="A46" s="8" t="s">
        <v>61</v>
      </c>
      <c r="B46" s="10">
        <f>VLOOKUP(Vlookup!B46,'CDCM Forecast Data'!$A$14:$I$271,5,FALSE)</f>
        <v>49214736.732790545</v>
      </c>
      <c r="C46" s="7" t="s">
        <v>262</v>
      </c>
      <c r="D46"/>
      <c r="E46"/>
      <c r="F46"/>
      <c r="G46"/>
      <c r="H46"/>
      <c r="I46"/>
      <c r="J46"/>
      <c r="K46"/>
    </row>
    <row r="47" spans="1:11" ht="15">
      <c r="A47" s="8" t="s">
        <v>62</v>
      </c>
      <c r="B47" s="10">
        <f>VLOOKUP(Vlookup!B47,'CDCM Forecast Data'!$A$14:$I$271,5,FALSE)</f>
        <v>11265935.466380367</v>
      </c>
      <c r="C47" s="7" t="s">
        <v>262</v>
      </c>
      <c r="D47"/>
      <c r="E47"/>
      <c r="F47"/>
      <c r="G47"/>
      <c r="H47"/>
      <c r="I47"/>
      <c r="J47"/>
      <c r="K47"/>
    </row>
    <row r="48" spans="1:11" ht="15">
      <c r="A48" s="8" t="s">
        <v>63</v>
      </c>
      <c r="B48" s="10">
        <f>VLOOKUP(Vlookup!B48,'CDCM Forecast Data'!$A$14:$I$271,5,FALSE)</f>
        <v>11608711.178910498</v>
      </c>
      <c r="C48" s="7" t="s">
        <v>262</v>
      </c>
      <c r="D48"/>
      <c r="E48"/>
      <c r="F48"/>
      <c r="G48"/>
      <c r="H48"/>
      <c r="I48"/>
      <c r="J48"/>
      <c r="K48"/>
    </row>
    <row r="49" spans="1:11" ht="15">
      <c r="A49" s="8" t="s">
        <v>64</v>
      </c>
      <c r="B49" s="10">
        <f>VLOOKUP(Vlookup!B49,'CDCM Forecast Data'!$A$14:$I$271,5,FALSE)</f>
        <v>21937128.591374766</v>
      </c>
      <c r="C49" s="7" t="s">
        <v>262</v>
      </c>
      <c r="D49"/>
      <c r="E49"/>
      <c r="F49"/>
      <c r="G49"/>
      <c r="H49"/>
      <c r="I49"/>
      <c r="J49"/>
      <c r="K49"/>
    </row>
    <row r="50" spans="1:11" ht="15">
      <c r="A50" s="8" t="s">
        <v>69</v>
      </c>
      <c r="B50" s="10">
        <f>VLOOKUP(Vlookup!B50,'CDCM Forecast Data'!$A$14:$I$271,5,FALSE)</f>
        <v>23386150.256523978</v>
      </c>
      <c r="C50" s="7" t="s">
        <v>262</v>
      </c>
      <c r="D50"/>
      <c r="E50"/>
      <c r="F50"/>
      <c r="G50"/>
      <c r="H50"/>
      <c r="I50"/>
      <c r="J50"/>
      <c r="K50"/>
    </row>
    <row r="51" spans="1:11" ht="15">
      <c r="A51" s="8" t="s">
        <v>65</v>
      </c>
      <c r="B51" s="10">
        <f>VLOOKUP(Vlookup!B51,'CDCM Forecast Data'!$A$14:$I$271,5,FALSE)</f>
        <v>151859552.97245985</v>
      </c>
      <c r="C51" s="7" t="s">
        <v>262</v>
      </c>
      <c r="D51"/>
      <c r="E51"/>
      <c r="F51"/>
      <c r="G51"/>
      <c r="H51"/>
      <c r="I51"/>
      <c r="J51"/>
      <c r="K51"/>
    </row>
    <row r="52" spans="1:11" ht="15">
      <c r="A52" s="8" t="s">
        <v>66</v>
      </c>
      <c r="B52" s="10">
        <f>VLOOKUP(Vlookup!B52,'CDCM Forecast Data'!$A$14:$I$271,5,FALSE)</f>
        <v>68520401.811079219</v>
      </c>
      <c r="C52" s="7" t="s">
        <v>262</v>
      </c>
      <c r="D52"/>
      <c r="E52"/>
      <c r="F52"/>
      <c r="G52"/>
      <c r="H52"/>
      <c r="I52"/>
      <c r="J52"/>
      <c r="K52"/>
    </row>
    <row r="53" spans="1:11" ht="15">
      <c r="A53" s="8" t="s">
        <v>67</v>
      </c>
      <c r="B53" s="10">
        <f>VLOOKUP(Vlookup!B53,'CDCM Forecast Data'!$A$14:$I$271,5,FALSE)</f>
        <v>156129458.64073873</v>
      </c>
      <c r="C53" s="7" t="s">
        <v>262</v>
      </c>
      <c r="D53"/>
      <c r="E53"/>
      <c r="F53"/>
      <c r="G53"/>
      <c r="H53"/>
      <c r="I53"/>
      <c r="J53"/>
      <c r="K53"/>
    </row>
    <row r="54" spans="1:11" ht="15">
      <c r="A54"/>
      <c r="B54"/>
      <c r="C54"/>
      <c r="D54"/>
      <c r="E54"/>
      <c r="F54"/>
      <c r="G54"/>
      <c r="H54"/>
      <c r="I54"/>
      <c r="J54"/>
      <c r="K54"/>
    </row>
    <row r="55" spans="1:11" ht="19.5">
      <c r="A55" s="1" t="s">
        <v>74</v>
      </c>
      <c r="B55"/>
      <c r="C55"/>
      <c r="D55"/>
      <c r="E55"/>
      <c r="F55"/>
      <c r="G55"/>
      <c r="H55"/>
      <c r="I55"/>
      <c r="J55"/>
      <c r="K55"/>
    </row>
    <row r="56" spans="1:11" ht="15">
      <c r="A56"/>
      <c r="B56"/>
      <c r="C56"/>
      <c r="D56"/>
      <c r="E56"/>
      <c r="F56"/>
      <c r="G56"/>
      <c r="H56"/>
      <c r="I56"/>
      <c r="J56"/>
      <c r="K56"/>
    </row>
    <row r="57" spans="1:11" ht="15">
      <c r="A57"/>
      <c r="B57" s="3" t="s">
        <v>75</v>
      </c>
      <c r="C57" s="3" t="s">
        <v>76</v>
      </c>
      <c r="D57" s="3" t="s">
        <v>77</v>
      </c>
      <c r="E57" s="3" t="s">
        <v>78</v>
      </c>
      <c r="F57" s="3" t="s">
        <v>79</v>
      </c>
      <c r="G57" s="3" t="s">
        <v>80</v>
      </c>
      <c r="H57" s="3" t="s">
        <v>81</v>
      </c>
      <c r="I57" s="3" t="s">
        <v>82</v>
      </c>
      <c r="J57"/>
      <c r="K57"/>
    </row>
    <row r="58" spans="1:11" ht="15">
      <c r="A58" s="8" t="s">
        <v>83</v>
      </c>
      <c r="B58" s="10">
        <f>VLOOKUP(Vlookup!B58,'CDCM Forecast Data'!$A$14:$I$271,5,FALSE)</f>
        <v>5262.1609041399997</v>
      </c>
      <c r="C58" s="10">
        <f>VLOOKUP(Vlookup!C58,'CDCM Forecast Data'!$A$14:$I$271,5,FALSE)</f>
        <v>591.94049120500006</v>
      </c>
      <c r="D58" s="10">
        <f>VLOOKUP(Vlookup!D58,'CDCM Forecast Data'!$A$14:$I$271,5,FALSE)</f>
        <v>720.68333077999989</v>
      </c>
      <c r="E58" s="10">
        <f>VLOOKUP(Vlookup!E58,'CDCM Forecast Data'!$A$14:$I$271,5,FALSE)</f>
        <v>534.47314829999993</v>
      </c>
      <c r="F58" s="10">
        <f>VLOOKUP(Vlookup!F58,'CDCM Forecast Data'!$A$14:$I$271,5,FALSE)</f>
        <v>1214.9764092760001</v>
      </c>
      <c r="G58" s="10">
        <f>VLOOKUP(Vlookup!G58,'CDCM Forecast Data'!$A$14:$I$271,5,FALSE)</f>
        <v>935.79073381500018</v>
      </c>
      <c r="H58" s="10">
        <f>VLOOKUP(Vlookup!H58,'CDCM Forecast Data'!$A$14:$I$271,5,FALSE)</f>
        <v>0</v>
      </c>
      <c r="I58" s="10">
        <f>VLOOKUP(Vlookup!I58,'CDCM Forecast Data'!$A$14:$I$271,5,FALSE)</f>
        <v>489.42401340000009</v>
      </c>
      <c r="J58" s="7" t="s">
        <v>262</v>
      </c>
      <c r="K58"/>
    </row>
    <row r="59" spans="1:11" ht="15">
      <c r="A59"/>
      <c r="B59"/>
      <c r="C59"/>
      <c r="D59"/>
      <c r="E59"/>
      <c r="F59"/>
      <c r="G59"/>
      <c r="H59"/>
      <c r="I59"/>
      <c r="J59"/>
      <c r="K59"/>
    </row>
    <row r="60" spans="1:11" ht="19.5">
      <c r="A60" s="1" t="s">
        <v>84</v>
      </c>
      <c r="B60"/>
      <c r="C60"/>
      <c r="D60"/>
      <c r="E60"/>
      <c r="F60"/>
      <c r="G60"/>
      <c r="H60"/>
      <c r="I60"/>
      <c r="J60"/>
      <c r="K60"/>
    </row>
    <row r="61" spans="1:11" ht="15">
      <c r="A61"/>
      <c r="B61"/>
      <c r="C61"/>
      <c r="D61"/>
      <c r="E61"/>
      <c r="F61"/>
      <c r="G61"/>
      <c r="H61"/>
      <c r="I61"/>
      <c r="J61"/>
      <c r="K61"/>
    </row>
    <row r="62" spans="1:11" ht="15">
      <c r="A62"/>
      <c r="B62" s="3" t="s">
        <v>85</v>
      </c>
      <c r="C62" s="3" t="s">
        <v>86</v>
      </c>
      <c r="D62" s="3" t="s">
        <v>87</v>
      </c>
      <c r="E62" s="3" t="s">
        <v>88</v>
      </c>
      <c r="F62" s="3" t="s">
        <v>89</v>
      </c>
      <c r="G62"/>
      <c r="H62"/>
      <c r="I62"/>
      <c r="J62"/>
      <c r="K62"/>
    </row>
    <row r="63" spans="1:11" ht="15">
      <c r="A63" s="8" t="s">
        <v>90</v>
      </c>
      <c r="B63" s="10">
        <f>VLOOKUP(Vlookup!B63,'CDCM Forecast Data'!$A$14:$I$271,5,FALSE)</f>
        <v>9284.1299391119992</v>
      </c>
      <c r="C63" s="10">
        <f>VLOOKUP(Vlookup!C63,'CDCM Forecast Data'!$A$14:$I$271,5,FALSE)</f>
        <v>4476.1926720000001</v>
      </c>
      <c r="D63" s="10">
        <f>VLOOKUP(Vlookup!D63,'CDCM Forecast Data'!$A$14:$I$271,5,FALSE)</f>
        <v>0</v>
      </c>
      <c r="E63" s="10">
        <f>VLOOKUP(Vlookup!E63,'CDCM Forecast Data'!$A$14:$I$271,5,FALSE)</f>
        <v>0</v>
      </c>
      <c r="F63" s="10">
        <f>VLOOKUP(Vlookup!F63,'CDCM Forecast Data'!$A$14:$I$271,5,FALSE)</f>
        <v>0</v>
      </c>
      <c r="G63" s="7" t="s">
        <v>262</v>
      </c>
      <c r="H63"/>
      <c r="I63"/>
      <c r="J63"/>
      <c r="K63"/>
    </row>
    <row r="64" spans="1:11" ht="15">
      <c r="A64"/>
      <c r="B64"/>
      <c r="C64"/>
      <c r="D64"/>
      <c r="E64"/>
      <c r="F64"/>
      <c r="G64"/>
      <c r="H64"/>
      <c r="I64"/>
      <c r="J64"/>
      <c r="K64"/>
    </row>
    <row r="65" spans="1:11" ht="19.5">
      <c r="A65" s="1" t="s">
        <v>91</v>
      </c>
      <c r="B65"/>
      <c r="C65"/>
      <c r="D65"/>
      <c r="E65"/>
      <c r="F65"/>
      <c r="G65"/>
      <c r="H65"/>
      <c r="I65"/>
      <c r="J65"/>
      <c r="K65"/>
    </row>
    <row r="66" spans="1:11" ht="15">
      <c r="A66"/>
      <c r="B66">
        <v>2</v>
      </c>
      <c r="C66">
        <f t="shared" ref="C66:I66" si="0">B66+1</f>
        <v>3</v>
      </c>
      <c r="D66">
        <f t="shared" si="0"/>
        <v>4</v>
      </c>
      <c r="E66">
        <f t="shared" si="0"/>
        <v>5</v>
      </c>
      <c r="F66">
        <f t="shared" si="0"/>
        <v>6</v>
      </c>
      <c r="G66">
        <f t="shared" si="0"/>
        <v>7</v>
      </c>
      <c r="H66">
        <f t="shared" si="0"/>
        <v>8</v>
      </c>
      <c r="I66">
        <f t="shared" si="0"/>
        <v>9</v>
      </c>
      <c r="J66"/>
      <c r="K66"/>
    </row>
    <row r="67" spans="1:11" ht="15">
      <c r="A67"/>
      <c r="B67" s="3" t="s">
        <v>75</v>
      </c>
      <c r="C67" s="3" t="s">
        <v>76</v>
      </c>
      <c r="D67" s="3" t="s">
        <v>77</v>
      </c>
      <c r="E67" s="3" t="s">
        <v>78</v>
      </c>
      <c r="F67" s="3" t="s">
        <v>79</v>
      </c>
      <c r="G67" s="3" t="s">
        <v>80</v>
      </c>
      <c r="H67" s="3" t="s">
        <v>81</v>
      </c>
      <c r="I67" s="3" t="s">
        <v>82</v>
      </c>
      <c r="J67"/>
      <c r="K67"/>
    </row>
    <row r="68" spans="1:11" ht="15">
      <c r="A68" s="8" t="s">
        <v>92</v>
      </c>
      <c r="B68" s="11">
        <f>VLOOKUP($A68,'Mat of App'!$B$7:$AP$37,B$66,FALSE)</f>
        <v>0.05</v>
      </c>
      <c r="C68" s="11">
        <f>VLOOKUP($A68,'Mat of App'!$B$7:$AP$37,C$66,FALSE)</f>
        <v>0</v>
      </c>
      <c r="D68" s="11">
        <f>VLOOKUP($A68,'Mat of App'!$B$7:$AP$37,D$66,FALSE)</f>
        <v>0</v>
      </c>
      <c r="E68" s="11">
        <f>VLOOKUP($A68,'Mat of App'!$B$7:$AP$37,E$66,FALSE)</f>
        <v>0</v>
      </c>
      <c r="F68" s="11">
        <f>VLOOKUP($A68,'Mat of App'!$B$7:$AP$37,F$66,FALSE)</f>
        <v>0</v>
      </c>
      <c r="G68" s="11">
        <f>VLOOKUP($A68,'Mat of App'!$B$7:$AP$37,G$66,FALSE)</f>
        <v>0</v>
      </c>
      <c r="H68" s="11">
        <f>VLOOKUP($A68,'Mat of App'!$B$7:$AP$37,H$66,FALSE)</f>
        <v>0</v>
      </c>
      <c r="I68" s="11">
        <f>VLOOKUP($A68,'Mat of App'!$B$7:$AP$37,I$66,FALSE)</f>
        <v>0</v>
      </c>
      <c r="J68" s="7" t="s">
        <v>262</v>
      </c>
      <c r="K68"/>
    </row>
    <row r="69" spans="1:11" ht="15">
      <c r="A69" s="8" t="s">
        <v>93</v>
      </c>
      <c r="B69" s="11">
        <f>VLOOKUP($A69,'Mat of App'!$B$7:$AP$37,B$66,FALSE)</f>
        <v>0.05</v>
      </c>
      <c r="C69" s="11">
        <f>VLOOKUP($A69,'Mat of App'!$B$7:$AP$37,C$66,FALSE)</f>
        <v>0</v>
      </c>
      <c r="D69" s="11">
        <f>VLOOKUP($A69,'Mat of App'!$B$7:$AP$37,D$66,FALSE)</f>
        <v>0</v>
      </c>
      <c r="E69" s="11">
        <f>VLOOKUP($A69,'Mat of App'!$B$7:$AP$37,E$66,FALSE)</f>
        <v>0</v>
      </c>
      <c r="F69" s="11">
        <f>VLOOKUP($A69,'Mat of App'!$B$7:$AP$37,F$66,FALSE)</f>
        <v>0</v>
      </c>
      <c r="G69" s="11">
        <f>VLOOKUP($A69,'Mat of App'!$B$7:$AP$37,G$66,FALSE)</f>
        <v>0</v>
      </c>
      <c r="H69" s="11">
        <f>VLOOKUP($A69,'Mat of App'!$B$7:$AP$37,H$66,FALSE)</f>
        <v>0</v>
      </c>
      <c r="I69" s="11">
        <f>VLOOKUP($A69,'Mat of App'!$B$7:$AP$37,I$66,FALSE)</f>
        <v>0</v>
      </c>
      <c r="J69" s="7" t="s">
        <v>262</v>
      </c>
      <c r="K69"/>
    </row>
    <row r="70" spans="1:11" ht="15">
      <c r="A70" s="8" t="s">
        <v>94</v>
      </c>
      <c r="B70" s="11">
        <f>VLOOKUP($A70,'Mat of App'!$B$7:$AP$37,B$66,FALSE)</f>
        <v>0</v>
      </c>
      <c r="C70" s="11">
        <f>VLOOKUP($A70,'Mat of App'!$B$7:$AP$37,C$66,FALSE)</f>
        <v>1</v>
      </c>
      <c r="D70" s="11">
        <f>VLOOKUP($A70,'Mat of App'!$B$7:$AP$37,D$66,FALSE)</f>
        <v>0</v>
      </c>
      <c r="E70" s="11">
        <f>VLOOKUP($A70,'Mat of App'!$B$7:$AP$37,E$66,FALSE)</f>
        <v>0</v>
      </c>
      <c r="F70" s="11">
        <f>VLOOKUP($A70,'Mat of App'!$B$7:$AP$37,F$66,FALSE)</f>
        <v>0</v>
      </c>
      <c r="G70" s="11">
        <f>VLOOKUP($A70,'Mat of App'!$B$7:$AP$37,G$66,FALSE)</f>
        <v>0</v>
      </c>
      <c r="H70" s="11">
        <f>VLOOKUP($A70,'Mat of App'!$B$7:$AP$37,H$66,FALSE)</f>
        <v>0</v>
      </c>
      <c r="I70" s="11">
        <f>VLOOKUP($A70,'Mat of App'!$B$7:$AP$37,I$66,FALSE)</f>
        <v>0</v>
      </c>
      <c r="J70" s="7" t="s">
        <v>262</v>
      </c>
      <c r="K70"/>
    </row>
    <row r="71" spans="1:11" ht="15">
      <c r="A71" s="8" t="s">
        <v>95</v>
      </c>
      <c r="B71" s="11">
        <f>VLOOKUP($A71,'Mat of App'!$B$7:$AP$37,B$66,FALSE)</f>
        <v>0</v>
      </c>
      <c r="C71" s="11">
        <f>VLOOKUP($A71,'Mat of App'!$B$7:$AP$37,C$66,FALSE)</f>
        <v>1</v>
      </c>
      <c r="D71" s="11">
        <f>VLOOKUP($A71,'Mat of App'!$B$7:$AP$37,D$66,FALSE)</f>
        <v>0</v>
      </c>
      <c r="E71" s="11">
        <f>VLOOKUP($A71,'Mat of App'!$B$7:$AP$37,E$66,FALSE)</f>
        <v>0</v>
      </c>
      <c r="F71" s="11">
        <f>VLOOKUP($A71,'Mat of App'!$B$7:$AP$37,F$66,FALSE)</f>
        <v>0</v>
      </c>
      <c r="G71" s="11">
        <f>VLOOKUP($A71,'Mat of App'!$B$7:$AP$37,G$66,FALSE)</f>
        <v>0</v>
      </c>
      <c r="H71" s="11">
        <f>VLOOKUP($A71,'Mat of App'!$B$7:$AP$37,H$66,FALSE)</f>
        <v>0</v>
      </c>
      <c r="I71" s="11">
        <f>VLOOKUP($A71,'Mat of App'!$B$7:$AP$37,I$66,FALSE)</f>
        <v>0</v>
      </c>
      <c r="J71" s="7" t="s">
        <v>262</v>
      </c>
      <c r="K71"/>
    </row>
    <row r="72" spans="1:11" ht="15">
      <c r="A72" s="8" t="s">
        <v>96</v>
      </c>
      <c r="B72" s="11">
        <f>VLOOKUP($A72,'Mat of App'!$B$7:$AP$37,B$66,FALSE)</f>
        <v>0</v>
      </c>
      <c r="C72" s="11">
        <f>VLOOKUP($A72,'Mat of App'!$B$7:$AP$37,C$66,FALSE)</f>
        <v>0</v>
      </c>
      <c r="D72" s="11">
        <f>VLOOKUP($A72,'Mat of App'!$B$7:$AP$37,D$66,FALSE)</f>
        <v>1</v>
      </c>
      <c r="E72" s="11">
        <f>VLOOKUP($A72,'Mat of App'!$B$7:$AP$37,E$66,FALSE)</f>
        <v>0</v>
      </c>
      <c r="F72" s="11">
        <f>VLOOKUP($A72,'Mat of App'!$B$7:$AP$37,F$66,FALSE)</f>
        <v>0</v>
      </c>
      <c r="G72" s="11">
        <f>VLOOKUP($A72,'Mat of App'!$B$7:$AP$37,G$66,FALSE)</f>
        <v>0</v>
      </c>
      <c r="H72" s="11">
        <f>VLOOKUP($A72,'Mat of App'!$B$7:$AP$37,H$66,FALSE)</f>
        <v>0</v>
      </c>
      <c r="I72" s="11">
        <f>VLOOKUP($A72,'Mat of App'!$B$7:$AP$37,I$66,FALSE)</f>
        <v>0</v>
      </c>
      <c r="J72" s="7"/>
      <c r="K72"/>
    </row>
    <row r="73" spans="1:11" ht="15">
      <c r="A73" s="8" t="s">
        <v>97</v>
      </c>
      <c r="B73" s="11">
        <f>VLOOKUP($A73,'Mat of App'!$B$7:$AP$37,B$66,FALSE)</f>
        <v>0</v>
      </c>
      <c r="C73" s="11">
        <f>VLOOKUP($A73,'Mat of App'!$B$7:$AP$37,C$66,FALSE)</f>
        <v>0</v>
      </c>
      <c r="D73" s="11">
        <f>VLOOKUP($A73,'Mat of App'!$B$7:$AP$37,D$66,FALSE)</f>
        <v>0</v>
      </c>
      <c r="E73" s="11">
        <f>VLOOKUP($A73,'Mat of App'!$B$7:$AP$37,E$66,FALSE)</f>
        <v>1</v>
      </c>
      <c r="F73" s="11">
        <f>VLOOKUP($A73,'Mat of App'!$B$7:$AP$37,F$66,FALSE)</f>
        <v>0</v>
      </c>
      <c r="G73" s="11">
        <f>VLOOKUP($A73,'Mat of App'!$B$7:$AP$37,G$66,FALSE)</f>
        <v>0</v>
      </c>
      <c r="H73" s="11">
        <f>VLOOKUP($A73,'Mat of App'!$B$7:$AP$37,H$66,FALSE)</f>
        <v>0</v>
      </c>
      <c r="I73" s="11">
        <f>VLOOKUP($A73,'Mat of App'!$B$7:$AP$37,I$66,FALSE)</f>
        <v>0</v>
      </c>
      <c r="J73" s="7"/>
      <c r="K73"/>
    </row>
    <row r="74" spans="1:11" ht="15">
      <c r="A74" s="8" t="s">
        <v>1536</v>
      </c>
      <c r="B74" s="11">
        <f>VLOOKUP($A74,'Mat of App'!$B$7:$AP$37,B$66,FALSE)</f>
        <v>0.05</v>
      </c>
      <c r="C74" s="11">
        <f>VLOOKUP($A74,'Mat of App'!$B$7:$AP$37,C$66,FALSE)</f>
        <v>0</v>
      </c>
      <c r="D74" s="11">
        <f>VLOOKUP($A74,'Mat of App'!$B$7:$AP$37,D$66,FALSE)</f>
        <v>0</v>
      </c>
      <c r="E74" s="11">
        <f>VLOOKUP($A74,'Mat of App'!$B$7:$AP$37,E$66,FALSE)</f>
        <v>0</v>
      </c>
      <c r="F74" s="11">
        <f>VLOOKUP($A74,'Mat of App'!$B$7:$AP$37,F$66,FALSE)</f>
        <v>0</v>
      </c>
      <c r="G74" s="11">
        <f>VLOOKUP($A74,'Mat of App'!$B$7:$AP$37,G$66,FALSE)</f>
        <v>0</v>
      </c>
      <c r="H74" s="11">
        <f>VLOOKUP($A74,'Mat of App'!$B$7:$AP$37,H$66,FALSE)</f>
        <v>0</v>
      </c>
      <c r="I74" s="11">
        <f>VLOOKUP($A74,'Mat of App'!$B$7:$AP$37,I$66,FALSE)</f>
        <v>0</v>
      </c>
      <c r="J74" s="7" t="s">
        <v>262</v>
      </c>
      <c r="K74"/>
    </row>
    <row r="75" spans="1:11" ht="15">
      <c r="A75" s="8" t="s">
        <v>1535</v>
      </c>
      <c r="B75" s="11">
        <f>VLOOKUP($A75,'Mat of App'!$B$7:$AP$37,B$66,FALSE)</f>
        <v>0</v>
      </c>
      <c r="C75" s="11">
        <f>VLOOKUP($A75,'Mat of App'!$B$7:$AP$37,C$66,FALSE)</f>
        <v>1</v>
      </c>
      <c r="D75" s="11">
        <f>VLOOKUP($A75,'Mat of App'!$B$7:$AP$37,D$66,FALSE)</f>
        <v>0</v>
      </c>
      <c r="E75" s="11">
        <f>VLOOKUP($A75,'Mat of App'!$B$7:$AP$37,E$66,FALSE)</f>
        <v>0</v>
      </c>
      <c r="F75" s="11">
        <f>VLOOKUP($A75,'Mat of App'!$B$7:$AP$37,F$66,FALSE)</f>
        <v>0</v>
      </c>
      <c r="G75" s="11">
        <f>VLOOKUP($A75,'Mat of App'!$B$7:$AP$37,G$66,FALSE)</f>
        <v>0</v>
      </c>
      <c r="H75" s="11">
        <f>VLOOKUP($A75,'Mat of App'!$B$7:$AP$37,H$66,FALSE)</f>
        <v>0</v>
      </c>
      <c r="I75" s="11">
        <f>VLOOKUP($A75,'Mat of App'!$B$7:$AP$37,I$66,FALSE)</f>
        <v>0</v>
      </c>
      <c r="J75" s="7" t="s">
        <v>262</v>
      </c>
      <c r="K75"/>
    </row>
    <row r="76" spans="1:11" ht="15">
      <c r="A76" s="8" t="s">
        <v>98</v>
      </c>
      <c r="B76" s="11">
        <f>VLOOKUP($A76,'Mat of App'!$B$7:$AP$37,B$66,FALSE)</f>
        <v>0</v>
      </c>
      <c r="C76" s="11">
        <f>VLOOKUP($A76,'Mat of App'!$B$7:$AP$37,C$66,FALSE)</f>
        <v>0</v>
      </c>
      <c r="D76" s="11">
        <f>VLOOKUP($A76,'Mat of App'!$B$7:$AP$37,D$66,FALSE)</f>
        <v>0</v>
      </c>
      <c r="E76" s="11">
        <f>VLOOKUP($A76,'Mat of App'!$B$7:$AP$37,E$66,FALSE)</f>
        <v>0</v>
      </c>
      <c r="F76" s="11">
        <f>VLOOKUP($A76,'Mat of App'!$B$7:$AP$37,F$66,FALSE)</f>
        <v>1</v>
      </c>
      <c r="G76" s="11">
        <f>VLOOKUP($A76,'Mat of App'!$B$7:$AP$37,G$66,FALSE)</f>
        <v>0</v>
      </c>
      <c r="H76" s="11">
        <f>VLOOKUP($A76,'Mat of App'!$B$7:$AP$37,H$66,FALSE)</f>
        <v>0</v>
      </c>
      <c r="I76" s="11">
        <f>VLOOKUP($A76,'Mat of App'!$B$7:$AP$37,I$66,FALSE)</f>
        <v>0</v>
      </c>
      <c r="J76" s="7" t="s">
        <v>262</v>
      </c>
      <c r="K76"/>
    </row>
    <row r="77" spans="1:11" ht="15">
      <c r="A77" s="8" t="s">
        <v>99</v>
      </c>
      <c r="B77" s="11">
        <f>VLOOKUP($A77,'Mat of App'!$B$7:$AP$37,B$66,FALSE)</f>
        <v>0</v>
      </c>
      <c r="C77" s="11">
        <f>VLOOKUP($A77,'Mat of App'!$B$7:$AP$37,C$66,FALSE)</f>
        <v>0</v>
      </c>
      <c r="D77" s="11">
        <f>VLOOKUP($A77,'Mat of App'!$B$7:$AP$37,D$66,FALSE)</f>
        <v>0</v>
      </c>
      <c r="E77" s="11">
        <f>VLOOKUP($A77,'Mat of App'!$B$7:$AP$37,E$66,FALSE)</f>
        <v>0</v>
      </c>
      <c r="F77" s="11">
        <f>VLOOKUP($A77,'Mat of App'!$B$7:$AP$37,F$66,FALSE)</f>
        <v>0</v>
      </c>
      <c r="G77" s="11">
        <f>VLOOKUP($A77,'Mat of App'!$B$7:$AP$37,G$66,FALSE)</f>
        <v>1</v>
      </c>
      <c r="H77" s="11">
        <f>VLOOKUP($A77,'Mat of App'!$B$7:$AP$37,H$66,FALSE)</f>
        <v>0</v>
      </c>
      <c r="I77" s="11">
        <f>VLOOKUP($A77,'Mat of App'!$B$7:$AP$37,I$66,FALSE)</f>
        <v>0</v>
      </c>
      <c r="J77" s="7" t="s">
        <v>262</v>
      </c>
      <c r="K77"/>
    </row>
    <row r="78" spans="1:11" ht="15">
      <c r="A78" s="8" t="s">
        <v>1534</v>
      </c>
      <c r="B78" s="11">
        <f>VLOOKUP($A78,'Mat of App'!$B$7:$AP$37,B$66,FALSE)</f>
        <v>0</v>
      </c>
      <c r="C78" s="11">
        <f>VLOOKUP($A78,'Mat of App'!$B$7:$AP$37,C$66,FALSE)</f>
        <v>0</v>
      </c>
      <c r="D78" s="11">
        <f>VLOOKUP($A78,'Mat of App'!$B$7:$AP$37,D$66,FALSE)</f>
        <v>0</v>
      </c>
      <c r="E78" s="11">
        <f>VLOOKUP($A78,'Mat of App'!$B$7:$AP$37,E$66,FALSE)</f>
        <v>0</v>
      </c>
      <c r="F78" s="11">
        <f>VLOOKUP($A78,'Mat of App'!$B$7:$AP$37,F$66,FALSE)</f>
        <v>0</v>
      </c>
      <c r="G78" s="11">
        <f>VLOOKUP($A78,'Mat of App'!$B$7:$AP$37,G$66,FALSE)</f>
        <v>0</v>
      </c>
      <c r="H78" s="11">
        <f>VLOOKUP($A78,'Mat of App'!$B$7:$AP$37,H$66,FALSE)</f>
        <v>1</v>
      </c>
      <c r="I78" s="11">
        <f>VLOOKUP($A78,'Mat of App'!$B$7:$AP$37,I$66,FALSE)</f>
        <v>0</v>
      </c>
      <c r="J78" s="7" t="s">
        <v>262</v>
      </c>
      <c r="K78"/>
    </row>
    <row r="79" spans="1:11" ht="15">
      <c r="A79" s="8" t="s">
        <v>100</v>
      </c>
      <c r="B79" s="11">
        <f>VLOOKUP($A79,'Mat of App'!$B$7:$AP$37,B$66,FALSE)</f>
        <v>0</v>
      </c>
      <c r="C79" s="11">
        <f>VLOOKUP($A79,'Mat of App'!$B$7:$AP$37,C$66,FALSE)</f>
        <v>0</v>
      </c>
      <c r="D79" s="11">
        <f>VLOOKUP($A79,'Mat of App'!$B$7:$AP$37,D$66,FALSE)</f>
        <v>0</v>
      </c>
      <c r="E79" s="11">
        <f>VLOOKUP($A79,'Mat of App'!$B$7:$AP$37,E$66,FALSE)</f>
        <v>0</v>
      </c>
      <c r="F79" s="11">
        <f>VLOOKUP($A79,'Mat of App'!$B$7:$AP$37,F$66,FALSE)</f>
        <v>0</v>
      </c>
      <c r="G79" s="11">
        <f>VLOOKUP($A79,'Mat of App'!$B$7:$AP$37,G$66,FALSE)</f>
        <v>0</v>
      </c>
      <c r="H79" s="11">
        <f>VLOOKUP($A79,'Mat of App'!$B$7:$AP$37,H$66,FALSE)</f>
        <v>1</v>
      </c>
      <c r="I79" s="11">
        <f>VLOOKUP($A79,'Mat of App'!$B$7:$AP$37,I$66,FALSE)</f>
        <v>0</v>
      </c>
      <c r="J79" s="7" t="s">
        <v>262</v>
      </c>
      <c r="K79"/>
    </row>
    <row r="80" spans="1:11" ht="15">
      <c r="A80" s="8" t="s">
        <v>101</v>
      </c>
      <c r="B80" s="11">
        <f>VLOOKUP($A80,'Mat of App'!$B$7:$AP$37,B$66,FALSE)</f>
        <v>0</v>
      </c>
      <c r="C80" s="11">
        <f>VLOOKUP($A80,'Mat of App'!$B$7:$AP$37,C$66,FALSE)</f>
        <v>0</v>
      </c>
      <c r="D80" s="11">
        <f>VLOOKUP($A80,'Mat of App'!$B$7:$AP$37,D$66,FALSE)</f>
        <v>0</v>
      </c>
      <c r="E80" s="11">
        <f>VLOOKUP($A80,'Mat of App'!$B$7:$AP$37,E$66,FALSE)</f>
        <v>0</v>
      </c>
      <c r="F80" s="11">
        <f>VLOOKUP($A80,'Mat of App'!$B$7:$AP$37,F$66,FALSE)</f>
        <v>0</v>
      </c>
      <c r="G80" s="11">
        <f>VLOOKUP($A80,'Mat of App'!$B$7:$AP$37,G$66,FALSE)</f>
        <v>0</v>
      </c>
      <c r="H80" s="11">
        <f>VLOOKUP($A80,'Mat of App'!$B$7:$AP$37,H$66,FALSE)</f>
        <v>1</v>
      </c>
      <c r="I80" s="11">
        <f>VLOOKUP($A80,'Mat of App'!$B$7:$AP$37,I$66,FALSE)</f>
        <v>0</v>
      </c>
      <c r="J80" s="7" t="s">
        <v>262</v>
      </c>
      <c r="K80"/>
    </row>
    <row r="81" spans="1:11" ht="15">
      <c r="A81" s="8" t="s">
        <v>102</v>
      </c>
      <c r="B81" s="11">
        <f>VLOOKUP($A81,'Mat of App'!$B$7:$AP$37,B$66,FALSE)</f>
        <v>0</v>
      </c>
      <c r="C81" s="11">
        <f>VLOOKUP($A81,'Mat of App'!$B$7:$AP$37,C$66,FALSE)</f>
        <v>0</v>
      </c>
      <c r="D81" s="11">
        <f>VLOOKUP($A81,'Mat of App'!$B$7:$AP$37,D$66,FALSE)</f>
        <v>0</v>
      </c>
      <c r="E81" s="11">
        <f>VLOOKUP($A81,'Mat of App'!$B$7:$AP$37,E$66,FALSE)</f>
        <v>0</v>
      </c>
      <c r="F81" s="11">
        <f>VLOOKUP($A81,'Mat of App'!$B$7:$AP$37,F$66,FALSE)</f>
        <v>0</v>
      </c>
      <c r="G81" s="11">
        <f>VLOOKUP($A81,'Mat of App'!$B$7:$AP$37,G$66,FALSE)</f>
        <v>0</v>
      </c>
      <c r="H81" s="11">
        <f>VLOOKUP($A81,'Mat of App'!$B$7:$AP$37,H$66,FALSE)</f>
        <v>0</v>
      </c>
      <c r="I81" s="11">
        <f>VLOOKUP($A81,'Mat of App'!$B$7:$AP$37,I$66,FALSE)</f>
        <v>0</v>
      </c>
      <c r="J81" s="7" t="s">
        <v>262</v>
      </c>
      <c r="K81"/>
    </row>
    <row r="82" spans="1:11" ht="15">
      <c r="A82" s="8" t="s">
        <v>103</v>
      </c>
      <c r="B82" s="11">
        <f>VLOOKUP($A82,'Mat of App'!$B$7:$AP$37,B$66,FALSE)</f>
        <v>0</v>
      </c>
      <c r="C82" s="11">
        <f>VLOOKUP($A82,'Mat of App'!$B$7:$AP$37,C$66,FALSE)</f>
        <v>0</v>
      </c>
      <c r="D82" s="11">
        <f>VLOOKUP($A82,'Mat of App'!$B$7:$AP$37,D$66,FALSE)</f>
        <v>0</v>
      </c>
      <c r="E82" s="11">
        <f>VLOOKUP($A82,'Mat of App'!$B$7:$AP$37,E$66,FALSE)</f>
        <v>0</v>
      </c>
      <c r="F82" s="11">
        <f>VLOOKUP($A82,'Mat of App'!$B$7:$AP$37,F$66,FALSE)</f>
        <v>0</v>
      </c>
      <c r="G82" s="11">
        <f>VLOOKUP($A82,'Mat of App'!$B$7:$AP$37,G$66,FALSE)</f>
        <v>0</v>
      </c>
      <c r="H82" s="11">
        <f>VLOOKUP($A82,'Mat of App'!$B$7:$AP$37,H$66,FALSE)</f>
        <v>0</v>
      </c>
      <c r="I82" s="11">
        <f>VLOOKUP($A82,'Mat of App'!$B$7:$AP$37,I$66,FALSE)</f>
        <v>0</v>
      </c>
      <c r="J82" s="7" t="s">
        <v>262</v>
      </c>
      <c r="K82"/>
    </row>
    <row r="83" spans="1:11" ht="15">
      <c r="A83" s="8" t="s">
        <v>104</v>
      </c>
      <c r="B83" s="11">
        <f>VLOOKUP($A83,'Mat of App'!$B$7:$AP$37,B$66,FALSE)</f>
        <v>0</v>
      </c>
      <c r="C83" s="11">
        <f>VLOOKUP($A83,'Mat of App'!$B$7:$AP$37,C$66,FALSE)</f>
        <v>0</v>
      </c>
      <c r="D83" s="11">
        <f>VLOOKUP($A83,'Mat of App'!$B$7:$AP$37,D$66,FALSE)</f>
        <v>0</v>
      </c>
      <c r="E83" s="11">
        <f>VLOOKUP($A83,'Mat of App'!$B$7:$AP$37,E$66,FALSE)</f>
        <v>0</v>
      </c>
      <c r="F83" s="11">
        <f>VLOOKUP($A83,'Mat of App'!$B$7:$AP$37,F$66,FALSE)</f>
        <v>0</v>
      </c>
      <c r="G83" s="11">
        <f>VLOOKUP($A83,'Mat of App'!$B$7:$AP$37,G$66,FALSE)</f>
        <v>0</v>
      </c>
      <c r="H83" s="11">
        <f>VLOOKUP($A83,'Mat of App'!$B$7:$AP$37,H$66,FALSE)</f>
        <v>0</v>
      </c>
      <c r="I83" s="11">
        <f>VLOOKUP($A83,'Mat of App'!$B$7:$AP$37,I$66,FALSE)</f>
        <v>0</v>
      </c>
      <c r="J83" s="7" t="s">
        <v>262</v>
      </c>
      <c r="K83"/>
    </row>
    <row r="84" spans="1:11" ht="15">
      <c r="A84"/>
      <c r="B84"/>
      <c r="C84"/>
      <c r="D84"/>
      <c r="E84"/>
      <c r="F84"/>
      <c r="G84"/>
      <c r="H84"/>
      <c r="I84"/>
      <c r="J84"/>
      <c r="K84"/>
    </row>
    <row r="85" spans="1:11" ht="19.5">
      <c r="A85" s="1" t="s">
        <v>105</v>
      </c>
      <c r="B85"/>
      <c r="C85"/>
      <c r="D85"/>
      <c r="E85"/>
      <c r="F85"/>
      <c r="G85"/>
      <c r="H85"/>
      <c r="I85"/>
      <c r="J85"/>
      <c r="K85"/>
    </row>
    <row r="86" spans="1:11" ht="15">
      <c r="A86" s="2"/>
      <c r="B86"/>
      <c r="C86"/>
      <c r="D86"/>
      <c r="E86"/>
      <c r="F86"/>
      <c r="G86"/>
      <c r="H86"/>
      <c r="I86"/>
      <c r="J86"/>
      <c r="K86"/>
    </row>
    <row r="87" spans="1:11" ht="15">
      <c r="A87" s="2" t="s">
        <v>106</v>
      </c>
      <c r="B87"/>
      <c r="C87"/>
      <c r="D87"/>
      <c r="E87"/>
      <c r="F87"/>
      <c r="G87"/>
      <c r="H87"/>
      <c r="I87"/>
      <c r="J87"/>
      <c r="K87"/>
    </row>
    <row r="88" spans="1:11" ht="15">
      <c r="A88" t="s">
        <v>107</v>
      </c>
      <c r="B88"/>
      <c r="C88"/>
      <c r="D88"/>
      <c r="E88"/>
      <c r="F88"/>
      <c r="G88"/>
      <c r="H88"/>
      <c r="I88"/>
      <c r="J88"/>
      <c r="K88"/>
    </row>
    <row r="89" spans="1:11" ht="15">
      <c r="A89"/>
      <c r="B89" s="3" t="s">
        <v>75</v>
      </c>
      <c r="C89" s="3" t="s">
        <v>76</v>
      </c>
      <c r="D89" s="3" t="s">
        <v>77</v>
      </c>
      <c r="E89" s="3" t="s">
        <v>78</v>
      </c>
      <c r="F89" s="3" t="s">
        <v>79</v>
      </c>
      <c r="G89" s="3" t="s">
        <v>80</v>
      </c>
      <c r="H89" s="3" t="s">
        <v>81</v>
      </c>
      <c r="I89" s="3" t="s">
        <v>82</v>
      </c>
      <c r="J89"/>
      <c r="K89"/>
    </row>
    <row r="90" spans="1:11" ht="15">
      <c r="A90" s="8" t="s">
        <v>108</v>
      </c>
      <c r="B90" s="4">
        <f>VLOOKUP($A90,'Mat of App'!$B$7:$AP$37,B$66,FALSE)</f>
        <v>0</v>
      </c>
      <c r="C90" s="4">
        <f>VLOOKUP($A90,'Mat of App'!$B$7:$AP$37,C$66,FALSE)</f>
        <v>0</v>
      </c>
      <c r="D90" s="4">
        <f>VLOOKUP($A90,'Mat of App'!$B$7:$AP$37,D$66,FALSE)</f>
        <v>0</v>
      </c>
      <c r="E90" s="4">
        <f>VLOOKUP($A90,'Mat of App'!$B$7:$AP$37,E$66,FALSE)</f>
        <v>0</v>
      </c>
      <c r="F90" s="4">
        <f>VLOOKUP($A90,'Mat of App'!$B$7:$AP$37,F$66,FALSE)</f>
        <v>0</v>
      </c>
      <c r="G90" s="4">
        <f>VLOOKUP($A90,'Mat of App'!$B$7:$AP$37,G$66,FALSE)</f>
        <v>0</v>
      </c>
      <c r="H90" s="4">
        <f>VLOOKUP($A90,'Mat of App'!$B$7:$AP$37,H$66,FALSE)</f>
        <v>0</v>
      </c>
      <c r="I90" s="4">
        <f>VLOOKUP($A90,'Mat of App'!$B$7:$AP$37,I$66,FALSE)</f>
        <v>0.48799999999999999</v>
      </c>
      <c r="J90" s="7" t="s">
        <v>262</v>
      </c>
      <c r="K90"/>
    </row>
    <row r="91" spans="1:11" ht="15">
      <c r="A91"/>
      <c r="B91"/>
      <c r="C91"/>
      <c r="D91"/>
      <c r="E91"/>
      <c r="F91"/>
      <c r="G91"/>
      <c r="H91"/>
      <c r="I91"/>
      <c r="J91"/>
      <c r="K91"/>
    </row>
    <row r="92" spans="1:11" ht="19.5">
      <c r="A92" s="1" t="s">
        <v>109</v>
      </c>
      <c r="B92"/>
      <c r="C92"/>
      <c r="D92"/>
      <c r="E92"/>
      <c r="F92"/>
      <c r="G92"/>
      <c r="H92"/>
      <c r="I92"/>
      <c r="J92"/>
      <c r="K92"/>
    </row>
    <row r="93" spans="1:11" ht="15">
      <c r="A93"/>
      <c r="B93">
        <v>2</v>
      </c>
      <c r="C93">
        <f>B93+1</f>
        <v>3</v>
      </c>
      <c r="D93">
        <f>C93+1</f>
        <v>4</v>
      </c>
      <c r="E93">
        <f>D93+1</f>
        <v>5</v>
      </c>
      <c r="F93">
        <f>E93+1</f>
        <v>6</v>
      </c>
      <c r="G93"/>
      <c r="H93"/>
      <c r="I93"/>
      <c r="J93"/>
      <c r="K93"/>
    </row>
    <row r="94" spans="1:11" ht="15">
      <c r="A94"/>
      <c r="B94" s="3" t="s">
        <v>85</v>
      </c>
      <c r="C94" s="3" t="s">
        <v>86</v>
      </c>
      <c r="D94" s="3" t="s">
        <v>87</v>
      </c>
      <c r="E94" s="3" t="s">
        <v>88</v>
      </c>
      <c r="F94" s="3" t="s">
        <v>89</v>
      </c>
      <c r="G94"/>
      <c r="H94"/>
      <c r="I94"/>
      <c r="J94"/>
      <c r="K94"/>
    </row>
    <row r="95" spans="1:11" ht="15">
      <c r="A95" s="8" t="s">
        <v>110</v>
      </c>
      <c r="B95" s="11">
        <f>VLOOKUP($A95,'Mat of App'!$B$7:$AP$37,B$93,FALSE)</f>
        <v>1</v>
      </c>
      <c r="C95" s="11">
        <f>VLOOKUP($A95,'Mat of App'!$B$7:$AP$37,C$93,FALSE)</f>
        <v>0</v>
      </c>
      <c r="D95" s="11">
        <f>VLOOKUP($A95,'Mat of App'!$B$7:$AP$37,D$93,FALSE)</f>
        <v>0</v>
      </c>
      <c r="E95" s="11">
        <f>VLOOKUP($A95,'Mat of App'!$B$7:$AP$37,E$93,FALSE)</f>
        <v>0</v>
      </c>
      <c r="F95" s="11">
        <f>VLOOKUP($A95,'Mat of App'!$B$7:$AP$37,F$93,FALSE)</f>
        <v>0</v>
      </c>
      <c r="G95" s="7" t="s">
        <v>262</v>
      </c>
      <c r="H95"/>
      <c r="I95"/>
      <c r="J95"/>
      <c r="K95"/>
    </row>
    <row r="96" spans="1:11" ht="15">
      <c r="A96" s="8" t="s">
        <v>111</v>
      </c>
      <c r="B96" s="11">
        <f>VLOOKUP($A96,'Mat of App'!$B$7:$AP$37,B$93,FALSE)</f>
        <v>1</v>
      </c>
      <c r="C96" s="11">
        <f>VLOOKUP($A96,'Mat of App'!$B$7:$AP$37,C$93,FALSE)</f>
        <v>0</v>
      </c>
      <c r="D96" s="11">
        <f>VLOOKUP($A96,'Mat of App'!$B$7:$AP$37,D$93,FALSE)</f>
        <v>0</v>
      </c>
      <c r="E96" s="11">
        <f>VLOOKUP($A96,'Mat of App'!$B$7:$AP$37,E$93,FALSE)</f>
        <v>0</v>
      </c>
      <c r="F96" s="11">
        <f>VLOOKUP($A96,'Mat of App'!$B$7:$AP$37,F$93,FALSE)</f>
        <v>0</v>
      </c>
      <c r="G96" s="7" t="s">
        <v>262</v>
      </c>
      <c r="H96"/>
      <c r="I96"/>
      <c r="J96"/>
      <c r="K96"/>
    </row>
    <row r="97" spans="1:11" customFormat="1" ht="15">
      <c r="A97" s="8" t="s">
        <v>112</v>
      </c>
      <c r="B97" s="11">
        <f>VLOOKUP($A97,'Mat of App'!$B$7:$AP$37,B$93,FALSE)</f>
        <v>0</v>
      </c>
      <c r="C97" s="11">
        <f>VLOOKUP($A97,'Mat of App'!$B$7:$AP$37,C$93,FALSE)</f>
        <v>1</v>
      </c>
      <c r="D97" s="11">
        <f>VLOOKUP($A97,'Mat of App'!$B$7:$AP$37,D$93,FALSE)</f>
        <v>0</v>
      </c>
      <c r="E97" s="11">
        <f>VLOOKUP($A97,'Mat of App'!$B$7:$AP$37,E$93,FALSE)</f>
        <v>0</v>
      </c>
      <c r="F97" s="11">
        <f>VLOOKUP($A97,'Mat of App'!$B$7:$AP$37,F$93,FALSE)</f>
        <v>0</v>
      </c>
      <c r="G97" s="7"/>
    </row>
    <row r="98" spans="1:11" customFormat="1" ht="15">
      <c r="A98" s="8" t="s">
        <v>113</v>
      </c>
      <c r="B98" s="11">
        <f>VLOOKUP($A98,'Mat of App'!$B$7:$AP$37,B$93,FALSE)</f>
        <v>0</v>
      </c>
      <c r="C98" s="11">
        <f>VLOOKUP($A98,'Mat of App'!$B$7:$AP$37,C$93,FALSE)</f>
        <v>1</v>
      </c>
      <c r="D98" s="11">
        <f>VLOOKUP($A98,'Mat of App'!$B$7:$AP$37,D$93,FALSE)</f>
        <v>0</v>
      </c>
      <c r="E98" s="11">
        <f>VLOOKUP($A98,'Mat of App'!$B$7:$AP$37,E$93,FALSE)</f>
        <v>0</v>
      </c>
      <c r="F98" s="11">
        <f>VLOOKUP($A98,'Mat of App'!$B$7:$AP$37,F$93,FALSE)</f>
        <v>0</v>
      </c>
      <c r="G98" s="7"/>
    </row>
    <row r="99" spans="1:11" ht="15">
      <c r="A99"/>
      <c r="B99"/>
      <c r="C99"/>
      <c r="D99"/>
      <c r="E99"/>
      <c r="F99"/>
      <c r="G99"/>
      <c r="H99"/>
      <c r="I99"/>
      <c r="J99"/>
      <c r="K99"/>
    </row>
    <row r="100" spans="1:11" ht="19.5">
      <c r="A100" s="1" t="s">
        <v>114</v>
      </c>
      <c r="B100"/>
      <c r="C100"/>
      <c r="D100"/>
      <c r="E100"/>
      <c r="F100"/>
      <c r="G100"/>
      <c r="H100"/>
      <c r="I100"/>
      <c r="J100"/>
      <c r="K100"/>
    </row>
    <row r="101" spans="1:11" ht="15">
      <c r="A101" s="2" t="s">
        <v>262</v>
      </c>
      <c r="B101"/>
      <c r="C101"/>
      <c r="D101"/>
      <c r="E101"/>
      <c r="F101"/>
      <c r="G101"/>
      <c r="H101"/>
      <c r="I101"/>
      <c r="J101"/>
      <c r="K101"/>
    </row>
    <row r="102" spans="1:11" ht="15">
      <c r="A102" t="s">
        <v>115</v>
      </c>
      <c r="B102"/>
      <c r="C102"/>
      <c r="D102"/>
      <c r="E102"/>
      <c r="F102"/>
      <c r="G102"/>
      <c r="H102"/>
      <c r="I102"/>
      <c r="J102"/>
      <c r="K102"/>
    </row>
    <row r="103" spans="1:11" ht="15">
      <c r="A103"/>
      <c r="B103" s="3" t="s">
        <v>61</v>
      </c>
      <c r="C103" s="3" t="s">
        <v>62</v>
      </c>
      <c r="D103" s="3" t="s">
        <v>63</v>
      </c>
      <c r="E103" s="3" t="s">
        <v>64</v>
      </c>
      <c r="F103" s="3" t="s">
        <v>65</v>
      </c>
      <c r="G103" s="3" t="s">
        <v>66</v>
      </c>
      <c r="H103" s="3" t="s">
        <v>67</v>
      </c>
      <c r="I103"/>
      <c r="J103"/>
      <c r="K103"/>
    </row>
    <row r="104" spans="1:11" ht="15">
      <c r="A104" s="8" t="s">
        <v>116</v>
      </c>
      <c r="B104" s="4">
        <f>VLOOKUP(Vlookup!B69,'CDCM Forecast Data'!$A$14:$I$271,5,FALSE)</f>
        <v>1.002</v>
      </c>
      <c r="C104" s="4">
        <f>VLOOKUP(Vlookup!C69,'CDCM Forecast Data'!$A$14:$I$271,5,FALSE)</f>
        <v>1.0069999999999999</v>
      </c>
      <c r="D104" s="4">
        <f>VLOOKUP(Vlookup!D69,'CDCM Forecast Data'!$A$14:$I$271,5,FALSE)</f>
        <v>1.016</v>
      </c>
      <c r="E104" s="4">
        <f>VLOOKUP(Vlookup!E69,'CDCM Forecast Data'!$A$14:$I$271,5,FALSE)</f>
        <v>1.0229999999999999</v>
      </c>
      <c r="F104" s="4">
        <f>VLOOKUP(Vlookup!F69,'CDCM Forecast Data'!$A$14:$I$271,5,FALSE)</f>
        <v>1.0509999999999999</v>
      </c>
      <c r="G104" s="4">
        <f>VLOOKUP(Vlookup!G69,'CDCM Forecast Data'!$A$14:$I$271,5,FALSE)</f>
        <v>1.07</v>
      </c>
      <c r="H104" s="4">
        <f>VLOOKUP(Vlookup!H69,'CDCM Forecast Data'!$A$14:$I$271,5,FALSE)</f>
        <v>1.087</v>
      </c>
      <c r="I104" s="7" t="s">
        <v>262</v>
      </c>
      <c r="J104"/>
      <c r="K104"/>
    </row>
    <row r="105" spans="1:11" ht="15">
      <c r="A105"/>
      <c r="B105"/>
      <c r="C105"/>
      <c r="D105"/>
      <c r="E105"/>
      <c r="F105"/>
      <c r="G105"/>
      <c r="H105"/>
      <c r="I105"/>
      <c r="J105"/>
      <c r="K105"/>
    </row>
    <row r="106" spans="1:11" ht="19.5">
      <c r="A106" s="1" t="s">
        <v>117</v>
      </c>
      <c r="B106"/>
      <c r="C106"/>
      <c r="D106"/>
      <c r="E106"/>
      <c r="F106"/>
      <c r="G106"/>
      <c r="H106"/>
      <c r="I106"/>
      <c r="J106"/>
      <c r="K106"/>
    </row>
    <row r="107" spans="1:11" ht="15">
      <c r="A107" s="2" t="s">
        <v>262</v>
      </c>
      <c r="B107"/>
      <c r="C107"/>
      <c r="D107"/>
      <c r="E107"/>
      <c r="F107"/>
      <c r="G107"/>
      <c r="H107"/>
      <c r="I107"/>
      <c r="J107"/>
      <c r="K107"/>
    </row>
    <row r="108" spans="1:11" ht="15">
      <c r="A108" t="s">
        <v>118</v>
      </c>
      <c r="B108"/>
      <c r="C108"/>
      <c r="D108"/>
      <c r="E108"/>
      <c r="F108"/>
      <c r="G108"/>
      <c r="H108"/>
      <c r="I108"/>
      <c r="J108"/>
      <c r="K108"/>
    </row>
    <row r="109" spans="1:11" ht="15">
      <c r="A109"/>
      <c r="B109" s="3" t="s">
        <v>119</v>
      </c>
      <c r="C109" s="3" t="s">
        <v>120</v>
      </c>
      <c r="D109" s="3" t="s">
        <v>121</v>
      </c>
      <c r="E109" s="3" t="s">
        <v>122</v>
      </c>
      <c r="F109" s="3" t="s">
        <v>123</v>
      </c>
      <c r="G109"/>
      <c r="H109"/>
      <c r="I109"/>
      <c r="J109"/>
      <c r="K109"/>
    </row>
    <row r="110" spans="1:11" ht="15">
      <c r="A110" s="8" t="s">
        <v>124</v>
      </c>
      <c r="B110" s="6"/>
      <c r="C110" s="11">
        <f>VLOOKUP(Vlookup!C75,'CDCM Forecast Data'!$A$14:$I$271,5,FALSE)</f>
        <v>0.33064254054995224</v>
      </c>
      <c r="D110" s="11">
        <f>VLOOKUP(Vlookup!D75,'CDCM Forecast Data'!$A$14:$I$271,5,FALSE)</f>
        <v>0.51417010196128798</v>
      </c>
      <c r="E110" s="11">
        <f>VLOOKUP(Vlookup!E75,'CDCM Forecast Data'!$A$14:$I$271,5,FALSE)</f>
        <v>0.25833648748307197</v>
      </c>
      <c r="F110" s="11">
        <f>VLOOKUP(Vlookup!F75,'CDCM Forecast Data'!$A$14:$I$271,5,FALSE)</f>
        <v>0.15078510117655297</v>
      </c>
      <c r="G110" s="7" t="s">
        <v>262</v>
      </c>
      <c r="H110"/>
      <c r="I110"/>
      <c r="J110"/>
      <c r="K110"/>
    </row>
    <row r="111" spans="1:11" ht="15">
      <c r="A111"/>
      <c r="B111"/>
      <c r="C111"/>
      <c r="D111"/>
      <c r="E111"/>
      <c r="F111"/>
      <c r="G111"/>
      <c r="H111"/>
      <c r="I111"/>
      <c r="J111"/>
      <c r="K111"/>
    </row>
    <row r="112" spans="1:11" ht="19.5">
      <c r="A112" s="1" t="s">
        <v>125</v>
      </c>
      <c r="B112"/>
      <c r="C112"/>
      <c r="D112"/>
      <c r="E112"/>
      <c r="F112"/>
      <c r="G112"/>
      <c r="H112"/>
      <c r="I112"/>
      <c r="J112"/>
      <c r="K112"/>
    </row>
    <row r="113" spans="1:11" ht="15">
      <c r="A113" s="2"/>
      <c r="B113"/>
      <c r="C113"/>
      <c r="D113"/>
      <c r="E113"/>
      <c r="F113"/>
      <c r="G113"/>
      <c r="H113"/>
      <c r="I113"/>
      <c r="J113"/>
      <c r="K113"/>
    </row>
    <row r="114" spans="1:11" ht="15">
      <c r="A114" t="s">
        <v>126</v>
      </c>
      <c r="B114"/>
      <c r="C114"/>
      <c r="D114"/>
      <c r="E114"/>
      <c r="F114"/>
      <c r="G114"/>
      <c r="H114"/>
      <c r="I114"/>
      <c r="J114"/>
      <c r="K114"/>
    </row>
    <row r="115" spans="1:11" ht="15">
      <c r="A115"/>
      <c r="B115" s="3" t="s">
        <v>127</v>
      </c>
      <c r="C115" s="3" t="s">
        <v>128</v>
      </c>
      <c r="D115"/>
      <c r="E115"/>
      <c r="F115"/>
      <c r="G115"/>
      <c r="H115"/>
      <c r="I115"/>
      <c r="J115"/>
      <c r="K115"/>
    </row>
    <row r="116" spans="1:11" ht="15">
      <c r="A116" s="8" t="s">
        <v>92</v>
      </c>
      <c r="B116" s="4">
        <f>VLOOKUP(Vlookup!B81,'CDCM Forecast Data'!$A$14:$I$271,5,FALSE)</f>
        <v>0.89738819736502429</v>
      </c>
      <c r="C116" s="4">
        <f>VLOOKUP(Vlookup!C81,'CDCM Forecast Data'!$A$14:$I$271,5,FALSE)</f>
        <v>0.43411076877330973</v>
      </c>
      <c r="D116" s="7" t="s">
        <v>262</v>
      </c>
      <c r="E116"/>
      <c r="F116"/>
      <c r="G116"/>
      <c r="H116"/>
      <c r="I116"/>
      <c r="J116"/>
      <c r="K116"/>
    </row>
    <row r="117" spans="1:11" ht="15">
      <c r="A117" s="8" t="s">
        <v>93</v>
      </c>
      <c r="B117" s="4">
        <f>VLOOKUP(Vlookup!B82,'CDCM Forecast Data'!$A$14:$I$271,5,FALSE)</f>
        <v>0.41597516714124932</v>
      </c>
      <c r="C117" s="4">
        <f>VLOOKUP(Vlookup!C82,'CDCM Forecast Data'!$A$14:$I$271,5,FALSE)</f>
        <v>0.30069751871841721</v>
      </c>
      <c r="D117" s="7" t="s">
        <v>262</v>
      </c>
      <c r="E117"/>
      <c r="F117"/>
      <c r="G117"/>
      <c r="H117"/>
      <c r="I117"/>
      <c r="J117"/>
      <c r="K117"/>
    </row>
    <row r="118" spans="1:11" ht="15">
      <c r="A118" s="8" t="s">
        <v>129</v>
      </c>
      <c r="B118" s="6"/>
      <c r="C118" s="4">
        <f>VLOOKUP(Vlookup!C83,'CDCM Forecast Data'!$A$14:$I$271,5,FALSE)</f>
        <v>0.17961939605399557</v>
      </c>
      <c r="D118" s="7" t="s">
        <v>262</v>
      </c>
      <c r="E118"/>
      <c r="F118"/>
      <c r="G118"/>
      <c r="H118"/>
      <c r="I118"/>
      <c r="J118"/>
      <c r="K118"/>
    </row>
    <row r="119" spans="1:11" ht="15">
      <c r="A119" s="8" t="s">
        <v>94</v>
      </c>
      <c r="B119" s="4">
        <f>VLOOKUP(Vlookup!B84,'CDCM Forecast Data'!$A$14:$I$271,5,FALSE)</f>
        <v>0.69492206140680768</v>
      </c>
      <c r="C119" s="4">
        <f>VLOOKUP(Vlookup!C84,'CDCM Forecast Data'!$A$14:$I$271,5,FALSE)</f>
        <v>0.39797534499698228</v>
      </c>
      <c r="D119" s="7" t="s">
        <v>262</v>
      </c>
      <c r="E119"/>
      <c r="F119"/>
      <c r="G119"/>
      <c r="H119"/>
      <c r="I119"/>
      <c r="J119"/>
      <c r="K119"/>
    </row>
    <row r="120" spans="1:11" ht="15">
      <c r="A120" s="8" t="s">
        <v>95</v>
      </c>
      <c r="B120" s="4">
        <f>VLOOKUP(Vlookup!B85,'CDCM Forecast Data'!$A$14:$I$271,5,FALSE)</f>
        <v>0.74846447157386065</v>
      </c>
      <c r="C120" s="4">
        <f>VLOOKUP(Vlookup!C85,'CDCM Forecast Data'!$A$14:$I$271,5,FALSE)</f>
        <v>0.52024521708825189</v>
      </c>
      <c r="D120" s="7" t="s">
        <v>262</v>
      </c>
      <c r="E120"/>
      <c r="F120"/>
      <c r="G120"/>
      <c r="H120"/>
      <c r="I120"/>
      <c r="J120"/>
      <c r="K120"/>
    </row>
    <row r="121" spans="1:11" ht="15">
      <c r="A121" s="8" t="s">
        <v>130</v>
      </c>
      <c r="B121" s="6"/>
      <c r="C121" s="4">
        <f>VLOOKUP(Vlookup!C86,'CDCM Forecast Data'!$A$14:$I$271,5,FALSE)</f>
        <v>0.21120992364816046</v>
      </c>
      <c r="D121" s="7" t="s">
        <v>262</v>
      </c>
      <c r="E121"/>
      <c r="F121"/>
      <c r="G121"/>
      <c r="H121"/>
      <c r="I121"/>
      <c r="J121"/>
      <c r="K121"/>
    </row>
    <row r="122" spans="1:11" ht="15">
      <c r="A122" s="8" t="s">
        <v>96</v>
      </c>
      <c r="B122" s="4">
        <f>VLOOKUP(Vlookup!B87,'CDCM Forecast Data'!$A$14:$I$271,5,FALSE)</f>
        <v>0.83801012339332381</v>
      </c>
      <c r="C122" s="4">
        <f>VLOOKUP(Vlookup!C87,'CDCM Forecast Data'!$A$14:$I$271,5,FALSE)</f>
        <v>0.53574416845541439</v>
      </c>
      <c r="D122" s="7" t="s">
        <v>262</v>
      </c>
      <c r="E122"/>
      <c r="F122"/>
      <c r="G122"/>
      <c r="H122"/>
      <c r="I122"/>
      <c r="J122"/>
      <c r="K122"/>
    </row>
    <row r="123" spans="1:11" ht="15">
      <c r="A123" s="8" t="s">
        <v>97</v>
      </c>
      <c r="B123" s="4">
        <f>VLOOKUP(Vlookup!B88,'CDCM Forecast Data'!$A$14:$I$271,5,FALSE)</f>
        <v>0.83801012339332381</v>
      </c>
      <c r="C123" s="4">
        <f>VLOOKUP(Vlookup!C88,'CDCM Forecast Data'!$A$14:$I$271,5,FALSE)</f>
        <v>0.53574416845541439</v>
      </c>
      <c r="D123" s="7" t="s">
        <v>262</v>
      </c>
      <c r="E123"/>
      <c r="F123"/>
      <c r="G123"/>
      <c r="H123"/>
      <c r="I123"/>
      <c r="J123"/>
      <c r="K123"/>
    </row>
    <row r="124" spans="1:11" ht="15">
      <c r="A124" s="8" t="s">
        <v>110</v>
      </c>
      <c r="B124" s="4">
        <f>VLOOKUP(Vlookup!B89,'CDCM Forecast Data'!$A$14:$I$271,5,FALSE)</f>
        <v>0.64043929029771907</v>
      </c>
      <c r="C124" s="4">
        <f>VLOOKUP(Vlookup!C89,'CDCM Forecast Data'!$A$14:$I$271,5,FALSE)</f>
        <v>0.43446675238274496</v>
      </c>
      <c r="D124" s="7" t="s">
        <v>262</v>
      </c>
      <c r="E124"/>
      <c r="F124"/>
      <c r="G124"/>
      <c r="H124"/>
      <c r="I124"/>
      <c r="J124"/>
      <c r="K124"/>
    </row>
    <row r="125" spans="1:11" ht="15">
      <c r="A125" s="8" t="s">
        <v>1536</v>
      </c>
      <c r="B125" s="4">
        <f>VLOOKUP(Vlookup!B90,'CDCM Forecast Data'!$A$14:$I$271,5,FALSE)</f>
        <v>0.83273040302787538</v>
      </c>
      <c r="C125" s="4">
        <f>VLOOKUP(Vlookup!C90,'CDCM Forecast Data'!$A$14:$I$271,5,FALSE)</f>
        <v>0.41510669865444888</v>
      </c>
      <c r="D125" s="7" t="s">
        <v>262</v>
      </c>
      <c r="E125"/>
      <c r="F125"/>
      <c r="G125"/>
      <c r="H125"/>
      <c r="I125"/>
      <c r="J125"/>
      <c r="K125"/>
    </row>
    <row r="126" spans="1:11" ht="15">
      <c r="A126" s="8" t="s">
        <v>1535</v>
      </c>
      <c r="B126" s="4">
        <f>VLOOKUP(Vlookup!B91,'CDCM Forecast Data'!$A$14:$I$271,5,FALSE)</f>
        <v>0.70542255324747616</v>
      </c>
      <c r="C126" s="4">
        <f>VLOOKUP(Vlookup!C91,'CDCM Forecast Data'!$A$14:$I$271,5,FALSE)</f>
        <v>0.42086756514790613</v>
      </c>
      <c r="D126" s="7" t="s">
        <v>262</v>
      </c>
      <c r="E126"/>
      <c r="F126"/>
      <c r="G126"/>
      <c r="H126"/>
      <c r="I126"/>
      <c r="J126"/>
      <c r="K126"/>
    </row>
    <row r="127" spans="1:11" ht="15">
      <c r="A127" s="8" t="s">
        <v>98</v>
      </c>
      <c r="B127" s="4">
        <f>VLOOKUP(Vlookup!B92,'CDCM Forecast Data'!$A$14:$I$271,5,FALSE)</f>
        <v>0.79385686220007168</v>
      </c>
      <c r="C127" s="4">
        <f>VLOOKUP(Vlookup!C92,'CDCM Forecast Data'!$A$14:$I$271,5,FALSE)</f>
        <v>0.53736458823526412</v>
      </c>
      <c r="D127" s="7" t="s">
        <v>262</v>
      </c>
      <c r="E127"/>
      <c r="F127"/>
      <c r="G127"/>
      <c r="H127"/>
      <c r="I127"/>
      <c r="J127"/>
      <c r="K127"/>
    </row>
    <row r="128" spans="1:11" ht="15">
      <c r="A128" s="8" t="s">
        <v>99</v>
      </c>
      <c r="B128" s="4">
        <f>VLOOKUP(Vlookup!B93,'CDCM Forecast Data'!$A$14:$I$271,5,FALSE)</f>
        <v>0.80793779849955216</v>
      </c>
      <c r="C128" s="4">
        <f>VLOOKUP(Vlookup!C93,'CDCM Forecast Data'!$A$14:$I$271,5,FALSE)</f>
        <v>0.52702405279759323</v>
      </c>
      <c r="D128" s="7"/>
      <c r="E128"/>
      <c r="F128"/>
      <c r="G128"/>
      <c r="H128"/>
      <c r="I128"/>
      <c r="J128"/>
      <c r="K128"/>
    </row>
    <row r="129" spans="1:11" ht="15">
      <c r="A129" s="8" t="s">
        <v>111</v>
      </c>
      <c r="B129" s="4">
        <f>VLOOKUP(Vlookup!B94,'CDCM Forecast Data'!$A$14:$I$271,5,FALSE)</f>
        <v>0.78892978454231644</v>
      </c>
      <c r="C129" s="4">
        <f>VLOOKUP(Vlookup!C94,'CDCM Forecast Data'!$A$14:$I$271,5,FALSE)</f>
        <v>0.66158319064179105</v>
      </c>
      <c r="D129" s="7"/>
      <c r="E129"/>
      <c r="F129"/>
      <c r="G129"/>
      <c r="H129"/>
      <c r="I129"/>
      <c r="J129"/>
      <c r="K129"/>
    </row>
    <row r="130" spans="1:11" ht="15">
      <c r="A130" s="8" t="s">
        <v>131</v>
      </c>
      <c r="B130" s="4">
        <f>VLOOKUP(Vlookup!B95,'CDCM Forecast Data'!$A$14:$I$271,5,FALSE)</f>
        <v>1</v>
      </c>
      <c r="C130" s="4">
        <f>VLOOKUP(Vlookup!C95,'CDCM Forecast Data'!$A$14:$I$271,5,FALSE)</f>
        <v>1</v>
      </c>
      <c r="D130" s="7" t="s">
        <v>262</v>
      </c>
      <c r="E130"/>
      <c r="F130"/>
      <c r="G130"/>
      <c r="H130"/>
      <c r="I130"/>
      <c r="J130"/>
      <c r="K130"/>
    </row>
    <row r="131" spans="1:11" ht="15">
      <c r="A131" s="8" t="s">
        <v>132</v>
      </c>
      <c r="B131" s="4">
        <f>VLOOKUP(Vlookup!B96,'CDCM Forecast Data'!$A$14:$I$271,5,FALSE)</f>
        <v>0.99301420785685035</v>
      </c>
      <c r="C131" s="4">
        <f>VLOOKUP(Vlookup!C96,'CDCM Forecast Data'!$A$14:$I$271,5,FALSE)</f>
        <v>0.46960080865953691</v>
      </c>
      <c r="D131" s="7"/>
      <c r="E131"/>
      <c r="F131"/>
      <c r="G131"/>
      <c r="H131"/>
      <c r="I131"/>
      <c r="J131"/>
      <c r="K131"/>
    </row>
    <row r="132" spans="1:11" ht="15">
      <c r="A132" s="8" t="s">
        <v>133</v>
      </c>
      <c r="B132" s="4">
        <f>VLOOKUP(Vlookup!B97,'CDCM Forecast Data'!$A$14:$I$271,5,FALSE)</f>
        <v>0.95213478843576482</v>
      </c>
      <c r="C132" s="4">
        <f>VLOOKUP(Vlookup!C97,'CDCM Forecast Data'!$A$14:$I$271,5,FALSE)</f>
        <v>0.25417039627197974</v>
      </c>
      <c r="D132" s="7"/>
      <c r="E132"/>
      <c r="F132"/>
      <c r="G132"/>
      <c r="H132"/>
      <c r="I132"/>
      <c r="J132"/>
      <c r="K132"/>
    </row>
    <row r="133" spans="1:11" ht="15">
      <c r="A133" s="8" t="s">
        <v>134</v>
      </c>
      <c r="B133" s="4">
        <f>VLOOKUP(Vlookup!B98,'CDCM Forecast Data'!$A$14:$I$271,5,FALSE)</f>
        <v>0</v>
      </c>
      <c r="C133" s="4">
        <f>VLOOKUP(Vlookup!C98,'CDCM Forecast Data'!$A$14:$I$271,5,FALSE)</f>
        <v>0.51587229987729666</v>
      </c>
      <c r="D133" s="7"/>
      <c r="E133"/>
      <c r="F133"/>
      <c r="G133"/>
      <c r="H133"/>
      <c r="I133"/>
      <c r="J133"/>
      <c r="K133"/>
    </row>
    <row r="134" spans="1:11" ht="15">
      <c r="A134" s="8" t="s">
        <v>135</v>
      </c>
      <c r="B134" s="4">
        <f>VLOOKUP(Vlookup!B99,'CDCM Forecast Data'!$A$14:$I$271,5,FALSE)</f>
        <v>0.94398062288314322</v>
      </c>
      <c r="C134" s="4">
        <f>VLOOKUP(Vlookup!C99,'CDCM Forecast Data'!$A$14:$I$271,5,FALSE)</f>
        <v>0.47630128718610992</v>
      </c>
      <c r="D134" s="7" t="s">
        <v>262</v>
      </c>
      <c r="E134"/>
      <c r="F134"/>
      <c r="G134"/>
      <c r="H134"/>
      <c r="I134"/>
      <c r="J134"/>
      <c r="K134"/>
    </row>
    <row r="135" spans="1:11" ht="15">
      <c r="A135"/>
      <c r="B135"/>
      <c r="C135"/>
      <c r="D135"/>
      <c r="E135"/>
      <c r="F135"/>
      <c r="G135"/>
      <c r="H135"/>
      <c r="I135"/>
      <c r="J135"/>
      <c r="K135"/>
    </row>
    <row r="136" spans="1:11" ht="19.5">
      <c r="A136" s="1" t="s">
        <v>136</v>
      </c>
      <c r="B136"/>
      <c r="C136"/>
      <c r="D136"/>
      <c r="E136"/>
      <c r="F136"/>
      <c r="G136"/>
      <c r="H136"/>
      <c r="I136"/>
      <c r="J136"/>
      <c r="K136"/>
    </row>
    <row r="137" spans="1:11" ht="15">
      <c r="A137" s="2" t="s">
        <v>262</v>
      </c>
      <c r="B137">
        <v>4</v>
      </c>
      <c r="C137">
        <v>5</v>
      </c>
      <c r="D137">
        <v>6</v>
      </c>
      <c r="E137">
        <v>7</v>
      </c>
      <c r="F137">
        <v>8</v>
      </c>
      <c r="G137">
        <v>9</v>
      </c>
      <c r="H137"/>
      <c r="I137"/>
      <c r="J137"/>
      <c r="K137"/>
    </row>
    <row r="138" spans="1:11" ht="15">
      <c r="A138" s="2" t="s">
        <v>137</v>
      </c>
      <c r="B138"/>
      <c r="C138"/>
      <c r="D138"/>
      <c r="E138"/>
      <c r="F138"/>
      <c r="G138"/>
      <c r="H138"/>
      <c r="I138"/>
      <c r="J138"/>
      <c r="K138"/>
    </row>
    <row r="139" spans="1:11" ht="15">
      <c r="A139" s="2" t="s">
        <v>138</v>
      </c>
      <c r="B139"/>
      <c r="C139"/>
      <c r="D139"/>
      <c r="E139"/>
      <c r="F139"/>
      <c r="G139"/>
      <c r="H139"/>
      <c r="I139"/>
      <c r="J139"/>
      <c r="K139"/>
    </row>
    <row r="140" spans="1:11" ht="15">
      <c r="A140" t="s">
        <v>139</v>
      </c>
      <c r="B140"/>
      <c r="C140"/>
      <c r="D140"/>
      <c r="E140"/>
      <c r="F140"/>
      <c r="G140"/>
      <c r="H140"/>
      <c r="I140"/>
      <c r="J140"/>
      <c r="K140"/>
    </row>
    <row r="141" spans="1:11" ht="30">
      <c r="A141"/>
      <c r="B141" s="3" t="s">
        <v>140</v>
      </c>
      <c r="C141" s="3" t="s">
        <v>141</v>
      </c>
      <c r="D141" s="3" t="s">
        <v>142</v>
      </c>
      <c r="E141" s="3" t="s">
        <v>143</v>
      </c>
      <c r="F141" s="3" t="s">
        <v>144</v>
      </c>
      <c r="G141" s="3" t="s">
        <v>145</v>
      </c>
      <c r="H141"/>
      <c r="I141"/>
      <c r="J141"/>
      <c r="K141"/>
    </row>
    <row r="142" spans="1:11" ht="15">
      <c r="A142" s="12" t="s">
        <v>146</v>
      </c>
      <c r="B142" s="13">
        <f>VLOOKUP(Vlookup!$B107,'CDCM Volume Forecasts'!$A$27:$AG$123,B$137,FALSE)</f>
        <v>0</v>
      </c>
      <c r="C142" s="13">
        <f>VLOOKUP(Vlookup!$B107,'CDCM Volume Forecasts'!$A$27:$AG$123,C$137,FALSE)</f>
        <v>0</v>
      </c>
      <c r="D142" s="13">
        <f>VLOOKUP(Vlookup!$B107,'CDCM Volume Forecasts'!$A$27:$AG$123,D$137,FALSE)</f>
        <v>0</v>
      </c>
      <c r="E142" s="13">
        <f>VLOOKUP(Vlookup!$B107,'CDCM Volume Forecasts'!$A$27:$AG$123,E$137,FALSE)</f>
        <v>0</v>
      </c>
      <c r="F142" s="13">
        <f>VLOOKUP(Vlookup!$B107,'CDCM Volume Forecasts'!$A$27:$AG$123,F$137,FALSE)</f>
        <v>0</v>
      </c>
      <c r="G142" s="13">
        <f>VLOOKUP(Vlookup!$B107,'CDCM Volume Forecasts'!$A$27:$AG$123,G$137,FALSE)</f>
        <v>0</v>
      </c>
      <c r="H142" s="7"/>
      <c r="I142"/>
      <c r="J142"/>
      <c r="K142"/>
    </row>
    <row r="143" spans="1:11" ht="15">
      <c r="A143" s="8" t="s">
        <v>92</v>
      </c>
      <c r="B143" s="4">
        <f>VLOOKUP(Vlookup!$B108,'CDCM Volume Forecasts'!$A$27:$AG$123,B$137,FALSE)</f>
        <v>7006599.2032143781</v>
      </c>
      <c r="C143" s="6">
        <f>VLOOKUP(Vlookup!$B108,'CDCM Volume Forecasts'!$A$27:$AG$123,C$137,FALSE)</f>
        <v>0</v>
      </c>
      <c r="D143" s="6">
        <f>VLOOKUP(Vlookup!$B108,'CDCM Volume Forecasts'!$A$27:$AG$123,D$137,FALSE)</f>
        <v>0</v>
      </c>
      <c r="E143" s="10">
        <f>VLOOKUP(Vlookup!$B108,'CDCM Volume Forecasts'!$A$27:$AG$123,E$137,FALSE)</f>
        <v>1967400.2028794924</v>
      </c>
      <c r="F143" s="6">
        <f>VLOOKUP(Vlookup!$B108,'CDCM Volume Forecasts'!$A$27:$AG$123,F$137,FALSE)</f>
        <v>0</v>
      </c>
      <c r="G143" s="6">
        <f>VLOOKUP(Vlookup!$B108,'CDCM Volume Forecasts'!$A$27:$AG$123,G$137,FALSE)</f>
        <v>0</v>
      </c>
      <c r="H143" s="7"/>
      <c r="I143"/>
      <c r="J143"/>
      <c r="K143"/>
    </row>
    <row r="144" spans="1:11" ht="15">
      <c r="A144" s="8" t="s">
        <v>147</v>
      </c>
      <c r="B144" s="4">
        <f>VLOOKUP(Vlookup!$B109,'CDCM Volume Forecasts'!$A$27:$AG$123,B$137,FALSE)</f>
        <v>41568.678990041961</v>
      </c>
      <c r="C144" s="6">
        <f>VLOOKUP(Vlookup!$B109,'CDCM Volume Forecasts'!$A$27:$AG$123,C$137,FALSE)</f>
        <v>0</v>
      </c>
      <c r="D144" s="6">
        <f>VLOOKUP(Vlookup!$B109,'CDCM Volume Forecasts'!$A$27:$AG$123,D$137,FALSE)</f>
        <v>0</v>
      </c>
      <c r="E144" s="10">
        <f>VLOOKUP(Vlookup!$B109,'CDCM Volume Forecasts'!$A$27:$AG$123,E$137,FALSE)</f>
        <v>13963.737782751579</v>
      </c>
      <c r="F144" s="6">
        <f>VLOOKUP(Vlookup!$B109,'CDCM Volume Forecasts'!$A$27:$AG$123,F$137,FALSE)</f>
        <v>0</v>
      </c>
      <c r="G144" s="6">
        <f>VLOOKUP(Vlookup!$B109,'CDCM Volume Forecasts'!$A$27:$AG$123,G$137,FALSE)</f>
        <v>0</v>
      </c>
      <c r="H144" s="7"/>
      <c r="I144"/>
      <c r="J144"/>
      <c r="K144"/>
    </row>
    <row r="145" spans="1:11" ht="15">
      <c r="A145" s="8" t="s">
        <v>148</v>
      </c>
      <c r="B145" s="4">
        <f>VLOOKUP(Vlookup!$B110,'CDCM Volume Forecasts'!$A$27:$AG$123,B$137,FALSE)</f>
        <v>74118.188048410288</v>
      </c>
      <c r="C145" s="6">
        <f>VLOOKUP(Vlookup!$B110,'CDCM Volume Forecasts'!$A$27:$AG$123,C$137,FALSE)</f>
        <v>0</v>
      </c>
      <c r="D145" s="6">
        <f>VLOOKUP(Vlookup!$B110,'CDCM Volume Forecasts'!$A$27:$AG$123,D$137,FALSE)</f>
        <v>0</v>
      </c>
      <c r="E145" s="10">
        <f>VLOOKUP(Vlookup!$B110,'CDCM Volume Forecasts'!$A$27:$AG$123,E$137,FALSE)</f>
        <v>24598.066280902651</v>
      </c>
      <c r="F145" s="6">
        <f>VLOOKUP(Vlookup!$B110,'CDCM Volume Forecasts'!$A$27:$AG$123,F$137,FALSE)</f>
        <v>0</v>
      </c>
      <c r="G145" s="6">
        <f>VLOOKUP(Vlookup!$B110,'CDCM Volume Forecasts'!$A$27:$AG$123,G$137,FALSE)</f>
        <v>0</v>
      </c>
      <c r="H145" s="7"/>
      <c r="I145"/>
      <c r="J145"/>
      <c r="K145"/>
    </row>
    <row r="146" spans="1:11" ht="15">
      <c r="A146" s="12" t="s">
        <v>149</v>
      </c>
      <c r="B146" s="13">
        <f>VLOOKUP(Vlookup!$B111,'CDCM Volume Forecasts'!$A$27:$AG$123,B$137,FALSE)</f>
        <v>0</v>
      </c>
      <c r="C146" s="13">
        <f>VLOOKUP(Vlookup!$B111,'CDCM Volume Forecasts'!$A$27:$AG$123,C$137,FALSE)</f>
        <v>0</v>
      </c>
      <c r="D146" s="13">
        <f>VLOOKUP(Vlookup!$B111,'CDCM Volume Forecasts'!$A$27:$AG$123,D$137,FALSE)</f>
        <v>0</v>
      </c>
      <c r="E146" s="13">
        <f>VLOOKUP(Vlookup!$B111,'CDCM Volume Forecasts'!$A$27:$AG$123,E$137,FALSE)</f>
        <v>0</v>
      </c>
      <c r="F146" s="13">
        <f>VLOOKUP(Vlookup!$B111,'CDCM Volume Forecasts'!$A$27:$AG$123,F$137,FALSE)</f>
        <v>0</v>
      </c>
      <c r="G146" s="13">
        <f>VLOOKUP(Vlookup!$B111,'CDCM Volume Forecasts'!$A$27:$AG$123,G$137,FALSE)</f>
        <v>0</v>
      </c>
      <c r="H146" s="7"/>
      <c r="I146"/>
      <c r="J146"/>
      <c r="K146"/>
    </row>
    <row r="147" spans="1:11" ht="15">
      <c r="A147" s="8" t="s">
        <v>93</v>
      </c>
      <c r="B147" s="4">
        <f>VLOOKUP(Vlookup!$B112,'CDCM Volume Forecasts'!$A$27:$AG$123,B$137,FALSE)</f>
        <v>932948.80360757222</v>
      </c>
      <c r="C147" s="4">
        <f>VLOOKUP(Vlookup!$B112,'CDCM Volume Forecasts'!$A$27:$AG$123,C$137,FALSE)</f>
        <v>720595.7844260158</v>
      </c>
      <c r="D147" s="6">
        <f>VLOOKUP(Vlookup!$B112,'CDCM Volume Forecasts'!$A$27:$AG$123,D$137,FALSE)</f>
        <v>0</v>
      </c>
      <c r="E147" s="10">
        <f>VLOOKUP(Vlookup!$B112,'CDCM Volume Forecasts'!$A$27:$AG$123,E$137,FALSE)</f>
        <v>300314.63390594267</v>
      </c>
      <c r="F147" s="6">
        <f>VLOOKUP(Vlookup!$B112,'CDCM Volume Forecasts'!$A$27:$AG$123,F$137,FALSE)</f>
        <v>0</v>
      </c>
      <c r="G147" s="6">
        <f>VLOOKUP(Vlookup!$B112,'CDCM Volume Forecasts'!$A$27:$AG$123,G$137,FALSE)</f>
        <v>0</v>
      </c>
      <c r="H147" s="7"/>
      <c r="I147"/>
      <c r="J147"/>
      <c r="K147"/>
    </row>
    <row r="148" spans="1:11" ht="15">
      <c r="A148" s="8" t="s">
        <v>150</v>
      </c>
      <c r="B148" s="4">
        <f>VLOOKUP(Vlookup!$B113,'CDCM Volume Forecasts'!$A$27:$AG$123,B$137,FALSE)</f>
        <v>2626.7913722264775</v>
      </c>
      <c r="C148" s="4">
        <f>VLOOKUP(Vlookup!$B113,'CDCM Volume Forecasts'!$A$27:$AG$123,C$137,FALSE)</f>
        <v>918.3510283071206</v>
      </c>
      <c r="D148" s="6">
        <f>VLOOKUP(Vlookup!$B113,'CDCM Volume Forecasts'!$A$27:$AG$123,D$137,FALSE)</f>
        <v>0</v>
      </c>
      <c r="E148" s="10">
        <f>VLOOKUP(Vlookup!$B113,'CDCM Volume Forecasts'!$A$27:$AG$123,E$137,FALSE)</f>
        <v>1003.190066077544</v>
      </c>
      <c r="F148" s="6">
        <f>VLOOKUP(Vlookup!$B113,'CDCM Volume Forecasts'!$A$27:$AG$123,F$137,FALSE)</f>
        <v>0</v>
      </c>
      <c r="G148" s="6">
        <f>VLOOKUP(Vlookup!$B113,'CDCM Volume Forecasts'!$A$27:$AG$123,G$137,FALSE)</f>
        <v>0</v>
      </c>
      <c r="H148" s="7"/>
      <c r="I148"/>
      <c r="J148"/>
      <c r="K148"/>
    </row>
    <row r="149" spans="1:11" ht="15">
      <c r="A149" s="8" t="s">
        <v>151</v>
      </c>
      <c r="B149" s="4">
        <f>VLOOKUP(Vlookup!$B114,'CDCM Volume Forecasts'!$A$27:$AG$123,B$137,FALSE)</f>
        <v>4076.7631681946186</v>
      </c>
      <c r="C149" s="4">
        <f>VLOOKUP(Vlookup!$B114,'CDCM Volume Forecasts'!$A$27:$AG$123,C$137,FALSE)</f>
        <v>1583.897915112062</v>
      </c>
      <c r="D149" s="6">
        <f>VLOOKUP(Vlookup!$B114,'CDCM Volume Forecasts'!$A$27:$AG$123,D$137,FALSE)</f>
        <v>0</v>
      </c>
      <c r="E149" s="10">
        <f>VLOOKUP(Vlookup!$B114,'CDCM Volume Forecasts'!$A$27:$AG$123,E$137,FALSE)</f>
        <v>1260.0889306300521</v>
      </c>
      <c r="F149" s="6">
        <f>VLOOKUP(Vlookup!$B114,'CDCM Volume Forecasts'!$A$27:$AG$123,F$137,FALSE)</f>
        <v>0</v>
      </c>
      <c r="G149" s="6">
        <f>VLOOKUP(Vlookup!$B114,'CDCM Volume Forecasts'!$A$27:$AG$123,G$137,FALSE)</f>
        <v>0</v>
      </c>
      <c r="H149" s="7"/>
      <c r="I149"/>
      <c r="J149"/>
      <c r="K149"/>
    </row>
    <row r="150" spans="1:11" ht="15">
      <c r="A150" s="12" t="s">
        <v>152</v>
      </c>
      <c r="B150" s="13">
        <f>VLOOKUP(Vlookup!$B115,'CDCM Volume Forecasts'!$A$27:$AG$123,B$137,FALSE)</f>
        <v>0</v>
      </c>
      <c r="C150" s="13">
        <f>VLOOKUP(Vlookup!$B115,'CDCM Volume Forecasts'!$A$27:$AG$123,C$137,FALSE)</f>
        <v>0</v>
      </c>
      <c r="D150" s="13">
        <f>VLOOKUP(Vlookup!$B115,'CDCM Volume Forecasts'!$A$27:$AG$123,D$137,FALSE)</f>
        <v>0</v>
      </c>
      <c r="E150" s="13">
        <f>VLOOKUP(Vlookup!$B115,'CDCM Volume Forecasts'!$A$27:$AG$123,E$137,FALSE)</f>
        <v>0</v>
      </c>
      <c r="F150" s="13">
        <f>VLOOKUP(Vlookup!$B115,'CDCM Volume Forecasts'!$A$27:$AG$123,F$137,FALSE)</f>
        <v>0</v>
      </c>
      <c r="G150" s="13">
        <f>VLOOKUP(Vlookup!$B115,'CDCM Volume Forecasts'!$A$27:$AG$123,G$137,FALSE)</f>
        <v>0</v>
      </c>
      <c r="H150" s="7"/>
      <c r="I150"/>
      <c r="J150"/>
      <c r="K150"/>
    </row>
    <row r="151" spans="1:11" ht="15">
      <c r="A151" s="8" t="s">
        <v>129</v>
      </c>
      <c r="B151" s="4">
        <f>VLOOKUP(Vlookup!$B116,'CDCM Volume Forecasts'!$A$27:$AG$123,B$137,FALSE)</f>
        <v>36106.46318967735</v>
      </c>
      <c r="C151" s="6">
        <f>VLOOKUP(Vlookup!$B116,'CDCM Volume Forecasts'!$A$27:$AG$123,C$137,FALSE)</f>
        <v>0</v>
      </c>
      <c r="D151" s="6">
        <f>VLOOKUP(Vlookup!$B116,'CDCM Volume Forecasts'!$A$27:$AG$123,D$137,FALSE)</f>
        <v>0</v>
      </c>
      <c r="E151" s="10">
        <f>VLOOKUP(Vlookup!$B116,'CDCM Volume Forecasts'!$A$27:$AG$123,E$137,FALSE)</f>
        <v>0</v>
      </c>
      <c r="F151" s="6">
        <f>VLOOKUP(Vlookup!$B116,'CDCM Volume Forecasts'!$A$27:$AG$123,F$137,FALSE)</f>
        <v>0</v>
      </c>
      <c r="G151" s="6">
        <f>VLOOKUP(Vlookup!$B116,'CDCM Volume Forecasts'!$A$27:$AG$123,G$137,FALSE)</f>
        <v>0</v>
      </c>
      <c r="H151" s="7"/>
      <c r="I151"/>
      <c r="J151"/>
      <c r="K151"/>
    </row>
    <row r="152" spans="1:11" ht="15">
      <c r="A152" s="8" t="s">
        <v>153</v>
      </c>
      <c r="B152" s="4">
        <f>VLOOKUP(Vlookup!$B117,'CDCM Volume Forecasts'!$A$27:$AG$123,B$137,FALSE)</f>
        <v>0</v>
      </c>
      <c r="C152" s="6">
        <f>VLOOKUP(Vlookup!$B117,'CDCM Volume Forecasts'!$A$27:$AG$123,C$137,FALSE)</f>
        <v>0</v>
      </c>
      <c r="D152" s="6">
        <f>VLOOKUP(Vlookup!$B117,'CDCM Volume Forecasts'!$A$27:$AG$123,D$137,FALSE)</f>
        <v>0</v>
      </c>
      <c r="E152" s="10">
        <f>VLOOKUP(Vlookup!$B117,'CDCM Volume Forecasts'!$A$27:$AG$123,E$137,FALSE)</f>
        <v>0</v>
      </c>
      <c r="F152" s="6">
        <f>VLOOKUP(Vlookup!$B117,'CDCM Volume Forecasts'!$A$27:$AG$123,F$137,FALSE)</f>
        <v>0</v>
      </c>
      <c r="G152" s="6">
        <f>VLOOKUP(Vlookup!$B117,'CDCM Volume Forecasts'!$A$27:$AG$123,G$137,FALSE)</f>
        <v>0</v>
      </c>
      <c r="H152" s="7"/>
      <c r="I152"/>
      <c r="J152"/>
      <c r="K152"/>
    </row>
    <row r="153" spans="1:11" ht="15">
      <c r="A153" s="8" t="s">
        <v>154</v>
      </c>
      <c r="B153" s="4">
        <f>VLOOKUP(Vlookup!$B118,'CDCM Volume Forecasts'!$A$27:$AG$123,B$137,FALSE)</f>
        <v>0</v>
      </c>
      <c r="C153" s="6">
        <f>VLOOKUP(Vlookup!$B118,'CDCM Volume Forecasts'!$A$27:$AG$123,C$137,FALSE)</f>
        <v>0</v>
      </c>
      <c r="D153" s="6">
        <f>VLOOKUP(Vlookup!$B118,'CDCM Volume Forecasts'!$A$27:$AG$123,D$137,FALSE)</f>
        <v>0</v>
      </c>
      <c r="E153" s="10">
        <f>VLOOKUP(Vlookup!$B118,'CDCM Volume Forecasts'!$A$27:$AG$123,E$137,FALSE)</f>
        <v>0</v>
      </c>
      <c r="F153" s="6">
        <f>VLOOKUP(Vlookup!$B118,'CDCM Volume Forecasts'!$A$27:$AG$123,F$137,FALSE)</f>
        <v>0</v>
      </c>
      <c r="G153" s="6">
        <f>VLOOKUP(Vlookup!$B118,'CDCM Volume Forecasts'!$A$27:$AG$123,G$137,FALSE)</f>
        <v>0</v>
      </c>
      <c r="H153" s="7"/>
      <c r="I153"/>
      <c r="J153"/>
      <c r="K153"/>
    </row>
    <row r="154" spans="1:11" ht="15">
      <c r="A154" s="12" t="s">
        <v>155</v>
      </c>
      <c r="B154" s="13">
        <f>VLOOKUP(Vlookup!$B119,'CDCM Volume Forecasts'!$A$27:$AG$123,B$137,FALSE)</f>
        <v>0</v>
      </c>
      <c r="C154" s="13">
        <f>VLOOKUP(Vlookup!$B119,'CDCM Volume Forecasts'!$A$27:$AG$123,C$137,FALSE)</f>
        <v>0</v>
      </c>
      <c r="D154" s="13">
        <f>VLOOKUP(Vlookup!$B119,'CDCM Volume Forecasts'!$A$27:$AG$123,D$137,FALSE)</f>
        <v>0</v>
      </c>
      <c r="E154" s="13">
        <f>VLOOKUP(Vlookup!$B119,'CDCM Volume Forecasts'!$A$27:$AG$123,E$137,FALSE)</f>
        <v>0</v>
      </c>
      <c r="F154" s="13">
        <f>VLOOKUP(Vlookup!$B119,'CDCM Volume Forecasts'!$A$27:$AG$123,F$137,FALSE)</f>
        <v>0</v>
      </c>
      <c r="G154" s="13">
        <f>VLOOKUP(Vlookup!$B119,'CDCM Volume Forecasts'!$A$27:$AG$123,G$137,FALSE)</f>
        <v>0</v>
      </c>
      <c r="H154" s="7"/>
      <c r="I154"/>
      <c r="J154"/>
      <c r="K154"/>
    </row>
    <row r="155" spans="1:11" ht="15">
      <c r="A155" s="8" t="s">
        <v>94</v>
      </c>
      <c r="B155" s="4">
        <f>VLOOKUP(Vlookup!$B120,'CDCM Volume Forecasts'!$A$27:$AG$123,B$137,FALSE)</f>
        <v>1619655.6585213088</v>
      </c>
      <c r="C155" s="6">
        <f>VLOOKUP(Vlookup!$B120,'CDCM Volume Forecasts'!$A$27:$AG$123,C$137,FALSE)</f>
        <v>0</v>
      </c>
      <c r="D155" s="6">
        <f>VLOOKUP(Vlookup!$B120,'CDCM Volume Forecasts'!$A$27:$AG$123,D$137,FALSE)</f>
        <v>0</v>
      </c>
      <c r="E155" s="10">
        <f>VLOOKUP(Vlookup!$B120,'CDCM Volume Forecasts'!$A$27:$AG$123,E$137,FALSE)</f>
        <v>135679.92656869252</v>
      </c>
      <c r="F155" s="6">
        <f>VLOOKUP(Vlookup!$B120,'CDCM Volume Forecasts'!$A$27:$AG$123,F$137,FALSE)</f>
        <v>0</v>
      </c>
      <c r="G155" s="6">
        <f>VLOOKUP(Vlookup!$B120,'CDCM Volume Forecasts'!$A$27:$AG$123,G$137,FALSE)</f>
        <v>0</v>
      </c>
      <c r="H155" s="7"/>
      <c r="I155"/>
      <c r="J155"/>
      <c r="K155"/>
    </row>
    <row r="156" spans="1:11" ht="15">
      <c r="A156" s="8" t="s">
        <v>156</v>
      </c>
      <c r="B156" s="4">
        <f>VLOOKUP(Vlookup!$B121,'CDCM Volume Forecasts'!$A$27:$AG$123,B$137,FALSE)</f>
        <v>2891.2734624687741</v>
      </c>
      <c r="C156" s="6">
        <f>VLOOKUP(Vlookup!$B121,'CDCM Volume Forecasts'!$A$27:$AG$123,C$137,FALSE)</f>
        <v>0</v>
      </c>
      <c r="D156" s="6">
        <f>VLOOKUP(Vlookup!$B121,'CDCM Volume Forecasts'!$A$27:$AG$123,D$137,FALSE)</f>
        <v>0</v>
      </c>
      <c r="E156" s="10">
        <f>VLOOKUP(Vlookup!$B121,'CDCM Volume Forecasts'!$A$27:$AG$123,E$137,FALSE)</f>
        <v>8156.5389495421296</v>
      </c>
      <c r="F156" s="6">
        <f>VLOOKUP(Vlookup!$B121,'CDCM Volume Forecasts'!$A$27:$AG$123,F$137,FALSE)</f>
        <v>0</v>
      </c>
      <c r="G156" s="6">
        <f>VLOOKUP(Vlookup!$B121,'CDCM Volume Forecasts'!$A$27:$AG$123,G$137,FALSE)</f>
        <v>0</v>
      </c>
      <c r="H156" s="7"/>
      <c r="I156"/>
      <c r="J156"/>
      <c r="K156"/>
    </row>
    <row r="157" spans="1:11" ht="15">
      <c r="A157" s="8" t="s">
        <v>157</v>
      </c>
      <c r="B157" s="4">
        <f>VLOOKUP(Vlookup!$B122,'CDCM Volume Forecasts'!$A$27:$AG$123,B$137,FALSE)</f>
        <v>15215.334512820744</v>
      </c>
      <c r="C157" s="6">
        <f>VLOOKUP(Vlookup!$B122,'CDCM Volume Forecasts'!$A$27:$AG$123,C$137,FALSE)</f>
        <v>0</v>
      </c>
      <c r="D157" s="6">
        <f>VLOOKUP(Vlookup!$B122,'CDCM Volume Forecasts'!$A$27:$AG$123,D$137,FALSE)</f>
        <v>0</v>
      </c>
      <c r="E157" s="10">
        <f>VLOOKUP(Vlookup!$B122,'CDCM Volume Forecasts'!$A$27:$AG$123,E$137,FALSE)</f>
        <v>894.00804864272811</v>
      </c>
      <c r="F157" s="6">
        <f>VLOOKUP(Vlookup!$B122,'CDCM Volume Forecasts'!$A$27:$AG$123,F$137,FALSE)</f>
        <v>0</v>
      </c>
      <c r="G157" s="6">
        <f>VLOOKUP(Vlookup!$B122,'CDCM Volume Forecasts'!$A$27:$AG$123,G$137,FALSE)</f>
        <v>0</v>
      </c>
      <c r="H157" s="7"/>
      <c r="I157"/>
      <c r="J157"/>
      <c r="K157"/>
    </row>
    <row r="158" spans="1:11" ht="15">
      <c r="A158" s="12" t="s">
        <v>158</v>
      </c>
      <c r="B158" s="13">
        <f>VLOOKUP(Vlookup!$B123,'CDCM Volume Forecasts'!$A$27:$AG$123,B$137,FALSE)</f>
        <v>0</v>
      </c>
      <c r="C158" s="13">
        <f>VLOOKUP(Vlookup!$B123,'CDCM Volume Forecasts'!$A$27:$AG$123,C$137,FALSE)</f>
        <v>0</v>
      </c>
      <c r="D158" s="13">
        <f>VLOOKUP(Vlookup!$B123,'CDCM Volume Forecasts'!$A$27:$AG$123,D$137,FALSE)</f>
        <v>0</v>
      </c>
      <c r="E158" s="13">
        <f>VLOOKUP(Vlookup!$B123,'CDCM Volume Forecasts'!$A$27:$AG$123,E$137,FALSE)</f>
        <v>0</v>
      </c>
      <c r="F158" s="13">
        <f>VLOOKUP(Vlookup!$B123,'CDCM Volume Forecasts'!$A$27:$AG$123,F$137,FALSE)</f>
        <v>0</v>
      </c>
      <c r="G158" s="13">
        <f>VLOOKUP(Vlookup!$B123,'CDCM Volume Forecasts'!$A$27:$AG$123,G$137,FALSE)</f>
        <v>0</v>
      </c>
      <c r="H158" s="7"/>
      <c r="I158"/>
      <c r="J158"/>
      <c r="K158"/>
    </row>
    <row r="159" spans="1:11" ht="15">
      <c r="A159" s="8" t="s">
        <v>95</v>
      </c>
      <c r="B159" s="4">
        <f>VLOOKUP(Vlookup!$B124,'CDCM Volume Forecasts'!$A$27:$AG$123,B$137,FALSE)</f>
        <v>505281.77147158369</v>
      </c>
      <c r="C159" s="4">
        <f>VLOOKUP(Vlookup!$B124,'CDCM Volume Forecasts'!$A$27:$AG$123,C$137,FALSE)</f>
        <v>208404.41119819321</v>
      </c>
      <c r="D159" s="6">
        <f>VLOOKUP(Vlookup!$B124,'CDCM Volume Forecasts'!$A$27:$AG$123,D$137,FALSE)</f>
        <v>0</v>
      </c>
      <c r="E159" s="10">
        <f>VLOOKUP(Vlookup!$B124,'CDCM Volume Forecasts'!$A$27:$AG$123,E$137,FALSE)</f>
        <v>34491.689344628736</v>
      </c>
      <c r="F159" s="6">
        <f>VLOOKUP(Vlookup!$B124,'CDCM Volume Forecasts'!$A$27:$AG$123,F$137,FALSE)</f>
        <v>0</v>
      </c>
      <c r="G159" s="6">
        <f>VLOOKUP(Vlookup!$B124,'CDCM Volume Forecasts'!$A$27:$AG$123,G$137,FALSE)</f>
        <v>0</v>
      </c>
      <c r="H159" s="7"/>
      <c r="I159"/>
      <c r="J159"/>
      <c r="K159"/>
    </row>
    <row r="160" spans="1:11" ht="15">
      <c r="A160" s="8" t="s">
        <v>159</v>
      </c>
      <c r="B160" s="4">
        <f>VLOOKUP(Vlookup!$B125,'CDCM Volume Forecasts'!$A$27:$AG$123,B$137,FALSE)</f>
        <v>879.40978502704854</v>
      </c>
      <c r="C160" s="4">
        <f>VLOOKUP(Vlookup!$B125,'CDCM Volume Forecasts'!$A$27:$AG$123,C$137,FALSE)</f>
        <v>325.90755796918535</v>
      </c>
      <c r="D160" s="6">
        <f>VLOOKUP(Vlookup!$B125,'CDCM Volume Forecasts'!$A$27:$AG$123,D$137,FALSE)</f>
        <v>0</v>
      </c>
      <c r="E160" s="10">
        <f>VLOOKUP(Vlookup!$B125,'CDCM Volume Forecasts'!$A$27:$AG$123,E$137,FALSE)</f>
        <v>17.982920518675567</v>
      </c>
      <c r="F160" s="6">
        <f>VLOOKUP(Vlookup!$B125,'CDCM Volume Forecasts'!$A$27:$AG$123,F$137,FALSE)</f>
        <v>0</v>
      </c>
      <c r="G160" s="6">
        <f>VLOOKUP(Vlookup!$B125,'CDCM Volume Forecasts'!$A$27:$AG$123,G$137,FALSE)</f>
        <v>0</v>
      </c>
      <c r="H160" s="7"/>
      <c r="I160"/>
      <c r="J160"/>
      <c r="K160"/>
    </row>
    <row r="161" spans="1:11" ht="15">
      <c r="A161" s="8" t="s">
        <v>160</v>
      </c>
      <c r="B161" s="4">
        <f>VLOOKUP(Vlookup!$B126,'CDCM Volume Forecasts'!$A$27:$AG$123,B$137,FALSE)</f>
        <v>3693.9572983147759</v>
      </c>
      <c r="C161" s="4">
        <f>VLOOKUP(Vlookup!$B126,'CDCM Volume Forecasts'!$A$27:$AG$123,C$137,FALSE)</f>
        <v>1053.731561149656</v>
      </c>
      <c r="D161" s="6">
        <f>VLOOKUP(Vlookup!$B126,'CDCM Volume Forecasts'!$A$27:$AG$123,D$137,FALSE)</f>
        <v>0</v>
      </c>
      <c r="E161" s="10">
        <f>VLOOKUP(Vlookup!$B126,'CDCM Volume Forecasts'!$A$27:$AG$123,E$137,FALSE)</f>
        <v>77.069659365752401</v>
      </c>
      <c r="F161" s="6">
        <f>VLOOKUP(Vlookup!$B126,'CDCM Volume Forecasts'!$A$27:$AG$123,F$137,FALSE)</f>
        <v>0</v>
      </c>
      <c r="G161" s="6">
        <f>VLOOKUP(Vlookup!$B126,'CDCM Volume Forecasts'!$A$27:$AG$123,G$137,FALSE)</f>
        <v>0</v>
      </c>
      <c r="H161" s="7"/>
      <c r="I161"/>
      <c r="J161"/>
      <c r="K161"/>
    </row>
    <row r="162" spans="1:11" ht="15">
      <c r="A162" s="12" t="s">
        <v>161</v>
      </c>
      <c r="B162" s="13">
        <f>VLOOKUP(Vlookup!$B127,'CDCM Volume Forecasts'!$A$27:$AG$123,B$137,FALSE)</f>
        <v>0</v>
      </c>
      <c r="C162" s="13">
        <f>VLOOKUP(Vlookup!$B127,'CDCM Volume Forecasts'!$A$27:$AG$123,C$137,FALSE)</f>
        <v>0</v>
      </c>
      <c r="D162" s="13">
        <f>VLOOKUP(Vlookup!$B127,'CDCM Volume Forecasts'!$A$27:$AG$123,D$137,FALSE)</f>
        <v>0</v>
      </c>
      <c r="E162" s="13">
        <f>VLOOKUP(Vlookup!$B127,'CDCM Volume Forecasts'!$A$27:$AG$123,E$137,FALSE)</f>
        <v>0</v>
      </c>
      <c r="F162" s="13">
        <f>VLOOKUP(Vlookup!$B127,'CDCM Volume Forecasts'!$A$27:$AG$123,F$137,FALSE)</f>
        <v>0</v>
      </c>
      <c r="G162" s="13">
        <f>VLOOKUP(Vlookup!$B127,'CDCM Volume Forecasts'!$A$27:$AG$123,G$137,FALSE)</f>
        <v>0</v>
      </c>
      <c r="H162" s="7"/>
      <c r="I162"/>
      <c r="J162"/>
      <c r="K162"/>
    </row>
    <row r="163" spans="1:11" ht="15">
      <c r="A163" s="8" t="s">
        <v>130</v>
      </c>
      <c r="B163" s="4">
        <f>VLOOKUP(Vlookup!$B128,'CDCM Volume Forecasts'!$A$27:$AG$123,B$137,FALSE)</f>
        <v>6654.8554381718086</v>
      </c>
      <c r="C163" s="6">
        <f>VLOOKUP(Vlookup!$B128,'CDCM Volume Forecasts'!$A$27:$AG$123,C$137,FALSE)</f>
        <v>0</v>
      </c>
      <c r="D163" s="6">
        <f>VLOOKUP(Vlookup!$B128,'CDCM Volume Forecasts'!$A$27:$AG$123,D$137,FALSE)</f>
        <v>0</v>
      </c>
      <c r="E163" s="10">
        <f>VLOOKUP(Vlookup!$B128,'CDCM Volume Forecasts'!$A$27:$AG$123,E$137,FALSE)</f>
        <v>0</v>
      </c>
      <c r="F163" s="6">
        <f>VLOOKUP(Vlookup!$B128,'CDCM Volume Forecasts'!$A$27:$AG$123,F$137,FALSE)</f>
        <v>0</v>
      </c>
      <c r="G163" s="6">
        <f>VLOOKUP(Vlookup!$B128,'CDCM Volume Forecasts'!$A$27:$AG$123,G$137,FALSE)</f>
        <v>0</v>
      </c>
      <c r="H163" s="7"/>
      <c r="I163"/>
      <c r="J163"/>
      <c r="K163"/>
    </row>
    <row r="164" spans="1:11" ht="30">
      <c r="A164" s="8" t="s">
        <v>162</v>
      </c>
      <c r="B164" s="4">
        <f>VLOOKUP(Vlookup!$B129,'CDCM Volume Forecasts'!$A$27:$AG$123,B$137,FALSE)</f>
        <v>0</v>
      </c>
      <c r="C164" s="6">
        <f>VLOOKUP(Vlookup!$B129,'CDCM Volume Forecasts'!$A$27:$AG$123,C$137,FALSE)</f>
        <v>0</v>
      </c>
      <c r="D164" s="6">
        <f>VLOOKUP(Vlookup!$B129,'CDCM Volume Forecasts'!$A$27:$AG$123,D$137,FALSE)</f>
        <v>0</v>
      </c>
      <c r="E164" s="10">
        <f>VLOOKUP(Vlookup!$B129,'CDCM Volume Forecasts'!$A$27:$AG$123,E$137,FALSE)</f>
        <v>0</v>
      </c>
      <c r="F164" s="6">
        <f>VLOOKUP(Vlookup!$B129,'CDCM Volume Forecasts'!$A$27:$AG$123,F$137,FALSE)</f>
        <v>0</v>
      </c>
      <c r="G164" s="6">
        <f>VLOOKUP(Vlookup!$B129,'CDCM Volume Forecasts'!$A$27:$AG$123,G$137,FALSE)</f>
        <v>0</v>
      </c>
      <c r="H164" s="7"/>
      <c r="I164"/>
      <c r="J164"/>
      <c r="K164"/>
    </row>
    <row r="165" spans="1:11" ht="30">
      <c r="A165" s="8" t="s">
        <v>163</v>
      </c>
      <c r="B165" s="4">
        <f>VLOOKUP(Vlookup!$B130,'CDCM Volume Forecasts'!$A$27:$AG$123,B$137,FALSE)</f>
        <v>0</v>
      </c>
      <c r="C165" s="6">
        <f>VLOOKUP(Vlookup!$B130,'CDCM Volume Forecasts'!$A$27:$AG$123,C$137,FALSE)</f>
        <v>0</v>
      </c>
      <c r="D165" s="6">
        <f>VLOOKUP(Vlookup!$B130,'CDCM Volume Forecasts'!$A$27:$AG$123,D$137,FALSE)</f>
        <v>0</v>
      </c>
      <c r="E165" s="10">
        <f>VLOOKUP(Vlookup!$B130,'CDCM Volume Forecasts'!$A$27:$AG$123,E$137,FALSE)</f>
        <v>0</v>
      </c>
      <c r="F165" s="6">
        <f>VLOOKUP(Vlookup!$B130,'CDCM Volume Forecasts'!$A$27:$AG$123,F$137,FALSE)</f>
        <v>0</v>
      </c>
      <c r="G165" s="6">
        <f>VLOOKUP(Vlookup!$B130,'CDCM Volume Forecasts'!$A$27:$AG$123,G$137,FALSE)</f>
        <v>0</v>
      </c>
      <c r="H165" s="7"/>
      <c r="I165"/>
      <c r="J165"/>
      <c r="K165"/>
    </row>
    <row r="166" spans="1:11" ht="15">
      <c r="A166" s="12" t="s">
        <v>164</v>
      </c>
      <c r="B166" s="13">
        <f>VLOOKUP(Vlookup!$B131,'CDCM Volume Forecasts'!$A$27:$AG$123,B$137,FALSE)</f>
        <v>0</v>
      </c>
      <c r="C166" s="13">
        <f>VLOOKUP(Vlookup!$B131,'CDCM Volume Forecasts'!$A$27:$AG$123,C$137,FALSE)</f>
        <v>0</v>
      </c>
      <c r="D166" s="13">
        <f>VLOOKUP(Vlookup!$B131,'CDCM Volume Forecasts'!$A$27:$AG$123,D$137,FALSE)</f>
        <v>0</v>
      </c>
      <c r="E166" s="13">
        <f>VLOOKUP(Vlookup!$B131,'CDCM Volume Forecasts'!$A$27:$AG$123,E$137,FALSE)</f>
        <v>0</v>
      </c>
      <c r="F166" s="13">
        <f>VLOOKUP(Vlookup!$B131,'CDCM Volume Forecasts'!$A$27:$AG$123,F$137,FALSE)</f>
        <v>0</v>
      </c>
      <c r="G166" s="13">
        <f>VLOOKUP(Vlookup!$B131,'CDCM Volume Forecasts'!$A$27:$AG$123,G$137,FALSE)</f>
        <v>0</v>
      </c>
      <c r="H166" s="7"/>
      <c r="I166"/>
      <c r="J166"/>
      <c r="K166"/>
    </row>
    <row r="167" spans="1:11" ht="15">
      <c r="A167" s="8" t="s">
        <v>96</v>
      </c>
      <c r="B167" s="4">
        <f>VLOOKUP(Vlookup!$B132,'CDCM Volume Forecasts'!$A$27:$AG$123,B$137,FALSE)</f>
        <v>0</v>
      </c>
      <c r="C167" s="4">
        <f>VLOOKUP(Vlookup!$B132,'CDCM Volume Forecasts'!$A$27:$AG$123,C$137,FALSE)</f>
        <v>0</v>
      </c>
      <c r="D167" s="6">
        <f>VLOOKUP(Vlookup!$B132,'CDCM Volume Forecasts'!$A$27:$AG$123,D$137,FALSE)</f>
        <v>0</v>
      </c>
      <c r="E167" s="10">
        <f>VLOOKUP(Vlookup!$B132,'CDCM Volume Forecasts'!$A$27:$AG$123,E$137,FALSE)</f>
        <v>0</v>
      </c>
      <c r="F167" s="6">
        <f>VLOOKUP(Vlookup!$B132,'CDCM Volume Forecasts'!$A$27:$AG$123,F$137,FALSE)</f>
        <v>0</v>
      </c>
      <c r="G167" s="6">
        <f>VLOOKUP(Vlookup!$B132,'CDCM Volume Forecasts'!$A$27:$AG$123,G$137,FALSE)</f>
        <v>0</v>
      </c>
      <c r="H167" s="7"/>
      <c r="I167"/>
      <c r="J167"/>
      <c r="K167"/>
    </row>
    <row r="168" spans="1:11" ht="15">
      <c r="A168" s="8" t="s">
        <v>165</v>
      </c>
      <c r="B168" s="4">
        <f>VLOOKUP(Vlookup!$B133,'CDCM Volume Forecasts'!$A$27:$AG$123,B$137,FALSE)</f>
        <v>0</v>
      </c>
      <c r="C168" s="4">
        <f>VLOOKUP(Vlookup!$B133,'CDCM Volume Forecasts'!$A$27:$AG$123,C$137,FALSE)</f>
        <v>0</v>
      </c>
      <c r="D168" s="6">
        <f>VLOOKUP(Vlookup!$B133,'CDCM Volume Forecasts'!$A$27:$AG$123,D$137,FALSE)</f>
        <v>0</v>
      </c>
      <c r="E168" s="10">
        <f>VLOOKUP(Vlookup!$B133,'CDCM Volume Forecasts'!$A$27:$AG$123,E$137,FALSE)</f>
        <v>0</v>
      </c>
      <c r="F168" s="6">
        <f>VLOOKUP(Vlookup!$B133,'CDCM Volume Forecasts'!$A$27:$AG$123,F$137,FALSE)</f>
        <v>0</v>
      </c>
      <c r="G168" s="6">
        <f>VLOOKUP(Vlookup!$B133,'CDCM Volume Forecasts'!$A$27:$AG$123,G$137,FALSE)</f>
        <v>0</v>
      </c>
      <c r="H168" s="7"/>
      <c r="I168"/>
      <c r="J168"/>
      <c r="K168"/>
    </row>
    <row r="169" spans="1:11" ht="15">
      <c r="A169" s="8" t="s">
        <v>166</v>
      </c>
      <c r="B169" s="4">
        <f>VLOOKUP(Vlookup!$B134,'CDCM Volume Forecasts'!$A$27:$AG$123,B$137,FALSE)</f>
        <v>0</v>
      </c>
      <c r="C169" s="4">
        <f>VLOOKUP(Vlookup!$B134,'CDCM Volume Forecasts'!$A$27:$AG$123,C$137,FALSE)</f>
        <v>0</v>
      </c>
      <c r="D169" s="6">
        <f>VLOOKUP(Vlookup!$B134,'CDCM Volume Forecasts'!$A$27:$AG$123,D$137,FALSE)</f>
        <v>0</v>
      </c>
      <c r="E169" s="10">
        <f>VLOOKUP(Vlookup!$B134,'CDCM Volume Forecasts'!$A$27:$AG$123,E$137,FALSE)</f>
        <v>0</v>
      </c>
      <c r="F169" s="6">
        <f>VLOOKUP(Vlookup!$B134,'CDCM Volume Forecasts'!$A$27:$AG$123,F$137,FALSE)</f>
        <v>0</v>
      </c>
      <c r="G169" s="6">
        <f>VLOOKUP(Vlookup!$B134,'CDCM Volume Forecasts'!$A$27:$AG$123,G$137,FALSE)</f>
        <v>0</v>
      </c>
      <c r="H169" s="7"/>
      <c r="I169"/>
      <c r="J169"/>
      <c r="K169"/>
    </row>
    <row r="170" spans="1:11" ht="15">
      <c r="A170" s="12" t="s">
        <v>167</v>
      </c>
      <c r="B170" s="13">
        <f>VLOOKUP(Vlookup!$B135,'CDCM Volume Forecasts'!$A$27:$AG$123,B$137,FALSE)</f>
        <v>0</v>
      </c>
      <c r="C170" s="13">
        <f>VLOOKUP(Vlookup!$B135,'CDCM Volume Forecasts'!$A$27:$AG$123,C$137,FALSE)</f>
        <v>0</v>
      </c>
      <c r="D170" s="13">
        <f>VLOOKUP(Vlookup!$B135,'CDCM Volume Forecasts'!$A$27:$AG$123,D$137,FALSE)</f>
        <v>0</v>
      </c>
      <c r="E170" s="13">
        <f>VLOOKUP(Vlookup!$B135,'CDCM Volume Forecasts'!$A$27:$AG$123,E$137,FALSE)</f>
        <v>0</v>
      </c>
      <c r="F170" s="13">
        <f>VLOOKUP(Vlookup!$B135,'CDCM Volume Forecasts'!$A$27:$AG$123,F$137,FALSE)</f>
        <v>0</v>
      </c>
      <c r="G170" s="13">
        <f>VLOOKUP(Vlookup!$B135,'CDCM Volume Forecasts'!$A$27:$AG$123,G$137,FALSE)</f>
        <v>0</v>
      </c>
      <c r="H170" s="7"/>
      <c r="I170"/>
      <c r="J170"/>
      <c r="K170"/>
    </row>
    <row r="171" spans="1:11" ht="15">
      <c r="A171" s="8" t="s">
        <v>97</v>
      </c>
      <c r="B171" s="4">
        <f>VLOOKUP(Vlookup!$B136,'CDCM Volume Forecasts'!$A$27:$AG$123,B$137,FALSE)</f>
        <v>0</v>
      </c>
      <c r="C171" s="4">
        <f>VLOOKUP(Vlookup!$B136,'CDCM Volume Forecasts'!$A$27:$AG$123,C$137,FALSE)</f>
        <v>0</v>
      </c>
      <c r="D171" s="6">
        <f>VLOOKUP(Vlookup!$B136,'CDCM Volume Forecasts'!$A$27:$AG$123,D$137,FALSE)</f>
        <v>0</v>
      </c>
      <c r="E171" s="10">
        <f>VLOOKUP(Vlookup!$B136,'CDCM Volume Forecasts'!$A$27:$AG$123,E$137,FALSE)</f>
        <v>0</v>
      </c>
      <c r="F171" s="6">
        <f>VLOOKUP(Vlookup!$B136,'CDCM Volume Forecasts'!$A$27:$AG$123,F$137,FALSE)</f>
        <v>0</v>
      </c>
      <c r="G171" s="6">
        <f>VLOOKUP(Vlookup!$B136,'CDCM Volume Forecasts'!$A$27:$AG$123,G$137,FALSE)</f>
        <v>0</v>
      </c>
      <c r="H171" s="7"/>
      <c r="I171"/>
      <c r="J171"/>
      <c r="K171"/>
    </row>
    <row r="172" spans="1:11" ht="15">
      <c r="A172" s="12" t="s">
        <v>168</v>
      </c>
      <c r="B172" s="13">
        <f>VLOOKUP(Vlookup!$B137,'CDCM Volume Forecasts'!$A$27:$AG$123,B$137,FALSE)</f>
        <v>0</v>
      </c>
      <c r="C172" s="13">
        <f>VLOOKUP(Vlookup!$B137,'CDCM Volume Forecasts'!$A$27:$AG$123,C$137,FALSE)</f>
        <v>0</v>
      </c>
      <c r="D172" s="13">
        <f>VLOOKUP(Vlookup!$B137,'CDCM Volume Forecasts'!$A$27:$AG$123,D$137,FALSE)</f>
        <v>0</v>
      </c>
      <c r="E172" s="13">
        <f>VLOOKUP(Vlookup!$B137,'CDCM Volume Forecasts'!$A$27:$AG$123,E$137,FALSE)</f>
        <v>0</v>
      </c>
      <c r="F172" s="13">
        <f>VLOOKUP(Vlookup!$B137,'CDCM Volume Forecasts'!$A$27:$AG$123,F$137,FALSE)</f>
        <v>0</v>
      </c>
      <c r="G172" s="13">
        <f>VLOOKUP(Vlookup!$B137,'CDCM Volume Forecasts'!$A$27:$AG$123,G$137,FALSE)</f>
        <v>0</v>
      </c>
      <c r="H172" s="7"/>
      <c r="I172"/>
      <c r="J172"/>
      <c r="K172"/>
    </row>
    <row r="173" spans="1:11" ht="15">
      <c r="A173" s="8" t="s">
        <v>110</v>
      </c>
      <c r="B173" s="4">
        <f>VLOOKUP(Vlookup!$B138,'CDCM Volume Forecasts'!$A$27:$AG$123,B$137,FALSE)</f>
        <v>0</v>
      </c>
      <c r="C173" s="4">
        <f>VLOOKUP(Vlookup!$B138,'CDCM Volume Forecasts'!$A$27:$AG$123,C$137,FALSE)</f>
        <v>0</v>
      </c>
      <c r="D173" s="6">
        <f>VLOOKUP(Vlookup!$B138,'CDCM Volume Forecasts'!$A$27:$AG$123,D$137,FALSE)</f>
        <v>0</v>
      </c>
      <c r="E173" s="10">
        <f>VLOOKUP(Vlookup!$B138,'CDCM Volume Forecasts'!$A$27:$AG$123,E$137,FALSE)</f>
        <v>0</v>
      </c>
      <c r="F173" s="6">
        <f>VLOOKUP(Vlookup!$B138,'CDCM Volume Forecasts'!$A$27:$AG$123,F$137,FALSE)</f>
        <v>0</v>
      </c>
      <c r="G173" s="6">
        <f>VLOOKUP(Vlookup!$B138,'CDCM Volume Forecasts'!$A$27:$AG$123,G$137,FALSE)</f>
        <v>0</v>
      </c>
      <c r="H173" s="7"/>
      <c r="I173"/>
      <c r="J173"/>
      <c r="K173"/>
    </row>
    <row r="174" spans="1:11" ht="15">
      <c r="A174" s="12" t="s">
        <v>1539</v>
      </c>
      <c r="B174" s="13">
        <f>VLOOKUP(Vlookup!$B139,'CDCM Volume Forecasts'!$A$27:$AG$123,B$137,FALSE)</f>
        <v>0</v>
      </c>
      <c r="C174" s="13">
        <f>VLOOKUP(Vlookup!$B139,'CDCM Volume Forecasts'!$A$27:$AG$123,C$137,FALSE)</f>
        <v>0</v>
      </c>
      <c r="D174" s="13">
        <f>VLOOKUP(Vlookup!$B139,'CDCM Volume Forecasts'!$A$27:$AG$123,D$137,FALSE)</f>
        <v>0</v>
      </c>
      <c r="E174" s="13">
        <f>VLOOKUP(Vlookup!$B139,'CDCM Volume Forecasts'!$A$27:$AG$123,E$137,FALSE)</f>
        <v>0</v>
      </c>
      <c r="F174" s="13">
        <f>VLOOKUP(Vlookup!$B139,'CDCM Volume Forecasts'!$A$27:$AG$123,F$137,FALSE)</f>
        <v>0</v>
      </c>
      <c r="G174" s="13">
        <f>VLOOKUP(Vlookup!$B139,'CDCM Volume Forecasts'!$A$27:$AG$123,G$137,FALSE)</f>
        <v>0</v>
      </c>
      <c r="H174" s="7"/>
      <c r="I174"/>
      <c r="J174"/>
      <c r="K174"/>
    </row>
    <row r="175" spans="1:11" ht="15">
      <c r="A175" s="8" t="s">
        <v>1536</v>
      </c>
      <c r="B175" s="4">
        <f>VLOOKUP(Vlookup!$B140,'CDCM Volume Forecasts'!$A$27:$AG$123,B$137,FALSE)</f>
        <v>0</v>
      </c>
      <c r="C175" s="4">
        <f>VLOOKUP(Vlookup!$B140,'CDCM Volume Forecasts'!$A$27:$AG$123,C$137,FALSE)</f>
        <v>0</v>
      </c>
      <c r="D175" s="4">
        <f>VLOOKUP(Vlookup!$B140,'CDCM Volume Forecasts'!$A$27:$AG$123,D$137,FALSE)</f>
        <v>0</v>
      </c>
      <c r="E175" s="10">
        <f>VLOOKUP(Vlookup!$B140,'CDCM Volume Forecasts'!$A$27:$AG$123,E$137,FALSE)</f>
        <v>0</v>
      </c>
      <c r="F175" s="6">
        <f>VLOOKUP(Vlookup!$B140,'CDCM Volume Forecasts'!$A$27:$AG$123,F$137,FALSE)</f>
        <v>0</v>
      </c>
      <c r="G175" s="6">
        <f>VLOOKUP(Vlookup!$B140,'CDCM Volume Forecasts'!$A$27:$AG$123,G$137,FALSE)</f>
        <v>0</v>
      </c>
      <c r="H175" s="7"/>
      <c r="I175"/>
      <c r="J175"/>
      <c r="K175"/>
    </row>
    <row r="176" spans="1:11" ht="15">
      <c r="A176" s="8" t="s">
        <v>1533</v>
      </c>
      <c r="B176" s="4">
        <f>VLOOKUP(Vlookup!$B141,'CDCM Volume Forecasts'!$A$27:$AG$123,B$137,FALSE)</f>
        <v>0</v>
      </c>
      <c r="C176" s="4">
        <f>VLOOKUP(Vlookup!$B141,'CDCM Volume Forecasts'!$A$27:$AG$123,C$137,FALSE)</f>
        <v>0</v>
      </c>
      <c r="D176" s="4">
        <f>VLOOKUP(Vlookup!$B141,'CDCM Volume Forecasts'!$A$27:$AG$123,D$137,FALSE)</f>
        <v>0</v>
      </c>
      <c r="E176" s="10">
        <f>VLOOKUP(Vlookup!$B141,'CDCM Volume Forecasts'!$A$27:$AG$123,E$137,FALSE)</f>
        <v>0</v>
      </c>
      <c r="F176" s="6">
        <f>VLOOKUP(Vlookup!$B141,'CDCM Volume Forecasts'!$A$27:$AG$123,F$137,FALSE)</f>
        <v>0</v>
      </c>
      <c r="G176" s="6">
        <f>VLOOKUP(Vlookup!$B141,'CDCM Volume Forecasts'!$A$27:$AG$123,G$137,FALSE)</f>
        <v>0</v>
      </c>
      <c r="H176" s="7"/>
      <c r="I176"/>
      <c r="J176"/>
      <c r="K176"/>
    </row>
    <row r="177" spans="1:11" ht="15">
      <c r="A177" s="8" t="s">
        <v>1530</v>
      </c>
      <c r="B177" s="4">
        <f>VLOOKUP(Vlookup!$B142,'CDCM Volume Forecasts'!$A$27:$AG$123,B$137,FALSE)</f>
        <v>0</v>
      </c>
      <c r="C177" s="4">
        <f>VLOOKUP(Vlookup!$B142,'CDCM Volume Forecasts'!$A$27:$AG$123,C$137,FALSE)</f>
        <v>0</v>
      </c>
      <c r="D177" s="4">
        <f>VLOOKUP(Vlookup!$B142,'CDCM Volume Forecasts'!$A$27:$AG$123,D$137,FALSE)</f>
        <v>0</v>
      </c>
      <c r="E177" s="10">
        <f>VLOOKUP(Vlookup!$B142,'CDCM Volume Forecasts'!$A$27:$AG$123,E$137,FALSE)</f>
        <v>0</v>
      </c>
      <c r="F177" s="6">
        <f>VLOOKUP(Vlookup!$B142,'CDCM Volume Forecasts'!$A$27:$AG$123,F$137,FALSE)</f>
        <v>0</v>
      </c>
      <c r="G177" s="6">
        <f>VLOOKUP(Vlookup!$B142,'CDCM Volume Forecasts'!$A$27:$AG$123,G$137,FALSE)</f>
        <v>0</v>
      </c>
      <c r="H177" s="7"/>
      <c r="I177"/>
      <c r="J177"/>
      <c r="K177"/>
    </row>
    <row r="178" spans="1:11" ht="15">
      <c r="A178" s="12" t="s">
        <v>1538</v>
      </c>
      <c r="B178" s="13">
        <f>VLOOKUP(Vlookup!$B143,'CDCM Volume Forecasts'!$A$27:$AG$123,B$137,FALSE)</f>
        <v>0</v>
      </c>
      <c r="C178" s="13">
        <f>VLOOKUP(Vlookup!$B143,'CDCM Volume Forecasts'!$A$27:$AG$123,C$137,FALSE)</f>
        <v>0</v>
      </c>
      <c r="D178" s="13">
        <f>VLOOKUP(Vlookup!$B143,'CDCM Volume Forecasts'!$A$27:$AG$123,D$137,FALSE)</f>
        <v>0</v>
      </c>
      <c r="E178" s="13">
        <f>VLOOKUP(Vlookup!$B143,'CDCM Volume Forecasts'!$A$27:$AG$123,E$137,FALSE)</f>
        <v>0</v>
      </c>
      <c r="F178" s="13">
        <f>VLOOKUP(Vlookup!$B143,'CDCM Volume Forecasts'!$A$27:$AG$123,F$137,FALSE)</f>
        <v>0</v>
      </c>
      <c r="G178" s="13">
        <f>VLOOKUP(Vlookup!$B143,'CDCM Volume Forecasts'!$A$27:$AG$123,G$137,FALSE)</f>
        <v>0</v>
      </c>
      <c r="H178" s="7"/>
      <c r="I178"/>
      <c r="J178"/>
      <c r="K178"/>
    </row>
    <row r="179" spans="1:11" ht="15">
      <c r="A179" s="8" t="s">
        <v>1535</v>
      </c>
      <c r="B179" s="4">
        <f>VLOOKUP(Vlookup!$B144,'CDCM Volume Forecasts'!$A$27:$AG$123,B$137,FALSE)</f>
        <v>68262.213677721258</v>
      </c>
      <c r="C179" s="4">
        <f>VLOOKUP(Vlookup!$B144,'CDCM Volume Forecasts'!$A$27:$AG$123,C$137,FALSE)</f>
        <v>260187.85793102454</v>
      </c>
      <c r="D179" s="4">
        <f>VLOOKUP(Vlookup!$B144,'CDCM Volume Forecasts'!$A$27:$AG$123,D$137,FALSE)</f>
        <v>288797.3281930369</v>
      </c>
      <c r="E179" s="10">
        <f>VLOOKUP(Vlookup!$B144,'CDCM Volume Forecasts'!$A$27:$AG$123,E$137,FALSE)</f>
        <v>10460.824638436699</v>
      </c>
      <c r="F179" s="6">
        <f>VLOOKUP(Vlookup!$B144,'CDCM Volume Forecasts'!$A$27:$AG$123,F$137,FALSE)</f>
        <v>0</v>
      </c>
      <c r="G179" s="6">
        <f>VLOOKUP(Vlookup!$B144,'CDCM Volume Forecasts'!$A$27:$AG$123,G$137,FALSE)</f>
        <v>0</v>
      </c>
      <c r="H179" s="7"/>
      <c r="I179"/>
      <c r="J179"/>
      <c r="K179"/>
    </row>
    <row r="180" spans="1:11" ht="15">
      <c r="A180" s="8" t="s">
        <v>1532</v>
      </c>
      <c r="B180" s="4">
        <f>VLOOKUP(Vlookup!$B145,'CDCM Volume Forecasts'!$A$27:$AG$123,B$137,FALSE)</f>
        <v>75.834457148452415</v>
      </c>
      <c r="C180" s="4">
        <f>VLOOKUP(Vlookup!$B145,'CDCM Volume Forecasts'!$A$27:$AG$123,C$137,FALSE)</f>
        <v>289.05017724699985</v>
      </c>
      <c r="D180" s="4">
        <f>VLOOKUP(Vlookup!$B145,'CDCM Volume Forecasts'!$A$27:$AG$123,D$137,FALSE)</f>
        <v>368.19822955247247</v>
      </c>
      <c r="E180" s="10">
        <f>VLOOKUP(Vlookup!$B145,'CDCM Volume Forecasts'!$A$27:$AG$123,E$137,FALSE)</f>
        <v>15.9977333411589</v>
      </c>
      <c r="F180" s="6">
        <f>VLOOKUP(Vlookup!$B145,'CDCM Volume Forecasts'!$A$27:$AG$123,F$137,FALSE)</f>
        <v>0</v>
      </c>
      <c r="G180" s="6">
        <f>VLOOKUP(Vlookup!$B145,'CDCM Volume Forecasts'!$A$27:$AG$123,G$137,FALSE)</f>
        <v>0</v>
      </c>
      <c r="H180" s="7"/>
      <c r="I180"/>
      <c r="J180"/>
      <c r="K180"/>
    </row>
    <row r="181" spans="1:11" ht="15">
      <c r="A181" s="8" t="s">
        <v>1529</v>
      </c>
      <c r="B181" s="4">
        <f>VLOOKUP(Vlookup!$B146,'CDCM Volume Forecasts'!$A$27:$AG$123,B$137,FALSE)</f>
        <v>748.69722989889033</v>
      </c>
      <c r="C181" s="4">
        <f>VLOOKUP(Vlookup!$B146,'CDCM Volume Forecasts'!$A$27:$AG$123,C$137,FALSE)</f>
        <v>2853.7300212088135</v>
      </c>
      <c r="D181" s="4">
        <f>VLOOKUP(Vlookup!$B146,'CDCM Volume Forecasts'!$A$27:$AG$123,D$137,FALSE)</f>
        <v>3130.6874634209976</v>
      </c>
      <c r="E181" s="10">
        <f>VLOOKUP(Vlookup!$B146,'CDCM Volume Forecasts'!$A$27:$AG$123,E$137,FALSE)</f>
        <v>96.748196872722914</v>
      </c>
      <c r="F181" s="6">
        <f>VLOOKUP(Vlookup!$B146,'CDCM Volume Forecasts'!$A$27:$AG$123,F$137,FALSE)</f>
        <v>0</v>
      </c>
      <c r="G181" s="6">
        <f>VLOOKUP(Vlookup!$B146,'CDCM Volume Forecasts'!$A$27:$AG$123,G$137,FALSE)</f>
        <v>0</v>
      </c>
      <c r="H181" s="7"/>
      <c r="I181"/>
      <c r="J181"/>
      <c r="K181"/>
    </row>
    <row r="182" spans="1:11" ht="15">
      <c r="A182" s="12" t="s">
        <v>169</v>
      </c>
      <c r="B182" s="13">
        <f>VLOOKUP(Vlookup!$B147,'CDCM Volume Forecasts'!$A$27:$AG$123,B$137,FALSE)</f>
        <v>0</v>
      </c>
      <c r="C182" s="13">
        <f>VLOOKUP(Vlookup!$B147,'CDCM Volume Forecasts'!$A$27:$AG$123,C$137,FALSE)</f>
        <v>0</v>
      </c>
      <c r="D182" s="13">
        <f>VLOOKUP(Vlookup!$B147,'CDCM Volume Forecasts'!$A$27:$AG$123,D$137,FALSE)</f>
        <v>0</v>
      </c>
      <c r="E182" s="13">
        <f>VLOOKUP(Vlookup!$B147,'CDCM Volume Forecasts'!$A$27:$AG$123,E$137,FALSE)</f>
        <v>0</v>
      </c>
      <c r="F182" s="13">
        <f>VLOOKUP(Vlookup!$B147,'CDCM Volume Forecasts'!$A$27:$AG$123,F$137,FALSE)</f>
        <v>0</v>
      </c>
      <c r="G182" s="13">
        <f>VLOOKUP(Vlookup!$B147,'CDCM Volume Forecasts'!$A$27:$AG$123,G$137,FALSE)</f>
        <v>0</v>
      </c>
      <c r="H182" s="7"/>
      <c r="I182"/>
      <c r="J182"/>
      <c r="K182"/>
    </row>
    <row r="183" spans="1:11" ht="15">
      <c r="A183" s="8" t="s">
        <v>98</v>
      </c>
      <c r="B183" s="4">
        <f>VLOOKUP(Vlookup!$B148,'CDCM Volume Forecasts'!$A$27:$AG$123,B$137,FALSE)</f>
        <v>298957.28664096713</v>
      </c>
      <c r="C183" s="4">
        <f>VLOOKUP(Vlookup!$B148,'CDCM Volume Forecasts'!$A$27:$AG$123,C$137,FALSE)</f>
        <v>1176221.7888048878</v>
      </c>
      <c r="D183" s="4">
        <f>VLOOKUP(Vlookup!$B148,'CDCM Volume Forecasts'!$A$27:$AG$123,D$137,FALSE)</f>
        <v>1263172.6301498166</v>
      </c>
      <c r="E183" s="10">
        <f>VLOOKUP(Vlookup!$B148,'CDCM Volume Forecasts'!$A$27:$AG$123,E$137,FALSE)</f>
        <v>13816.622163023712</v>
      </c>
      <c r="F183" s="10">
        <f>VLOOKUP(Vlookup!$B148,'CDCM Volume Forecasts'!$A$27:$AG$123,F$137,FALSE)</f>
        <v>1508041.0074922552</v>
      </c>
      <c r="G183" s="4">
        <f>VLOOKUP(Vlookup!$B148,'CDCM Volume Forecasts'!$A$27:$AG$123,G$137,FALSE)</f>
        <v>196222.56397259844</v>
      </c>
      <c r="H183" s="7"/>
      <c r="I183"/>
      <c r="J183"/>
      <c r="K183"/>
    </row>
    <row r="184" spans="1:11" ht="15">
      <c r="A184" s="8" t="s">
        <v>170</v>
      </c>
      <c r="B184" s="4">
        <f>VLOOKUP(Vlookup!$B149,'CDCM Volume Forecasts'!$A$27:$AG$123,B$137,FALSE)</f>
        <v>251.49533959309412</v>
      </c>
      <c r="C184" s="4">
        <f>VLOOKUP(Vlookup!$B149,'CDCM Volume Forecasts'!$A$27:$AG$123,C$137,FALSE)</f>
        <v>979.27101968520583</v>
      </c>
      <c r="D184" s="4">
        <f>VLOOKUP(Vlookup!$B149,'CDCM Volume Forecasts'!$A$27:$AG$123,D$137,FALSE)</f>
        <v>1323.8911488702286</v>
      </c>
      <c r="E184" s="10">
        <f>VLOOKUP(Vlookup!$B149,'CDCM Volume Forecasts'!$A$27:$AG$123,E$137,FALSE)</f>
        <v>24.512815784070572</v>
      </c>
      <c r="F184" s="10">
        <f>VLOOKUP(Vlookup!$B149,'CDCM Volume Forecasts'!$A$27:$AG$123,F$137,FALSE)</f>
        <v>1849.065290221057</v>
      </c>
      <c r="G184" s="4">
        <f>VLOOKUP(Vlookup!$B149,'CDCM Volume Forecasts'!$A$27:$AG$123,G$137,FALSE)</f>
        <v>67.956077159140733</v>
      </c>
      <c r="H184" s="7"/>
      <c r="I184"/>
      <c r="J184"/>
      <c r="K184"/>
    </row>
    <row r="185" spans="1:11" ht="15">
      <c r="A185" s="8" t="s">
        <v>171</v>
      </c>
      <c r="B185" s="4">
        <f>VLOOKUP(Vlookup!$B150,'CDCM Volume Forecasts'!$A$27:$AG$123,B$137,FALSE)</f>
        <v>13537.565805386388</v>
      </c>
      <c r="C185" s="4">
        <f>VLOOKUP(Vlookup!$B150,'CDCM Volume Forecasts'!$A$27:$AG$123,C$137,FALSE)</f>
        <v>48005.548971268166</v>
      </c>
      <c r="D185" s="4">
        <f>VLOOKUP(Vlookup!$B150,'CDCM Volume Forecasts'!$A$27:$AG$123,D$137,FALSE)</f>
        <v>54720.056524480991</v>
      </c>
      <c r="E185" s="10">
        <f>VLOOKUP(Vlookup!$B150,'CDCM Volume Forecasts'!$A$27:$AG$123,E$137,FALSE)</f>
        <v>314.54566848374873</v>
      </c>
      <c r="F185" s="10">
        <f>VLOOKUP(Vlookup!$B150,'CDCM Volume Forecasts'!$A$27:$AG$123,F$137,FALSE)</f>
        <v>75425.527164949934</v>
      </c>
      <c r="G185" s="4">
        <f>VLOOKUP(Vlookup!$B150,'CDCM Volume Forecasts'!$A$27:$AG$123,G$137,FALSE)</f>
        <v>4123.9245366067507</v>
      </c>
      <c r="H185" s="7"/>
      <c r="I185"/>
      <c r="J185"/>
      <c r="K185"/>
    </row>
    <row r="186" spans="1:11" ht="15">
      <c r="A186" s="12" t="s">
        <v>172</v>
      </c>
      <c r="B186" s="13">
        <f>VLOOKUP(Vlookup!$B151,'CDCM Volume Forecasts'!$A$27:$AG$123,B$137,FALSE)</f>
        <v>0</v>
      </c>
      <c r="C186" s="13">
        <f>VLOOKUP(Vlookup!$B151,'CDCM Volume Forecasts'!$A$27:$AG$123,C$137,FALSE)</f>
        <v>0</v>
      </c>
      <c r="D186" s="13">
        <f>VLOOKUP(Vlookup!$B151,'CDCM Volume Forecasts'!$A$27:$AG$123,D$137,FALSE)</f>
        <v>0</v>
      </c>
      <c r="E186" s="13">
        <f>VLOOKUP(Vlookup!$B151,'CDCM Volume Forecasts'!$A$27:$AG$123,E$137,FALSE)</f>
        <v>0</v>
      </c>
      <c r="F186" s="13">
        <f>VLOOKUP(Vlookup!$B151,'CDCM Volume Forecasts'!$A$27:$AG$123,F$137,FALSE)</f>
        <v>0</v>
      </c>
      <c r="G186" s="13">
        <f>VLOOKUP(Vlookup!$B151,'CDCM Volume Forecasts'!$A$27:$AG$123,G$137,FALSE)</f>
        <v>0</v>
      </c>
      <c r="H186" s="7"/>
      <c r="I186"/>
      <c r="J186"/>
      <c r="K186"/>
    </row>
    <row r="187" spans="1:11" ht="15">
      <c r="A187" s="8" t="s">
        <v>99</v>
      </c>
      <c r="B187" s="4">
        <f>VLOOKUP(Vlookup!$B152,'CDCM Volume Forecasts'!$A$27:$AG$123,B$137,FALSE)</f>
        <v>7018.5351050259123</v>
      </c>
      <c r="C187" s="4">
        <f>VLOOKUP(Vlookup!$B152,'CDCM Volume Forecasts'!$A$27:$AG$123,C$137,FALSE)</f>
        <v>27672.188641821547</v>
      </c>
      <c r="D187" s="4">
        <f>VLOOKUP(Vlookup!$B152,'CDCM Volume Forecasts'!$A$27:$AG$123,D$137,FALSE)</f>
        <v>31150.176618615114</v>
      </c>
      <c r="E187" s="10">
        <f>VLOOKUP(Vlookup!$B152,'CDCM Volume Forecasts'!$A$27:$AG$123,E$137,FALSE)</f>
        <v>122.79637271053774</v>
      </c>
      <c r="F187" s="10">
        <f>VLOOKUP(Vlookup!$B152,'CDCM Volume Forecasts'!$A$27:$AG$123,F$137,FALSE)</f>
        <v>50603.075477139901</v>
      </c>
      <c r="G187" s="4">
        <f>VLOOKUP(Vlookup!$B152,'CDCM Volume Forecasts'!$A$27:$AG$123,G$137,FALSE)</f>
        <v>4784.9905027288578</v>
      </c>
      <c r="H187" s="7"/>
      <c r="I187"/>
      <c r="J187"/>
      <c r="K187"/>
    </row>
    <row r="188" spans="1:11" ht="15">
      <c r="A188" s="8" t="s">
        <v>173</v>
      </c>
      <c r="B188" s="4">
        <f>VLOOKUP(Vlookup!$B153,'CDCM Volume Forecasts'!$A$27:$AG$123,B$137,FALSE)</f>
        <v>488.20666932707184</v>
      </c>
      <c r="C188" s="4">
        <f>VLOOKUP(Vlookup!$B153,'CDCM Volume Forecasts'!$A$27:$AG$123,C$137,FALSE)</f>
        <v>2007.7503213172342</v>
      </c>
      <c r="D188" s="4">
        <f>VLOOKUP(Vlookup!$B153,'CDCM Volume Forecasts'!$A$27:$AG$123,D$137,FALSE)</f>
        <v>2764.900888767711</v>
      </c>
      <c r="E188" s="10">
        <f>VLOOKUP(Vlookup!$B153,'CDCM Volume Forecasts'!$A$27:$AG$123,E$137,FALSE)</f>
        <v>5.6400701446733876</v>
      </c>
      <c r="F188" s="10">
        <f>VLOOKUP(Vlookup!$B153,'CDCM Volume Forecasts'!$A$27:$AG$123,F$137,FALSE)</f>
        <v>3384.0420868040314</v>
      </c>
      <c r="G188" s="4">
        <f>VLOOKUP(Vlookup!$B153,'CDCM Volume Forecasts'!$A$27:$AG$123,G$137,FALSE)</f>
        <v>1576.3003402016659</v>
      </c>
      <c r="H188" s="7"/>
      <c r="I188"/>
      <c r="J188"/>
      <c r="K188"/>
    </row>
    <row r="189" spans="1:11" ht="15">
      <c r="A189" s="12" t="s">
        <v>174</v>
      </c>
      <c r="B189" s="13">
        <f>VLOOKUP(Vlookup!$B154,'CDCM Volume Forecasts'!$A$27:$AG$123,B$137,FALSE)</f>
        <v>0</v>
      </c>
      <c r="C189" s="13">
        <f>VLOOKUP(Vlookup!$B154,'CDCM Volume Forecasts'!$A$27:$AG$123,C$137,FALSE)</f>
        <v>0</v>
      </c>
      <c r="D189" s="13">
        <f>VLOOKUP(Vlookup!$B154,'CDCM Volume Forecasts'!$A$27:$AG$123,D$137,FALSE)</f>
        <v>0</v>
      </c>
      <c r="E189" s="13">
        <f>VLOOKUP(Vlookup!$B154,'CDCM Volume Forecasts'!$A$27:$AG$123,E$137,FALSE)</f>
        <v>0</v>
      </c>
      <c r="F189" s="13">
        <f>VLOOKUP(Vlookup!$B154,'CDCM Volume Forecasts'!$A$27:$AG$123,F$137,FALSE)</f>
        <v>0</v>
      </c>
      <c r="G189" s="13">
        <f>VLOOKUP(Vlookup!$B154,'CDCM Volume Forecasts'!$A$27:$AG$123,G$137,FALSE)</f>
        <v>0</v>
      </c>
      <c r="H189" s="7"/>
      <c r="I189"/>
      <c r="J189"/>
      <c r="K189"/>
    </row>
    <row r="190" spans="1:11" ht="15">
      <c r="A190" s="8" t="s">
        <v>111</v>
      </c>
      <c r="B190" s="4">
        <f>VLOOKUP(Vlookup!$B155,'CDCM Volume Forecasts'!$A$27:$AG$123,B$137,FALSE)</f>
        <v>752034.67370639404</v>
      </c>
      <c r="C190" s="4">
        <f>VLOOKUP(Vlookup!$B155,'CDCM Volume Forecasts'!$A$27:$AG$123,C$137,FALSE)</f>
        <v>3018230.4256879073</v>
      </c>
      <c r="D190" s="4">
        <f>VLOOKUP(Vlookup!$B155,'CDCM Volume Forecasts'!$A$27:$AG$123,D$137,FALSE)</f>
        <v>3913761.9505902641</v>
      </c>
      <c r="E190" s="10">
        <f>VLOOKUP(Vlookup!$B155,'CDCM Volume Forecasts'!$A$27:$AG$123,E$137,FALSE)</f>
        <v>4028.1236359637046</v>
      </c>
      <c r="F190" s="10">
        <f>VLOOKUP(Vlookup!$B155,'CDCM Volume Forecasts'!$A$27:$AG$123,F$137,FALSE)</f>
        <v>2952679.7358666793</v>
      </c>
      <c r="G190" s="4">
        <f>VLOOKUP(Vlookup!$B155,'CDCM Volume Forecasts'!$A$27:$AG$123,G$137,FALSE)</f>
        <v>1051532.8176113358</v>
      </c>
      <c r="H190" s="7"/>
      <c r="I190"/>
      <c r="J190"/>
      <c r="K190"/>
    </row>
    <row r="191" spans="1:11" ht="15">
      <c r="A191" s="8" t="s">
        <v>175</v>
      </c>
      <c r="B191" s="4">
        <f>VLOOKUP(Vlookup!$B156,'CDCM Volume Forecasts'!$A$27:$AG$123,B$137,FALSE)</f>
        <v>2780.0934522047364</v>
      </c>
      <c r="C191" s="4">
        <f>VLOOKUP(Vlookup!$B156,'CDCM Volume Forecasts'!$A$27:$AG$123,C$137,FALSE)</f>
        <v>9141.0019170260457</v>
      </c>
      <c r="D191" s="4">
        <f>VLOOKUP(Vlookup!$B156,'CDCM Volume Forecasts'!$A$27:$AG$123,D$137,FALSE)</f>
        <v>10193.081488223934</v>
      </c>
      <c r="E191" s="10">
        <f>VLOOKUP(Vlookup!$B156,'CDCM Volume Forecasts'!$A$27:$AG$123,E$137,FALSE)</f>
        <v>21.432266549758875</v>
      </c>
      <c r="F191" s="10">
        <f>VLOOKUP(Vlookup!$B156,'CDCM Volume Forecasts'!$A$27:$AG$123,F$137,FALSE)</f>
        <v>22560.280578693553</v>
      </c>
      <c r="G191" s="4">
        <f>VLOOKUP(Vlookup!$B156,'CDCM Volume Forecasts'!$A$27:$AG$123,G$137,FALSE)</f>
        <v>833.00339193336254</v>
      </c>
      <c r="H191" s="7"/>
      <c r="I191"/>
      <c r="J191"/>
      <c r="K191"/>
    </row>
    <row r="192" spans="1:11" ht="15">
      <c r="A192" s="12" t="s">
        <v>176</v>
      </c>
      <c r="B192" s="13">
        <f>VLOOKUP(Vlookup!$B157,'CDCM Volume Forecasts'!$A$27:$AG$123,B$137,FALSE)</f>
        <v>0</v>
      </c>
      <c r="C192" s="13">
        <f>VLOOKUP(Vlookup!$B157,'CDCM Volume Forecasts'!$A$27:$AG$123,C$137,FALSE)</f>
        <v>0</v>
      </c>
      <c r="D192" s="13">
        <f>VLOOKUP(Vlookup!$B157,'CDCM Volume Forecasts'!$A$27:$AG$123,D$137,FALSE)</f>
        <v>0</v>
      </c>
      <c r="E192" s="13">
        <f>VLOOKUP(Vlookup!$B157,'CDCM Volume Forecasts'!$A$27:$AG$123,E$137,FALSE)</f>
        <v>0</v>
      </c>
      <c r="F192" s="13">
        <f>VLOOKUP(Vlookup!$B157,'CDCM Volume Forecasts'!$A$27:$AG$123,F$137,FALSE)</f>
        <v>0</v>
      </c>
      <c r="G192" s="13">
        <f>VLOOKUP(Vlookup!$B157,'CDCM Volume Forecasts'!$A$27:$AG$123,G$137,FALSE)</f>
        <v>0</v>
      </c>
      <c r="H192" s="7"/>
      <c r="I192"/>
      <c r="J192"/>
      <c r="K192"/>
    </row>
    <row r="193" spans="1:11" ht="15">
      <c r="A193" s="8" t="s">
        <v>131</v>
      </c>
      <c r="B193" s="4">
        <f>VLOOKUP(Vlookup!$B158,'CDCM Volume Forecasts'!$A$27:$AG$123,B$137,FALSE)</f>
        <v>53670.276181774323</v>
      </c>
      <c r="C193" s="6">
        <f>VLOOKUP(Vlookup!$B158,'CDCM Volume Forecasts'!$A$27:$AG$123,C$137,FALSE)</f>
        <v>0</v>
      </c>
      <c r="D193" s="6">
        <f>VLOOKUP(Vlookup!$B158,'CDCM Volume Forecasts'!$A$27:$AG$123,D$137,FALSE)</f>
        <v>0</v>
      </c>
      <c r="E193" s="10">
        <f>VLOOKUP(Vlookup!$B158,'CDCM Volume Forecasts'!$A$27:$AG$123,E$137,FALSE)</f>
        <v>945.29828999676329</v>
      </c>
      <c r="F193" s="6">
        <f>VLOOKUP(Vlookup!$B158,'CDCM Volume Forecasts'!$A$27:$AG$123,F$137,FALSE)</f>
        <v>0</v>
      </c>
      <c r="G193" s="6">
        <f>VLOOKUP(Vlookup!$B158,'CDCM Volume Forecasts'!$A$27:$AG$123,G$137,FALSE)</f>
        <v>0</v>
      </c>
      <c r="H193" s="7"/>
      <c r="I193"/>
      <c r="J193"/>
      <c r="K193"/>
    </row>
    <row r="194" spans="1:11" ht="15">
      <c r="A194" s="8" t="s">
        <v>177</v>
      </c>
      <c r="B194" s="4">
        <f>VLOOKUP(Vlookup!$B159,'CDCM Volume Forecasts'!$A$27:$AG$123,B$137,FALSE)</f>
        <v>172.28035588618667</v>
      </c>
      <c r="C194" s="6">
        <f>VLOOKUP(Vlookup!$B159,'CDCM Volume Forecasts'!$A$27:$AG$123,C$137,FALSE)</f>
        <v>0</v>
      </c>
      <c r="D194" s="6">
        <f>VLOOKUP(Vlookup!$B159,'CDCM Volume Forecasts'!$A$27:$AG$123,D$137,FALSE)</f>
        <v>0</v>
      </c>
      <c r="E194" s="10">
        <f>VLOOKUP(Vlookup!$B159,'CDCM Volume Forecasts'!$A$27:$AG$123,E$137,FALSE)</f>
        <v>0</v>
      </c>
      <c r="F194" s="6">
        <f>VLOOKUP(Vlookup!$B159,'CDCM Volume Forecasts'!$A$27:$AG$123,F$137,FALSE)</f>
        <v>0</v>
      </c>
      <c r="G194" s="6">
        <f>VLOOKUP(Vlookup!$B159,'CDCM Volume Forecasts'!$A$27:$AG$123,G$137,FALSE)</f>
        <v>0</v>
      </c>
      <c r="H194" s="7"/>
      <c r="I194"/>
      <c r="J194"/>
      <c r="K194"/>
    </row>
    <row r="195" spans="1:11" ht="15">
      <c r="A195" s="8" t="s">
        <v>178</v>
      </c>
      <c r="B195" s="4">
        <f>VLOOKUP(Vlookup!$B160,'CDCM Volume Forecasts'!$A$27:$AG$123,B$137,FALSE)</f>
        <v>0</v>
      </c>
      <c r="C195" s="6">
        <f>VLOOKUP(Vlookup!$B160,'CDCM Volume Forecasts'!$A$27:$AG$123,C$137,FALSE)</f>
        <v>0</v>
      </c>
      <c r="D195" s="6">
        <f>VLOOKUP(Vlookup!$B160,'CDCM Volume Forecasts'!$A$27:$AG$123,D$137,FALSE)</f>
        <v>0</v>
      </c>
      <c r="E195" s="10">
        <f>VLOOKUP(Vlookup!$B160,'CDCM Volume Forecasts'!$A$27:$AG$123,E$137,FALSE)</f>
        <v>0</v>
      </c>
      <c r="F195" s="6">
        <f>VLOOKUP(Vlookup!$B160,'CDCM Volume Forecasts'!$A$27:$AG$123,F$137,FALSE)</f>
        <v>0</v>
      </c>
      <c r="G195" s="6">
        <f>VLOOKUP(Vlookup!$B160,'CDCM Volume Forecasts'!$A$27:$AG$123,G$137,FALSE)</f>
        <v>0</v>
      </c>
      <c r="H195" s="7"/>
      <c r="I195"/>
      <c r="J195"/>
      <c r="K195"/>
    </row>
    <row r="196" spans="1:11" ht="15">
      <c r="A196" s="12" t="s">
        <v>179</v>
      </c>
      <c r="B196" s="13">
        <f>VLOOKUP(Vlookup!$B161,'CDCM Volume Forecasts'!$A$27:$AG$123,B$137,FALSE)</f>
        <v>0</v>
      </c>
      <c r="C196" s="13">
        <f>VLOOKUP(Vlookup!$B161,'CDCM Volume Forecasts'!$A$27:$AG$123,C$137,FALSE)</f>
        <v>0</v>
      </c>
      <c r="D196" s="13">
        <f>VLOOKUP(Vlookup!$B161,'CDCM Volume Forecasts'!$A$27:$AG$123,D$137,FALSE)</f>
        <v>0</v>
      </c>
      <c r="E196" s="13">
        <f>VLOOKUP(Vlookup!$B161,'CDCM Volume Forecasts'!$A$27:$AG$123,E$137,FALSE)</f>
        <v>0</v>
      </c>
      <c r="F196" s="13">
        <f>VLOOKUP(Vlookup!$B161,'CDCM Volume Forecasts'!$A$27:$AG$123,F$137,FALSE)</f>
        <v>0</v>
      </c>
      <c r="G196" s="13">
        <f>VLOOKUP(Vlookup!$B161,'CDCM Volume Forecasts'!$A$27:$AG$123,G$137,FALSE)</f>
        <v>0</v>
      </c>
      <c r="H196" s="7"/>
      <c r="I196"/>
      <c r="J196"/>
      <c r="K196"/>
    </row>
    <row r="197" spans="1:11" ht="15">
      <c r="A197" s="8" t="s">
        <v>132</v>
      </c>
      <c r="B197" s="4">
        <f>VLOOKUP(Vlookup!$B162,'CDCM Volume Forecasts'!$A$27:$AG$123,B$137,FALSE)</f>
        <v>16146.815302762892</v>
      </c>
      <c r="C197" s="6">
        <f>VLOOKUP(Vlookup!$B162,'CDCM Volume Forecasts'!$A$27:$AG$123,C$137,FALSE)</f>
        <v>0</v>
      </c>
      <c r="D197" s="6">
        <f>VLOOKUP(Vlookup!$B162,'CDCM Volume Forecasts'!$A$27:$AG$123,D$137,FALSE)</f>
        <v>0</v>
      </c>
      <c r="E197" s="10">
        <f>VLOOKUP(Vlookup!$B162,'CDCM Volume Forecasts'!$A$27:$AG$123,E$137,FALSE)</f>
        <v>683.89747668576126</v>
      </c>
      <c r="F197" s="6">
        <f>VLOOKUP(Vlookup!$B162,'CDCM Volume Forecasts'!$A$27:$AG$123,F$137,FALSE)</f>
        <v>0</v>
      </c>
      <c r="G197" s="6">
        <f>VLOOKUP(Vlookup!$B162,'CDCM Volume Forecasts'!$A$27:$AG$123,G$137,FALSE)</f>
        <v>0</v>
      </c>
      <c r="H197" s="7"/>
      <c r="I197"/>
      <c r="J197"/>
      <c r="K197"/>
    </row>
    <row r="198" spans="1:11" ht="15">
      <c r="A198" s="8" t="s">
        <v>180</v>
      </c>
      <c r="B198" s="4">
        <f>VLOOKUP(Vlookup!$B163,'CDCM Volume Forecasts'!$A$27:$AG$123,B$137,FALSE)</f>
        <v>177.96348496274157</v>
      </c>
      <c r="C198" s="6">
        <f>VLOOKUP(Vlookup!$B163,'CDCM Volume Forecasts'!$A$27:$AG$123,C$137,FALSE)</f>
        <v>0</v>
      </c>
      <c r="D198" s="6">
        <f>VLOOKUP(Vlookup!$B163,'CDCM Volume Forecasts'!$A$27:$AG$123,D$137,FALSE)</f>
        <v>0</v>
      </c>
      <c r="E198" s="10">
        <f>VLOOKUP(Vlookup!$B163,'CDCM Volume Forecasts'!$A$27:$AG$123,E$137,FALSE)</f>
        <v>0</v>
      </c>
      <c r="F198" s="6">
        <f>VLOOKUP(Vlookup!$B163,'CDCM Volume Forecasts'!$A$27:$AG$123,F$137,FALSE)</f>
        <v>0</v>
      </c>
      <c r="G198" s="6">
        <f>VLOOKUP(Vlookup!$B163,'CDCM Volume Forecasts'!$A$27:$AG$123,G$137,FALSE)</f>
        <v>0</v>
      </c>
      <c r="H198" s="7"/>
      <c r="I198"/>
      <c r="J198"/>
      <c r="K198"/>
    </row>
    <row r="199" spans="1:11" ht="15">
      <c r="A199" s="8" t="s">
        <v>181</v>
      </c>
      <c r="B199" s="4">
        <f>VLOOKUP(Vlookup!$B164,'CDCM Volume Forecasts'!$A$27:$AG$123,B$137,FALSE)</f>
        <v>573.70856302427069</v>
      </c>
      <c r="C199" s="6">
        <f>VLOOKUP(Vlookup!$B164,'CDCM Volume Forecasts'!$A$27:$AG$123,C$137,FALSE)</f>
        <v>0</v>
      </c>
      <c r="D199" s="6">
        <f>VLOOKUP(Vlookup!$B164,'CDCM Volume Forecasts'!$A$27:$AG$123,D$137,FALSE)</f>
        <v>0</v>
      </c>
      <c r="E199" s="10">
        <f>VLOOKUP(Vlookup!$B164,'CDCM Volume Forecasts'!$A$27:$AG$123,E$137,FALSE)</f>
        <v>0</v>
      </c>
      <c r="F199" s="6">
        <f>VLOOKUP(Vlookup!$B164,'CDCM Volume Forecasts'!$A$27:$AG$123,F$137,FALSE)</f>
        <v>0</v>
      </c>
      <c r="G199" s="6">
        <f>VLOOKUP(Vlookup!$B164,'CDCM Volume Forecasts'!$A$27:$AG$123,G$137,FALSE)</f>
        <v>0</v>
      </c>
      <c r="H199" s="7"/>
      <c r="I199"/>
      <c r="J199"/>
      <c r="K199"/>
    </row>
    <row r="200" spans="1:11" ht="15">
      <c r="A200" s="12" t="s">
        <v>182</v>
      </c>
      <c r="B200" s="13">
        <f>VLOOKUP(Vlookup!$B165,'CDCM Volume Forecasts'!$A$27:$AG$123,B$137,FALSE)</f>
        <v>0</v>
      </c>
      <c r="C200" s="13">
        <f>VLOOKUP(Vlookup!$B165,'CDCM Volume Forecasts'!$A$27:$AG$123,C$137,FALSE)</f>
        <v>0</v>
      </c>
      <c r="D200" s="13">
        <f>VLOOKUP(Vlookup!$B165,'CDCM Volume Forecasts'!$A$27:$AG$123,D$137,FALSE)</f>
        <v>0</v>
      </c>
      <c r="E200" s="13">
        <f>VLOOKUP(Vlookup!$B165,'CDCM Volume Forecasts'!$A$27:$AG$123,E$137,FALSE)</f>
        <v>0</v>
      </c>
      <c r="F200" s="13">
        <f>VLOOKUP(Vlookup!$B165,'CDCM Volume Forecasts'!$A$27:$AG$123,F$137,FALSE)</f>
        <v>0</v>
      </c>
      <c r="G200" s="13">
        <f>VLOOKUP(Vlookup!$B165,'CDCM Volume Forecasts'!$A$27:$AG$123,G$137,FALSE)</f>
        <v>0</v>
      </c>
      <c r="H200" s="7"/>
      <c r="I200"/>
      <c r="J200"/>
      <c r="K200"/>
    </row>
    <row r="201" spans="1:11" ht="15">
      <c r="A201" s="8" t="s">
        <v>133</v>
      </c>
      <c r="B201" s="4">
        <f>VLOOKUP(Vlookup!$B166,'CDCM Volume Forecasts'!$A$27:$AG$123,B$137,FALSE)</f>
        <v>770.36280056434089</v>
      </c>
      <c r="C201" s="6">
        <f>VLOOKUP(Vlookup!$B166,'CDCM Volume Forecasts'!$A$27:$AG$123,C$137,FALSE)</f>
        <v>0</v>
      </c>
      <c r="D201" s="6">
        <f>VLOOKUP(Vlookup!$B166,'CDCM Volume Forecasts'!$A$27:$AG$123,D$137,FALSE)</f>
        <v>0</v>
      </c>
      <c r="E201" s="10">
        <f>VLOOKUP(Vlookup!$B166,'CDCM Volume Forecasts'!$A$27:$AG$123,E$137,FALSE)</f>
        <v>140.83222112491973</v>
      </c>
      <c r="F201" s="6">
        <f>VLOOKUP(Vlookup!$B166,'CDCM Volume Forecasts'!$A$27:$AG$123,F$137,FALSE)</f>
        <v>0</v>
      </c>
      <c r="G201" s="6">
        <f>VLOOKUP(Vlookup!$B166,'CDCM Volume Forecasts'!$A$27:$AG$123,G$137,FALSE)</f>
        <v>0</v>
      </c>
      <c r="H201" s="7"/>
      <c r="I201"/>
      <c r="J201"/>
      <c r="K201"/>
    </row>
    <row r="202" spans="1:11" ht="15">
      <c r="A202" s="8" t="s">
        <v>183</v>
      </c>
      <c r="B202" s="4">
        <f>VLOOKUP(Vlookup!$B167,'CDCM Volume Forecasts'!$A$27:$AG$123,B$137,FALSE)</f>
        <v>0</v>
      </c>
      <c r="C202" s="6">
        <f>VLOOKUP(Vlookup!$B167,'CDCM Volume Forecasts'!$A$27:$AG$123,C$137,FALSE)</f>
        <v>0</v>
      </c>
      <c r="D202" s="6">
        <f>VLOOKUP(Vlookup!$B167,'CDCM Volume Forecasts'!$A$27:$AG$123,D$137,FALSE)</f>
        <v>0</v>
      </c>
      <c r="E202" s="10">
        <f>VLOOKUP(Vlookup!$B167,'CDCM Volume Forecasts'!$A$27:$AG$123,E$137,FALSE)</f>
        <v>0</v>
      </c>
      <c r="F202" s="6">
        <f>VLOOKUP(Vlookup!$B167,'CDCM Volume Forecasts'!$A$27:$AG$123,F$137,FALSE)</f>
        <v>0</v>
      </c>
      <c r="G202" s="6">
        <f>VLOOKUP(Vlookup!$B167,'CDCM Volume Forecasts'!$A$27:$AG$123,G$137,FALSE)</f>
        <v>0</v>
      </c>
      <c r="H202" s="7"/>
      <c r="I202"/>
      <c r="J202"/>
      <c r="K202"/>
    </row>
    <row r="203" spans="1:11" ht="15">
      <c r="A203" s="8" t="s">
        <v>184</v>
      </c>
      <c r="B203" s="4">
        <f>VLOOKUP(Vlookup!$B168,'CDCM Volume Forecasts'!$A$27:$AG$123,B$137,FALSE)</f>
        <v>28.81289678085793</v>
      </c>
      <c r="C203" s="6">
        <f>VLOOKUP(Vlookup!$B168,'CDCM Volume Forecasts'!$A$27:$AG$123,C$137,FALSE)</f>
        <v>0</v>
      </c>
      <c r="D203" s="6">
        <f>VLOOKUP(Vlookup!$B168,'CDCM Volume Forecasts'!$A$27:$AG$123,D$137,FALSE)</f>
        <v>0</v>
      </c>
      <c r="E203" s="10">
        <f>VLOOKUP(Vlookup!$B168,'CDCM Volume Forecasts'!$A$27:$AG$123,E$137,FALSE)</f>
        <v>0</v>
      </c>
      <c r="F203" s="6">
        <f>VLOOKUP(Vlookup!$B168,'CDCM Volume Forecasts'!$A$27:$AG$123,F$137,FALSE)</f>
        <v>0</v>
      </c>
      <c r="G203" s="6">
        <f>VLOOKUP(Vlookup!$B168,'CDCM Volume Forecasts'!$A$27:$AG$123,G$137,FALSE)</f>
        <v>0</v>
      </c>
      <c r="H203" s="7"/>
      <c r="I203"/>
      <c r="J203"/>
      <c r="K203"/>
    </row>
    <row r="204" spans="1:11" ht="15">
      <c r="A204" s="12" t="s">
        <v>185</v>
      </c>
      <c r="B204" s="13">
        <f>VLOOKUP(Vlookup!$B169,'CDCM Volume Forecasts'!$A$27:$AG$123,B$137,FALSE)</f>
        <v>0</v>
      </c>
      <c r="C204" s="13">
        <f>VLOOKUP(Vlookup!$B169,'CDCM Volume Forecasts'!$A$27:$AG$123,C$137,FALSE)</f>
        <v>0</v>
      </c>
      <c r="D204" s="13">
        <f>VLOOKUP(Vlookup!$B169,'CDCM Volume Forecasts'!$A$27:$AG$123,D$137,FALSE)</f>
        <v>0</v>
      </c>
      <c r="E204" s="13">
        <f>VLOOKUP(Vlookup!$B169,'CDCM Volume Forecasts'!$A$27:$AG$123,E$137,FALSE)</f>
        <v>0</v>
      </c>
      <c r="F204" s="13">
        <f>VLOOKUP(Vlookup!$B169,'CDCM Volume Forecasts'!$A$27:$AG$123,F$137,FALSE)</f>
        <v>0</v>
      </c>
      <c r="G204" s="13">
        <f>VLOOKUP(Vlookup!$B169,'CDCM Volume Forecasts'!$A$27:$AG$123,G$137,FALSE)</f>
        <v>0</v>
      </c>
      <c r="H204" s="7"/>
      <c r="I204"/>
      <c r="J204"/>
      <c r="K204"/>
    </row>
    <row r="205" spans="1:11" ht="15">
      <c r="A205" s="8" t="s">
        <v>134</v>
      </c>
      <c r="B205" s="4">
        <f>VLOOKUP(Vlookup!$B170,'CDCM Volume Forecasts'!$A$27:$AG$123,B$137,FALSE)</f>
        <v>4817.2532716792102</v>
      </c>
      <c r="C205" s="6">
        <f>VLOOKUP(Vlookup!$B170,'CDCM Volume Forecasts'!$A$27:$AG$123,C$137,FALSE)</f>
        <v>0</v>
      </c>
      <c r="D205" s="6">
        <f>VLOOKUP(Vlookup!$B170,'CDCM Volume Forecasts'!$A$27:$AG$123,D$137,FALSE)</f>
        <v>0</v>
      </c>
      <c r="E205" s="10">
        <f>VLOOKUP(Vlookup!$B170,'CDCM Volume Forecasts'!$A$27:$AG$123,E$137,FALSE)</f>
        <v>40.527257877674742</v>
      </c>
      <c r="F205" s="6">
        <f>VLOOKUP(Vlookup!$B170,'CDCM Volume Forecasts'!$A$27:$AG$123,F$137,FALSE)</f>
        <v>0</v>
      </c>
      <c r="G205" s="6">
        <f>VLOOKUP(Vlookup!$B170,'CDCM Volume Forecasts'!$A$27:$AG$123,G$137,FALSE)</f>
        <v>0</v>
      </c>
      <c r="H205" s="7"/>
      <c r="I205"/>
      <c r="J205"/>
      <c r="K205"/>
    </row>
    <row r="206" spans="1:11" ht="15">
      <c r="A206" s="8" t="s">
        <v>186</v>
      </c>
      <c r="B206" s="4">
        <f>VLOOKUP(Vlookup!$B171,'CDCM Volume Forecasts'!$A$27:$AG$123,B$137,FALSE)</f>
        <v>0</v>
      </c>
      <c r="C206" s="6">
        <f>VLOOKUP(Vlookup!$B171,'CDCM Volume Forecasts'!$A$27:$AG$123,C$137,FALSE)</f>
        <v>0</v>
      </c>
      <c r="D206" s="6">
        <f>VLOOKUP(Vlookup!$B171,'CDCM Volume Forecasts'!$A$27:$AG$123,D$137,FALSE)</f>
        <v>0</v>
      </c>
      <c r="E206" s="10">
        <f>VLOOKUP(Vlookup!$B171,'CDCM Volume Forecasts'!$A$27:$AG$123,E$137,FALSE)</f>
        <v>0</v>
      </c>
      <c r="F206" s="6">
        <f>VLOOKUP(Vlookup!$B171,'CDCM Volume Forecasts'!$A$27:$AG$123,F$137,FALSE)</f>
        <v>0</v>
      </c>
      <c r="G206" s="6">
        <f>VLOOKUP(Vlookup!$B171,'CDCM Volume Forecasts'!$A$27:$AG$123,G$137,FALSE)</f>
        <v>0</v>
      </c>
      <c r="H206" s="7"/>
      <c r="I206"/>
      <c r="J206"/>
      <c r="K206"/>
    </row>
    <row r="207" spans="1:11" ht="15">
      <c r="A207" s="8" t="s">
        <v>187</v>
      </c>
      <c r="B207" s="4">
        <f>VLOOKUP(Vlookup!$B172,'CDCM Volume Forecasts'!$A$27:$AG$123,B$137,FALSE)</f>
        <v>0</v>
      </c>
      <c r="C207" s="6">
        <f>VLOOKUP(Vlookup!$B172,'CDCM Volume Forecasts'!$A$27:$AG$123,C$137,FALSE)</f>
        <v>0</v>
      </c>
      <c r="D207" s="6">
        <f>VLOOKUP(Vlookup!$B172,'CDCM Volume Forecasts'!$A$27:$AG$123,D$137,FALSE)</f>
        <v>0</v>
      </c>
      <c r="E207" s="10">
        <f>VLOOKUP(Vlookup!$B172,'CDCM Volume Forecasts'!$A$27:$AG$123,E$137,FALSE)</f>
        <v>0</v>
      </c>
      <c r="F207" s="6">
        <f>VLOOKUP(Vlookup!$B172,'CDCM Volume Forecasts'!$A$27:$AG$123,F$137,FALSE)</f>
        <v>0</v>
      </c>
      <c r="G207" s="6">
        <f>VLOOKUP(Vlookup!$B172,'CDCM Volume Forecasts'!$A$27:$AG$123,G$137,FALSE)</f>
        <v>0</v>
      </c>
      <c r="H207" s="7"/>
      <c r="I207"/>
      <c r="J207"/>
      <c r="K207"/>
    </row>
    <row r="208" spans="1:11" ht="15">
      <c r="A208" s="12" t="s">
        <v>188</v>
      </c>
      <c r="B208" s="13">
        <f>VLOOKUP(Vlookup!$B173,'CDCM Volume Forecasts'!$A$27:$AG$123,B$137,FALSE)</f>
        <v>0</v>
      </c>
      <c r="C208" s="13">
        <f>VLOOKUP(Vlookup!$B173,'CDCM Volume Forecasts'!$A$27:$AG$123,C$137,FALSE)</f>
        <v>0</v>
      </c>
      <c r="D208" s="13">
        <f>VLOOKUP(Vlookup!$B173,'CDCM Volume Forecasts'!$A$27:$AG$123,D$137,FALSE)</f>
        <v>0</v>
      </c>
      <c r="E208" s="13">
        <f>VLOOKUP(Vlookup!$B173,'CDCM Volume Forecasts'!$A$27:$AG$123,E$137,FALSE)</f>
        <v>0</v>
      </c>
      <c r="F208" s="13">
        <f>VLOOKUP(Vlookup!$B173,'CDCM Volume Forecasts'!$A$27:$AG$123,F$137,FALSE)</f>
        <v>0</v>
      </c>
      <c r="G208" s="13">
        <f>VLOOKUP(Vlookup!$B173,'CDCM Volume Forecasts'!$A$27:$AG$123,G$137,FALSE)</f>
        <v>0</v>
      </c>
      <c r="H208" s="7"/>
      <c r="I208"/>
      <c r="J208"/>
      <c r="K208"/>
    </row>
    <row r="209" spans="1:11" ht="15">
      <c r="A209" s="8" t="s">
        <v>135</v>
      </c>
      <c r="B209" s="4">
        <f>VLOOKUP(Vlookup!$B174,'CDCM Volume Forecasts'!$A$27:$AG$123,B$137,FALSE)</f>
        <v>12679.091510220966</v>
      </c>
      <c r="C209" s="4">
        <f>VLOOKUP(Vlookup!$B174,'CDCM Volume Forecasts'!$A$27:$AG$123,C$137,FALSE)</f>
        <v>30029.713146509384</v>
      </c>
      <c r="D209" s="4">
        <f>VLOOKUP(Vlookup!$B174,'CDCM Volume Forecasts'!$A$27:$AG$123,D$137,FALSE)</f>
        <v>206123.67095361077</v>
      </c>
      <c r="E209" s="10">
        <f>VLOOKUP(Vlookup!$B174,'CDCM Volume Forecasts'!$A$27:$AG$123,E$137,FALSE)</f>
        <v>20.263628938837371</v>
      </c>
      <c r="F209" s="6">
        <f>VLOOKUP(Vlookup!$B174,'CDCM Volume Forecasts'!$A$27:$AG$123,F$137,FALSE)</f>
        <v>0</v>
      </c>
      <c r="G209" s="6">
        <f>VLOOKUP(Vlookup!$B174,'CDCM Volume Forecasts'!$A$27:$AG$123,G$137,FALSE)</f>
        <v>0</v>
      </c>
      <c r="H209" s="7"/>
      <c r="I209"/>
      <c r="J209"/>
      <c r="K209"/>
    </row>
    <row r="210" spans="1:11" ht="15">
      <c r="A210" s="8" t="s">
        <v>189</v>
      </c>
      <c r="B210" s="4">
        <f>VLOOKUP(Vlookup!$B175,'CDCM Volume Forecasts'!$A$27:$AG$123,B$137,FALSE)</f>
        <v>0</v>
      </c>
      <c r="C210" s="4">
        <f>VLOOKUP(Vlookup!$B175,'CDCM Volume Forecasts'!$A$27:$AG$123,C$137,FALSE)</f>
        <v>0</v>
      </c>
      <c r="D210" s="4">
        <f>VLOOKUP(Vlookup!$B175,'CDCM Volume Forecasts'!$A$27:$AG$123,D$137,FALSE)</f>
        <v>0</v>
      </c>
      <c r="E210" s="10">
        <f>VLOOKUP(Vlookup!$B175,'CDCM Volume Forecasts'!$A$27:$AG$123,E$137,FALSE)</f>
        <v>0</v>
      </c>
      <c r="F210" s="6">
        <f>VLOOKUP(Vlookup!$B175,'CDCM Volume Forecasts'!$A$27:$AG$123,F$137,FALSE)</f>
        <v>0</v>
      </c>
      <c r="G210" s="6">
        <f>VLOOKUP(Vlookup!$B175,'CDCM Volume Forecasts'!$A$27:$AG$123,G$137,FALSE)</f>
        <v>0</v>
      </c>
      <c r="H210" s="7"/>
      <c r="I210"/>
      <c r="J210"/>
      <c r="K210"/>
    </row>
    <row r="211" spans="1:11" ht="15">
      <c r="A211" s="8" t="s">
        <v>190</v>
      </c>
      <c r="B211" s="4">
        <f>VLOOKUP(Vlookup!$B176,'CDCM Volume Forecasts'!$A$27:$AG$123,B$137,FALSE)</f>
        <v>0</v>
      </c>
      <c r="C211" s="4">
        <f>VLOOKUP(Vlookup!$B176,'CDCM Volume Forecasts'!$A$27:$AG$123,C$137,FALSE)</f>
        <v>0</v>
      </c>
      <c r="D211" s="4">
        <f>VLOOKUP(Vlookup!$B176,'CDCM Volume Forecasts'!$A$27:$AG$123,D$137,FALSE)</f>
        <v>0</v>
      </c>
      <c r="E211" s="10">
        <f>VLOOKUP(Vlookup!$B176,'CDCM Volume Forecasts'!$A$27:$AG$123,E$137,FALSE)</f>
        <v>0</v>
      </c>
      <c r="F211" s="6">
        <f>VLOOKUP(Vlookup!$B176,'CDCM Volume Forecasts'!$A$27:$AG$123,F$137,FALSE)</f>
        <v>0</v>
      </c>
      <c r="G211" s="6">
        <f>VLOOKUP(Vlookup!$B176,'CDCM Volume Forecasts'!$A$27:$AG$123,G$137,FALSE)</f>
        <v>0</v>
      </c>
      <c r="H211" s="7"/>
      <c r="I211"/>
      <c r="J211"/>
      <c r="K211"/>
    </row>
    <row r="212" spans="1:11" ht="15">
      <c r="A212" s="12" t="s">
        <v>1537</v>
      </c>
      <c r="B212" s="13">
        <f>VLOOKUP(Vlookup!$B177,'CDCM Volume Forecasts'!$A$27:$AG$123,B$137,FALSE)</f>
        <v>0</v>
      </c>
      <c r="C212" s="13">
        <f>VLOOKUP(Vlookup!$B177,'CDCM Volume Forecasts'!$A$27:$AG$123,C$137,FALSE)</f>
        <v>0</v>
      </c>
      <c r="D212" s="13">
        <f>VLOOKUP(Vlookup!$B177,'CDCM Volume Forecasts'!$A$27:$AG$123,D$137,FALSE)</f>
        <v>0</v>
      </c>
      <c r="E212" s="13">
        <f>VLOOKUP(Vlookup!$B177,'CDCM Volume Forecasts'!$A$27:$AG$123,E$137,FALSE)</f>
        <v>0</v>
      </c>
      <c r="F212" s="13">
        <f>VLOOKUP(Vlookup!$B177,'CDCM Volume Forecasts'!$A$27:$AG$123,F$137,FALSE)</f>
        <v>0</v>
      </c>
      <c r="G212" s="13">
        <f>VLOOKUP(Vlookup!$B177,'CDCM Volume Forecasts'!$A$27:$AG$123,G$137,FALSE)</f>
        <v>0</v>
      </c>
      <c r="H212" s="7"/>
      <c r="I212"/>
      <c r="J212"/>
      <c r="K212"/>
    </row>
    <row r="213" spans="1:11" ht="15">
      <c r="A213" s="8" t="s">
        <v>1534</v>
      </c>
      <c r="B213" s="4">
        <f>VLOOKUP(Vlookup!$B178,'CDCM Volume Forecasts'!$A$27:$AG$123,B$137,FALSE)</f>
        <v>1660.7170232592748</v>
      </c>
      <c r="C213" s="6">
        <f>VLOOKUP(Vlookup!$B178,'CDCM Volume Forecasts'!$A$27:$AG$123,C$137,FALSE)</f>
        <v>0</v>
      </c>
      <c r="D213" s="6">
        <f>VLOOKUP(Vlookup!$B178,'CDCM Volume Forecasts'!$A$27:$AG$123,D$137,FALSE)</f>
        <v>0</v>
      </c>
      <c r="E213" s="10">
        <f>VLOOKUP(Vlookup!$B178,'CDCM Volume Forecasts'!$A$27:$AG$123,E$137,FALSE)</f>
        <v>119.55541073914044</v>
      </c>
      <c r="F213" s="6">
        <f>VLOOKUP(Vlookup!$B178,'CDCM Volume Forecasts'!$A$27:$AG$123,F$137,FALSE)</f>
        <v>0</v>
      </c>
      <c r="G213" s="6">
        <f>VLOOKUP(Vlookup!$B178,'CDCM Volume Forecasts'!$A$27:$AG$123,G$137,FALSE)</f>
        <v>0</v>
      </c>
      <c r="H213" s="7"/>
      <c r="I213"/>
      <c r="J213"/>
      <c r="K213"/>
    </row>
    <row r="214" spans="1:11" ht="15">
      <c r="A214" s="8" t="s">
        <v>1531</v>
      </c>
      <c r="B214" s="4">
        <f>VLOOKUP(Vlookup!$B179,'CDCM Volume Forecasts'!$A$27:$AG$123,B$137,FALSE)</f>
        <v>0</v>
      </c>
      <c r="C214" s="6">
        <f>VLOOKUP(Vlookup!$B179,'CDCM Volume Forecasts'!$A$27:$AG$123,C$137,FALSE)</f>
        <v>0</v>
      </c>
      <c r="D214" s="6">
        <f>VLOOKUP(Vlookup!$B179,'CDCM Volume Forecasts'!$A$27:$AG$123,D$137,FALSE)</f>
        <v>0</v>
      </c>
      <c r="E214" s="10">
        <f>VLOOKUP(Vlookup!$B179,'CDCM Volume Forecasts'!$A$27:$AG$123,E$137,FALSE)</f>
        <v>0</v>
      </c>
      <c r="F214" s="6">
        <f>VLOOKUP(Vlookup!$B179,'CDCM Volume Forecasts'!$A$27:$AG$123,F$137,FALSE)</f>
        <v>0</v>
      </c>
      <c r="G214" s="6">
        <f>VLOOKUP(Vlookup!$B179,'CDCM Volume Forecasts'!$A$27:$AG$123,G$137,FALSE)</f>
        <v>0</v>
      </c>
      <c r="H214" s="7"/>
      <c r="I214"/>
      <c r="J214"/>
      <c r="K214"/>
    </row>
    <row r="215" spans="1:11" ht="15">
      <c r="A215" s="8" t="s">
        <v>1528</v>
      </c>
      <c r="B215" s="4">
        <f>VLOOKUP(Vlookup!$B180,'CDCM Volume Forecasts'!$A$27:$AG$123,B$137,FALSE)</f>
        <v>0</v>
      </c>
      <c r="C215" s="6">
        <f>VLOOKUP(Vlookup!$B180,'CDCM Volume Forecasts'!$A$27:$AG$123,C$137,FALSE)</f>
        <v>0</v>
      </c>
      <c r="D215" s="6">
        <f>VLOOKUP(Vlookup!$B180,'CDCM Volume Forecasts'!$A$27:$AG$123,D$137,FALSE)</f>
        <v>0</v>
      </c>
      <c r="E215" s="10">
        <f>VLOOKUP(Vlookup!$B180,'CDCM Volume Forecasts'!$A$27:$AG$123,E$137,FALSE)</f>
        <v>0</v>
      </c>
      <c r="F215" s="6">
        <f>VLOOKUP(Vlookup!$B180,'CDCM Volume Forecasts'!$A$27:$AG$123,F$137,FALSE)</f>
        <v>0</v>
      </c>
      <c r="G215" s="6">
        <f>VLOOKUP(Vlookup!$B180,'CDCM Volume Forecasts'!$A$27:$AG$123,G$137,FALSE)</f>
        <v>0</v>
      </c>
      <c r="H215" s="7"/>
      <c r="I215"/>
      <c r="J215"/>
      <c r="K215"/>
    </row>
    <row r="216" spans="1:11" ht="15">
      <c r="A216" s="12" t="s">
        <v>191</v>
      </c>
      <c r="B216" s="13">
        <f>VLOOKUP(Vlookup!$B181,'CDCM Volume Forecasts'!$A$27:$AG$123,B$137,FALSE)</f>
        <v>0</v>
      </c>
      <c r="C216" s="13">
        <f>VLOOKUP(Vlookup!$B181,'CDCM Volume Forecasts'!$A$27:$AG$123,C$137,FALSE)</f>
        <v>0</v>
      </c>
      <c r="D216" s="13">
        <f>VLOOKUP(Vlookup!$B181,'CDCM Volume Forecasts'!$A$27:$AG$123,D$137,FALSE)</f>
        <v>0</v>
      </c>
      <c r="E216" s="13">
        <f>VLOOKUP(Vlookup!$B181,'CDCM Volume Forecasts'!$A$27:$AG$123,E$137,FALSE)</f>
        <v>0</v>
      </c>
      <c r="F216" s="13">
        <f>VLOOKUP(Vlookup!$B181,'CDCM Volume Forecasts'!$A$27:$AG$123,F$137,FALSE)</f>
        <v>0</v>
      </c>
      <c r="G216" s="13">
        <f>VLOOKUP(Vlookup!$B181,'CDCM Volume Forecasts'!$A$27:$AG$123,G$137,FALSE)</f>
        <v>0</v>
      </c>
      <c r="H216" s="7"/>
      <c r="I216"/>
      <c r="J216"/>
      <c r="K216"/>
    </row>
    <row r="217" spans="1:11" ht="15">
      <c r="A217" s="8" t="s">
        <v>100</v>
      </c>
      <c r="B217" s="4">
        <f>VLOOKUP(Vlookup!$B182,'CDCM Volume Forecasts'!$A$27:$AG$123,B$137,FALSE)</f>
        <v>0</v>
      </c>
      <c r="C217" s="6">
        <f>VLOOKUP(Vlookup!$B182,'CDCM Volume Forecasts'!$A$27:$AG$123,C$137,FALSE)</f>
        <v>0</v>
      </c>
      <c r="D217" s="6">
        <f>VLOOKUP(Vlookup!$B182,'CDCM Volume Forecasts'!$A$27:$AG$123,D$137,FALSE)</f>
        <v>0</v>
      </c>
      <c r="E217" s="10">
        <f>VLOOKUP(Vlookup!$B182,'CDCM Volume Forecasts'!$A$27:$AG$123,E$137,FALSE)</f>
        <v>0</v>
      </c>
      <c r="F217" s="6">
        <f>VLOOKUP(Vlookup!$B182,'CDCM Volume Forecasts'!$A$27:$AG$123,F$137,FALSE)</f>
        <v>0</v>
      </c>
      <c r="G217" s="6">
        <f>VLOOKUP(Vlookup!$B182,'CDCM Volume Forecasts'!$A$27:$AG$123,G$137,FALSE)</f>
        <v>0</v>
      </c>
      <c r="H217" s="7"/>
      <c r="I217"/>
      <c r="J217"/>
      <c r="K217"/>
    </row>
    <row r="218" spans="1:11" ht="15">
      <c r="A218" s="8" t="s">
        <v>192</v>
      </c>
      <c r="B218" s="4">
        <f>VLOOKUP(Vlookup!$B183,'CDCM Volume Forecasts'!$A$27:$AG$123,B$137,FALSE)</f>
        <v>0</v>
      </c>
      <c r="C218" s="6">
        <f>VLOOKUP(Vlookup!$B183,'CDCM Volume Forecasts'!$A$27:$AG$123,C$137,FALSE)</f>
        <v>0</v>
      </c>
      <c r="D218" s="6">
        <f>VLOOKUP(Vlookup!$B183,'CDCM Volume Forecasts'!$A$27:$AG$123,D$137,FALSE)</f>
        <v>0</v>
      </c>
      <c r="E218" s="10">
        <f>VLOOKUP(Vlookup!$B183,'CDCM Volume Forecasts'!$A$27:$AG$123,E$137,FALSE)</f>
        <v>0</v>
      </c>
      <c r="F218" s="6">
        <f>VLOOKUP(Vlookup!$B183,'CDCM Volume Forecasts'!$A$27:$AG$123,F$137,FALSE)</f>
        <v>0</v>
      </c>
      <c r="G218" s="6">
        <f>VLOOKUP(Vlookup!$B183,'CDCM Volume Forecasts'!$A$27:$AG$123,G$137,FALSE)</f>
        <v>0</v>
      </c>
      <c r="H218" s="7"/>
      <c r="I218"/>
      <c r="J218"/>
      <c r="K218"/>
    </row>
    <row r="219" spans="1:11" ht="15">
      <c r="A219" s="12" t="s">
        <v>193</v>
      </c>
      <c r="B219" s="13">
        <f>VLOOKUP(Vlookup!$B184,'CDCM Volume Forecasts'!$A$27:$AG$123,B$137,FALSE)</f>
        <v>0</v>
      </c>
      <c r="C219" s="13">
        <f>VLOOKUP(Vlookup!$B184,'CDCM Volume Forecasts'!$A$27:$AG$123,C$137,FALSE)</f>
        <v>0</v>
      </c>
      <c r="D219" s="13">
        <f>VLOOKUP(Vlookup!$B184,'CDCM Volume Forecasts'!$A$27:$AG$123,D$137,FALSE)</f>
        <v>0</v>
      </c>
      <c r="E219" s="13">
        <f>VLOOKUP(Vlookup!$B184,'CDCM Volume Forecasts'!$A$27:$AG$123,E$137,FALSE)</f>
        <v>0</v>
      </c>
      <c r="F219" s="13">
        <f>VLOOKUP(Vlookup!$B184,'CDCM Volume Forecasts'!$A$27:$AG$123,F$137,FALSE)</f>
        <v>0</v>
      </c>
      <c r="G219" s="13">
        <f>VLOOKUP(Vlookup!$B184,'CDCM Volume Forecasts'!$A$27:$AG$123,G$137,FALSE)</f>
        <v>0</v>
      </c>
      <c r="H219" s="7"/>
      <c r="I219"/>
      <c r="J219"/>
      <c r="K219"/>
    </row>
    <row r="220" spans="1:11" ht="15">
      <c r="A220" s="8" t="s">
        <v>101</v>
      </c>
      <c r="B220" s="4">
        <f>VLOOKUP(Vlookup!$B185,'CDCM Volume Forecasts'!$A$27:$AG$123,B$137,FALSE)</f>
        <v>24996.858841456458</v>
      </c>
      <c r="C220" s="6">
        <f>VLOOKUP(Vlookup!$B185,'CDCM Volume Forecasts'!$A$27:$AG$123,C$137,FALSE)</f>
        <v>0</v>
      </c>
      <c r="D220" s="6">
        <f>VLOOKUP(Vlookup!$B185,'CDCM Volume Forecasts'!$A$27:$AG$123,D$137,FALSE)</f>
        <v>0</v>
      </c>
      <c r="E220" s="10">
        <f>VLOOKUP(Vlookup!$B185,'CDCM Volume Forecasts'!$A$27:$AG$123,E$137,FALSE)</f>
        <v>167.17493874540833</v>
      </c>
      <c r="F220" s="6">
        <f>VLOOKUP(Vlookup!$B185,'CDCM Volume Forecasts'!$A$27:$AG$123,F$137,FALSE)</f>
        <v>0</v>
      </c>
      <c r="G220" s="4">
        <f>VLOOKUP(Vlookup!$B185,'CDCM Volume Forecasts'!$A$27:$AG$123,G$137,FALSE)</f>
        <v>1833.7618341721654</v>
      </c>
      <c r="H220" s="7"/>
      <c r="I220"/>
      <c r="J220"/>
      <c r="K220"/>
    </row>
    <row r="221" spans="1:11" ht="15">
      <c r="A221" s="8" t="s">
        <v>194</v>
      </c>
      <c r="B221" s="4">
        <f>VLOOKUP(Vlookup!$B186,'CDCM Volume Forecasts'!$A$27:$AG$123,B$137,FALSE)</f>
        <v>0</v>
      </c>
      <c r="C221" s="6">
        <f>VLOOKUP(Vlookup!$B186,'CDCM Volume Forecasts'!$A$27:$AG$123,C$137,FALSE)</f>
        <v>0</v>
      </c>
      <c r="D221" s="6">
        <f>VLOOKUP(Vlookup!$B186,'CDCM Volume Forecasts'!$A$27:$AG$123,D$137,FALSE)</f>
        <v>0</v>
      </c>
      <c r="E221" s="10">
        <f>VLOOKUP(Vlookup!$B186,'CDCM Volume Forecasts'!$A$27:$AG$123,E$137,FALSE)</f>
        <v>0</v>
      </c>
      <c r="F221" s="6">
        <f>VLOOKUP(Vlookup!$B186,'CDCM Volume Forecasts'!$A$27:$AG$123,F$137,FALSE)</f>
        <v>0</v>
      </c>
      <c r="G221" s="4">
        <f>VLOOKUP(Vlookup!$B186,'CDCM Volume Forecasts'!$A$27:$AG$123,G$137,FALSE)</f>
        <v>0</v>
      </c>
      <c r="H221" s="7"/>
      <c r="I221"/>
      <c r="J221"/>
      <c r="K221"/>
    </row>
    <row r="222" spans="1:11" ht="15">
      <c r="A222" s="8" t="s">
        <v>195</v>
      </c>
      <c r="B222" s="4">
        <f>VLOOKUP(Vlookup!$B187,'CDCM Volume Forecasts'!$A$27:$AG$123,B$137,FALSE)</f>
        <v>67.449079939668152</v>
      </c>
      <c r="C222" s="6">
        <f>VLOOKUP(Vlookup!$B187,'CDCM Volume Forecasts'!$A$27:$AG$123,C$137,FALSE)</f>
        <v>0</v>
      </c>
      <c r="D222" s="6">
        <f>VLOOKUP(Vlookup!$B187,'CDCM Volume Forecasts'!$A$27:$AG$123,D$137,FALSE)</f>
        <v>0</v>
      </c>
      <c r="E222" s="10">
        <f>VLOOKUP(Vlookup!$B187,'CDCM Volume Forecasts'!$A$27:$AG$123,E$137,FALSE)</f>
        <v>0</v>
      </c>
      <c r="F222" s="6">
        <f>VLOOKUP(Vlookup!$B187,'CDCM Volume Forecasts'!$A$27:$AG$123,F$137,FALSE)</f>
        <v>0</v>
      </c>
      <c r="G222" s="4">
        <f>VLOOKUP(Vlookup!$B187,'CDCM Volume Forecasts'!$A$27:$AG$123,G$137,FALSE)</f>
        <v>40.276868917141599</v>
      </c>
      <c r="H222" s="7"/>
      <c r="I222"/>
      <c r="J222"/>
      <c r="K222"/>
    </row>
    <row r="223" spans="1:11" ht="15">
      <c r="A223" s="12" t="s">
        <v>196</v>
      </c>
      <c r="B223" s="13">
        <f>VLOOKUP(Vlookup!$B188,'CDCM Volume Forecasts'!$A$27:$AG$123,B$137,FALSE)</f>
        <v>0</v>
      </c>
      <c r="C223" s="13">
        <f>VLOOKUP(Vlookup!$B188,'CDCM Volume Forecasts'!$A$27:$AG$123,C$137,FALSE)</f>
        <v>0</v>
      </c>
      <c r="D223" s="13">
        <f>VLOOKUP(Vlookup!$B188,'CDCM Volume Forecasts'!$A$27:$AG$123,D$137,FALSE)</f>
        <v>0</v>
      </c>
      <c r="E223" s="13">
        <f>VLOOKUP(Vlookup!$B188,'CDCM Volume Forecasts'!$A$27:$AG$123,E$137,FALSE)</f>
        <v>0</v>
      </c>
      <c r="F223" s="13">
        <f>VLOOKUP(Vlookup!$B188,'CDCM Volume Forecasts'!$A$27:$AG$123,F$137,FALSE)</f>
        <v>0</v>
      </c>
      <c r="G223" s="13">
        <f>VLOOKUP(Vlookup!$B188,'CDCM Volume Forecasts'!$A$27:$AG$123,G$137,FALSE)</f>
        <v>0</v>
      </c>
      <c r="H223" s="7"/>
      <c r="I223"/>
      <c r="J223"/>
      <c r="K223"/>
    </row>
    <row r="224" spans="1:11" ht="15">
      <c r="A224" s="8" t="s">
        <v>102</v>
      </c>
      <c r="B224" s="4">
        <f>VLOOKUP(Vlookup!$B189,'CDCM Volume Forecasts'!$A$27:$AG$123,B$137,FALSE)</f>
        <v>826.92226302739937</v>
      </c>
      <c r="C224" s="4">
        <f>VLOOKUP(Vlookup!$B189,'CDCM Volume Forecasts'!$A$27:$AG$123,C$137,FALSE)</f>
        <v>3731.6613783210264</v>
      </c>
      <c r="D224" s="4">
        <f>VLOOKUP(Vlookup!$B189,'CDCM Volume Forecasts'!$A$27:$AG$123,D$137,FALSE)</f>
        <v>5008.4114190363289</v>
      </c>
      <c r="E224" s="10">
        <f>VLOOKUP(Vlookup!$B189,'CDCM Volume Forecasts'!$A$27:$AG$123,E$137,FALSE)</f>
        <v>86.120422990058827</v>
      </c>
      <c r="F224" s="6">
        <f>VLOOKUP(Vlookup!$B189,'CDCM Volume Forecasts'!$A$27:$AG$123,F$137,FALSE)</f>
        <v>0</v>
      </c>
      <c r="G224" s="4">
        <f>VLOOKUP(Vlookup!$B189,'CDCM Volume Forecasts'!$A$27:$AG$123,G$137,FALSE)</f>
        <v>497.09178617320293</v>
      </c>
      <c r="H224" s="7"/>
      <c r="I224"/>
      <c r="J224"/>
      <c r="K224"/>
    </row>
    <row r="225" spans="1:11" ht="15">
      <c r="A225" s="8" t="s">
        <v>197</v>
      </c>
      <c r="B225" s="4">
        <f>VLOOKUP(Vlookup!$B190,'CDCM Volume Forecasts'!$A$27:$AG$123,B$137,FALSE)</f>
        <v>0</v>
      </c>
      <c r="C225" s="4">
        <f>VLOOKUP(Vlookup!$B190,'CDCM Volume Forecasts'!$A$27:$AG$123,C$137,FALSE)</f>
        <v>0</v>
      </c>
      <c r="D225" s="4">
        <f>VLOOKUP(Vlookup!$B190,'CDCM Volume Forecasts'!$A$27:$AG$123,D$137,FALSE)</f>
        <v>0</v>
      </c>
      <c r="E225" s="10">
        <f>VLOOKUP(Vlookup!$B190,'CDCM Volume Forecasts'!$A$27:$AG$123,E$137,FALSE)</f>
        <v>0</v>
      </c>
      <c r="F225" s="6">
        <f>VLOOKUP(Vlookup!$B190,'CDCM Volume Forecasts'!$A$27:$AG$123,F$137,FALSE)</f>
        <v>0</v>
      </c>
      <c r="G225" s="4">
        <f>VLOOKUP(Vlookup!$B190,'CDCM Volume Forecasts'!$A$27:$AG$123,G$137,FALSE)</f>
        <v>0</v>
      </c>
      <c r="H225" s="7"/>
      <c r="I225"/>
      <c r="J225"/>
      <c r="K225"/>
    </row>
    <row r="226" spans="1:11" ht="15">
      <c r="A226" s="8" t="s">
        <v>198</v>
      </c>
      <c r="B226" s="4">
        <f>VLOOKUP(Vlookup!$B191,'CDCM Volume Forecasts'!$A$27:$AG$123,B$137,FALSE)</f>
        <v>0.3293543489190548</v>
      </c>
      <c r="C226" s="4">
        <f>VLOOKUP(Vlookup!$B191,'CDCM Volume Forecasts'!$A$27:$AG$123,C$137,FALSE)</f>
        <v>0</v>
      </c>
      <c r="D226" s="4">
        <f>VLOOKUP(Vlookup!$B191,'CDCM Volume Forecasts'!$A$27:$AG$123,D$137,FALSE)</f>
        <v>0</v>
      </c>
      <c r="E226" s="10">
        <f>VLOOKUP(Vlookup!$B191,'CDCM Volume Forecasts'!$A$27:$AG$123,E$137,FALSE)</f>
        <v>0</v>
      </c>
      <c r="F226" s="6">
        <f>VLOOKUP(Vlookup!$B191,'CDCM Volume Forecasts'!$A$27:$AG$123,F$137,FALSE)</f>
        <v>0</v>
      </c>
      <c r="G226" s="4">
        <f>VLOOKUP(Vlookup!$B191,'CDCM Volume Forecasts'!$A$27:$AG$123,G$137,FALSE)</f>
        <v>0.38239675580885579</v>
      </c>
      <c r="H226" s="7"/>
      <c r="I226"/>
      <c r="J226"/>
      <c r="K226"/>
    </row>
    <row r="227" spans="1:11" ht="15">
      <c r="A227" s="12" t="s">
        <v>199</v>
      </c>
      <c r="B227" s="13">
        <f>VLOOKUP(Vlookup!$B192,'CDCM Volume Forecasts'!$A$27:$AG$123,B$137,FALSE)</f>
        <v>0</v>
      </c>
      <c r="C227" s="13">
        <f>VLOOKUP(Vlookup!$B192,'CDCM Volume Forecasts'!$A$27:$AG$123,C$137,FALSE)</f>
        <v>0</v>
      </c>
      <c r="D227" s="13">
        <f>VLOOKUP(Vlookup!$B192,'CDCM Volume Forecasts'!$A$27:$AG$123,D$137,FALSE)</f>
        <v>0</v>
      </c>
      <c r="E227" s="13">
        <f>VLOOKUP(Vlookup!$B192,'CDCM Volume Forecasts'!$A$27:$AG$123,E$137,FALSE)</f>
        <v>0</v>
      </c>
      <c r="F227" s="13">
        <f>VLOOKUP(Vlookup!$B192,'CDCM Volume Forecasts'!$A$27:$AG$123,F$137,FALSE)</f>
        <v>0</v>
      </c>
      <c r="G227" s="13">
        <f>VLOOKUP(Vlookup!$B192,'CDCM Volume Forecasts'!$A$27:$AG$123,G$137,FALSE)</f>
        <v>0</v>
      </c>
      <c r="H227" s="7"/>
      <c r="I227"/>
      <c r="J227"/>
      <c r="K227"/>
    </row>
    <row r="228" spans="1:11" ht="15">
      <c r="A228" s="8" t="s">
        <v>103</v>
      </c>
      <c r="B228" s="4">
        <f>VLOOKUP(Vlookup!$B193,'CDCM Volume Forecasts'!$A$27:$AG$123,B$137,FALSE)</f>
        <v>1213.6794216291853</v>
      </c>
      <c r="C228" s="6">
        <f>VLOOKUP(Vlookup!$B193,'CDCM Volume Forecasts'!$A$27:$AG$123,C$137,FALSE)</f>
        <v>0</v>
      </c>
      <c r="D228" s="6">
        <f>VLOOKUP(Vlookup!$B193,'CDCM Volume Forecasts'!$A$27:$AG$123,D$137,FALSE)</f>
        <v>0</v>
      </c>
      <c r="E228" s="10">
        <f>VLOOKUP(Vlookup!$B193,'CDCM Volume Forecasts'!$A$27:$AG$123,E$137,FALSE)</f>
        <v>5.0659072347093428</v>
      </c>
      <c r="F228" s="6">
        <f>VLOOKUP(Vlookup!$B193,'CDCM Volume Forecasts'!$A$27:$AG$123,F$137,FALSE)</f>
        <v>0</v>
      </c>
      <c r="G228" s="4">
        <f>VLOOKUP(Vlookup!$B193,'CDCM Volume Forecasts'!$A$27:$AG$123,G$137,FALSE)</f>
        <v>124.64962312250731</v>
      </c>
      <c r="H228" s="7"/>
      <c r="I228"/>
      <c r="J228"/>
      <c r="K228"/>
    </row>
    <row r="229" spans="1:11" ht="15">
      <c r="A229" s="8" t="s">
        <v>200</v>
      </c>
      <c r="B229" s="4">
        <f>VLOOKUP(Vlookup!$B194,'CDCM Volume Forecasts'!$A$27:$AG$123,B$137,FALSE)</f>
        <v>0</v>
      </c>
      <c r="C229" s="6">
        <f>VLOOKUP(Vlookup!$B194,'CDCM Volume Forecasts'!$A$27:$AG$123,C$137,FALSE)</f>
        <v>0</v>
      </c>
      <c r="D229" s="6">
        <f>VLOOKUP(Vlookup!$B194,'CDCM Volume Forecasts'!$A$27:$AG$123,D$137,FALSE)</f>
        <v>0</v>
      </c>
      <c r="E229" s="10">
        <f>VLOOKUP(Vlookup!$B194,'CDCM Volume Forecasts'!$A$27:$AG$123,E$137,FALSE)</f>
        <v>0</v>
      </c>
      <c r="F229" s="6">
        <f>VLOOKUP(Vlookup!$B194,'CDCM Volume Forecasts'!$A$27:$AG$123,F$137,FALSE)</f>
        <v>0</v>
      </c>
      <c r="G229" s="4">
        <f>VLOOKUP(Vlookup!$B194,'CDCM Volume Forecasts'!$A$27:$AG$123,G$137,FALSE)</f>
        <v>0</v>
      </c>
      <c r="H229" s="7"/>
      <c r="I229"/>
      <c r="J229"/>
      <c r="K229"/>
    </row>
    <row r="230" spans="1:11" ht="15">
      <c r="A230" s="12" t="s">
        <v>201</v>
      </c>
      <c r="B230" s="13">
        <f>VLOOKUP(Vlookup!$B195,'CDCM Volume Forecasts'!$A$27:$AG$123,B$137,FALSE)</f>
        <v>0</v>
      </c>
      <c r="C230" s="13">
        <f>VLOOKUP(Vlookup!$B195,'CDCM Volume Forecasts'!$A$27:$AG$123,C$137,FALSE)</f>
        <v>0</v>
      </c>
      <c r="D230" s="13">
        <f>VLOOKUP(Vlookup!$B195,'CDCM Volume Forecasts'!$A$27:$AG$123,D$137,FALSE)</f>
        <v>0</v>
      </c>
      <c r="E230" s="13">
        <f>VLOOKUP(Vlookup!$B195,'CDCM Volume Forecasts'!$A$27:$AG$123,E$137,FALSE)</f>
        <v>0</v>
      </c>
      <c r="F230" s="13">
        <f>VLOOKUP(Vlookup!$B195,'CDCM Volume Forecasts'!$A$27:$AG$123,F$137,FALSE)</f>
        <v>0</v>
      </c>
      <c r="G230" s="13">
        <f>VLOOKUP(Vlookup!$B195,'CDCM Volume Forecasts'!$A$27:$AG$123,G$137,FALSE)</f>
        <v>0</v>
      </c>
      <c r="H230" s="7"/>
      <c r="I230"/>
      <c r="J230"/>
      <c r="K230"/>
    </row>
    <row r="231" spans="1:11" ht="15">
      <c r="A231" s="8" t="s">
        <v>104</v>
      </c>
      <c r="B231" s="4">
        <f>VLOOKUP(Vlookup!$B196,'CDCM Volume Forecasts'!$A$27:$AG$123,B$137,FALSE)</f>
        <v>1398.4642496253416</v>
      </c>
      <c r="C231" s="4">
        <f>VLOOKUP(Vlookup!$B196,'CDCM Volume Forecasts'!$A$27:$AG$123,C$137,FALSE)</f>
        <v>3179.9868408000002</v>
      </c>
      <c r="D231" s="4">
        <f>VLOOKUP(Vlookup!$B196,'CDCM Volume Forecasts'!$A$27:$AG$123,D$137,FALSE)</f>
        <v>6128.1571032000011</v>
      </c>
      <c r="E231" s="10">
        <f>VLOOKUP(Vlookup!$B196,'CDCM Volume Forecasts'!$A$27:$AG$123,E$137,FALSE)</f>
        <v>4.0527257877674732</v>
      </c>
      <c r="F231" s="6">
        <f>VLOOKUP(Vlookup!$B196,'CDCM Volume Forecasts'!$A$27:$AG$123,F$137,FALSE)</f>
        <v>0</v>
      </c>
      <c r="G231" s="4">
        <f>VLOOKUP(Vlookup!$B196,'CDCM Volume Forecasts'!$A$27:$AG$123,G$137,FALSE)</f>
        <v>8.8798433495988469</v>
      </c>
      <c r="H231" s="7"/>
      <c r="I231"/>
      <c r="J231"/>
      <c r="K231"/>
    </row>
    <row r="232" spans="1:11" ht="15">
      <c r="A232" s="8" t="s">
        <v>202</v>
      </c>
      <c r="B232" s="4">
        <f>VLOOKUP(Vlookup!$B197,'CDCM Volume Forecasts'!$A$27:$AG$123,B$137,FALSE)</f>
        <v>0</v>
      </c>
      <c r="C232" s="4">
        <f>VLOOKUP(Vlookup!$B197,'CDCM Volume Forecasts'!$A$27:$AG$123,C$137,FALSE)</f>
        <v>0</v>
      </c>
      <c r="D232" s="4">
        <f>VLOOKUP(Vlookup!$B197,'CDCM Volume Forecasts'!$A$27:$AG$123,D$137,FALSE)</f>
        <v>0</v>
      </c>
      <c r="E232" s="10">
        <f>VLOOKUP(Vlookup!$B197,'CDCM Volume Forecasts'!$A$27:$AG$123,E$137,FALSE)</f>
        <v>0</v>
      </c>
      <c r="F232" s="6">
        <f>VLOOKUP(Vlookup!$B197,'CDCM Volume Forecasts'!$A$27:$AG$123,F$137,FALSE)</f>
        <v>0</v>
      </c>
      <c r="G232" s="4">
        <f>VLOOKUP(Vlookup!$B197,'CDCM Volume Forecasts'!$A$27:$AG$123,G$137,FALSE)</f>
        <v>0</v>
      </c>
      <c r="H232" s="7"/>
      <c r="I232"/>
      <c r="J232"/>
      <c r="K232"/>
    </row>
    <row r="233" spans="1:11" ht="15">
      <c r="A233" s="12" t="s">
        <v>203</v>
      </c>
      <c r="B233" s="13">
        <f>VLOOKUP(Vlookup!$B198,'CDCM Volume Forecasts'!$A$27:$AG$123,B$137,FALSE)</f>
        <v>0</v>
      </c>
      <c r="C233" s="13">
        <f>VLOOKUP(Vlookup!$B198,'CDCM Volume Forecasts'!$A$27:$AG$123,C$137,FALSE)</f>
        <v>0</v>
      </c>
      <c r="D233" s="13">
        <f>VLOOKUP(Vlookup!$B198,'CDCM Volume Forecasts'!$A$27:$AG$123,D$137,FALSE)</f>
        <v>0</v>
      </c>
      <c r="E233" s="13">
        <f>VLOOKUP(Vlookup!$B198,'CDCM Volume Forecasts'!$A$27:$AG$123,E$137,FALSE)</f>
        <v>0</v>
      </c>
      <c r="F233" s="13">
        <f>VLOOKUP(Vlookup!$B198,'CDCM Volume Forecasts'!$A$27:$AG$123,F$137,FALSE)</f>
        <v>0</v>
      </c>
      <c r="G233" s="13">
        <f>VLOOKUP(Vlookup!$B198,'CDCM Volume Forecasts'!$A$27:$AG$123,G$137,FALSE)</f>
        <v>0</v>
      </c>
      <c r="H233" s="7"/>
      <c r="I233"/>
      <c r="J233"/>
      <c r="K233"/>
    </row>
    <row r="234" spans="1:11" ht="15">
      <c r="A234" s="8" t="s">
        <v>112</v>
      </c>
      <c r="B234" s="4">
        <f>VLOOKUP(Vlookup!$B199,'CDCM Volume Forecasts'!$A$27:$AG$123,B$137,FALSE)</f>
        <v>95543.871083999999</v>
      </c>
      <c r="C234" s="6">
        <f>VLOOKUP(Vlookup!$B199,'CDCM Volume Forecasts'!$A$27:$AG$123,C$137,FALSE)</f>
        <v>0</v>
      </c>
      <c r="D234" s="6">
        <f>VLOOKUP(Vlookup!$B199,'CDCM Volume Forecasts'!$A$27:$AG$123,D$137,FALSE)</f>
        <v>0</v>
      </c>
      <c r="E234" s="10">
        <f>VLOOKUP(Vlookup!$B199,'CDCM Volume Forecasts'!$A$27:$AG$123,E$137,FALSE)</f>
        <v>55.359020484258814</v>
      </c>
      <c r="F234" s="6">
        <f>VLOOKUP(Vlookup!$B199,'CDCM Volume Forecasts'!$A$27:$AG$123,F$137,FALSE)</f>
        <v>0</v>
      </c>
      <c r="G234" s="4">
        <f>VLOOKUP(Vlookup!$B199,'CDCM Volume Forecasts'!$A$27:$AG$123,G$137,FALSE)</f>
        <v>3144.8579734229206</v>
      </c>
      <c r="H234" s="7"/>
      <c r="I234"/>
      <c r="J234"/>
      <c r="K234"/>
    </row>
    <row r="235" spans="1:11" ht="15">
      <c r="A235" s="8" t="s">
        <v>204</v>
      </c>
      <c r="B235" s="4">
        <f>VLOOKUP(Vlookup!$B200,'CDCM Volume Forecasts'!$A$27:$AG$123,B$137,FALSE)</f>
        <v>0</v>
      </c>
      <c r="C235" s="6">
        <f>VLOOKUP(Vlookup!$B200,'CDCM Volume Forecasts'!$A$27:$AG$123,C$137,FALSE)</f>
        <v>0</v>
      </c>
      <c r="D235" s="6">
        <f>VLOOKUP(Vlookup!$B200,'CDCM Volume Forecasts'!$A$27:$AG$123,D$137,FALSE)</f>
        <v>0</v>
      </c>
      <c r="E235" s="10">
        <f>VLOOKUP(Vlookup!$B200,'CDCM Volume Forecasts'!$A$27:$AG$123,E$137,FALSE)</f>
        <v>0</v>
      </c>
      <c r="F235" s="6">
        <f>VLOOKUP(Vlookup!$B200,'CDCM Volume Forecasts'!$A$27:$AG$123,F$137,FALSE)</f>
        <v>0</v>
      </c>
      <c r="G235" s="4">
        <f>VLOOKUP(Vlookup!$B200,'CDCM Volume Forecasts'!$A$27:$AG$123,G$137,FALSE)</f>
        <v>0</v>
      </c>
      <c r="H235" s="7"/>
      <c r="I235"/>
      <c r="J235"/>
      <c r="K235"/>
    </row>
    <row r="236" spans="1:11" ht="15">
      <c r="A236" s="12" t="s">
        <v>205</v>
      </c>
      <c r="B236" s="13">
        <f>VLOOKUP(Vlookup!$B201,'CDCM Volume Forecasts'!$A$27:$AG$123,B$137,FALSE)</f>
        <v>0</v>
      </c>
      <c r="C236" s="13">
        <f>VLOOKUP(Vlookup!$B201,'CDCM Volume Forecasts'!$A$27:$AG$123,C$137,FALSE)</f>
        <v>0</v>
      </c>
      <c r="D236" s="13">
        <f>VLOOKUP(Vlookup!$B201,'CDCM Volume Forecasts'!$A$27:$AG$123,D$137,FALSE)</f>
        <v>0</v>
      </c>
      <c r="E236" s="13">
        <f>VLOOKUP(Vlookup!$B201,'CDCM Volume Forecasts'!$A$27:$AG$123,E$137,FALSE)</f>
        <v>0</v>
      </c>
      <c r="F236" s="13">
        <f>VLOOKUP(Vlookup!$B201,'CDCM Volume Forecasts'!$A$27:$AG$123,F$137,FALSE)</f>
        <v>0</v>
      </c>
      <c r="G236" s="13">
        <f>VLOOKUP(Vlookup!$B201,'CDCM Volume Forecasts'!$A$27:$AG$123,G$137,FALSE)</f>
        <v>0</v>
      </c>
      <c r="H236" s="7"/>
      <c r="I236"/>
      <c r="J236"/>
      <c r="K236"/>
    </row>
    <row r="237" spans="1:11" ht="15">
      <c r="A237" s="8" t="s">
        <v>113</v>
      </c>
      <c r="B237" s="4">
        <f>VLOOKUP(Vlookup!$B202,'CDCM Volume Forecasts'!$A$27:$AG$123,B$137,FALSE)</f>
        <v>65104.786809687452</v>
      </c>
      <c r="C237" s="4">
        <f>VLOOKUP(Vlookup!$B202,'CDCM Volume Forecasts'!$A$27:$AG$123,C$137,FALSE)</f>
        <v>202236.73285292476</v>
      </c>
      <c r="D237" s="4">
        <f>VLOOKUP(Vlookup!$B202,'CDCM Volume Forecasts'!$A$27:$AG$123,D$137,FALSE)</f>
        <v>389530.18598588731</v>
      </c>
      <c r="E237" s="10">
        <f>VLOOKUP(Vlookup!$B202,'CDCM Volume Forecasts'!$A$27:$AG$123,E$137,FALSE)</f>
        <v>115.75067919435931</v>
      </c>
      <c r="F237" s="6">
        <f>VLOOKUP(Vlookup!$B202,'CDCM Volume Forecasts'!$A$27:$AG$123,F$137,FALSE)</f>
        <v>0</v>
      </c>
      <c r="G237" s="4">
        <f>VLOOKUP(Vlookup!$B202,'CDCM Volume Forecasts'!$A$27:$AG$123,G$137,FALSE)</f>
        <v>7784.0578486942413</v>
      </c>
      <c r="H237" s="7"/>
      <c r="I237"/>
      <c r="J237"/>
      <c r="K237"/>
    </row>
    <row r="238" spans="1:11" ht="15">
      <c r="A238" s="8" t="s">
        <v>206</v>
      </c>
      <c r="B238" s="4">
        <f>VLOOKUP(Vlookup!$B203,'CDCM Volume Forecasts'!$A$27:$AG$123,B$137,FALSE)</f>
        <v>0</v>
      </c>
      <c r="C238" s="4">
        <f>VLOOKUP(Vlookup!$B203,'CDCM Volume Forecasts'!$A$27:$AG$123,C$137,FALSE)</f>
        <v>0</v>
      </c>
      <c r="D238" s="4">
        <f>VLOOKUP(Vlookup!$B203,'CDCM Volume Forecasts'!$A$27:$AG$123,D$137,FALSE)</f>
        <v>0</v>
      </c>
      <c r="E238" s="10">
        <f>VLOOKUP(Vlookup!$B203,'CDCM Volume Forecasts'!$A$27:$AG$123,E$137,FALSE)</f>
        <v>0</v>
      </c>
      <c r="F238" s="6">
        <f>VLOOKUP(Vlookup!$B203,'CDCM Volume Forecasts'!$A$27:$AG$123,F$137,FALSE)</f>
        <v>0</v>
      </c>
      <c r="G238" s="4">
        <f>VLOOKUP(Vlookup!$B203,'CDCM Volume Forecasts'!$A$27:$AG$123,G$137,FALSE)</f>
        <v>0</v>
      </c>
      <c r="H238" s="7"/>
      <c r="I238"/>
      <c r="J238"/>
      <c r="K238"/>
    </row>
    <row r="239" spans="1:11" ht="15">
      <c r="A239"/>
      <c r="B239"/>
      <c r="C239"/>
      <c r="D239"/>
      <c r="E239"/>
      <c r="F239"/>
      <c r="G239"/>
      <c r="H239"/>
      <c r="I239"/>
      <c r="J239"/>
      <c r="K239"/>
    </row>
    <row r="240" spans="1:11" ht="19.5">
      <c r="A240" s="1" t="s">
        <v>207</v>
      </c>
      <c r="B240"/>
      <c r="C240"/>
      <c r="D240"/>
      <c r="E240"/>
      <c r="F240"/>
      <c r="G240"/>
      <c r="H240"/>
      <c r="I240"/>
      <c r="J240"/>
      <c r="K240"/>
    </row>
    <row r="241" spans="1:11" ht="15">
      <c r="A241" s="2" t="s">
        <v>262</v>
      </c>
      <c r="B241"/>
      <c r="C241"/>
      <c r="D241"/>
      <c r="E241"/>
      <c r="F241"/>
      <c r="G241"/>
      <c r="H241"/>
      <c r="I241"/>
      <c r="J241"/>
      <c r="K241"/>
    </row>
    <row r="242" spans="1:11" ht="15">
      <c r="A242" t="s">
        <v>137</v>
      </c>
      <c r="B242"/>
      <c r="C242"/>
      <c r="D242"/>
      <c r="E242"/>
      <c r="F242"/>
      <c r="G242"/>
      <c r="H242"/>
      <c r="I242"/>
      <c r="J242"/>
      <c r="K242"/>
    </row>
    <row r="243" spans="1:11" ht="30">
      <c r="A243"/>
      <c r="B243" s="3" t="s">
        <v>208</v>
      </c>
      <c r="C243"/>
      <c r="D243"/>
      <c r="E243"/>
      <c r="F243"/>
      <c r="G243"/>
      <c r="H243"/>
      <c r="I243"/>
      <c r="J243"/>
      <c r="K243"/>
    </row>
    <row r="244" spans="1:11" ht="15">
      <c r="A244" s="8" t="s">
        <v>209</v>
      </c>
      <c r="B244" s="10">
        <f>VLOOKUP(Vlookup!B209,'CDCM Forecast Data'!$A$14:$I$271,5,FALSE)</f>
        <v>11976273.123932099</v>
      </c>
      <c r="C244" s="7" t="s">
        <v>262</v>
      </c>
      <c r="D244"/>
      <c r="E244"/>
      <c r="F244"/>
      <c r="G244"/>
      <c r="H244"/>
      <c r="I244"/>
      <c r="J244"/>
      <c r="K244"/>
    </row>
    <row r="245" spans="1:11" ht="15">
      <c r="A245"/>
      <c r="B245"/>
      <c r="C245"/>
      <c r="D245"/>
      <c r="E245"/>
      <c r="F245"/>
      <c r="G245"/>
      <c r="H245"/>
      <c r="I245"/>
      <c r="J245"/>
      <c r="K245"/>
    </row>
    <row r="246" spans="1:11" ht="19.5">
      <c r="A246" s="1" t="s">
        <v>210</v>
      </c>
      <c r="B246"/>
      <c r="C246"/>
      <c r="D246"/>
      <c r="E246"/>
      <c r="F246"/>
      <c r="G246"/>
      <c r="H246"/>
      <c r="I246"/>
      <c r="J246"/>
      <c r="K246"/>
    </row>
    <row r="247" spans="1:11" ht="15">
      <c r="A247" t="s">
        <v>262</v>
      </c>
      <c r="B247"/>
      <c r="C247"/>
      <c r="D247"/>
      <c r="E247"/>
      <c r="F247"/>
      <c r="G247"/>
      <c r="H247"/>
      <c r="I247"/>
      <c r="J247"/>
      <c r="K247"/>
    </row>
    <row r="248" spans="1:11" ht="30">
      <c r="A248"/>
      <c r="B248" s="3" t="s">
        <v>211</v>
      </c>
      <c r="C248" s="3" t="s">
        <v>212</v>
      </c>
      <c r="D248" s="3" t="s">
        <v>213</v>
      </c>
      <c r="E248" s="3" t="s">
        <v>214</v>
      </c>
      <c r="F248"/>
      <c r="G248"/>
      <c r="H248"/>
      <c r="I248"/>
      <c r="J248"/>
      <c r="K248"/>
    </row>
    <row r="249" spans="1:11" ht="15">
      <c r="A249" s="8" t="s">
        <v>215</v>
      </c>
      <c r="B249" s="10">
        <f>VLOOKUP(Vlookup!B214,'CDCM Forecast Data'!$A$14:$I$271,5,FALSE)</f>
        <v>26093896.10720193</v>
      </c>
      <c r="C249" s="10">
        <f>VLOOKUP(Vlookup!C214,'CDCM Forecast Data'!$A$14:$I$271,5,FALSE)</f>
        <v>108802306.51666826</v>
      </c>
      <c r="D249" s="11">
        <f>VLOOKUP(Vlookup!D214,'CDCM Forecast Data'!$A$14:$I$271,5,FALSE)</f>
        <v>0.6</v>
      </c>
      <c r="E249" s="10">
        <f>VLOOKUP(Vlookup!E214,'CDCM Forecast Data'!$A$14:$I$271,5,FALSE)</f>
        <v>32558777.802500002</v>
      </c>
      <c r="F249" s="7" t="s">
        <v>262</v>
      </c>
      <c r="G249"/>
      <c r="H249"/>
      <c r="I249"/>
      <c r="J249"/>
      <c r="K249"/>
    </row>
    <row r="250" spans="1:11" ht="15">
      <c r="A250"/>
      <c r="B250"/>
      <c r="C250"/>
      <c r="D250"/>
      <c r="E250"/>
      <c r="F250"/>
      <c r="G250"/>
      <c r="H250"/>
      <c r="I250"/>
      <c r="J250"/>
      <c r="K250"/>
    </row>
    <row r="251" spans="1:11" ht="19.5">
      <c r="A251" s="1" t="s">
        <v>216</v>
      </c>
      <c r="B251"/>
      <c r="C251"/>
      <c r="D251"/>
      <c r="E251"/>
      <c r="F251"/>
      <c r="G251"/>
      <c r="H251"/>
      <c r="I251"/>
      <c r="J251"/>
      <c r="K251"/>
    </row>
    <row r="252" spans="1:11" ht="15">
      <c r="A252" s="2"/>
      <c r="B252"/>
      <c r="C252"/>
      <c r="D252"/>
      <c r="E252"/>
      <c r="F252"/>
      <c r="G252"/>
      <c r="H252"/>
      <c r="I252"/>
      <c r="J252"/>
      <c r="K252"/>
    </row>
    <row r="253" spans="1:11" ht="15">
      <c r="A253" s="2" t="s">
        <v>217</v>
      </c>
      <c r="B253"/>
      <c r="C253"/>
      <c r="D253"/>
      <c r="E253"/>
      <c r="F253"/>
      <c r="G253"/>
      <c r="H253"/>
      <c r="I253"/>
      <c r="J253"/>
      <c r="K253"/>
    </row>
    <row r="254" spans="1:11" ht="15">
      <c r="A254" s="2" t="s">
        <v>218</v>
      </c>
      <c r="B254"/>
      <c r="C254"/>
      <c r="D254"/>
      <c r="E254"/>
      <c r="F254"/>
      <c r="G254"/>
      <c r="H254"/>
      <c r="I254"/>
      <c r="J254"/>
      <c r="K254"/>
    </row>
    <row r="255" spans="1:11" ht="15">
      <c r="A255" t="s">
        <v>219</v>
      </c>
      <c r="B255"/>
      <c r="C255"/>
      <c r="D255"/>
      <c r="E255"/>
      <c r="F255"/>
      <c r="G255"/>
      <c r="H255"/>
      <c r="I255"/>
      <c r="J255"/>
      <c r="K255"/>
    </row>
    <row r="256" spans="1:11" ht="30">
      <c r="A256"/>
      <c r="B256" s="3" t="s">
        <v>220</v>
      </c>
      <c r="C256" s="3" t="s">
        <v>221</v>
      </c>
      <c r="D256" s="3" t="s">
        <v>222</v>
      </c>
      <c r="E256" s="3" t="s">
        <v>223</v>
      </c>
      <c r="F256" s="3" t="s">
        <v>224</v>
      </c>
      <c r="G256" s="3" t="s">
        <v>225</v>
      </c>
      <c r="H256" s="3" t="s">
        <v>226</v>
      </c>
      <c r="I256" s="3" t="s">
        <v>227</v>
      </c>
      <c r="J256"/>
      <c r="K256"/>
    </row>
    <row r="257" spans="1:11" ht="15">
      <c r="A257" s="8" t="s">
        <v>228</v>
      </c>
      <c r="B257" s="11">
        <f>VLOOKUP(Vlookup!B222,'CDCM Forecast Data'!$A$14:$I$271,5,FALSE)</f>
        <v>0</v>
      </c>
      <c r="C257" s="11">
        <f>VLOOKUP(Vlookup!C222,'CDCM Forecast Data'!$A$14:$I$271,5,FALSE)</f>
        <v>0</v>
      </c>
      <c r="D257" s="11">
        <f>VLOOKUP(Vlookup!D222,'CDCM Forecast Data'!$A$14:$I$271,5,FALSE)</f>
        <v>0</v>
      </c>
      <c r="E257" s="11">
        <f>VLOOKUP(Vlookup!E222,'CDCM Forecast Data'!$A$14:$I$271,5,FALSE)</f>
        <v>0</v>
      </c>
      <c r="F257" s="11">
        <f>VLOOKUP(Vlookup!F222,'CDCM Forecast Data'!$A$14:$I$271,5,FALSE)</f>
        <v>0</v>
      </c>
      <c r="G257" s="11">
        <f>VLOOKUP(Vlookup!G222,'CDCM Forecast Data'!$A$14:$I$271,5,FALSE)</f>
        <v>0.38684969697494365</v>
      </c>
      <c r="H257" s="11">
        <f>VLOOKUP(Vlookup!H222,'CDCM Forecast Data'!$A$14:$I$271,5,FALSE)</f>
        <v>0.64124825573068889</v>
      </c>
      <c r="I257" s="11">
        <f>VLOOKUP(Vlookup!I222,'CDCM Forecast Data'!$A$14:$I$271,5,FALSE)</f>
        <v>0.89564681448643413</v>
      </c>
      <c r="J257" s="7" t="s">
        <v>262</v>
      </c>
      <c r="K257"/>
    </row>
    <row r="258" spans="1:11" ht="15">
      <c r="A258" s="8" t="s">
        <v>229</v>
      </c>
      <c r="B258" s="11">
        <f>VLOOKUP(Vlookup!B223,'CDCM Forecast Data'!$A$14:$I$271,5,FALSE)</f>
        <v>0</v>
      </c>
      <c r="C258" s="11">
        <f>VLOOKUP(Vlookup!C223,'CDCM Forecast Data'!$A$14:$I$271,5,FALSE)</f>
        <v>0</v>
      </c>
      <c r="D258" s="11">
        <f>VLOOKUP(Vlookup!D223,'CDCM Forecast Data'!$A$14:$I$271,5,FALSE)</f>
        <v>0</v>
      </c>
      <c r="E258" s="11">
        <f>VLOOKUP(Vlookup!E223,'CDCM Forecast Data'!$A$14:$I$271,5,FALSE)</f>
        <v>0</v>
      </c>
      <c r="F258" s="11">
        <f>VLOOKUP(Vlookup!F223,'CDCM Forecast Data'!$A$14:$I$271,5,FALSE)</f>
        <v>0</v>
      </c>
      <c r="G258" s="11">
        <f>VLOOKUP(Vlookup!G223,'CDCM Forecast Data'!$A$14:$I$271,5,FALSE)</f>
        <v>0.38684969697494365</v>
      </c>
      <c r="H258" s="11">
        <f>VLOOKUP(Vlookup!H223,'CDCM Forecast Data'!$A$14:$I$271,5,FALSE)</f>
        <v>0.64124825573068889</v>
      </c>
      <c r="I258" s="6"/>
      <c r="J258" s="7" t="s">
        <v>262</v>
      </c>
      <c r="K258"/>
    </row>
    <row r="259" spans="1:11" ht="15">
      <c r="A259" s="8" t="s">
        <v>230</v>
      </c>
      <c r="B259" s="11">
        <f>VLOOKUP(Vlookup!B224,'CDCM Forecast Data'!$A$14:$I$271,5,FALSE)</f>
        <v>0</v>
      </c>
      <c r="C259" s="11">
        <f>VLOOKUP(Vlookup!C224,'CDCM Forecast Data'!$A$14:$I$271,5,FALSE)</f>
        <v>0</v>
      </c>
      <c r="D259" s="11">
        <f>VLOOKUP(Vlookup!D224,'CDCM Forecast Data'!$A$14:$I$271,5,FALSE)</f>
        <v>0</v>
      </c>
      <c r="E259" s="11">
        <f>VLOOKUP(Vlookup!E224,'CDCM Forecast Data'!$A$14:$I$271,5,FALSE)</f>
        <v>0.25764106948138837</v>
      </c>
      <c r="F259" s="11">
        <f>VLOOKUP(Vlookup!F224,'CDCM Forecast Data'!$A$14:$I$271,5,FALSE)</f>
        <v>0.25764106948138837</v>
      </c>
      <c r="G259" s="11">
        <f>VLOOKUP(Vlookup!G224,'CDCM Forecast Data'!$A$14:$I$271,5,FALSE)</f>
        <v>0.51528213896277675</v>
      </c>
      <c r="H259" s="6"/>
      <c r="I259" s="6"/>
      <c r="J259" s="7" t="s">
        <v>262</v>
      </c>
      <c r="K259"/>
    </row>
    <row r="260" spans="1:11" ht="15">
      <c r="A260" s="8" t="s">
        <v>231</v>
      </c>
      <c r="B260" s="11">
        <f>VLOOKUP(Vlookup!B225,'CDCM Forecast Data'!$A$14:$I$271,5,FALSE)</f>
        <v>0</v>
      </c>
      <c r="C260" s="11">
        <f>VLOOKUP(Vlookup!C225,'CDCM Forecast Data'!$A$14:$I$271,5,FALSE)</f>
        <v>0</v>
      </c>
      <c r="D260" s="11">
        <f>VLOOKUP(Vlookup!D225,'CDCM Forecast Data'!$A$14:$I$271,5,FALSE)</f>
        <v>0</v>
      </c>
      <c r="E260" s="11">
        <f>VLOOKUP(Vlookup!E225,'CDCM Forecast Data'!$A$14:$I$271,5,FALSE)</f>
        <v>0.25764106948138837</v>
      </c>
      <c r="F260" s="6"/>
      <c r="G260" s="6"/>
      <c r="H260" s="6"/>
      <c r="I260" s="6"/>
      <c r="J260" s="7" t="s">
        <v>262</v>
      </c>
      <c r="K260"/>
    </row>
    <row r="261" spans="1:11" ht="15">
      <c r="A261"/>
      <c r="B261"/>
      <c r="C261"/>
      <c r="D261"/>
      <c r="E261"/>
      <c r="F261"/>
      <c r="G261"/>
      <c r="H261"/>
      <c r="I261"/>
      <c r="J261"/>
      <c r="K261"/>
    </row>
    <row r="262" spans="1:11" ht="19.5">
      <c r="A262" s="1" t="s">
        <v>232</v>
      </c>
      <c r="B262"/>
      <c r="C262"/>
      <c r="D262"/>
      <c r="E262"/>
      <c r="F262"/>
      <c r="G262"/>
      <c r="H262"/>
      <c r="I262"/>
      <c r="J262"/>
      <c r="K262"/>
    </row>
    <row r="263" spans="1:11" ht="15">
      <c r="A263"/>
      <c r="B263"/>
      <c r="C263"/>
      <c r="D263"/>
      <c r="E263"/>
      <c r="F263"/>
      <c r="G263"/>
      <c r="H263"/>
      <c r="I263"/>
      <c r="J263"/>
      <c r="K263"/>
    </row>
    <row r="264" spans="1:11" ht="15">
      <c r="A264"/>
      <c r="B264" s="3" t="s">
        <v>233</v>
      </c>
      <c r="C264" s="3" t="s">
        <v>234</v>
      </c>
      <c r="D264" s="3" t="s">
        <v>235</v>
      </c>
      <c r="E264"/>
      <c r="F264"/>
      <c r="G264"/>
      <c r="H264"/>
      <c r="I264"/>
      <c r="J264"/>
      <c r="K264"/>
    </row>
    <row r="265" spans="1:11" ht="15">
      <c r="A265" s="8" t="s">
        <v>92</v>
      </c>
      <c r="B265" s="11">
        <f>VLOOKUP(Vlookup!B235,'CDCM Forecast Data'!$A$14:$I$271,5,FALSE)</f>
        <v>0.15163735853906232</v>
      </c>
      <c r="C265" s="11">
        <f>VLOOKUP(Vlookup!C235,'CDCM Forecast Data'!$A$14:$I$271,5,FALSE)</f>
        <v>0.41909005511697384</v>
      </c>
      <c r="D265" s="11">
        <f>VLOOKUP(Vlookup!D235,'CDCM Forecast Data'!$A$14:$I$271,5,FALSE)</f>
        <v>0.42927258634396387</v>
      </c>
      <c r="E265" s="7" t="s">
        <v>262</v>
      </c>
      <c r="F265"/>
      <c r="G265"/>
      <c r="H265"/>
      <c r="I265"/>
      <c r="J265"/>
      <c r="K265"/>
    </row>
    <row r="266" spans="1:11" ht="15">
      <c r="A266" s="8" t="s">
        <v>93</v>
      </c>
      <c r="B266" s="11">
        <f>VLOOKUP(Vlookup!B236,'CDCM Forecast Data'!$A$14:$I$271,5,FALSE)</f>
        <v>0.14794456993942195</v>
      </c>
      <c r="C266" s="11">
        <f>VLOOKUP(Vlookup!C236,'CDCM Forecast Data'!$A$14:$I$271,5,FALSE)</f>
        <v>0.41591847408405047</v>
      </c>
      <c r="D266" s="11">
        <f>VLOOKUP(Vlookup!D236,'CDCM Forecast Data'!$A$14:$I$271,5,FALSE)</f>
        <v>0.43613695597652757</v>
      </c>
      <c r="E266" s="7" t="s">
        <v>262</v>
      </c>
      <c r="F266"/>
      <c r="G266"/>
      <c r="H266"/>
      <c r="I266"/>
      <c r="J266"/>
      <c r="K266"/>
    </row>
    <row r="267" spans="1:11" ht="15">
      <c r="A267" s="8" t="s">
        <v>129</v>
      </c>
      <c r="B267" s="11">
        <f>VLOOKUP(Vlookup!B237,'CDCM Forecast Data'!$A$14:$I$271,5,FALSE)</f>
        <v>2.8213273611215495E-3</v>
      </c>
      <c r="C267" s="11">
        <f>VLOOKUP(Vlookup!C237,'CDCM Forecast Data'!$A$14:$I$271,5,FALSE)</f>
        <v>0.20906851428116469</v>
      </c>
      <c r="D267" s="11">
        <f>VLOOKUP(Vlookup!D237,'CDCM Forecast Data'!$A$14:$I$271,5,FALSE)</f>
        <v>0.78811015835771381</v>
      </c>
      <c r="E267" s="7"/>
      <c r="F267"/>
      <c r="G267"/>
      <c r="H267"/>
      <c r="I267"/>
      <c r="J267"/>
      <c r="K267"/>
    </row>
    <row r="268" spans="1:11" ht="15">
      <c r="A268" s="8" t="s">
        <v>94</v>
      </c>
      <c r="B268" s="11">
        <f>VLOOKUP(Vlookup!B238,'CDCM Forecast Data'!$A$14:$I$271,5,FALSE)</f>
        <v>0.13166491281892173</v>
      </c>
      <c r="C268" s="11">
        <f>VLOOKUP(Vlookup!C238,'CDCM Forecast Data'!$A$14:$I$271,5,FALSE)</f>
        <v>0.58418150754710119</v>
      </c>
      <c r="D268" s="11">
        <f>VLOOKUP(Vlookup!D238,'CDCM Forecast Data'!$A$14:$I$271,5,FALSE)</f>
        <v>0.28415357963397708</v>
      </c>
      <c r="E268" s="7"/>
      <c r="F268"/>
      <c r="G268"/>
      <c r="H268"/>
      <c r="I268"/>
      <c r="J268"/>
      <c r="K268"/>
    </row>
    <row r="269" spans="1:11" ht="15">
      <c r="A269" s="8" t="s">
        <v>95</v>
      </c>
      <c r="B269" s="11">
        <f>VLOOKUP(Vlookup!B239,'CDCM Forecast Data'!$A$14:$I$271,5,FALSE)</f>
        <v>0.13097267676429289</v>
      </c>
      <c r="C269" s="11">
        <f>VLOOKUP(Vlookup!C239,'CDCM Forecast Data'!$A$14:$I$271,5,FALSE)</f>
        <v>0.53624987448173789</v>
      </c>
      <c r="D269" s="11">
        <f>VLOOKUP(Vlookup!D239,'CDCM Forecast Data'!$A$14:$I$271,5,FALSE)</f>
        <v>0.33277744875396925</v>
      </c>
      <c r="E269" s="7" t="s">
        <v>262</v>
      </c>
      <c r="F269"/>
      <c r="G269"/>
      <c r="H269"/>
      <c r="I269"/>
      <c r="J269"/>
      <c r="K269"/>
    </row>
    <row r="270" spans="1:11" ht="15">
      <c r="A270" s="8" t="s">
        <v>130</v>
      </c>
      <c r="B270" s="11">
        <f>VLOOKUP(Vlookup!B240,'CDCM Forecast Data'!$A$14:$I$271,5,FALSE)</f>
        <v>2.1180943708626887E-2</v>
      </c>
      <c r="C270" s="11">
        <f>VLOOKUP(Vlookup!C240,'CDCM Forecast Data'!$A$14:$I$271,5,FALSE)</f>
        <v>0.17461755756654385</v>
      </c>
      <c r="D270" s="11">
        <f>VLOOKUP(Vlookup!D240,'CDCM Forecast Data'!$A$14:$I$271,5,FALSE)</f>
        <v>0.80420149872482938</v>
      </c>
      <c r="E270" s="7" t="s">
        <v>262</v>
      </c>
      <c r="F270"/>
      <c r="G270"/>
      <c r="H270"/>
      <c r="I270"/>
      <c r="J270"/>
      <c r="K270"/>
    </row>
    <row r="271" spans="1:11" ht="15">
      <c r="A271" s="8" t="s">
        <v>96</v>
      </c>
      <c r="B271" s="11">
        <f>VLOOKUP(Vlookup!B241,'CDCM Forecast Data'!$A$14:$I$271,5,FALSE)</f>
        <v>0.13675751648464302</v>
      </c>
      <c r="C271" s="11">
        <f>VLOOKUP(Vlookup!C241,'CDCM Forecast Data'!$A$14:$I$271,5,FALSE)</f>
        <v>0.52643299691979983</v>
      </c>
      <c r="D271" s="11">
        <f>VLOOKUP(Vlookup!D241,'CDCM Forecast Data'!$A$14:$I$271,5,FALSE)</f>
        <v>0.33680948659555715</v>
      </c>
      <c r="E271" s="7" t="s">
        <v>262</v>
      </c>
      <c r="F271"/>
      <c r="G271"/>
      <c r="H271"/>
      <c r="I271"/>
      <c r="J271"/>
      <c r="K271"/>
    </row>
    <row r="272" spans="1:11" ht="15">
      <c r="A272" s="8" t="s">
        <v>97</v>
      </c>
      <c r="B272" s="11">
        <f>VLOOKUP(Vlookup!B242,'CDCM Forecast Data'!$A$14:$I$271,5,FALSE)</f>
        <v>0.13246682554357336</v>
      </c>
      <c r="C272" s="11">
        <f>VLOOKUP(Vlookup!C242,'CDCM Forecast Data'!$A$14:$I$271,5,FALSE)</f>
        <v>0.5419021330055962</v>
      </c>
      <c r="D272" s="11">
        <f>VLOOKUP(Vlookup!D242,'CDCM Forecast Data'!$A$14:$I$271,5,FALSE)</f>
        <v>0.32563104145083038</v>
      </c>
      <c r="E272" s="7" t="s">
        <v>262</v>
      </c>
      <c r="F272"/>
      <c r="G272"/>
      <c r="H272"/>
      <c r="I272"/>
      <c r="J272"/>
      <c r="K272"/>
    </row>
    <row r="273" spans="1:11" ht="15">
      <c r="A273" s="8" t="s">
        <v>110</v>
      </c>
      <c r="B273" s="11">
        <f>VLOOKUP(Vlookup!B243,'CDCM Forecast Data'!$A$14:$I$271,5,FALSE)</f>
        <v>0.13067404581003325</v>
      </c>
      <c r="C273" s="11">
        <f>VLOOKUP(Vlookup!C243,'CDCM Forecast Data'!$A$14:$I$271,5,FALSE)</f>
        <v>0.55375454532068635</v>
      </c>
      <c r="D273" s="11">
        <f>VLOOKUP(Vlookup!D243,'CDCM Forecast Data'!$A$14:$I$271,5,FALSE)</f>
        <v>0.31557140886928042</v>
      </c>
      <c r="E273" s="7" t="s">
        <v>262</v>
      </c>
      <c r="F273"/>
      <c r="G273"/>
      <c r="H273"/>
      <c r="I273"/>
      <c r="J273"/>
      <c r="K273"/>
    </row>
    <row r="274" spans="1:11" ht="15">
      <c r="A274"/>
      <c r="B274"/>
      <c r="C274"/>
      <c r="D274"/>
      <c r="E274"/>
      <c r="F274"/>
      <c r="G274"/>
      <c r="H274"/>
      <c r="I274"/>
      <c r="J274"/>
      <c r="K274"/>
    </row>
    <row r="275" spans="1:11" ht="19.5">
      <c r="A275" s="1" t="s">
        <v>236</v>
      </c>
      <c r="B275"/>
      <c r="C275"/>
      <c r="D275"/>
      <c r="E275"/>
      <c r="F275"/>
      <c r="G275"/>
      <c r="H275"/>
      <c r="I275"/>
      <c r="J275"/>
      <c r="K275"/>
    </row>
    <row r="276" spans="1:11" ht="15">
      <c r="A276"/>
      <c r="B276"/>
      <c r="C276"/>
      <c r="D276"/>
      <c r="E276"/>
      <c r="F276"/>
      <c r="G276"/>
      <c r="H276"/>
      <c r="I276"/>
      <c r="J276"/>
      <c r="K276"/>
    </row>
    <row r="277" spans="1:11" ht="15">
      <c r="A277"/>
      <c r="B277" s="3" t="s">
        <v>233</v>
      </c>
      <c r="C277" s="3" t="s">
        <v>234</v>
      </c>
      <c r="D277" s="3" t="s">
        <v>235</v>
      </c>
      <c r="E277"/>
      <c r="F277"/>
      <c r="G277"/>
      <c r="H277"/>
      <c r="I277"/>
      <c r="J277"/>
      <c r="K277"/>
    </row>
    <row r="278" spans="1:11" ht="15">
      <c r="A278" s="8" t="s">
        <v>93</v>
      </c>
      <c r="B278" s="11">
        <f>VLOOKUP(Vlookup!B251,'CDCM Forecast Data'!$A$14:$I$271,5,FALSE)</f>
        <v>0</v>
      </c>
      <c r="C278" s="11">
        <f>VLOOKUP(Vlookup!C251,'CDCM Forecast Data'!$A$14:$I$271,5,FALSE)</f>
        <v>0</v>
      </c>
      <c r="D278" s="11">
        <f>VLOOKUP(Vlookup!D251,'CDCM Forecast Data'!$A$14:$I$271,5,FALSE)</f>
        <v>1</v>
      </c>
      <c r="E278" s="7" t="s">
        <v>262</v>
      </c>
      <c r="F278"/>
      <c r="G278"/>
      <c r="H278"/>
      <c r="I278"/>
      <c r="J278"/>
      <c r="K278"/>
    </row>
    <row r="279" spans="1:11" ht="15">
      <c r="A279" s="8" t="s">
        <v>95</v>
      </c>
      <c r="B279" s="11">
        <f>VLOOKUP(Vlookup!B252,'CDCM Forecast Data'!$A$14:$I$271,5,FALSE)</f>
        <v>0</v>
      </c>
      <c r="C279" s="11">
        <f>VLOOKUP(Vlookup!C252,'CDCM Forecast Data'!$A$14:$I$271,5,FALSE)</f>
        <v>0</v>
      </c>
      <c r="D279" s="11">
        <f>VLOOKUP(Vlookup!D252,'CDCM Forecast Data'!$A$14:$I$271,5,FALSE)</f>
        <v>1</v>
      </c>
      <c r="E279" s="7" t="s">
        <v>262</v>
      </c>
      <c r="F279"/>
      <c r="G279"/>
      <c r="H279"/>
      <c r="I279"/>
      <c r="J279"/>
      <c r="K279"/>
    </row>
    <row r="280" spans="1:11" ht="15">
      <c r="A280" s="8" t="s">
        <v>96</v>
      </c>
      <c r="B280" s="11">
        <f>VLOOKUP(Vlookup!B253,'CDCM Forecast Data'!$A$14:$I$271,5,FALSE)</f>
        <v>0</v>
      </c>
      <c r="C280" s="11">
        <f>VLOOKUP(Vlookup!C253,'CDCM Forecast Data'!$A$14:$I$271,5,FALSE)</f>
        <v>0</v>
      </c>
      <c r="D280" s="11">
        <f>VLOOKUP(Vlookup!D253,'CDCM Forecast Data'!$A$14:$I$271,5,FALSE)</f>
        <v>1</v>
      </c>
      <c r="E280" s="7" t="s">
        <v>262</v>
      </c>
      <c r="F280"/>
      <c r="G280"/>
      <c r="H280"/>
      <c r="I280"/>
      <c r="J280"/>
      <c r="K280"/>
    </row>
    <row r="281" spans="1:11" ht="15">
      <c r="A281" s="8" t="s">
        <v>97</v>
      </c>
      <c r="B281" s="11">
        <f>VLOOKUP(Vlookup!B254,'CDCM Forecast Data'!$A$14:$I$271,5,FALSE)</f>
        <v>0</v>
      </c>
      <c r="C281" s="11">
        <f>VLOOKUP(Vlookup!C254,'CDCM Forecast Data'!$A$14:$I$271,5,FALSE)</f>
        <v>0</v>
      </c>
      <c r="D281" s="11">
        <f>VLOOKUP(Vlookup!D254,'CDCM Forecast Data'!$A$14:$I$271,5,FALSE)</f>
        <v>1</v>
      </c>
      <c r="E281" s="7" t="s">
        <v>262</v>
      </c>
      <c r="F281"/>
      <c r="G281"/>
      <c r="H281"/>
      <c r="I281"/>
      <c r="J281"/>
      <c r="K281"/>
    </row>
    <row r="282" spans="1:11" ht="15">
      <c r="A282" s="8" t="s">
        <v>110</v>
      </c>
      <c r="B282" s="11">
        <f>VLOOKUP(Vlookup!B255,'CDCM Forecast Data'!$A$14:$I$271,5,FALSE)</f>
        <v>0</v>
      </c>
      <c r="C282" s="11">
        <f>VLOOKUP(Vlookup!C255,'CDCM Forecast Data'!$A$14:$I$271,5,FALSE)</f>
        <v>0</v>
      </c>
      <c r="D282" s="11">
        <f>VLOOKUP(Vlookup!D255,'CDCM Forecast Data'!$A$14:$I$271,5,FALSE)</f>
        <v>1</v>
      </c>
      <c r="E282" s="7" t="s">
        <v>262</v>
      </c>
      <c r="F282"/>
      <c r="G282"/>
      <c r="H282"/>
      <c r="I282"/>
      <c r="J282"/>
      <c r="K282"/>
    </row>
    <row r="283" spans="1:11" ht="15">
      <c r="A283"/>
      <c r="B283"/>
      <c r="C283"/>
      <c r="D283"/>
      <c r="E283"/>
      <c r="F283"/>
      <c r="G283"/>
      <c r="H283"/>
      <c r="I283"/>
      <c r="J283"/>
      <c r="K283"/>
    </row>
    <row r="284" spans="1:11" ht="19.5">
      <c r="A284" s="1" t="s">
        <v>237</v>
      </c>
      <c r="B284"/>
      <c r="C284"/>
      <c r="D284"/>
      <c r="E284"/>
      <c r="F284"/>
      <c r="G284"/>
      <c r="H284"/>
      <c r="I284"/>
      <c r="J284"/>
      <c r="K284"/>
    </row>
    <row r="285" spans="1:11" ht="15">
      <c r="A285"/>
      <c r="B285"/>
      <c r="C285"/>
      <c r="D285"/>
      <c r="E285"/>
      <c r="F285"/>
      <c r="G285"/>
      <c r="H285"/>
      <c r="I285"/>
      <c r="J285"/>
      <c r="K285"/>
    </row>
    <row r="286" spans="1:11" ht="15">
      <c r="A286"/>
      <c r="B286" s="3" t="s">
        <v>233</v>
      </c>
      <c r="C286" s="3" t="s">
        <v>234</v>
      </c>
      <c r="D286" s="3" t="s">
        <v>235</v>
      </c>
      <c r="E286" t="s">
        <v>262</v>
      </c>
      <c r="F286"/>
      <c r="G286"/>
      <c r="H286"/>
      <c r="I286"/>
      <c r="J286"/>
      <c r="K286"/>
    </row>
    <row r="287" spans="1:11" ht="15">
      <c r="A287" s="8" t="s">
        <v>131</v>
      </c>
      <c r="B287" s="11">
        <f>VLOOKUP(Vlookup!B260,'CDCM Forecast Data'!$A$14:$I$271,5,FALSE)</f>
        <v>2.9337899543378995E-2</v>
      </c>
      <c r="C287" s="11">
        <f>VLOOKUP(Vlookup!C260,'CDCM Forecast Data'!$A$14:$I$271,5,FALSE)</f>
        <v>0.37237442922374431</v>
      </c>
      <c r="D287" s="11">
        <f>VLOOKUP(Vlookup!D260,'CDCM Forecast Data'!$A$14:$I$271,5,FALSE)</f>
        <v>0.59828767123287674</v>
      </c>
      <c r="E287" s="7" t="s">
        <v>262</v>
      </c>
      <c r="F287"/>
      <c r="G287"/>
      <c r="H287"/>
      <c r="I287"/>
      <c r="J287"/>
      <c r="K287"/>
    </row>
    <row r="288" spans="1:11" ht="15">
      <c r="A288" s="8" t="s">
        <v>132</v>
      </c>
      <c r="B288" s="11">
        <f>VLOOKUP(Vlookup!B261,'CDCM Forecast Data'!$A$14:$I$271,5,FALSE)</f>
        <v>4.891355254087474E-2</v>
      </c>
      <c r="C288" s="11">
        <f>VLOOKUP(Vlookup!C261,'CDCM Forecast Data'!$A$14:$I$271,5,FALSE)</f>
        <v>8.8639017251141775E-2</v>
      </c>
      <c r="D288" s="11">
        <f>VLOOKUP(Vlookup!D261,'CDCM Forecast Data'!$A$14:$I$271,5,FALSE)</f>
        <v>0.86244743020798342</v>
      </c>
      <c r="E288" s="7" t="s">
        <v>262</v>
      </c>
      <c r="F288"/>
      <c r="G288"/>
      <c r="H288"/>
      <c r="I288"/>
      <c r="J288"/>
      <c r="K288"/>
    </row>
    <row r="289" spans="1:11" ht="15">
      <c r="A289" s="8" t="s">
        <v>133</v>
      </c>
      <c r="B289" s="11">
        <f>VLOOKUP(Vlookup!B262,'CDCM Forecast Data'!$A$14:$I$271,5,FALSE)</f>
        <v>8.9373751938750981E-2</v>
      </c>
      <c r="C289" s="11">
        <f>VLOOKUP(Vlookup!C262,'CDCM Forecast Data'!$A$14:$I$271,5,FALSE)</f>
        <v>0.1511733177646977</v>
      </c>
      <c r="D289" s="11">
        <f>VLOOKUP(Vlookup!D262,'CDCM Forecast Data'!$A$14:$I$271,5,FALSE)</f>
        <v>0.75945293029655137</v>
      </c>
      <c r="E289" s="7" t="s">
        <v>262</v>
      </c>
      <c r="F289"/>
      <c r="G289"/>
      <c r="H289"/>
      <c r="I289"/>
      <c r="J289"/>
      <c r="K289"/>
    </row>
    <row r="290" spans="1:11" ht="15">
      <c r="A290" s="8" t="s">
        <v>134</v>
      </c>
      <c r="B290" s="11">
        <f>VLOOKUP(Vlookup!B263,'CDCM Forecast Data'!$A$14:$I$271,5,FALSE)</f>
        <v>9.8662176030754195E-3</v>
      </c>
      <c r="C290" s="11">
        <f>VLOOKUP(Vlookup!C263,'CDCM Forecast Data'!$A$14:$I$271,5,FALSE)</f>
        <v>0.63526803788016351</v>
      </c>
      <c r="D290" s="11">
        <f>VLOOKUP(Vlookup!D263,'CDCM Forecast Data'!$A$14:$I$271,5,FALSE)</f>
        <v>0.35486574451676106</v>
      </c>
      <c r="E290" s="7" t="s">
        <v>262</v>
      </c>
      <c r="F290"/>
      <c r="G290"/>
      <c r="H290"/>
      <c r="I290"/>
      <c r="J290"/>
      <c r="K290"/>
    </row>
    <row r="291" spans="1:11" ht="15">
      <c r="A291"/>
      <c r="B291"/>
      <c r="C291"/>
      <c r="D291"/>
      <c r="E291"/>
      <c r="F291"/>
      <c r="G291"/>
      <c r="H291"/>
      <c r="I291"/>
      <c r="J291"/>
      <c r="K291"/>
    </row>
    <row r="292" spans="1:11" ht="19.5">
      <c r="A292" s="1" t="s">
        <v>240</v>
      </c>
      <c r="B292"/>
      <c r="C292"/>
      <c r="D292"/>
      <c r="E292"/>
      <c r="F292"/>
      <c r="G292"/>
      <c r="H292"/>
      <c r="I292"/>
      <c r="J292"/>
      <c r="K292"/>
    </row>
    <row r="293" spans="1:11" ht="15">
      <c r="A293" s="2" t="s">
        <v>241</v>
      </c>
      <c r="B293"/>
      <c r="C293"/>
      <c r="D293"/>
      <c r="E293"/>
      <c r="F293"/>
      <c r="G293"/>
      <c r="H293"/>
      <c r="I293"/>
      <c r="J293"/>
      <c r="K293"/>
    </row>
    <row r="294" spans="1:11" ht="15">
      <c r="A294" s="2" t="s">
        <v>242</v>
      </c>
      <c r="B294"/>
      <c r="C294"/>
      <c r="D294"/>
      <c r="E294"/>
      <c r="F294"/>
      <c r="G294"/>
      <c r="H294"/>
      <c r="I294"/>
      <c r="J294"/>
      <c r="K294"/>
    </row>
    <row r="295" spans="1:11" ht="15">
      <c r="A295"/>
      <c r="B295"/>
      <c r="C295"/>
      <c r="D295"/>
      <c r="E295"/>
      <c r="F295"/>
      <c r="G295"/>
      <c r="H295"/>
      <c r="I295"/>
      <c r="J295"/>
      <c r="K295"/>
    </row>
    <row r="296" spans="1:11" ht="15">
      <c r="A296"/>
      <c r="B296" s="3" t="s">
        <v>233</v>
      </c>
      <c r="C296" s="3" t="s">
        <v>234</v>
      </c>
      <c r="D296" s="3" t="s">
        <v>235</v>
      </c>
      <c r="E296"/>
      <c r="F296"/>
      <c r="G296"/>
      <c r="H296"/>
      <c r="I296"/>
      <c r="J296"/>
      <c r="K296"/>
    </row>
    <row r="297" spans="1:11" ht="15">
      <c r="A297" s="8" t="s">
        <v>243</v>
      </c>
      <c r="B297" s="14">
        <f>VLOOKUP(Vlookup!B270,'CDCM Forecast Data'!$A$14:$I$271,5,FALSE)</f>
        <v>258</v>
      </c>
      <c r="C297" s="14">
        <f>VLOOKUP(Vlookup!C270,'CDCM Forecast Data'!$A$14:$I$271,5,FALSE)</f>
        <v>3252</v>
      </c>
      <c r="D297" s="14">
        <f>VLOOKUP(Vlookup!D270,'CDCM Forecast Data'!$A$14:$I$271,5,FALSE)</f>
        <v>5250</v>
      </c>
      <c r="E297" s="7" t="s">
        <v>262</v>
      </c>
      <c r="F297"/>
      <c r="G297"/>
      <c r="H297"/>
      <c r="I297"/>
      <c r="J297"/>
      <c r="K297"/>
    </row>
    <row r="298" spans="1:11" ht="15">
      <c r="A298"/>
      <c r="B298"/>
      <c r="C298"/>
      <c r="D298"/>
      <c r="E298"/>
      <c r="F298"/>
      <c r="G298"/>
      <c r="H298"/>
      <c r="I298"/>
      <c r="J298"/>
      <c r="K298"/>
    </row>
    <row r="299" spans="1:11" ht="19.5">
      <c r="A299" s="1" t="s">
        <v>244</v>
      </c>
      <c r="B299"/>
      <c r="C299"/>
      <c r="D299"/>
      <c r="E299"/>
      <c r="F299"/>
      <c r="G299"/>
      <c r="H299"/>
      <c r="I299"/>
      <c r="J299"/>
      <c r="K299"/>
    </row>
    <row r="300" spans="1:11" ht="15">
      <c r="A300" s="2"/>
      <c r="B300"/>
      <c r="C300"/>
      <c r="D300"/>
      <c r="E300"/>
      <c r="F300"/>
      <c r="G300"/>
      <c r="H300"/>
      <c r="I300"/>
      <c r="J300"/>
      <c r="K300"/>
    </row>
    <row r="301" spans="1:11" ht="15">
      <c r="A301" s="2" t="s">
        <v>241</v>
      </c>
      <c r="B301"/>
      <c r="C301"/>
      <c r="D301"/>
      <c r="E301"/>
      <c r="F301"/>
      <c r="G301"/>
      <c r="H301"/>
      <c r="I301"/>
      <c r="J301"/>
      <c r="K301"/>
    </row>
    <row r="302" spans="1:11" ht="15">
      <c r="A302" t="s">
        <v>242</v>
      </c>
      <c r="B302"/>
      <c r="C302"/>
      <c r="D302"/>
      <c r="E302"/>
      <c r="F302"/>
      <c r="G302"/>
      <c r="H302"/>
      <c r="I302"/>
      <c r="J302"/>
      <c r="K302"/>
    </row>
    <row r="303" spans="1:11" ht="15">
      <c r="A303"/>
      <c r="B303" s="3" t="s">
        <v>233</v>
      </c>
      <c r="C303" s="3" t="s">
        <v>234</v>
      </c>
      <c r="D303" s="3" t="s">
        <v>235</v>
      </c>
      <c r="E303"/>
      <c r="F303"/>
      <c r="G303"/>
      <c r="H303"/>
      <c r="I303"/>
      <c r="J303"/>
      <c r="K303"/>
    </row>
    <row r="304" spans="1:11" ht="15">
      <c r="A304" s="8" t="s">
        <v>243</v>
      </c>
      <c r="B304" s="14">
        <f>VLOOKUP(Vlookup!B277,'CDCM Forecast Data'!$A$14:$I$271,5,FALSE)</f>
        <v>780</v>
      </c>
      <c r="C304" s="14">
        <f>VLOOKUP(Vlookup!C277,'CDCM Forecast Data'!$A$14:$I$271,5,FALSE)</f>
        <v>2730</v>
      </c>
      <c r="D304" s="14">
        <f>VLOOKUP(Vlookup!D277,'CDCM Forecast Data'!$A$14:$I$271,5,FALSE)</f>
        <v>5250</v>
      </c>
      <c r="E304" s="7" t="s">
        <v>262</v>
      </c>
      <c r="F304"/>
      <c r="G304"/>
      <c r="H304"/>
      <c r="I304"/>
      <c r="J304"/>
      <c r="K304"/>
    </row>
    <row r="305" spans="1:11" ht="15">
      <c r="A305"/>
      <c r="B305"/>
      <c r="C305"/>
      <c r="D305"/>
      <c r="E305"/>
      <c r="F305"/>
      <c r="G305"/>
      <c r="H305"/>
      <c r="I305"/>
      <c r="J305"/>
      <c r="K305"/>
    </row>
    <row r="306" spans="1:11" ht="19.5">
      <c r="A306" s="1" t="s">
        <v>245</v>
      </c>
      <c r="B306"/>
      <c r="C306"/>
      <c r="D306"/>
      <c r="E306"/>
      <c r="F306"/>
      <c r="G306"/>
      <c r="H306"/>
      <c r="I306"/>
      <c r="J306"/>
      <c r="K306"/>
    </row>
    <row r="307" spans="1:11" ht="15">
      <c r="A307" s="2"/>
      <c r="B307"/>
      <c r="C307"/>
      <c r="D307"/>
      <c r="E307"/>
      <c r="F307"/>
      <c r="G307"/>
      <c r="H307"/>
      <c r="I307"/>
      <c r="J307"/>
      <c r="K307"/>
    </row>
    <row r="308" spans="1:11" ht="15">
      <c r="A308"/>
      <c r="B308"/>
      <c r="C308"/>
      <c r="D308"/>
      <c r="E308"/>
      <c r="F308"/>
      <c r="G308"/>
      <c r="H308"/>
      <c r="I308"/>
      <c r="J308"/>
      <c r="K308"/>
    </row>
    <row r="309" spans="1:11" ht="15">
      <c r="A309" t="s">
        <v>246</v>
      </c>
      <c r="B309" s="15"/>
      <c r="C309" s="15"/>
      <c r="D309" s="15"/>
      <c r="E309"/>
      <c r="F309"/>
      <c r="G309"/>
      <c r="H309"/>
      <c r="I309"/>
      <c r="J309"/>
      <c r="K309"/>
    </row>
    <row r="310" spans="1:11" ht="15">
      <c r="A310"/>
      <c r="B310" s="3" t="s">
        <v>233</v>
      </c>
      <c r="C310" s="3" t="s">
        <v>234</v>
      </c>
      <c r="D310" s="3" t="s">
        <v>235</v>
      </c>
      <c r="E310" s="3" t="s">
        <v>238</v>
      </c>
      <c r="F310"/>
      <c r="G310"/>
      <c r="H310"/>
      <c r="I310"/>
      <c r="J310"/>
      <c r="K310"/>
    </row>
    <row r="311" spans="1:11" ht="15">
      <c r="A311" s="8" t="s">
        <v>60</v>
      </c>
      <c r="B311" s="11">
        <f>VLOOKUP(Vlookup!B283,'CDCM Forecast Data'!$A$14:$I$271,5,FALSE)</f>
        <v>0.85470794540392048</v>
      </c>
      <c r="C311" s="11">
        <f>VLOOKUP(Vlookup!C283,'CDCM Forecast Data'!$A$14:$I$271,5,FALSE)</f>
        <v>0.14529205459607944</v>
      </c>
      <c r="D311" s="11">
        <f>VLOOKUP(Vlookup!D283,'CDCM Forecast Data'!$A$14:$I$271,5,FALSE)</f>
        <v>0</v>
      </c>
      <c r="E311" s="11">
        <f>VLOOKUP(Vlookup!E283,'CDCM Forecast Data'!$A$14:$I$271,5,FALSE)</f>
        <v>0.84810150959791342</v>
      </c>
      <c r="F311" s="7" t="s">
        <v>262</v>
      </c>
      <c r="G311"/>
      <c r="H311"/>
      <c r="I311"/>
      <c r="J311"/>
      <c r="K311"/>
    </row>
    <row r="312" spans="1:11" ht="15">
      <c r="A312" s="8" t="s">
        <v>61</v>
      </c>
      <c r="B312" s="11">
        <f>VLOOKUP(Vlookup!B284,'CDCM Forecast Data'!$A$14:$I$271,5,FALSE)</f>
        <v>0.73347807576361312</v>
      </c>
      <c r="C312" s="11">
        <f>VLOOKUP(Vlookup!C284,'CDCM Forecast Data'!$A$14:$I$271,5,FALSE)</f>
        <v>0.23785008473510372</v>
      </c>
      <c r="D312" s="11">
        <f>VLOOKUP(Vlookup!D284,'CDCM Forecast Data'!$A$14:$I$271,5,FALSE)</f>
        <v>2.8671839501283092E-2</v>
      </c>
      <c r="E312" s="11">
        <f>VLOOKUP(Vlookup!E284,'CDCM Forecast Data'!$A$14:$I$271,5,FALSE)</f>
        <v>0.72115228218186689</v>
      </c>
      <c r="F312" s="7" t="s">
        <v>262</v>
      </c>
      <c r="G312"/>
      <c r="H312"/>
      <c r="I312"/>
      <c r="J312"/>
      <c r="K312"/>
    </row>
    <row r="313" spans="1:11" ht="15">
      <c r="A313" s="8" t="s">
        <v>62</v>
      </c>
      <c r="B313" s="11">
        <f>VLOOKUP(Vlookup!B285,'CDCM Forecast Data'!$A$14:$I$271,5,FALSE)</f>
        <v>0.73347807576361312</v>
      </c>
      <c r="C313" s="11">
        <f>VLOOKUP(Vlookup!C285,'CDCM Forecast Data'!$A$14:$I$271,5,FALSE)</f>
        <v>0.23785008473510372</v>
      </c>
      <c r="D313" s="11">
        <f>VLOOKUP(Vlookup!D285,'CDCM Forecast Data'!$A$14:$I$271,5,FALSE)</f>
        <v>2.8671839501283092E-2</v>
      </c>
      <c r="E313" s="11">
        <f>VLOOKUP(Vlookup!E285,'CDCM Forecast Data'!$A$14:$I$271,5,FALSE)</f>
        <v>0.72115228218186689</v>
      </c>
      <c r="F313" s="7" t="s">
        <v>262</v>
      </c>
      <c r="G313"/>
      <c r="H313"/>
      <c r="I313"/>
      <c r="J313"/>
      <c r="K313"/>
    </row>
    <row r="314" spans="1:11" ht="15">
      <c r="A314" s="8" t="s">
        <v>63</v>
      </c>
      <c r="B314" s="11">
        <f>VLOOKUP(Vlookup!B286,'CDCM Forecast Data'!$A$14:$I$271,5,FALSE)</f>
        <v>0.74849318073591797</v>
      </c>
      <c r="C314" s="11">
        <f>VLOOKUP(Vlookup!C286,'CDCM Forecast Data'!$A$14:$I$271,5,FALSE)</f>
        <v>0.18814792948012682</v>
      </c>
      <c r="D314" s="11">
        <f>VLOOKUP(Vlookup!D286,'CDCM Forecast Data'!$A$14:$I$271,5,FALSE)</f>
        <v>6.3358889783955152E-2</v>
      </c>
      <c r="E314" s="11">
        <f>VLOOKUP(Vlookup!E286,'CDCM Forecast Data'!$A$14:$I$271,5,FALSE)</f>
        <v>0.7448691829953189</v>
      </c>
      <c r="F314" s="7" t="s">
        <v>262</v>
      </c>
      <c r="G314"/>
      <c r="H314"/>
      <c r="I314"/>
      <c r="J314"/>
      <c r="K314"/>
    </row>
    <row r="315" spans="1:11" ht="15">
      <c r="A315" s="8" t="s">
        <v>64</v>
      </c>
      <c r="B315" s="11">
        <f>VLOOKUP(Vlookup!B287,'CDCM Forecast Data'!$A$14:$I$271,5,FALSE)</f>
        <v>0.74849318073591797</v>
      </c>
      <c r="C315" s="11">
        <f>VLOOKUP(Vlookup!C287,'CDCM Forecast Data'!$A$14:$I$271,5,FALSE)</f>
        <v>0.18814792948012682</v>
      </c>
      <c r="D315" s="11">
        <f>VLOOKUP(Vlookup!D287,'CDCM Forecast Data'!$A$14:$I$271,5,FALSE)</f>
        <v>6.3358889783955152E-2</v>
      </c>
      <c r="E315" s="11">
        <f>VLOOKUP(Vlookup!E287,'CDCM Forecast Data'!$A$14:$I$271,5,FALSE)</f>
        <v>0.7448691829953189</v>
      </c>
      <c r="F315" s="7" t="s">
        <v>262</v>
      </c>
      <c r="G315"/>
      <c r="H315"/>
      <c r="I315"/>
      <c r="J315"/>
      <c r="K315"/>
    </row>
    <row r="316" spans="1:11" ht="15">
      <c r="A316" s="8" t="s">
        <v>69</v>
      </c>
      <c r="B316" s="11">
        <f>VLOOKUP(Vlookup!B288,'CDCM Forecast Data'!$A$14:$I$271,5,FALSE)</f>
        <v>0.73347807576361312</v>
      </c>
      <c r="C316" s="11">
        <f>VLOOKUP(Vlookup!C288,'CDCM Forecast Data'!$A$14:$I$271,5,FALSE)</f>
        <v>0.23785008473510372</v>
      </c>
      <c r="D316" s="11">
        <f>VLOOKUP(Vlookup!D288,'CDCM Forecast Data'!$A$14:$I$271,5,FALSE)</f>
        <v>2.8671839501283092E-2</v>
      </c>
      <c r="E316" s="11">
        <f>VLOOKUP(Vlookup!E288,'CDCM Forecast Data'!$A$14:$I$271,5,FALSE)</f>
        <v>0.72115228218186689</v>
      </c>
      <c r="F316" s="7" t="s">
        <v>262</v>
      </c>
      <c r="G316"/>
      <c r="H316"/>
      <c r="I316"/>
      <c r="J316"/>
      <c r="K316"/>
    </row>
    <row r="317" spans="1:11" ht="15">
      <c r="A317" s="8" t="s">
        <v>65</v>
      </c>
      <c r="B317" s="11">
        <f>VLOOKUP(Vlookup!B289,'CDCM Forecast Data'!$A$14:$I$271,5,FALSE)</f>
        <v>0.74849318073591797</v>
      </c>
      <c r="C317" s="11">
        <f>VLOOKUP(Vlookup!C289,'CDCM Forecast Data'!$A$14:$I$271,5,FALSE)</f>
        <v>0.18814792948012682</v>
      </c>
      <c r="D317" s="11">
        <f>VLOOKUP(Vlookup!D289,'CDCM Forecast Data'!$A$14:$I$271,5,FALSE)</f>
        <v>6.3358889783955152E-2</v>
      </c>
      <c r="E317" s="11">
        <f>VLOOKUP(Vlookup!E289,'CDCM Forecast Data'!$A$14:$I$271,5,FALSE)</f>
        <v>0.7448691829953189</v>
      </c>
      <c r="F317" s="7" t="s">
        <v>262</v>
      </c>
      <c r="G317"/>
      <c r="H317"/>
      <c r="I317"/>
      <c r="J317"/>
      <c r="K317"/>
    </row>
    <row r="318" spans="1:11" ht="15">
      <c r="A318" s="8" t="s">
        <v>66</v>
      </c>
      <c r="B318" s="11">
        <f>VLOOKUP(Vlookup!B290,'CDCM Forecast Data'!$A$14:$I$271,5,FALSE)</f>
        <v>0.74849318073591797</v>
      </c>
      <c r="C318" s="11">
        <f>VLOOKUP(Vlookup!C290,'CDCM Forecast Data'!$A$14:$I$271,5,FALSE)</f>
        <v>0.18814792948012682</v>
      </c>
      <c r="D318" s="11">
        <f>VLOOKUP(Vlookup!D290,'CDCM Forecast Data'!$A$14:$I$271,5,FALSE)</f>
        <v>6.3358889783955152E-2</v>
      </c>
      <c r="E318" s="11">
        <f>VLOOKUP(Vlookup!E290,'CDCM Forecast Data'!$A$14:$I$271,5,FALSE)</f>
        <v>0.7448691829953189</v>
      </c>
      <c r="F318" s="7" t="s">
        <v>262</v>
      </c>
      <c r="G318"/>
      <c r="H318"/>
      <c r="I318"/>
      <c r="J318"/>
      <c r="K318"/>
    </row>
    <row r="319" spans="1:11" ht="15">
      <c r="A319" s="8" t="s">
        <v>67</v>
      </c>
      <c r="B319" s="11">
        <f>VLOOKUP(Vlookup!B291,'CDCM Forecast Data'!$A$14:$I$271,5,FALSE)</f>
        <v>0.74849318073591797</v>
      </c>
      <c r="C319" s="11">
        <f>VLOOKUP(Vlookup!C291,'CDCM Forecast Data'!$A$14:$I$271,5,FALSE)</f>
        <v>0.18814792948012682</v>
      </c>
      <c r="D319" s="11">
        <f>VLOOKUP(Vlookup!D291,'CDCM Forecast Data'!$A$14:$I$271,5,FALSE)</f>
        <v>6.3358889783955152E-2</v>
      </c>
      <c r="E319" s="11">
        <f>VLOOKUP(Vlookup!E291,'CDCM Forecast Data'!$A$14:$I$271,5,FALSE)</f>
        <v>0.7448691829953189</v>
      </c>
      <c r="F319" s="7" t="s">
        <v>262</v>
      </c>
      <c r="G319"/>
      <c r="H319"/>
      <c r="I319"/>
      <c r="J319"/>
      <c r="K319"/>
    </row>
    <row r="320" spans="1:11" ht="15">
      <c r="A320"/>
      <c r="B320"/>
      <c r="C320"/>
      <c r="D320"/>
      <c r="E320"/>
      <c r="F320"/>
      <c r="G320"/>
      <c r="H320"/>
      <c r="I320"/>
      <c r="J320"/>
      <c r="K320"/>
    </row>
    <row r="321" spans="1:11" ht="19.5">
      <c r="A321" s="1" t="s">
        <v>1524</v>
      </c>
      <c r="B321"/>
      <c r="C321"/>
      <c r="D321"/>
      <c r="E321"/>
      <c r="F321"/>
      <c r="G321"/>
      <c r="H321"/>
      <c r="I321"/>
      <c r="J321"/>
      <c r="K321"/>
    </row>
    <row r="322" spans="1:11" ht="15">
      <c r="A322" s="2" t="s">
        <v>1523</v>
      </c>
      <c r="B322"/>
      <c r="C322"/>
      <c r="D322"/>
      <c r="E322"/>
      <c r="F322"/>
      <c r="G322"/>
      <c r="H322"/>
      <c r="I322"/>
      <c r="J322"/>
      <c r="K322"/>
    </row>
    <row r="323" spans="1:11" ht="15">
      <c r="A323"/>
      <c r="B323"/>
      <c r="C323"/>
      <c r="D323"/>
      <c r="E323"/>
      <c r="F323"/>
      <c r="G323"/>
      <c r="H323"/>
      <c r="I323"/>
      <c r="J323"/>
      <c r="K323"/>
    </row>
    <row r="324" spans="1:11" ht="30">
      <c r="A324"/>
      <c r="B324" s="3" t="s">
        <v>1522</v>
      </c>
      <c r="C324"/>
      <c r="D324"/>
      <c r="E324"/>
      <c r="F324"/>
      <c r="G324"/>
      <c r="H324"/>
      <c r="I324"/>
      <c r="J324"/>
      <c r="K324"/>
    </row>
    <row r="325" spans="1:11" ht="15">
      <c r="A325" s="8" t="s">
        <v>1522</v>
      </c>
      <c r="B325" s="10">
        <f>1000000*'Table 1'!F47</f>
        <v>468126753.63137257</v>
      </c>
      <c r="C325" s="7"/>
      <c r="D325"/>
      <c r="E325"/>
      <c r="F325"/>
      <c r="G325"/>
      <c r="H325"/>
      <c r="I325"/>
      <c r="J325"/>
      <c r="K325"/>
    </row>
    <row r="326" spans="1:11" ht="15">
      <c r="A326"/>
      <c r="B326"/>
      <c r="C326"/>
      <c r="D326"/>
      <c r="E326"/>
      <c r="F326"/>
      <c r="G326"/>
      <c r="H326"/>
      <c r="I326"/>
      <c r="J326"/>
      <c r="K326"/>
    </row>
    <row r="327" spans="1:11" ht="19.5">
      <c r="A327" s="1" t="s">
        <v>248</v>
      </c>
      <c r="B327"/>
      <c r="C327"/>
      <c r="D327"/>
      <c r="E327"/>
      <c r="F327"/>
      <c r="G327"/>
      <c r="H327"/>
      <c r="I327"/>
      <c r="J327"/>
      <c r="K327"/>
    </row>
    <row r="328" spans="1:11" ht="15">
      <c r="A328" s="2" t="s">
        <v>262</v>
      </c>
      <c r="B328"/>
      <c r="C328"/>
      <c r="D328"/>
      <c r="E328"/>
      <c r="F328"/>
      <c r="G328"/>
      <c r="H328"/>
      <c r="I328"/>
      <c r="J328"/>
      <c r="K328"/>
    </row>
    <row r="329" spans="1:11" ht="15">
      <c r="A329" s="2" t="s">
        <v>249</v>
      </c>
      <c r="B329"/>
      <c r="C329"/>
      <c r="D329"/>
      <c r="E329"/>
      <c r="F329"/>
      <c r="G329"/>
      <c r="H329"/>
      <c r="I329"/>
      <c r="J329"/>
      <c r="K329"/>
    </row>
    <row r="330" spans="1:11" ht="15">
      <c r="A330" t="s">
        <v>250</v>
      </c>
      <c r="B330"/>
      <c r="C330"/>
      <c r="D330"/>
      <c r="E330"/>
      <c r="F330"/>
      <c r="G330"/>
      <c r="H330"/>
      <c r="I330"/>
      <c r="J330"/>
      <c r="K330"/>
    </row>
    <row r="331" spans="1:11" ht="15">
      <c r="A331"/>
      <c r="B331" s="3" t="s">
        <v>60</v>
      </c>
      <c r="C331" s="3" t="s">
        <v>61</v>
      </c>
      <c r="D331" s="3" t="s">
        <v>62</v>
      </c>
      <c r="E331" s="3" t="s">
        <v>63</v>
      </c>
      <c r="F331" s="3" t="s">
        <v>64</v>
      </c>
      <c r="G331" s="3" t="s">
        <v>69</v>
      </c>
      <c r="H331" s="3" t="s">
        <v>65</v>
      </c>
      <c r="I331" s="3" t="s">
        <v>66</v>
      </c>
      <c r="J331" s="3" t="s">
        <v>67</v>
      </c>
      <c r="K331"/>
    </row>
    <row r="332" spans="1:11" ht="15">
      <c r="A332" s="8" t="s">
        <v>251</v>
      </c>
      <c r="B332" s="4">
        <f>VLOOKUP(Vlookup!B298,'CDCM Forecast Data'!$A$14:$I$271,5,FALSE)</f>
        <v>0.2810621222726124</v>
      </c>
      <c r="C332" s="4">
        <f>VLOOKUP(Vlookup!C298,'CDCM Forecast Data'!$A$14:$I$271,5,FALSE)</f>
        <v>0.2810621222726124</v>
      </c>
      <c r="D332" s="4">
        <f>VLOOKUP(Vlookup!D298,'CDCM Forecast Data'!$A$14:$I$271,5,FALSE)</f>
        <v>0.2810621222726124</v>
      </c>
      <c r="E332" s="4">
        <f>VLOOKUP(Vlookup!E298,'CDCM Forecast Data'!$A$14:$I$271,5,FALSE)</f>
        <v>0.2810621222726124</v>
      </c>
      <c r="F332" s="4">
        <f>VLOOKUP(Vlookup!F298,'CDCM Forecast Data'!$A$14:$I$271,5,FALSE)</f>
        <v>0.2810621222726124</v>
      </c>
      <c r="G332" s="4">
        <f>VLOOKUP(Vlookup!G298,'CDCM Forecast Data'!$A$14:$I$271,5,FALSE)</f>
        <v>0.2810621222726124</v>
      </c>
      <c r="H332" s="4">
        <f>VLOOKUP(Vlookup!H298,'CDCM Forecast Data'!$A$14:$I$271,5,FALSE)</f>
        <v>0.2810621222726124</v>
      </c>
      <c r="I332" s="4">
        <f>VLOOKUP(Vlookup!I298,'CDCM Forecast Data'!$A$14:$I$271,5,FALSE)</f>
        <v>0.2810621222726124</v>
      </c>
      <c r="J332" s="4">
        <f>VLOOKUP(Vlookup!J298,'CDCM Forecast Data'!$A$14:$I$271,5,FALSE)</f>
        <v>0.2810621222726124</v>
      </c>
      <c r="K332" s="7" t="s">
        <v>262</v>
      </c>
    </row>
  </sheetData>
  <dataValidations count="7">
    <dataValidation type="decimal" operator="greaterThanOrEqual" allowBlank="1" showInputMessage="1" showErrorMessage="1" errorTitle="Volume data error" error="The volume must be a non-negative number." sqref="B171:G171 B167:G169 B179:G180 B182:G183 B175:G177 B143:G145 B173:G173 B147:G149 B151:G153 B155:G157 B159:G161 B163:G165 B223:G224 B189:G191 B212:G214 B197:G199 B185:G187 B201:G203 B193:G195 B205:G207 B209:G210 B216:G218 B235:G236 B220:G221 B226:G227 B232:G233 B229:G230 B238:G238">
      <formula1>0</formula1>
    </dataValidation>
    <dataValidation type="decimal" allowBlank="1" showInputMessage="1" showErrorMessage="1" errorTitle="Invalid customer contribution" error="The customer contribution must be a non-negative percentage value." sqref="I258:I260 F260:G260 H259:H260">
      <formula1>0</formula1>
      <formula2>4</formula2>
    </dataValidation>
    <dataValidation type="textLength" operator="equal" allowBlank="1" showInputMessage="1" showErrorMessage="1" error="This cell should remain blank." sqref="B172:G172 B174:G174 B178:G178 B181:G181 B142:G142 B146:G146 B150:G150 B154:G154 B158:G158 B162:G162 B166:G166 B170:G170 B200:G200 B196:G196 B192:G192 B184:G184 B188:G188 B204:G204 B208:G208 B211:G211 B215:G215 B219:G219 B222:G222 B225:G225 B234:G234 B231:G231 B228:G228 B237:G237">
      <formula1>0</formula1>
    </dataValidation>
    <dataValidation type="decimal" allowBlank="1" showInputMessage="1" showErrorMessage="1" error="The coincidence factor must be between 0% and 100%." sqref="B118 B121">
      <formula1>0</formula1>
      <formula2>1</formula2>
    </dataValidation>
    <dataValidation type="decimal" allowBlank="1" showInputMessage="1" showErrorMessage="1" error="The LDNO discount must be between 0% and 100%." sqref="B110">
      <formula1>0</formula1>
      <formula2>1</formula2>
    </dataValidation>
    <dataValidation type="decimal" allowBlank="1" showInputMessage="1" showErrorMessage="1" error="The number in this cell must be between 0% and 100%." sqref="B90:I90 B95:F98 B68:I83">
      <formula1>0</formula1>
      <formula2>1</formula2>
    </dataValidation>
    <dataValidation type="decimal" operator="greaterThanOrEqual" allowBlank="1" showInputMessage="1" showErrorMessage="1" sqref="B325">
      <formula1>0</formula1>
    </dataValidation>
  </dataValidations>
  <pageMargins left="0.75" right="0.75" top="1" bottom="1" header="0.5" footer="0.5"/>
  <pageSetup paperSize="9" orientation="portrait" horizontalDpi="4294967292" verticalDpi="4294967292"/>
  <headerFooter alignWithMargins="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p:properties xmlns:p="http://schemas.microsoft.com/office/2006/metadata/properties" xmlns:xsi="http://www.w3.org/2001/XMLSchema-instance" xmlns:pc="http://schemas.microsoft.com/office/infopath/2007/PartnerControls">
  <documentManagement>
    <UnpublishDate xmlns="c7312139-f4c2-453d-a4c8-c631b6303d87" xsi:nil="true"/>
    <Date_x0020_Archived xmlns="c7312139-f4c2-453d-a4c8-c631b6303d87" xsi:nil="true"/>
    <DocumentCategory xmlns="830862f3-40c2-43d5-9778-1909aaa95bc7">29</DocumentCategory>
    <DateLastActivated1 xmlns="c7312139-f4c2-453d-a4c8-c631b6303d87">2014-11-19T15:44:25+00:00</DateLastActivated1>
    <Commitees xmlns="c7312139-f4c2-453d-a4c8-c631b6303d87"/>
    <DocNotes xmlns="c7312139-f4c2-453d-a4c8-c631b6303d87" xsi:nil="true"/>
    <Activities xmlns="c7312139-f4c2-453d-a4c8-c631b6303d87"/>
    <Issues xmlns="c7312139-f4c2-453d-a4c8-c631b6303d87"/>
    <PublishDate xmlns="c7312139-f4c2-453d-a4c8-c631b6303d87">2014-11-25T00:00:00+00:00</PublishDate>
    <ChangeProposal1 xmlns="c7312139-f4c2-453d-a4c8-c631b6303d87"/>
    <Confidential1 xmlns="c7312139-f4c2-453d-a4c8-c631b6303d87">false</Confidential1>
    <DocType xmlns="c7312139-f4c2-453d-a4c8-c631b6303d87">7</DocType>
    <Restricted xmlns="830862f3-40c2-43d5-9778-1909aaa95bc7">false</Restricted>
    <DateLastDeactivated1 xmlns="c7312139-f4c2-453d-a4c8-c631b6303d87" xsi:nil="true"/>
    <DocVersion xmlns="c7312139-f4c2-453d-a4c8-c631b6303d87">pre-release</DocVersion>
    <Archived xmlns="c7312139-f4c2-453d-a4c8-c631b6303d87">false</Archived>
    <SQLID xmlns="c7312139-f4c2-453d-a4c8-c631b6303d8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162FE946D2DC49B772FE47E464ED56" ma:contentTypeVersion="43" ma:contentTypeDescription="Create a new document." ma:contentTypeScope="" ma:versionID="f2f8e94f420f34fde909ad83e0196b9d">
  <xsd:schema xmlns:xsd="http://www.w3.org/2001/XMLSchema" xmlns:xs="http://www.w3.org/2001/XMLSchema" xmlns:p="http://schemas.microsoft.com/office/2006/metadata/properties" xmlns:ns2="c7312139-f4c2-453d-a4c8-c631b6303d87" xmlns:ns3="830862f3-40c2-43d5-9778-1909aaa95bc7" targetNamespace="http://schemas.microsoft.com/office/2006/metadata/properties" ma:root="true" ma:fieldsID="1218209dd55e9575dcd0b9e0abec456c" ns2:_="" ns3:_="">
    <xsd:import namespace="c7312139-f4c2-453d-a4c8-c631b6303d87"/>
    <xsd:import namespace="830862f3-40c2-43d5-9778-1909aaa95bc7"/>
    <xsd:element name="properties">
      <xsd:complexType>
        <xsd:sequence>
          <xsd:element name="documentManagement">
            <xsd:complexType>
              <xsd:all>
                <xsd:element ref="ns2:DocType" minOccurs="0"/>
                <xsd:element ref="ns3:DocumentCategory" minOccurs="0"/>
                <xsd:element ref="ns2:Commitees" minOccurs="0"/>
                <xsd:element ref="ns2:ChangeProposal1" minOccurs="0"/>
                <xsd:element ref="ns2:Activities" minOccurs="0"/>
                <xsd:element ref="ns2:Issues" minOccurs="0"/>
                <xsd:element ref="ns2:DocNotes" minOccurs="0"/>
                <xsd:element ref="ns3:Restricted" minOccurs="0"/>
                <xsd:element ref="ns2:Confidential1" minOccurs="0"/>
                <xsd:element ref="ns2:PublishDate" minOccurs="0"/>
                <xsd:element ref="ns2:UnpublishDate" minOccurs="0"/>
                <xsd:element ref="ns2:DocVersion" minOccurs="0"/>
                <xsd:element ref="ns2:Archived" minOccurs="0"/>
                <xsd:element ref="ns2:Date_x0020_Archived" minOccurs="0"/>
                <xsd:element ref="ns2:DateLastActivated1" minOccurs="0"/>
                <xsd:element ref="ns2:DateLastDeactivated1" minOccurs="0"/>
                <xsd:element ref="ns2:SQLID" minOccurs="0"/>
                <xsd:element ref="ns2:_dlc_DocId" minOccurs="0"/>
                <xsd:element ref="ns2:_dlc_DocIdUrl" minOccurs="0"/>
                <xsd:element ref="ns2:_dlc_DocIdPersistId" minOccurs="0"/>
                <xsd:element ref="ns3:Related_x0020_Commitees_x0020__x0026__x0020_Groups_x003a_ID" minOccurs="0"/>
                <xsd:element ref="ns3:Related_x0020_Change_x0020_Proposals_x003a_ID" minOccurs="0"/>
                <xsd:element ref="ns3:Related_x0020_Activities_x003a_ID" minOccurs="0"/>
                <xsd:element ref="ns3:Related_x0020_Issues_x003a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312139-f4c2-453d-a4c8-c631b6303d87" elementFormDefault="qualified">
    <xsd:import namespace="http://schemas.microsoft.com/office/2006/documentManagement/types"/>
    <xsd:import namespace="http://schemas.microsoft.com/office/infopath/2007/PartnerControls"/>
    <xsd:element name="DocType" ma:index="2" nillable="true" ma:displayName="Document Type" ma:description="Select type of document" ma:indexed="true" ma:list="{e44f5265-7504-47b9-8500-c2f524d54778}" ma:internalName="DocType" ma:showField="Title" ma:web="c7312139-f4c2-453d-a4c8-c631b6303d87">
      <xsd:simpleType>
        <xsd:restriction base="dms:Lookup"/>
      </xsd:simpleType>
    </xsd:element>
    <xsd:element name="Commitees" ma:index="4" nillable="true" ma:displayName="Related Committees &amp; Groups" ma:description="Select any Committees and Groups related to this document" ma:list="{c4558e07-05f5-413e-8fc8-3371db0e06b8}" ma:internalName="Commitees" ma:readOnly="false" ma:showField="Title"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ChangeProposal1" ma:index="5" nillable="true" ma:displayName="Related Change Proposals" ma:description="Select Change Proposals to which this document belongs." ma:list="{9d78ab6c-e5db-4bbc-aef9-166e344e593e}" ma:internalName="ChangeProposal1" ma:readOnly="false" ma:showField="DCP"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Activities" ma:index="6" nillable="true" ma:displayName="Related Activities" ma:description="Select any Related Activities" ma:list="{4c7ccd60-2e0f-4363-be6e-3f24309280e9}" ma:internalName="Activities" ma:readOnly="false" ma:showField="Title"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Issues" ma:index="7" nillable="true" ma:displayName="Related Issues" ma:description="Select any issues related to this document" ma:list="{fd71b149-47ba-4a21-af25-87beffb6e97e}" ma:internalName="Issues" ma:showField="Issue_x0020_Number"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DocNotes" ma:index="8" nillable="true" ma:displayName="Notes" ma:description="Add any notes related to this document" ma:internalName="DocNotes">
      <xsd:simpleType>
        <xsd:restriction base="dms:Note">
          <xsd:maxLength value="255"/>
        </xsd:restriction>
      </xsd:simpleType>
    </xsd:element>
    <xsd:element name="Confidential1" ma:index="10" nillable="true" ma:displayName="Confidential" ma:default="0" ma:description="Select if document is to be kept confidential to members of appropriate Change Proposal Working Group." ma:internalName="Confidential1">
      <xsd:simpleType>
        <xsd:restriction base="dms:Boolean"/>
      </xsd:simpleType>
    </xsd:element>
    <xsd:element name="PublishDate" ma:index="11" nillable="true" ma:displayName="Date Published" ma:description="Enter the date this document is to be published." ma:format="DateOnly" ma:indexed="true" ma:internalName="PublishDate">
      <xsd:simpleType>
        <xsd:restriction base="dms:DateTime"/>
      </xsd:simpleType>
    </xsd:element>
    <xsd:element name="UnpublishDate" ma:index="12" nillable="true" ma:displayName="Withdrawal Date" ma:description="Enter any date to automatically remove this document from publication." ma:format="DateOnly" ma:indexed="true" ma:internalName="UnpublishDate">
      <xsd:simpleType>
        <xsd:restriction base="dms:DateTime"/>
      </xsd:simpleType>
    </xsd:element>
    <xsd:element name="DocVersion" ma:index="13" nillable="true" ma:displayName="Version/Revision" ma:description="Enter version number for this document" ma:internalName="DocVersion">
      <xsd:simpleType>
        <xsd:restriction base="dms:Text">
          <xsd:maxLength value="255"/>
        </xsd:restriction>
      </xsd:simpleType>
    </xsd:element>
    <xsd:element name="Archived" ma:index="14" nillable="true" ma:displayName="Archived" ma:default="0" ma:description="Indicate if this record is to be archived." ma:indexed="true" ma:internalName="Archived">
      <xsd:simpleType>
        <xsd:restriction base="dms:Boolean"/>
      </xsd:simpleType>
    </xsd:element>
    <xsd:element name="Date_x0020_Archived" ma:index="15" nillable="true" ma:displayName="Date Archived" ma:description="Select date this record was archived." ma:format="DateOnly" ma:internalName="Date_x0020_Archived">
      <xsd:simpleType>
        <xsd:restriction base="dms:DateTime"/>
      </xsd:simpleType>
    </xsd:element>
    <xsd:element name="DateLastActivated1" ma:index="16" nillable="true" ma:displayName="Date Last Activated" ma:default="[today]" ma:description="Records date record was last activated" ma:format="DateOnly" ma:internalName="DateLastActivated1">
      <xsd:simpleType>
        <xsd:restriction base="dms:DateTime"/>
      </xsd:simpleType>
    </xsd:element>
    <xsd:element name="DateLastDeactivated1" ma:index="17" nillable="true" ma:displayName="Date Last Deactivated" ma:description="Records date record was last deactivated" ma:format="DateOnly" ma:internalName="DateLastDeactivated1">
      <xsd:simpleType>
        <xsd:restriction base="dms:DateTime"/>
      </xsd:simpleType>
    </xsd:element>
    <xsd:element name="SQLID" ma:index="18" nillable="true" ma:displayName="SQLID" ma:decimals="0" ma:description="Holds SQLID from old database." ma:internalName="SQLID" ma:percentage="FALSE">
      <xsd:simpleType>
        <xsd:restriction base="dms:Number"/>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30862f3-40c2-43d5-9778-1909aaa95bc7" elementFormDefault="qualified">
    <xsd:import namespace="http://schemas.microsoft.com/office/2006/documentManagement/types"/>
    <xsd:import namespace="http://schemas.microsoft.com/office/infopath/2007/PartnerControls"/>
    <xsd:element name="DocumentCategory" ma:index="3" nillable="true" ma:displayName="Document Category" ma:description="Select Document Category for this document" ma:indexed="true" ma:list="{84b421a0-f42d-4db4-ba8d-bd6d116602cf}" ma:internalName="DocumentCategory" ma:showField="Title" ma:web="c7312139-f4c2-453d-a4c8-c631b6303d87">
      <xsd:simpleType>
        <xsd:restriction base="dms:Lookup"/>
      </xsd:simpleType>
    </xsd:element>
    <xsd:element name="Restricted" ma:index="9" nillable="true" ma:displayName="Restricted" ma:default="0" ma:description="Restrict document publishing to registered website users only." ma:indexed="true" ma:internalName="Restricted">
      <xsd:simpleType>
        <xsd:restriction base="dms:Boolean"/>
      </xsd:simpleType>
    </xsd:element>
    <xsd:element name="Related_x0020_Commitees_x0020__x0026__x0020_Groups_x003a_ID" ma:index="28" nillable="true" ma:displayName="Related Commitees &amp; Groups:ID" ma:list="{c4558e07-05f5-413e-8fc8-3371db0e06b8}" ma:internalName="Related_x0020_Commitees_x0020__x0026__x0020_Groups_x003a_ID" ma:readOnly="true" ma:showField="ID"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Related_x0020_Change_x0020_Proposals_x003a_ID" ma:index="29" nillable="true" ma:displayName="Related Change Proposals:ID" ma:list="{9d78ab6c-e5db-4bbc-aef9-166e344e593e}" ma:internalName="Related_x0020_Change_x0020_Proposals_x003a_ID" ma:readOnly="true" ma:showField="ID"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Related_x0020_Activities_x003a_ID" ma:index="30" nillable="true" ma:displayName="Related Activities:ID" ma:list="{4c7ccd60-2e0f-4363-be6e-3f24309280e9}" ma:internalName="Related_x0020_Activities_x003a_ID" ma:readOnly="true" ma:showField="ID" ma:web="c7312139-f4c2-453d-a4c8-c631b6303d87">
      <xsd:complexType>
        <xsd:complexContent>
          <xsd:extension base="dms:MultiChoiceLookup">
            <xsd:sequence>
              <xsd:element name="Value" type="dms:Lookup" maxOccurs="unbounded" minOccurs="0" nillable="true"/>
            </xsd:sequence>
          </xsd:extension>
        </xsd:complexContent>
      </xsd:complexType>
    </xsd:element>
    <xsd:element name="Related_x0020_Issues_x003a_ID" ma:index="31" nillable="true" ma:displayName="Related Issues:ID" ma:list="{fd71b149-47ba-4a21-af25-87beffb6e97e}" ma:internalName="Related_x0020_Issues_x003a_ID" ma:readOnly="true" ma:showField="ID" ma:web="c7312139-f4c2-453d-a4c8-c631b6303d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D4180D-3690-4270-81D8-07CE69502BD2}">
  <ds:schemaRefs>
    <ds:schemaRef ds:uri="http://schemas.microsoft.com/sharepoint/events"/>
  </ds:schemaRefs>
</ds:datastoreItem>
</file>

<file path=customXml/itemProps2.xml><?xml version="1.0" encoding="utf-8"?>
<ds:datastoreItem xmlns:ds="http://schemas.openxmlformats.org/officeDocument/2006/customXml" ds:itemID="{28613E7E-6246-4F41-8AFB-63CB473F2CB9}">
  <ds:schemaRefs>
    <ds:schemaRef ds:uri="830862f3-40c2-43d5-9778-1909aaa95bc7"/>
    <ds:schemaRef ds:uri="c7312139-f4c2-453d-a4c8-c631b6303d87"/>
    <ds:schemaRef ds:uri="http://www.w3.org/XML/1998/namespace"/>
    <ds:schemaRef ds:uri="http://schemas.microsoft.com/office/2006/metadata/properties"/>
    <ds:schemaRef ds:uri="http://purl.org/dc/terms/"/>
    <ds:schemaRef ds:uri="http://purl.org/dc/dcmityp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s>
</ds:datastoreItem>
</file>

<file path=customXml/itemProps3.xml><?xml version="1.0" encoding="utf-8"?>
<ds:datastoreItem xmlns:ds="http://schemas.openxmlformats.org/officeDocument/2006/customXml" ds:itemID="{133B08B4-AF34-4570-A5C0-57E25A54D3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312139-f4c2-453d-a4c8-c631b6303d87"/>
    <ds:schemaRef ds:uri="830862f3-40c2-43d5-9778-1909aaa95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EF73F13-3287-4BE3-875D-CF6E353A01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vt:i4>
      </vt:variant>
    </vt:vector>
  </HeadingPairs>
  <TitlesOfParts>
    <vt:vector size="25" baseType="lpstr">
      <vt:lpstr>Overview</vt:lpstr>
      <vt:lpstr>Commentary</vt:lpstr>
      <vt:lpstr>CDCM Forecast Data</vt:lpstr>
      <vt:lpstr>Table 1</vt:lpstr>
      <vt:lpstr>Smoothed Input Details</vt:lpstr>
      <vt:lpstr>Mat of App</vt:lpstr>
      <vt:lpstr>CDCM Volume Forecasts</vt:lpstr>
      <vt:lpstr>CDCM Timebands</vt:lpstr>
      <vt:lpstr>(Y)</vt:lpstr>
      <vt:lpstr>(Y+1)</vt:lpstr>
      <vt:lpstr>(Y+2)</vt:lpstr>
      <vt:lpstr>(Y+3)</vt:lpstr>
      <vt:lpstr>(Y+4)</vt:lpstr>
      <vt:lpstr>Tariffs ARP</vt:lpstr>
      <vt:lpstr>Typical Bill</vt:lpstr>
      <vt:lpstr>Vlookup</vt:lpstr>
      <vt:lpstr>Tariffs</vt:lpstr>
      <vt:lpstr>Summary</vt:lpstr>
      <vt:lpstr>CDCM</vt:lpstr>
      <vt:lpstr>Vlookup!Forcast_Data</vt:lpstr>
      <vt:lpstr>CDCM!Print_Area</vt:lpstr>
      <vt:lpstr>'Table 1'!Print_Area</vt:lpstr>
      <vt:lpstr>'Typical Bill'!Print_Area</vt:lpstr>
      <vt:lpstr>'Typical Bill'!Print_Titles</vt:lpstr>
      <vt:lpstr>Vlookup!Volume_Forecast_Data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ARP_1 April 2017 Pre-Release</dc:title>
  <dc:creator>Shankar</dc:creator>
  <cp:lastModifiedBy>Vincent, Emma L.</cp:lastModifiedBy>
  <cp:lastPrinted>2015-12-15T11:47:24Z</cp:lastPrinted>
  <dcterms:created xsi:type="dcterms:W3CDTF">2014-01-20T03:17:41Z</dcterms:created>
  <dcterms:modified xsi:type="dcterms:W3CDTF">2015-12-15T15:21:48Z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0x010100DE162FE946D2DC49B772FE47E464ED56</vt:lpwstr>
  </property>
  <property fmtid="{D5CDD505-2E9C-101B-9397-08002B2CF9AE}" pid="3" name="SV_QUERY_LIST_4F35BF76-6C0D-4D9B-82B2-816C12CF3733">
    <vt:lpwstr>empty_477D106A-C0D6-4607-AEBD-E2C9D60EA279</vt:lpwstr>
  </property>
</Properties>
</file>